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embeddings/oleObject1.bin" ContentType="application/vnd.openxmlformats-officedocument.oleObject"/>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172.16.11.3\Engenharia\PROJETOS EM ANDAMENTOS\PAVIMENTAÇÃO JD PLANALTO 01 E 02\"/>
    </mc:Choice>
  </mc:AlternateContent>
  <xr:revisionPtr revIDLastSave="0" documentId="13_ncr:1_{231B13CE-87F6-429C-99B4-98A065A988B1}" xr6:coauthVersionLast="47" xr6:coauthVersionMax="47" xr10:uidLastSave="{00000000-0000-0000-0000-000000000000}"/>
  <bookViews>
    <workbookView xWindow="28680" yWindow="-1875" windowWidth="29040" windowHeight="15720" firstSheet="14" activeTab="14" xr2:uid="{00E8CA62-ED3C-491D-A4F1-9C7E1A89FF63}"/>
  </bookViews>
  <sheets>
    <sheet name="CPAV001-ADM" sheetId="1" r:id="rId1"/>
    <sheet name="ORÇ. ÓLEO DIESEL" sheetId="21" r:id="rId2"/>
    <sheet name="103689-PLACA DE OBRA " sheetId="2" r:id="rId3"/>
    <sheet name="103694-POSTE MADEIRA" sheetId="3" r:id="rId4"/>
    <sheet name="CPAV004-IMPRIMAÇÃO" sheetId="4" r:id="rId5"/>
    <sheet name="CPAV005-TSD-104389" sheetId="5" r:id="rId6"/>
    <sheet name="CPAV006-PISO TATIL" sheetId="6" r:id="rId7"/>
    <sheet name="CPAV010 4016096" sheetId="8" r:id="rId8"/>
    <sheet name="5914354" sheetId="9" r:id="rId9"/>
    <sheet name="4011219" sheetId="10" r:id="rId10"/>
    <sheet name="4016096" sheetId="11" r:id="rId11"/>
    <sheet name="2003850" sheetId="12" r:id="rId12"/>
    <sheet name="QCI" sheetId="14" r:id="rId13"/>
    <sheet name="ORÇAMENTO RESUMO NAO DESONERADO" sheetId="15" r:id="rId14"/>
    <sheet name="RESUMO - GERAL" sheetId="27" r:id="rId15"/>
    <sheet name="RESUMO MATERIAIS FINAL" sheetId="17" r:id="rId16"/>
    <sheet name="ORÇAMENTO - GERAL" sheetId="28" r:id="rId17"/>
    <sheet name="ORÇ. MATERIAL" sheetId="18" r:id="rId18"/>
    <sheet name="TRANSP. DRENAGEM" sheetId="45" r:id="rId19"/>
    <sheet name="BDI-SERVIÇOS" sheetId="13" r:id="rId20"/>
    <sheet name="CRONOGRAMA REPASSE  - MATERIAIS" sheetId="46" r:id="rId21"/>
    <sheet name="EQUIPAMENTOS" sheetId="20" r:id="rId22"/>
    <sheet name="CRONOGRAMA GERAL  - MATERIAIS" sheetId="19" r:id="rId23"/>
    <sheet name="COTAÇÃOBRITA" sheetId="23" r:id="rId24"/>
    <sheet name="ANP" sheetId="22" r:id="rId25"/>
    <sheet name="RESUMO -ORIENTATIVO" sheetId="24" r:id="rId26"/>
    <sheet name="ORÇAMENTO - ORIENTATIVO" sheetId="25" r:id="rId27"/>
    <sheet name="CRONOGRAMA - ORIENTATIVO" sheetId="26" r:id="rId28"/>
    <sheet name="SIN. VERTICAL" sheetId="39" r:id="rId29"/>
    <sheet name="CRONOGRAMA - GERAL" sheetId="29" r:id="rId30"/>
    <sheet name="CPAV009- MOB_DESMOB" sheetId="7" r:id="rId31"/>
    <sheet name="SIN. HORIZONTAL " sheetId="40" r:id="rId32"/>
    <sheet name="RUAS" sheetId="31" r:id="rId33"/>
    <sheet name="TERRAPLENAGEM" sheetId="32" r:id="rId34"/>
    <sheet name="DMT" sheetId="30" r:id="rId35"/>
    <sheet name="TRANSP. MAT.PAV" sheetId="35" r:id="rId36"/>
    <sheet name="PAVIMENTO" sheetId="34" r:id="rId37"/>
    <sheet name="SUBLEITO-BASE-SUB." sheetId="33" r:id="rId38"/>
    <sheet name="CALÇADA" sheetId="36" r:id="rId39"/>
    <sheet name="PISO TATIL SÓ RAMPA" sheetId="38" r:id="rId40"/>
    <sheet name="TRANSP.PASSEIO " sheetId="37" r:id="rId41"/>
    <sheet name="MEIO-FIO E SARJETA" sheetId="41" r:id="rId42"/>
    <sheet name="DREN. SARJETA" sheetId="42" r:id="rId43"/>
    <sheet name="DREN. REDE" sheetId="43" r:id="rId44"/>
    <sheet name="DREN. MEM. CAL." sheetId="44"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s>
  <definedNames>
    <definedName name="\c">[1]PLMUSEU!#REF!</definedName>
    <definedName name="\I">#REF!</definedName>
    <definedName name="\S">[2]COMPOS1!#REF!</definedName>
    <definedName name="\x">[1]PLMUSEU!#REF!</definedName>
    <definedName name="\z">[1]PLMUSEU!#REF!</definedName>
    <definedName name="________________________________________________________cab1">#REF!</definedName>
    <definedName name="_____________________________________________________cab1">#REF!</definedName>
    <definedName name="_____________________________________________________RET1">#REF!</definedName>
    <definedName name="____________________________________________________cab1">#REF!</definedName>
    <definedName name="____________________________________________________TT21">[3]RELATÓRIO!#REF!</definedName>
    <definedName name="____________________________________________________TT22">[3]RELATÓRIO!#REF!</definedName>
    <definedName name="___________________________________________________cab1">#REF!</definedName>
    <definedName name="___________________________________________________oac2">#REF!</definedName>
    <definedName name="__________________________________________________cab1">#REF!</definedName>
    <definedName name="__________________________________________________JAZ1">#REF!</definedName>
    <definedName name="__________________________________________________JAZ11">#REF!</definedName>
    <definedName name="__________________________________________________JAZ2">#REF!</definedName>
    <definedName name="__________________________________________________JAZ22">#REF!</definedName>
    <definedName name="__________________________________________________JAZ3">#REF!</definedName>
    <definedName name="__________________________________________________JAZ33">#REF!</definedName>
    <definedName name="__________________________________________________RET1">#REF!</definedName>
    <definedName name="_________________________________________________cab1">#REF!</definedName>
    <definedName name="_________________________________________________EXT1">#REF!</definedName>
    <definedName name="_________________________________________________ind100">#REF!</definedName>
    <definedName name="_________________________________________________JAZ1">#REF!</definedName>
    <definedName name="_________________________________________________JAZ11">#REF!</definedName>
    <definedName name="_________________________________________________JAZ2">#REF!</definedName>
    <definedName name="_________________________________________________JAZ22">#REF!</definedName>
    <definedName name="_________________________________________________JAZ3">#REF!</definedName>
    <definedName name="_________________________________________________JAZ33">#REF!</definedName>
    <definedName name="_________________________________________________RET1">#REF!</definedName>
    <definedName name="_________________________________________________TT21">[3]RELATÓRIO!#REF!</definedName>
    <definedName name="_________________________________________________TT22">[3]RELATÓRIO!#REF!</definedName>
    <definedName name="________________________________________________cab1">#REF!</definedName>
    <definedName name="________________________________________________JAZ1">#REF!</definedName>
    <definedName name="________________________________________________JAZ11">#REF!</definedName>
    <definedName name="________________________________________________JAZ2">#REF!</definedName>
    <definedName name="________________________________________________JAZ22">#REF!</definedName>
    <definedName name="________________________________________________JAZ3">#REF!</definedName>
    <definedName name="________________________________________________JAZ33">#REF!</definedName>
    <definedName name="________________________________________________oac2">#REF!</definedName>
    <definedName name="________________________________________________RET1">#REF!</definedName>
    <definedName name="_______________________________________________cab1">#REF!</definedName>
    <definedName name="_______________________________________________oac2">#REF!</definedName>
    <definedName name="_______________________________________________RET1">#REF!</definedName>
    <definedName name="_______________________________________________TT21">[3]RELATÓRIO!#REF!</definedName>
    <definedName name="_______________________________________________TT22">[3]RELATÓRIO!#REF!</definedName>
    <definedName name="______________________________________________cab1">#REF!</definedName>
    <definedName name="______________________________________________EXT1">#REF!</definedName>
    <definedName name="______________________________________________ind100">#REF!</definedName>
    <definedName name="______________________________________________JAZ1">#REF!</definedName>
    <definedName name="______________________________________________JAZ11">#REF!</definedName>
    <definedName name="______________________________________________JAZ2">#REF!</definedName>
    <definedName name="______________________________________________JAZ22">#REF!</definedName>
    <definedName name="______________________________________________JAZ3">#REF!</definedName>
    <definedName name="______________________________________________JAZ33">#REF!</definedName>
    <definedName name="______________________________________________oac2">#REF!</definedName>
    <definedName name="______________________________________________RET1">#REF!</definedName>
    <definedName name="______________________________________________tsd4">#REF!</definedName>
    <definedName name="______________________________________________TT21">[3]RELATÓRIO!#REF!</definedName>
    <definedName name="______________________________________________TT22">[3]RELATÓRIO!#REF!</definedName>
    <definedName name="_____________________________________________cab1">#REF!</definedName>
    <definedName name="_____________________________________________EXT1">#REF!</definedName>
    <definedName name="_____________________________________________ind100">#REF!</definedName>
    <definedName name="_____________________________________________JAZ1">#REF!</definedName>
    <definedName name="_____________________________________________JAZ11">#REF!</definedName>
    <definedName name="_____________________________________________JAZ2">#REF!</definedName>
    <definedName name="_____________________________________________JAZ22">#REF!</definedName>
    <definedName name="_____________________________________________JAZ3">#REF!</definedName>
    <definedName name="_____________________________________________JAZ33">#REF!</definedName>
    <definedName name="_____________________________________________oac2">#REF!</definedName>
    <definedName name="_____________________________________________RET1">#REF!</definedName>
    <definedName name="_____________________________________________tsd4">#REF!</definedName>
    <definedName name="_____________________________________________TT21">[3]RELATÓRIO!#REF!</definedName>
    <definedName name="_____________________________________________TT22">[3]RELATÓRIO!#REF!</definedName>
    <definedName name="____________________________________________cab1">#REF!</definedName>
    <definedName name="____________________________________________EXT1">#REF!</definedName>
    <definedName name="____________________________________________ind100">#REF!</definedName>
    <definedName name="____________________________________________JAZ1">#REF!</definedName>
    <definedName name="____________________________________________JAZ11">#REF!</definedName>
    <definedName name="____________________________________________JAZ2">#REF!</definedName>
    <definedName name="____________________________________________JAZ22">#REF!</definedName>
    <definedName name="____________________________________________JAZ3">#REF!</definedName>
    <definedName name="____________________________________________JAZ33">#REF!</definedName>
    <definedName name="____________________________________________oac2">#REF!</definedName>
    <definedName name="____________________________________________RET1">#REF!</definedName>
    <definedName name="____________________________________________tsd4">#REF!</definedName>
    <definedName name="____________________________________________TT21">[3]RELATÓRIO!#REF!</definedName>
    <definedName name="____________________________________________TT22">[3]RELATÓRIO!#REF!</definedName>
    <definedName name="___________________________________________cab1">#REF!</definedName>
    <definedName name="___________________________________________EXT1">#REF!</definedName>
    <definedName name="___________________________________________ind100">#REF!</definedName>
    <definedName name="___________________________________________JAZ1">#REF!</definedName>
    <definedName name="___________________________________________JAZ11">#REF!</definedName>
    <definedName name="___________________________________________JAZ2">#REF!</definedName>
    <definedName name="___________________________________________JAZ22">#REF!</definedName>
    <definedName name="___________________________________________JAZ3">#REF!</definedName>
    <definedName name="___________________________________________JAZ33">#REF!</definedName>
    <definedName name="___________________________________________oac2">#REF!</definedName>
    <definedName name="___________________________________________RET1">#REF!</definedName>
    <definedName name="___________________________________________TT21">[3]RELATÓRIO!#REF!</definedName>
    <definedName name="___________________________________________TT22">[3]RELATÓRIO!#REF!</definedName>
    <definedName name="__________________________________________cab1">#REF!</definedName>
    <definedName name="__________________________________________emp2">'[4]DMT modelo'!$AA$13</definedName>
    <definedName name="__________________________________________EXT1">#REF!</definedName>
    <definedName name="__________________________________________ind100">#REF!</definedName>
    <definedName name="__________________________________________JAZ1">#REF!</definedName>
    <definedName name="__________________________________________JAZ11">#REF!</definedName>
    <definedName name="__________________________________________JAZ2">#REF!</definedName>
    <definedName name="__________________________________________JAZ22">#REF!</definedName>
    <definedName name="__________________________________________JAZ3">#REF!</definedName>
    <definedName name="__________________________________________JAZ33">#REF!</definedName>
    <definedName name="__________________________________________mem2">'[5]Mat Asf'!$H$37</definedName>
    <definedName name="__________________________________________oac2">#REF!</definedName>
    <definedName name="__________________________________________RET1">#REF!</definedName>
    <definedName name="__________________________________________tsd4">#REF!</definedName>
    <definedName name="__________________________________________TT21">[3]RELATÓRIO!#REF!</definedName>
    <definedName name="__________________________________________TT22">[3]RELATÓRIO!#REF!</definedName>
    <definedName name="_________________________________________cab1">#REF!</definedName>
    <definedName name="_________________________________________emp2">'[4]DMT modelo'!$AA$13</definedName>
    <definedName name="_________________________________________EXT1">#REF!</definedName>
    <definedName name="_________________________________________ind100">#REF!</definedName>
    <definedName name="_________________________________________JAZ1">#REF!</definedName>
    <definedName name="_________________________________________JAZ11">#REF!</definedName>
    <definedName name="_________________________________________JAZ2">#REF!</definedName>
    <definedName name="_________________________________________JAZ22">#REF!</definedName>
    <definedName name="_________________________________________JAZ3">#REF!</definedName>
    <definedName name="_________________________________________JAZ33">#REF!</definedName>
    <definedName name="_________________________________________mem2">'[5]Mat Asf'!$H$37</definedName>
    <definedName name="_________________________________________oac2">#REF!</definedName>
    <definedName name="_________________________________________RET1">#REF!</definedName>
    <definedName name="_________________________________________tsd4">#REF!</definedName>
    <definedName name="_________________________________________TT21">[3]RELATÓRIO!#REF!</definedName>
    <definedName name="_________________________________________TT22">[3]RELATÓRIO!#REF!</definedName>
    <definedName name="________________________________________cab1">#REF!</definedName>
    <definedName name="________________________________________emp2">'[4]DMT modelo'!$AA$13</definedName>
    <definedName name="________________________________________EXT1">#REF!</definedName>
    <definedName name="________________________________________ind100">#REF!</definedName>
    <definedName name="________________________________________JAZ1">#REF!</definedName>
    <definedName name="________________________________________JAZ11">#REF!</definedName>
    <definedName name="________________________________________JAZ2">#REF!</definedName>
    <definedName name="________________________________________JAZ22">#REF!</definedName>
    <definedName name="________________________________________JAZ3">#REF!</definedName>
    <definedName name="________________________________________JAZ33">#REF!</definedName>
    <definedName name="________________________________________mem2">'[5]Mat Asf'!$H$37</definedName>
    <definedName name="________________________________________oac2">#REF!</definedName>
    <definedName name="________________________________________RET1">#REF!</definedName>
    <definedName name="________________________________________tsd4">#REF!</definedName>
    <definedName name="________________________________________TT21">[3]RELATÓRIO!#REF!</definedName>
    <definedName name="________________________________________TT22">[3]RELATÓRIO!#REF!</definedName>
    <definedName name="_______________________________________cab1">#REF!</definedName>
    <definedName name="_______________________________________emp2">'[4]DMT modelo'!$AA$13</definedName>
    <definedName name="_______________________________________EXT1">#REF!</definedName>
    <definedName name="_______________________________________ind100">#REF!</definedName>
    <definedName name="_______________________________________JAZ1">#REF!</definedName>
    <definedName name="_______________________________________JAZ11">#REF!</definedName>
    <definedName name="_______________________________________JAZ2">#REF!</definedName>
    <definedName name="_______________________________________JAZ22">#REF!</definedName>
    <definedName name="_______________________________________JAZ3">#REF!</definedName>
    <definedName name="_______________________________________JAZ33">#REF!</definedName>
    <definedName name="_______________________________________mem2">'[5]Mat Asf'!$H$37</definedName>
    <definedName name="_______________________________________oac2">#REF!</definedName>
    <definedName name="_______________________________________RET1">#REF!</definedName>
    <definedName name="_______________________________________tsd4">#REF!</definedName>
    <definedName name="_______________________________________TT21">[3]RELATÓRIO!#REF!</definedName>
    <definedName name="_______________________________________TT22">[3]RELATÓRIO!#REF!</definedName>
    <definedName name="______________________________________cab1">#REF!</definedName>
    <definedName name="______________________________________emp2">'[4]DMT modelo'!$AA$13</definedName>
    <definedName name="______________________________________EXT1">#REF!</definedName>
    <definedName name="______________________________________ind100">#REF!</definedName>
    <definedName name="______________________________________JAZ1">#REF!</definedName>
    <definedName name="______________________________________JAZ11">#REF!</definedName>
    <definedName name="______________________________________JAZ2">#REF!</definedName>
    <definedName name="______________________________________JAZ22">#REF!</definedName>
    <definedName name="______________________________________JAZ3">#REF!</definedName>
    <definedName name="______________________________________JAZ33">#REF!</definedName>
    <definedName name="______________________________________mem2">'[5]Mat Asf'!$H$37</definedName>
    <definedName name="______________________________________oac2">#REF!</definedName>
    <definedName name="______________________________________RET1">#REF!</definedName>
    <definedName name="______________________________________tsd4">#REF!</definedName>
    <definedName name="______________________________________TT21">[3]RELATÓRIO!#REF!</definedName>
    <definedName name="______________________________________TT22">[3]RELATÓRIO!#REF!</definedName>
    <definedName name="_____________________________________cab1">#REF!</definedName>
    <definedName name="_____________________________________emp2">'[4]DMT modelo'!$AA$13</definedName>
    <definedName name="_____________________________________EXT1">#REF!</definedName>
    <definedName name="_____________________________________ind100">#REF!</definedName>
    <definedName name="_____________________________________JAZ1">#REF!</definedName>
    <definedName name="_____________________________________JAZ11">#REF!</definedName>
    <definedName name="_____________________________________JAZ2">#REF!</definedName>
    <definedName name="_____________________________________JAZ22">#REF!</definedName>
    <definedName name="_____________________________________JAZ3">#REF!</definedName>
    <definedName name="_____________________________________JAZ33">#REF!</definedName>
    <definedName name="_____________________________________mem2">'[5]Mat Asf'!$H$37</definedName>
    <definedName name="_____________________________________oac2">#REF!</definedName>
    <definedName name="_____________________________________RET1">#REF!</definedName>
    <definedName name="_____________________________________tsd4">#REF!</definedName>
    <definedName name="_____________________________________TT21">[3]RELATÓRIO!#REF!</definedName>
    <definedName name="_____________________________________TT22">[3]RELATÓRIO!#REF!</definedName>
    <definedName name="____________________________________cab1">#REF!</definedName>
    <definedName name="____________________________________emp2">'[4]DMT modelo'!$AA$13</definedName>
    <definedName name="____________________________________EXT1">#REF!</definedName>
    <definedName name="____________________________________ind100">#REF!</definedName>
    <definedName name="____________________________________JAZ1">#REF!</definedName>
    <definedName name="____________________________________JAZ11">#REF!</definedName>
    <definedName name="____________________________________JAZ2">#REF!</definedName>
    <definedName name="____________________________________JAZ22">#REF!</definedName>
    <definedName name="____________________________________JAZ3">#REF!</definedName>
    <definedName name="____________________________________JAZ33">#REF!</definedName>
    <definedName name="____________________________________mem2">'[5]Mat Asf'!$H$37</definedName>
    <definedName name="____________________________________oac2">#REF!</definedName>
    <definedName name="____________________________________RET1">#REF!</definedName>
    <definedName name="____________________________________tsd4">#REF!</definedName>
    <definedName name="____________________________________TT21">[3]RELATÓRIO!#REF!</definedName>
    <definedName name="____________________________________TT22">[3]RELATÓRIO!#REF!</definedName>
    <definedName name="___________________________________cab1">#REF!</definedName>
    <definedName name="___________________________________emp2">'[4]DMT modelo'!$AA$13</definedName>
    <definedName name="___________________________________EXT1">#REF!</definedName>
    <definedName name="___________________________________ind100">#REF!</definedName>
    <definedName name="___________________________________JAZ1">#REF!</definedName>
    <definedName name="___________________________________JAZ11">#REF!</definedName>
    <definedName name="___________________________________JAZ2">#REF!</definedName>
    <definedName name="___________________________________JAZ22">#REF!</definedName>
    <definedName name="___________________________________JAZ3">#REF!</definedName>
    <definedName name="___________________________________JAZ33">#REF!</definedName>
    <definedName name="___________________________________mem2">'[5]Mat Asf'!$H$37</definedName>
    <definedName name="___________________________________oac2">#REF!</definedName>
    <definedName name="___________________________________RET1">#REF!</definedName>
    <definedName name="___________________________________tsd4">#REF!</definedName>
    <definedName name="___________________________________TT21">[3]RELATÓRIO!#REF!</definedName>
    <definedName name="___________________________________TT22">[3]RELATÓRIO!#REF!</definedName>
    <definedName name="__________________________________cab1">#REF!</definedName>
    <definedName name="__________________________________emp2">'[4]DMT modelo'!$AA$13</definedName>
    <definedName name="__________________________________EXT1">#REF!</definedName>
    <definedName name="__________________________________ind100">#REF!</definedName>
    <definedName name="__________________________________JAZ1">#REF!</definedName>
    <definedName name="__________________________________JAZ11">#REF!</definedName>
    <definedName name="__________________________________JAZ2">#REF!</definedName>
    <definedName name="__________________________________JAZ22">#REF!</definedName>
    <definedName name="__________________________________JAZ3">#REF!</definedName>
    <definedName name="__________________________________JAZ33">#REF!</definedName>
    <definedName name="__________________________________mem2">'[5]Mat Asf'!$H$37</definedName>
    <definedName name="__________________________________oac2">#REF!</definedName>
    <definedName name="__________________________________RET1">#REF!</definedName>
    <definedName name="__________________________________tsd4">#REF!</definedName>
    <definedName name="__________________________________TT21">[3]RELATÓRIO!#REF!</definedName>
    <definedName name="__________________________________TT22">[3]RELATÓRIO!#REF!</definedName>
    <definedName name="_________________________________cab1">#REF!</definedName>
    <definedName name="_________________________________emp2">'[4]DMT modelo'!$AA$13</definedName>
    <definedName name="_________________________________EXT1">#REF!</definedName>
    <definedName name="_________________________________ind100">#REF!</definedName>
    <definedName name="_________________________________JAZ1">#REF!</definedName>
    <definedName name="_________________________________JAZ11">#REF!</definedName>
    <definedName name="_________________________________JAZ2">#REF!</definedName>
    <definedName name="_________________________________JAZ22">#REF!</definedName>
    <definedName name="_________________________________JAZ3">#REF!</definedName>
    <definedName name="_________________________________JAZ33">#REF!</definedName>
    <definedName name="_________________________________mem2">'[5]Mat Asf'!$H$37</definedName>
    <definedName name="_________________________________oac2">#REF!</definedName>
    <definedName name="_________________________________RET1">#REF!</definedName>
    <definedName name="_________________________________tsd4">#REF!</definedName>
    <definedName name="_________________________________TT21">[3]RELATÓRIO!#REF!</definedName>
    <definedName name="_________________________________TT22">[3]RELATÓRIO!#REF!</definedName>
    <definedName name="________________________________cab1">#REF!</definedName>
    <definedName name="________________________________emp2">'[4]DMT modelo'!$AA$13</definedName>
    <definedName name="________________________________EXT1">#REF!</definedName>
    <definedName name="________________________________ind100">#REF!</definedName>
    <definedName name="________________________________JAZ1">#REF!</definedName>
    <definedName name="________________________________JAZ11">#REF!</definedName>
    <definedName name="________________________________JAZ2">#REF!</definedName>
    <definedName name="________________________________JAZ22">#REF!</definedName>
    <definedName name="________________________________JAZ3">#REF!</definedName>
    <definedName name="________________________________JAZ33">#REF!</definedName>
    <definedName name="________________________________mem2">'[5]Mat Asf'!$H$37</definedName>
    <definedName name="________________________________oac2">#REF!</definedName>
    <definedName name="________________________________RET1">#REF!</definedName>
    <definedName name="________________________________tsd4">#REF!</definedName>
    <definedName name="________________________________TT21">[3]RELATÓRIO!#REF!</definedName>
    <definedName name="________________________________TT22">[3]RELATÓRIO!#REF!</definedName>
    <definedName name="_______________________________cab1">#REF!</definedName>
    <definedName name="_______________________________emp2">'[4]DMT modelo'!$AA$13</definedName>
    <definedName name="_______________________________EXT1">#REF!</definedName>
    <definedName name="_______________________________ind100">#REF!</definedName>
    <definedName name="_______________________________JAZ1">#REF!</definedName>
    <definedName name="_______________________________JAZ11">#REF!</definedName>
    <definedName name="_______________________________JAZ2">#REF!</definedName>
    <definedName name="_______________________________JAZ22">#REF!</definedName>
    <definedName name="_______________________________JAZ3">#REF!</definedName>
    <definedName name="_______________________________JAZ33">#REF!</definedName>
    <definedName name="_______________________________mem2">'[5]Mat Asf'!$H$37</definedName>
    <definedName name="_______________________________oac2">#REF!</definedName>
    <definedName name="_______________________________RET1">#REF!</definedName>
    <definedName name="_______________________________tsd4">#REF!</definedName>
    <definedName name="_______________________________TT21">[3]RELATÓRIO!#REF!</definedName>
    <definedName name="_______________________________TT22">[3]RELATÓRIO!#REF!</definedName>
    <definedName name="______________________________cab1">#REF!</definedName>
    <definedName name="______________________________emp2">'[4]DMT modelo'!$AA$13</definedName>
    <definedName name="______________________________EXT1">#REF!</definedName>
    <definedName name="______________________________ind100">#REF!</definedName>
    <definedName name="______________________________JAZ1">#REF!</definedName>
    <definedName name="______________________________JAZ11">#REF!</definedName>
    <definedName name="______________________________JAZ2">#REF!</definedName>
    <definedName name="______________________________JAZ22">#REF!</definedName>
    <definedName name="______________________________JAZ3">#REF!</definedName>
    <definedName name="______________________________JAZ33">#REF!</definedName>
    <definedName name="______________________________mem2">'[5]Mat Asf'!$H$37</definedName>
    <definedName name="______________________________oac2">#REF!</definedName>
    <definedName name="______________________________RET1">#REF!</definedName>
    <definedName name="______________________________tsd4">#REF!</definedName>
    <definedName name="______________________________TT21">[3]RELATÓRIO!#REF!</definedName>
    <definedName name="______________________________TT22">[3]RELATÓRIO!#REF!</definedName>
    <definedName name="_____________________________cab1">#REF!</definedName>
    <definedName name="_____________________________emp2">'[4]DMT modelo'!$AA$13</definedName>
    <definedName name="_____________________________EXT1">#REF!</definedName>
    <definedName name="_____________________________ind100">#REF!</definedName>
    <definedName name="_____________________________JAZ1">#REF!</definedName>
    <definedName name="_____________________________JAZ11">#REF!</definedName>
    <definedName name="_____________________________JAZ2">#REF!</definedName>
    <definedName name="_____________________________JAZ22">#REF!</definedName>
    <definedName name="_____________________________JAZ3">#REF!</definedName>
    <definedName name="_____________________________JAZ33">#REF!</definedName>
    <definedName name="_____________________________mem2">'[5]Mat Asf'!$H$37</definedName>
    <definedName name="_____________________________oac2">#REF!</definedName>
    <definedName name="_____________________________RET1">#REF!</definedName>
    <definedName name="_____________________________tsd4">#REF!</definedName>
    <definedName name="_____________________________TT21">[3]RELATÓRIO!#REF!</definedName>
    <definedName name="_____________________________TT22">[3]RELATÓRIO!#REF!</definedName>
    <definedName name="____________________________cab1">#REF!</definedName>
    <definedName name="____________________________emp2">'[4]DMT modelo'!$AA$13</definedName>
    <definedName name="____________________________EXT1">#REF!</definedName>
    <definedName name="____________________________ind100">#REF!</definedName>
    <definedName name="____________________________JAZ1">#REF!</definedName>
    <definedName name="____________________________JAZ11">#REF!</definedName>
    <definedName name="____________________________JAZ2">#REF!</definedName>
    <definedName name="____________________________JAZ22">#REF!</definedName>
    <definedName name="____________________________JAZ3">#REF!</definedName>
    <definedName name="____________________________JAZ33">#REF!</definedName>
    <definedName name="____________________________mem2">'[5]Mat Asf'!$H$37</definedName>
    <definedName name="____________________________oac2">#REF!</definedName>
    <definedName name="____________________________RET1">#REF!</definedName>
    <definedName name="____________________________tsd4">#REF!</definedName>
    <definedName name="____________________________TT21">[3]RELATÓRIO!#REF!</definedName>
    <definedName name="____________________________TT22">[3]RELATÓRIO!#REF!</definedName>
    <definedName name="___________________________cab1">#REF!</definedName>
    <definedName name="___________________________emp2">'[4]DMT modelo'!$AA$13</definedName>
    <definedName name="___________________________EXT1">#REF!</definedName>
    <definedName name="___________________________ind100">#REF!</definedName>
    <definedName name="___________________________JAZ1">#REF!</definedName>
    <definedName name="___________________________JAZ11">#REF!</definedName>
    <definedName name="___________________________JAZ2">#REF!</definedName>
    <definedName name="___________________________JAZ22">#REF!</definedName>
    <definedName name="___________________________JAZ3">#REF!</definedName>
    <definedName name="___________________________JAZ33">#REF!</definedName>
    <definedName name="___________________________mem2">'[5]Mat Asf'!$H$37</definedName>
    <definedName name="___________________________oac2">#REF!</definedName>
    <definedName name="___________________________RET1">#REF!</definedName>
    <definedName name="___________________________tsd4">#REF!</definedName>
    <definedName name="___________________________TT21">[3]RELATÓRIO!#REF!</definedName>
    <definedName name="___________________________TT22">[3]RELATÓRIO!#REF!</definedName>
    <definedName name="__________________________cab1">#REF!</definedName>
    <definedName name="__________________________emp2">'[4]DMT modelo'!$AA$13</definedName>
    <definedName name="__________________________EXT1">#REF!</definedName>
    <definedName name="__________________________ind100">#REF!</definedName>
    <definedName name="__________________________JAZ1">#REF!</definedName>
    <definedName name="__________________________JAZ11">#REF!</definedName>
    <definedName name="__________________________JAZ2">#REF!</definedName>
    <definedName name="__________________________JAZ22">#REF!</definedName>
    <definedName name="__________________________JAZ3">#REF!</definedName>
    <definedName name="__________________________JAZ33">#REF!</definedName>
    <definedName name="__________________________mem2">'[5]Mat Asf'!$H$37</definedName>
    <definedName name="__________________________oac2">#REF!</definedName>
    <definedName name="__________________________RET1">#REF!</definedName>
    <definedName name="__________________________tsd4">#REF!</definedName>
    <definedName name="__________________________TT21">[3]RELATÓRIO!#REF!</definedName>
    <definedName name="__________________________TT22">[3]RELATÓRIO!#REF!</definedName>
    <definedName name="_________________________cab1">#REF!</definedName>
    <definedName name="_________________________emp2">'[4]DMT modelo'!$AA$13</definedName>
    <definedName name="_________________________EXT1">#REF!</definedName>
    <definedName name="_________________________ind100">#REF!</definedName>
    <definedName name="_________________________JAZ1">#REF!</definedName>
    <definedName name="_________________________JAZ11">#REF!</definedName>
    <definedName name="_________________________JAZ2">#REF!</definedName>
    <definedName name="_________________________JAZ22">#REF!</definedName>
    <definedName name="_________________________JAZ3">#REF!</definedName>
    <definedName name="_________________________JAZ33">#REF!</definedName>
    <definedName name="_________________________mem2">'[5]Mat Asf'!$H$37</definedName>
    <definedName name="_________________________oac2">#REF!</definedName>
    <definedName name="_________________________RET1">#REF!</definedName>
    <definedName name="_________________________tsd4">#REF!</definedName>
    <definedName name="_________________________TT21">[3]RELATÓRIO!#REF!</definedName>
    <definedName name="_________________________TT22">[3]RELATÓRIO!#REF!</definedName>
    <definedName name="________________________cab1">#REF!</definedName>
    <definedName name="________________________emp2">'[4]DMT modelo'!$AA$13</definedName>
    <definedName name="________________________EXT1">#REF!</definedName>
    <definedName name="________________________ind100">#REF!</definedName>
    <definedName name="________________________JAZ1">#REF!</definedName>
    <definedName name="________________________JAZ11">#REF!</definedName>
    <definedName name="________________________JAZ2">#REF!</definedName>
    <definedName name="________________________JAZ22">#REF!</definedName>
    <definedName name="________________________JAZ3">#REF!</definedName>
    <definedName name="________________________JAZ33">#REF!</definedName>
    <definedName name="________________________mem2">'[5]Mat Asf'!$H$37</definedName>
    <definedName name="________________________oac2">#REF!</definedName>
    <definedName name="________________________RET1">#REF!</definedName>
    <definedName name="________________________tsd4">#REF!</definedName>
    <definedName name="________________________TT21">[3]RELATÓRIO!#REF!</definedName>
    <definedName name="________________________TT22">[3]RELATÓRIO!#REF!</definedName>
    <definedName name="_______________________cab1">#REF!</definedName>
    <definedName name="_______________________emp2">'[4]DMT modelo'!$AA$13</definedName>
    <definedName name="_______________________EXT1">#REF!</definedName>
    <definedName name="_______________________ind100">#REF!</definedName>
    <definedName name="_______________________JAZ1">#REF!</definedName>
    <definedName name="_______________________JAZ11">#REF!</definedName>
    <definedName name="_______________________JAZ2">#REF!</definedName>
    <definedName name="_______________________JAZ22">#REF!</definedName>
    <definedName name="_______________________JAZ3">#REF!</definedName>
    <definedName name="_______________________JAZ33">#REF!</definedName>
    <definedName name="_______________________mem2">'[5]Mat Asf'!$H$37</definedName>
    <definedName name="_______________________oac2">#REF!</definedName>
    <definedName name="_______________________RET1">#REF!</definedName>
    <definedName name="_______________________tsd4">#REF!</definedName>
    <definedName name="_______________________TT21">[3]RELATÓRIO!#REF!</definedName>
    <definedName name="_______________________TT22">[3]RELATÓRIO!#REF!</definedName>
    <definedName name="______________________cab1">#REF!</definedName>
    <definedName name="______________________emp2">'[4]DMT modelo'!$AA$13</definedName>
    <definedName name="______________________EXT1">#REF!</definedName>
    <definedName name="______________________ind100">#REF!</definedName>
    <definedName name="______________________JAZ1">#REF!</definedName>
    <definedName name="______________________JAZ11">#REF!</definedName>
    <definedName name="______________________JAZ2">#REF!</definedName>
    <definedName name="______________________JAZ22">#REF!</definedName>
    <definedName name="______________________JAZ3">#REF!</definedName>
    <definedName name="______________________JAZ33">#REF!</definedName>
    <definedName name="______________________mem2">'[5]Mat Asf'!$H$37</definedName>
    <definedName name="______________________oac2">#REF!</definedName>
    <definedName name="______________________RET1">#REF!</definedName>
    <definedName name="______________________tsd4">#REF!</definedName>
    <definedName name="______________________TT21">[3]RELATÓRIO!#REF!</definedName>
    <definedName name="______________________TT22">[3]RELATÓRIO!#REF!</definedName>
    <definedName name="_____________________cab1">#REF!</definedName>
    <definedName name="_____________________emp2">'[4]DMT modelo'!$AA$13</definedName>
    <definedName name="_____________________EXT1">#REF!</definedName>
    <definedName name="_____________________ind100">#REF!</definedName>
    <definedName name="_____________________JAZ1">#REF!</definedName>
    <definedName name="_____________________JAZ11">#REF!</definedName>
    <definedName name="_____________________JAZ2">#REF!</definedName>
    <definedName name="_____________________JAZ22">#REF!</definedName>
    <definedName name="_____________________JAZ3">#REF!</definedName>
    <definedName name="_____________________JAZ33">#REF!</definedName>
    <definedName name="_____________________mem2">'[5]Mat Asf'!$H$37</definedName>
    <definedName name="_____________________oac2">#REF!</definedName>
    <definedName name="_____________________RET1">#REF!</definedName>
    <definedName name="_____________________tsd4">#REF!</definedName>
    <definedName name="_____________________TT21">[3]RELATÓRIO!#REF!</definedName>
    <definedName name="_____________________TT22">[3]RELATÓRIO!#REF!</definedName>
    <definedName name="____________________cab1">#REF!</definedName>
    <definedName name="____________________emp2">'[4]DMT modelo'!$AA$13</definedName>
    <definedName name="____________________EXT1">#REF!</definedName>
    <definedName name="____________________ind100">#REF!</definedName>
    <definedName name="____________________JAZ1">#REF!</definedName>
    <definedName name="____________________JAZ11">#REF!</definedName>
    <definedName name="____________________JAZ2">#REF!</definedName>
    <definedName name="____________________JAZ22">#REF!</definedName>
    <definedName name="____________________JAZ3">#REF!</definedName>
    <definedName name="____________________JAZ33">#REF!</definedName>
    <definedName name="____________________mem2">'[5]Mat Asf'!$H$37</definedName>
    <definedName name="____________________oac2">#REF!</definedName>
    <definedName name="____________________RET1">#REF!</definedName>
    <definedName name="____________________tsd4">#REF!</definedName>
    <definedName name="____________________TT21">[3]RELATÓRIO!#REF!</definedName>
    <definedName name="____________________TT22">[3]RELATÓRIO!#REF!</definedName>
    <definedName name="___________________cab1">#REF!</definedName>
    <definedName name="___________________emp2">'[4]DMT modelo'!$AA$13</definedName>
    <definedName name="___________________EXT1">#REF!</definedName>
    <definedName name="___________________ind100">#REF!</definedName>
    <definedName name="___________________JAZ1">#REF!</definedName>
    <definedName name="___________________JAZ11">#REF!</definedName>
    <definedName name="___________________JAZ2">#REF!</definedName>
    <definedName name="___________________JAZ22">#REF!</definedName>
    <definedName name="___________________JAZ3">#REF!</definedName>
    <definedName name="___________________JAZ33">#REF!</definedName>
    <definedName name="___________________mem2">'[5]Mat Asf'!$H$37</definedName>
    <definedName name="___________________oac2">#REF!</definedName>
    <definedName name="___________________OUT98">#REF!</definedName>
    <definedName name="___________________RET1">#REF!</definedName>
    <definedName name="___________________tsd4">#REF!</definedName>
    <definedName name="___________________TT21">[3]RELATÓRIO!#REF!</definedName>
    <definedName name="___________________TT22">[3]RELATÓRIO!#REF!</definedName>
    <definedName name="__________________cab1">#REF!</definedName>
    <definedName name="__________________emp2">'[4]DMT modelo'!$AA$13</definedName>
    <definedName name="__________________EXT1">#REF!</definedName>
    <definedName name="__________________ind100">#REF!</definedName>
    <definedName name="__________________JAZ1">#REF!</definedName>
    <definedName name="__________________JAZ11">#REF!</definedName>
    <definedName name="__________________JAZ2">#REF!</definedName>
    <definedName name="__________________JAZ22">#REF!</definedName>
    <definedName name="__________________JAZ3">#REF!</definedName>
    <definedName name="__________________JAZ33">#REF!</definedName>
    <definedName name="__________________mem2">'[5]Mat Asf'!$H$37</definedName>
    <definedName name="__________________oac2">#REF!</definedName>
    <definedName name="__________________RET1">#REF!</definedName>
    <definedName name="__________________tsd4">#REF!</definedName>
    <definedName name="__________________TT21">[3]RELATÓRIO!#REF!</definedName>
    <definedName name="__________________TT22">[3]RELATÓRIO!#REF!</definedName>
    <definedName name="_________________cab1">#REF!</definedName>
    <definedName name="_________________emp2">'[4]DMT modelo'!$AA$13</definedName>
    <definedName name="_________________EXT1">#REF!</definedName>
    <definedName name="_________________ind100">#REF!</definedName>
    <definedName name="_________________JAZ1">#REF!</definedName>
    <definedName name="_________________JAZ11">#REF!</definedName>
    <definedName name="_________________JAZ2">#REF!</definedName>
    <definedName name="_________________JAZ22">#REF!</definedName>
    <definedName name="_________________JAZ3">#REF!</definedName>
    <definedName name="_________________JAZ33">#REF!</definedName>
    <definedName name="_________________mem2">'[5]Mat Asf'!$H$37</definedName>
    <definedName name="_________________oac2">#REF!</definedName>
    <definedName name="_________________RET1">#REF!</definedName>
    <definedName name="_________________tsd4">#REF!</definedName>
    <definedName name="_________________TT21">[3]RELATÓRIO!#REF!</definedName>
    <definedName name="_________________TT22">[3]RELATÓRIO!#REF!</definedName>
    <definedName name="________________cab1">#REF!</definedName>
    <definedName name="________________emp2">'[4]DMT modelo'!$AA$13</definedName>
    <definedName name="________________EXT1">#REF!</definedName>
    <definedName name="________________ind100">#REF!</definedName>
    <definedName name="________________JAZ1">#REF!</definedName>
    <definedName name="________________JAZ11">#REF!</definedName>
    <definedName name="________________JAZ2">#REF!</definedName>
    <definedName name="________________JAZ22">#REF!</definedName>
    <definedName name="________________JAZ3">#REF!</definedName>
    <definedName name="________________JAZ33">#REF!</definedName>
    <definedName name="________________mem2">'[5]Mat Asf'!$H$37</definedName>
    <definedName name="________________oac2">#REF!</definedName>
    <definedName name="________________RET1">#REF!</definedName>
    <definedName name="________________tsd4">#REF!</definedName>
    <definedName name="________________TT21">[3]RELATÓRIO!#REF!</definedName>
    <definedName name="________________TT22">[3]RELATÓRIO!#REF!</definedName>
    <definedName name="_______________cab1">#REF!</definedName>
    <definedName name="_______________emp2">'[4]DMT modelo'!$AA$13</definedName>
    <definedName name="_______________EXT1">#REF!</definedName>
    <definedName name="_______________ind100">#REF!</definedName>
    <definedName name="_______________JAZ1">#REF!</definedName>
    <definedName name="_______________JAZ11">#REF!</definedName>
    <definedName name="_______________JAZ2">#REF!</definedName>
    <definedName name="_______________JAZ22">#REF!</definedName>
    <definedName name="_______________JAZ3">#REF!</definedName>
    <definedName name="_______________JAZ33">#REF!</definedName>
    <definedName name="_______________mem2">'[5]Mat Asf'!$H$37</definedName>
    <definedName name="_______________oac2">#REF!</definedName>
    <definedName name="_______________OUT98">#REF!</definedName>
    <definedName name="_______________r">#REF!</definedName>
    <definedName name="_______________RET1">#REF!</definedName>
    <definedName name="_______________tsd4">#REF!</definedName>
    <definedName name="_______________TT21">[3]RELATÓRIO!#REF!</definedName>
    <definedName name="_______________TT22">[3]RELATÓRIO!#REF!</definedName>
    <definedName name="______________cab1">#REF!</definedName>
    <definedName name="______________emp2">'[4]DMT modelo'!$AA$13</definedName>
    <definedName name="______________EXT1">#REF!</definedName>
    <definedName name="______________ind100">#REF!</definedName>
    <definedName name="______________JAZ1">#REF!</definedName>
    <definedName name="______________JAZ11">#REF!</definedName>
    <definedName name="______________JAZ2">#REF!</definedName>
    <definedName name="______________JAZ22">#REF!</definedName>
    <definedName name="______________JAZ3">#REF!</definedName>
    <definedName name="______________JAZ33">#REF!</definedName>
    <definedName name="______________mem2">'[5]Mat Asf'!$H$37</definedName>
    <definedName name="______________oac2">#REF!</definedName>
    <definedName name="______________OUT98">#REF!</definedName>
    <definedName name="______________RET1">#REF!</definedName>
    <definedName name="______________tsd4">#REF!</definedName>
    <definedName name="______________TT21">[3]RELATÓRIO!#REF!</definedName>
    <definedName name="______________TT22">[3]RELATÓRIO!#REF!</definedName>
    <definedName name="_____________cab1">#REF!</definedName>
    <definedName name="_____________emp2">'[4]DMT modelo'!$AA$13</definedName>
    <definedName name="_____________EXT1">#REF!</definedName>
    <definedName name="_____________ind100">#REF!</definedName>
    <definedName name="_____________JAZ1">#REF!</definedName>
    <definedName name="_____________JAZ11">#REF!</definedName>
    <definedName name="_____________JAZ2">#REF!</definedName>
    <definedName name="_____________JAZ22">#REF!</definedName>
    <definedName name="_____________JAZ3">#REF!</definedName>
    <definedName name="_____________JAZ33">#REF!</definedName>
    <definedName name="_____________mem2">'[5]Mat Asf'!$H$37</definedName>
    <definedName name="_____________oac2">#REF!</definedName>
    <definedName name="_____________OUT98" localSheetId="11" hidden="1">{#N/A,#N/A,TRUE,"Serviços"}</definedName>
    <definedName name="_____________OUT98" localSheetId="9" hidden="1">{#N/A,#N/A,TRUE,"Serviços"}</definedName>
    <definedName name="_____________OUT98" localSheetId="10" hidden="1">{#N/A,#N/A,TRUE,"Serviços"}</definedName>
    <definedName name="_____________OUT98" localSheetId="8" hidden="1">{#N/A,#N/A,TRUE,"Serviços"}</definedName>
    <definedName name="_____________OUT98" localSheetId="7" hidden="1">{#N/A,#N/A,TRUE,"Serviços"}</definedName>
    <definedName name="_____________OUT98" localSheetId="34" hidden="1">{#N/A,#N/A,TRUE,"Serviços"}</definedName>
    <definedName name="_____________OUT98" localSheetId="44" hidden="1">{#N/A,#N/A,TRUE,"Serviços"}</definedName>
    <definedName name="_____________OUT98" localSheetId="43" hidden="1">{#N/A,#N/A,TRUE,"Serviços"}</definedName>
    <definedName name="_____________OUT98" localSheetId="42" hidden="1">{#N/A,#N/A,TRUE,"Serviços"}</definedName>
    <definedName name="_____________OUT98" localSheetId="21" hidden="1">{#N/A,#N/A,TRUE,"Serviços"}</definedName>
    <definedName name="_____________OUT98" localSheetId="15" hidden="1">{#N/A,#N/A,TRUE,"Serviços"}</definedName>
    <definedName name="_____________OUT98" hidden="1">{#N/A,#N/A,TRUE,"Serviços"}</definedName>
    <definedName name="_____________PL1">#REF!</definedName>
    <definedName name="_____________RET1">#REF!</definedName>
    <definedName name="_____________tsd4">#REF!</definedName>
    <definedName name="_____________TT21">[3]RELATÓRIO!#REF!</definedName>
    <definedName name="_____________TT22">[3]RELATÓRIO!#REF!</definedName>
    <definedName name="____________cab1">#REF!</definedName>
    <definedName name="____________emp2">'[4]DMT modelo'!$AA$13</definedName>
    <definedName name="____________EXT1">#REF!</definedName>
    <definedName name="____________Ext2">'[6]P A T O 99 B'!#REF!</definedName>
    <definedName name="____________ind100">#REF!</definedName>
    <definedName name="____________JAZ1">#REF!</definedName>
    <definedName name="____________JAZ11">#REF!</definedName>
    <definedName name="____________JAZ2">#REF!</definedName>
    <definedName name="____________JAZ22">#REF!</definedName>
    <definedName name="____________JAZ3">#REF!</definedName>
    <definedName name="____________JAZ33">#REF!</definedName>
    <definedName name="____________mem2">'[5]Mat Asf'!$H$37</definedName>
    <definedName name="____________oac2">#REF!</definedName>
    <definedName name="____________OUT98" localSheetId="11" hidden="1">{#N/A,#N/A,TRUE,"Serviços"}</definedName>
    <definedName name="____________OUT98" localSheetId="9" hidden="1">{#N/A,#N/A,TRUE,"Serviços"}</definedName>
    <definedName name="____________OUT98" localSheetId="10" hidden="1">{#N/A,#N/A,TRUE,"Serviços"}</definedName>
    <definedName name="____________OUT98" localSheetId="8" hidden="1">{#N/A,#N/A,TRUE,"Serviços"}</definedName>
    <definedName name="____________OUT98" localSheetId="7" hidden="1">{#N/A,#N/A,TRUE,"Serviços"}</definedName>
    <definedName name="____________OUT98" localSheetId="34" hidden="1">{#N/A,#N/A,TRUE,"Serviços"}</definedName>
    <definedName name="____________OUT98" localSheetId="44" hidden="1">{#N/A,#N/A,TRUE,"Serviços"}</definedName>
    <definedName name="____________OUT98" localSheetId="43" hidden="1">{#N/A,#N/A,TRUE,"Serviços"}</definedName>
    <definedName name="____________OUT98" localSheetId="42" hidden="1">{#N/A,#N/A,TRUE,"Serviços"}</definedName>
    <definedName name="____________OUT98" localSheetId="21" hidden="1">{#N/A,#N/A,TRUE,"Serviços"}</definedName>
    <definedName name="____________OUT98" localSheetId="15" hidden="1">{#N/A,#N/A,TRUE,"Serviços"}</definedName>
    <definedName name="____________OUT98" hidden="1">{#N/A,#N/A,TRUE,"Serviços"}</definedName>
    <definedName name="____________PL1">#REF!</definedName>
    <definedName name="____________RET1">#REF!</definedName>
    <definedName name="____________tsd4">#REF!</definedName>
    <definedName name="____________TT102">'[7]Relatório-1ª med.'!#REF!</definedName>
    <definedName name="____________TT107">'[7]Relatório-1ª med.'!#REF!</definedName>
    <definedName name="____________TT121">'[7]Relatório-1ª med.'!#REF!</definedName>
    <definedName name="____________TT123">'[7]Relatório-1ª med.'!#REF!</definedName>
    <definedName name="____________TT19">'[7]Relatório-1ª med.'!#REF!</definedName>
    <definedName name="____________TT20">'[7]Relatório-1ª med.'!#REF!</definedName>
    <definedName name="____________TT21">[3]RELATÓRIO!#REF!</definedName>
    <definedName name="____________TT22">[3]RELATÓRIO!#REF!</definedName>
    <definedName name="____________TT26">'[7]Relatório-1ª med.'!#REF!</definedName>
    <definedName name="____________TT27">'[7]Relatório-1ª med.'!#REF!</definedName>
    <definedName name="____________TT28">'[7]Relatório-1ª med.'!#REF!</definedName>
    <definedName name="____________TT30">'[7]Relatório-1ª med.'!#REF!</definedName>
    <definedName name="____________TT31">'[7]Relatório-1ª med.'!#REF!</definedName>
    <definedName name="____________TT32">'[7]Relatório-1ª med.'!#REF!</definedName>
    <definedName name="____________TT33">'[7]Relatório-1ª med.'!#REF!</definedName>
    <definedName name="____________TT34">'[7]Relatório-1ª med.'!#REF!</definedName>
    <definedName name="____________TT36">'[7]Relatório-1ª med.'!#REF!</definedName>
    <definedName name="____________TT37">'[7]Relatório-1ª med.'!#REF!</definedName>
    <definedName name="____________TT38">'[7]Relatório-1ª med.'!#REF!</definedName>
    <definedName name="____________TT39">'[7]Relatório-1ª med.'!#REF!</definedName>
    <definedName name="____________TT40">'[7]Relatório-1ª med.'!#REF!</definedName>
    <definedName name="____________TT5">'[7]Relatório-1ª med.'!#REF!</definedName>
    <definedName name="____________TT52">'[7]Relatório-1ª med.'!#REF!</definedName>
    <definedName name="____________TT53">'[7]Relatório-1ª med.'!#REF!</definedName>
    <definedName name="____________TT54">'[7]Relatório-1ª med.'!#REF!</definedName>
    <definedName name="____________TT55">'[7]Relatório-1ª med.'!#REF!</definedName>
    <definedName name="____________TT6">'[7]Relatório-1ª med.'!#REF!</definedName>
    <definedName name="____________TT60">'[7]Relatório-1ª med.'!#REF!</definedName>
    <definedName name="____________TT61">'[7]Relatório-1ª med.'!#REF!</definedName>
    <definedName name="____________TT69">'[7]Relatório-1ª med.'!#REF!</definedName>
    <definedName name="____________TT7">'[7]Relatório-1ª med.'!#REF!</definedName>
    <definedName name="____________TT70">'[7]Relatório-1ª med.'!#REF!</definedName>
    <definedName name="____________TT71">'[7]Relatório-1ª med.'!#REF!</definedName>
    <definedName name="____________TT74">'[7]Relatório-1ª med.'!#REF!</definedName>
    <definedName name="____________TT75">'[7]Relatório-1ª med.'!#REF!</definedName>
    <definedName name="____________TT76">'[7]Relatório-1ª med.'!#REF!</definedName>
    <definedName name="____________TT77">'[7]Relatório-1ª med.'!#REF!</definedName>
    <definedName name="____________TT78">'[7]Relatório-1ª med.'!#REF!</definedName>
    <definedName name="____________TT79">'[7]Relatório-1ª med.'!#REF!</definedName>
    <definedName name="____________TT94">'[7]Relatório-1ª med.'!#REF!</definedName>
    <definedName name="____________TT95">'[7]Relatório-1ª med.'!#REF!</definedName>
    <definedName name="____________TT97">'[7]Relatório-1ª med.'!#REF!</definedName>
    <definedName name="___________cab1">#REF!</definedName>
    <definedName name="___________emp2">'[4]DMT modelo'!$AA$13</definedName>
    <definedName name="___________EXT1">#REF!</definedName>
    <definedName name="___________Ext2">'[6]P A T O 99 B'!#REF!</definedName>
    <definedName name="___________Ext2_25">'[6]P A T O 99 B'!#REF!</definedName>
    <definedName name="___________ind100">#REF!</definedName>
    <definedName name="___________JAZ1">#REF!</definedName>
    <definedName name="___________JAZ11">#REF!</definedName>
    <definedName name="___________JAZ2">#REF!</definedName>
    <definedName name="___________JAZ22">#REF!</definedName>
    <definedName name="___________JAZ3">#REF!</definedName>
    <definedName name="___________JAZ33">#REF!</definedName>
    <definedName name="___________mem2">'[5]Mat Asf'!$H$37</definedName>
    <definedName name="___________oac2">#REF!</definedName>
    <definedName name="___________OUT98" localSheetId="11" hidden="1">{#N/A,#N/A,TRUE,"Serviços"}</definedName>
    <definedName name="___________OUT98" localSheetId="9" hidden="1">{#N/A,#N/A,TRUE,"Serviços"}</definedName>
    <definedName name="___________OUT98" localSheetId="10" hidden="1">{#N/A,#N/A,TRUE,"Serviços"}</definedName>
    <definedName name="___________OUT98" localSheetId="8" hidden="1">{#N/A,#N/A,TRUE,"Serviços"}</definedName>
    <definedName name="___________OUT98" localSheetId="7" hidden="1">{#N/A,#N/A,TRUE,"Serviços"}</definedName>
    <definedName name="___________OUT98" localSheetId="34" hidden="1">{#N/A,#N/A,TRUE,"Serviços"}</definedName>
    <definedName name="___________OUT98" localSheetId="44" hidden="1">{#N/A,#N/A,TRUE,"Serviços"}</definedName>
    <definedName name="___________OUT98" localSheetId="43" hidden="1">{#N/A,#N/A,TRUE,"Serviços"}</definedName>
    <definedName name="___________OUT98" localSheetId="42" hidden="1">{#N/A,#N/A,TRUE,"Serviços"}</definedName>
    <definedName name="___________OUT98" localSheetId="21" hidden="1">{#N/A,#N/A,TRUE,"Serviços"}</definedName>
    <definedName name="___________OUT98" localSheetId="15" hidden="1">{#N/A,#N/A,TRUE,"Serviços"}</definedName>
    <definedName name="___________OUT98" hidden="1">{#N/A,#N/A,TRUE,"Serviços"}</definedName>
    <definedName name="___________PL1">#REF!</definedName>
    <definedName name="___________r">#REF!</definedName>
    <definedName name="___________RET1">#REF!</definedName>
    <definedName name="___________tsd4">#REF!</definedName>
    <definedName name="___________TT21">[3]RELATÓRIO!#REF!</definedName>
    <definedName name="___________TT22">[3]RELATÓRIO!#REF!</definedName>
    <definedName name="__________cab1">#REF!</definedName>
    <definedName name="__________emp2">'[4]DMT modelo'!$AA$13</definedName>
    <definedName name="__________EXT1">#REF!</definedName>
    <definedName name="__________Ext2">'[6]P A T O 99 B'!#REF!</definedName>
    <definedName name="__________ind100">#REF!</definedName>
    <definedName name="__________JAZ1">#REF!</definedName>
    <definedName name="__________JAZ11">#REF!</definedName>
    <definedName name="__________JAZ2">#REF!</definedName>
    <definedName name="__________JAZ22">#REF!</definedName>
    <definedName name="__________JAZ3">#REF!</definedName>
    <definedName name="__________JAZ33">#REF!</definedName>
    <definedName name="__________mem2">'[5]Mat Asf'!$H$37</definedName>
    <definedName name="__________oac2">#REF!</definedName>
    <definedName name="__________OUT98" localSheetId="11" hidden="1">{#N/A,#N/A,TRUE,"Serviços"}</definedName>
    <definedName name="__________OUT98" localSheetId="9" hidden="1">{#N/A,#N/A,TRUE,"Serviços"}</definedName>
    <definedName name="__________OUT98" localSheetId="10" hidden="1">{#N/A,#N/A,TRUE,"Serviços"}</definedName>
    <definedName name="__________OUT98" localSheetId="8" hidden="1">{#N/A,#N/A,TRUE,"Serviços"}</definedName>
    <definedName name="__________OUT98" localSheetId="7" hidden="1">{#N/A,#N/A,TRUE,"Serviços"}</definedName>
    <definedName name="__________OUT98" localSheetId="34" hidden="1">{#N/A,#N/A,TRUE,"Serviços"}</definedName>
    <definedName name="__________OUT98" localSheetId="44" hidden="1">{#N/A,#N/A,TRUE,"Serviços"}</definedName>
    <definedName name="__________OUT98" localSheetId="43" hidden="1">{#N/A,#N/A,TRUE,"Serviços"}</definedName>
    <definedName name="__________OUT98" localSheetId="42" hidden="1">{#N/A,#N/A,TRUE,"Serviços"}</definedName>
    <definedName name="__________OUT98" localSheetId="21" hidden="1">{#N/A,#N/A,TRUE,"Serviços"}</definedName>
    <definedName name="__________OUT98" localSheetId="15" hidden="1">{#N/A,#N/A,TRUE,"Serviços"}</definedName>
    <definedName name="__________OUT98" hidden="1">{#N/A,#N/A,TRUE,"Serviços"}</definedName>
    <definedName name="__________PL1">#REF!</definedName>
    <definedName name="__________PL1_25">#REF!</definedName>
    <definedName name="__________R">'[7]Relatório-1ª med.'!#REF!</definedName>
    <definedName name="__________r_25">#REF!</definedName>
    <definedName name="__________Rbv1">'[8]Página 16'!$C$3:$C$7</definedName>
    <definedName name="__________RET1">#REF!</definedName>
    <definedName name="__________tsd4">#REF!</definedName>
    <definedName name="__________TT21">[3]RELATÓRIO!#REF!</definedName>
    <definedName name="__________TT22">[3]RELATÓRIO!#REF!</definedName>
    <definedName name="_________cab1">#REF!</definedName>
    <definedName name="_________emp2">'[4]DMT modelo'!$AA$13</definedName>
    <definedName name="_________EXT1">#REF!</definedName>
    <definedName name="_________Ext2">'[6]P A T O 99 B'!#REF!</definedName>
    <definedName name="_________Ext2_25">'[6]P A T O 99 B'!#REF!</definedName>
    <definedName name="_________ind100">#REF!</definedName>
    <definedName name="_________JAZ1">#REF!</definedName>
    <definedName name="_________JAZ11">#REF!</definedName>
    <definedName name="_________JAZ2">#REF!</definedName>
    <definedName name="_________JAZ22">#REF!</definedName>
    <definedName name="_________JAZ3">#REF!</definedName>
    <definedName name="_________JAZ33">#REF!</definedName>
    <definedName name="_________mem2">'[5]Mat Asf'!$H$37</definedName>
    <definedName name="_________oac2">#REF!</definedName>
    <definedName name="_________OUT98" localSheetId="11" hidden="1">{#N/A,#N/A,TRUE,"Serviços"}</definedName>
    <definedName name="_________OUT98" localSheetId="9" hidden="1">{#N/A,#N/A,TRUE,"Serviços"}</definedName>
    <definedName name="_________OUT98" localSheetId="10" hidden="1">{#N/A,#N/A,TRUE,"Serviços"}</definedName>
    <definedName name="_________OUT98" localSheetId="8" hidden="1">{#N/A,#N/A,TRUE,"Serviços"}</definedName>
    <definedName name="_________OUT98" localSheetId="7" hidden="1">{#N/A,#N/A,TRUE,"Serviços"}</definedName>
    <definedName name="_________OUT98" localSheetId="34" hidden="1">{#N/A,#N/A,TRUE,"Serviços"}</definedName>
    <definedName name="_________OUT98" localSheetId="44" hidden="1">{#N/A,#N/A,TRUE,"Serviços"}</definedName>
    <definedName name="_________OUT98" localSheetId="43" hidden="1">{#N/A,#N/A,TRUE,"Serviços"}</definedName>
    <definedName name="_________OUT98" localSheetId="42" hidden="1">{#N/A,#N/A,TRUE,"Serviços"}</definedName>
    <definedName name="_________OUT98" localSheetId="21" hidden="1">{#N/A,#N/A,TRUE,"Serviços"}</definedName>
    <definedName name="_________OUT98" localSheetId="15" hidden="1">{#N/A,#N/A,TRUE,"Serviços"}</definedName>
    <definedName name="_________OUT98" hidden="1">{#N/A,#N/A,TRUE,"Serviços"}</definedName>
    <definedName name="_________PL1">#REF!</definedName>
    <definedName name="_________r">#REF!</definedName>
    <definedName name="_________r_25">#REF!</definedName>
    <definedName name="_________Rbv1">'[8]Página 16'!$C$3:$C$7</definedName>
    <definedName name="_________reg1">[9]DADOS!$B$4</definedName>
    <definedName name="_________reg3">[10]eq!$A$2:$D$42</definedName>
    <definedName name="_________reg5">[10]mo!$A$2:$C$10</definedName>
    <definedName name="_________reg7">[9]mat!$A$2:$C$33</definedName>
    <definedName name="_________RET1">#REF!</definedName>
    <definedName name="_________tsd4">#REF!</definedName>
    <definedName name="_________TT21">[3]RELATÓRIO!#REF!</definedName>
    <definedName name="_________TT22">[3]RELATÓRIO!#REF!</definedName>
    <definedName name="________cab1">#REF!</definedName>
    <definedName name="________emp2">'[4]DMT modelo'!$AA$13</definedName>
    <definedName name="________EXT1">#REF!</definedName>
    <definedName name="________Ext2">'[6]P A T O 99 B'!#REF!</definedName>
    <definedName name="________ind100">#REF!</definedName>
    <definedName name="________JAZ1">#REF!</definedName>
    <definedName name="________JAZ11">#REF!</definedName>
    <definedName name="________JAZ2">#REF!</definedName>
    <definedName name="________JAZ22">#REF!</definedName>
    <definedName name="________JAZ3">#REF!</definedName>
    <definedName name="________JAZ33">#REF!</definedName>
    <definedName name="________mem2">'[5]Mat Asf'!$H$37</definedName>
    <definedName name="________oac2">#REF!</definedName>
    <definedName name="________OUT98" localSheetId="11" hidden="1">{#N/A,#N/A,TRUE,"Serviços"}</definedName>
    <definedName name="________OUT98" localSheetId="9" hidden="1">{#N/A,#N/A,TRUE,"Serviços"}</definedName>
    <definedName name="________OUT98" localSheetId="10" hidden="1">{#N/A,#N/A,TRUE,"Serviços"}</definedName>
    <definedName name="________OUT98" localSheetId="8" hidden="1">{#N/A,#N/A,TRUE,"Serviços"}</definedName>
    <definedName name="________OUT98" localSheetId="7" hidden="1">{#N/A,#N/A,TRUE,"Serviços"}</definedName>
    <definedName name="________OUT98" localSheetId="34" hidden="1">{#N/A,#N/A,TRUE,"Serviços"}</definedName>
    <definedName name="________OUT98" localSheetId="44" hidden="1">{#N/A,#N/A,TRUE,"Serviços"}</definedName>
    <definedName name="________OUT98" localSheetId="43" hidden="1">{#N/A,#N/A,TRUE,"Serviços"}</definedName>
    <definedName name="________OUT98" localSheetId="42" hidden="1">{#N/A,#N/A,TRUE,"Serviços"}</definedName>
    <definedName name="________OUT98" localSheetId="21" hidden="1">{#N/A,#N/A,TRUE,"Serviços"}</definedName>
    <definedName name="________OUT98" localSheetId="15" hidden="1">{#N/A,#N/A,TRUE,"Serviços"}</definedName>
    <definedName name="________OUT98" hidden="1">{#N/A,#N/A,TRUE,"Serviços"}</definedName>
    <definedName name="________PL1">#REF!</definedName>
    <definedName name="________PL1_25">#REF!</definedName>
    <definedName name="________r">#REF!</definedName>
    <definedName name="________r_25">#REF!</definedName>
    <definedName name="________Rbv1">'[8]Página 16'!$C$3:$C$7</definedName>
    <definedName name="________reg1">[9]DADOS!$B$4</definedName>
    <definedName name="________reg3">[10]eq!$A$2:$D$42</definedName>
    <definedName name="________reg5">[10]mo!$A$2:$C$10</definedName>
    <definedName name="________reg7">[9]mat!$A$2:$C$33</definedName>
    <definedName name="________RET1">#REF!</definedName>
    <definedName name="________tsd4">#REF!</definedName>
    <definedName name="________TT102">'[7]Relatório-1ª med.'!#REF!</definedName>
    <definedName name="________TT107">'[7]Relatório-1ª med.'!#REF!</definedName>
    <definedName name="________TT121">'[7]Relatório-1ª med.'!#REF!</definedName>
    <definedName name="________TT123">'[7]Relatório-1ª med.'!#REF!</definedName>
    <definedName name="________TT19">'[7]Relatório-1ª med.'!#REF!</definedName>
    <definedName name="________TT20">'[7]Relatório-1ª med.'!#REF!</definedName>
    <definedName name="________TT21">[3]RELATÓRIO!#REF!</definedName>
    <definedName name="________TT22">[3]RELATÓRIO!#REF!</definedName>
    <definedName name="________TT26">'[7]Relatório-1ª med.'!#REF!</definedName>
    <definedName name="________TT27">'[7]Relatório-1ª med.'!#REF!</definedName>
    <definedName name="________TT28">'[7]Relatório-1ª med.'!#REF!</definedName>
    <definedName name="________TT30">'[7]Relatório-1ª med.'!#REF!</definedName>
    <definedName name="________TT31">'[7]Relatório-1ª med.'!#REF!</definedName>
    <definedName name="________TT32">'[7]Relatório-1ª med.'!#REF!</definedName>
    <definedName name="________TT33">'[7]Relatório-1ª med.'!#REF!</definedName>
    <definedName name="________TT34">'[7]Relatório-1ª med.'!#REF!</definedName>
    <definedName name="________TT36">'[7]Relatório-1ª med.'!#REF!</definedName>
    <definedName name="________TT37">'[7]Relatório-1ª med.'!#REF!</definedName>
    <definedName name="________TT38">'[7]Relatório-1ª med.'!#REF!</definedName>
    <definedName name="________TT39">'[7]Relatório-1ª med.'!#REF!</definedName>
    <definedName name="________TT40">'[7]Relatório-1ª med.'!#REF!</definedName>
    <definedName name="________TT5">'[7]Relatório-1ª med.'!#REF!</definedName>
    <definedName name="________TT52">'[7]Relatório-1ª med.'!#REF!</definedName>
    <definedName name="________TT53">'[7]Relatório-1ª med.'!#REF!</definedName>
    <definedName name="________TT54">'[7]Relatório-1ª med.'!#REF!</definedName>
    <definedName name="________TT55">'[7]Relatório-1ª med.'!#REF!</definedName>
    <definedName name="________TT6">'[7]Relatório-1ª med.'!#REF!</definedName>
    <definedName name="________TT60">'[7]Relatório-1ª med.'!#REF!</definedName>
    <definedName name="________TT61">'[7]Relatório-1ª med.'!#REF!</definedName>
    <definedName name="________TT69">'[7]Relatório-1ª med.'!#REF!</definedName>
    <definedName name="________TT7">'[7]Relatório-1ª med.'!#REF!</definedName>
    <definedName name="________TT70">'[7]Relatório-1ª med.'!#REF!</definedName>
    <definedName name="________TT71">'[7]Relatório-1ª med.'!#REF!</definedName>
    <definedName name="________TT74">'[7]Relatório-1ª med.'!#REF!</definedName>
    <definedName name="________TT75">'[7]Relatório-1ª med.'!#REF!</definedName>
    <definedName name="________TT76">'[7]Relatório-1ª med.'!#REF!</definedName>
    <definedName name="________TT77">'[7]Relatório-1ª med.'!#REF!</definedName>
    <definedName name="________TT78">'[7]Relatório-1ª med.'!#REF!</definedName>
    <definedName name="________TT79">'[7]Relatório-1ª med.'!#REF!</definedName>
    <definedName name="________TT94">'[7]Relatório-1ª med.'!#REF!</definedName>
    <definedName name="________TT95">'[7]Relatório-1ª med.'!#REF!</definedName>
    <definedName name="________TT97">'[7]Relatório-1ª med.'!#REF!</definedName>
    <definedName name="_______ABR95">#REF!</definedName>
    <definedName name="_______ABR96">#REF!</definedName>
    <definedName name="_______ABR97">#REF!</definedName>
    <definedName name="_______ABR98">#REF!</definedName>
    <definedName name="_______ABR99">#REF!</definedName>
    <definedName name="_______AGO95">#REF!</definedName>
    <definedName name="_______AGO96">#REF!</definedName>
    <definedName name="_______AGO97">#REF!</definedName>
    <definedName name="_______AGO98">#REF!</definedName>
    <definedName name="_______AGO99">#REF!</definedName>
    <definedName name="_______cab1">#REF!</definedName>
    <definedName name="_______DEZ94">#REF!</definedName>
    <definedName name="_______DEZ95">#REF!</definedName>
    <definedName name="_______DEZ96">#REF!</definedName>
    <definedName name="_______DEZ97">#REF!</definedName>
    <definedName name="_______DEZ98">#REF!</definedName>
    <definedName name="_______DEZ99">#REF!</definedName>
    <definedName name="_______emp2">'[4]DMT modelo'!$AA$13</definedName>
    <definedName name="_______EXT1">#REF!</definedName>
    <definedName name="_______Ext2">'[6]P A T O 99 B'!#REF!</definedName>
    <definedName name="_______FEV95">#REF!</definedName>
    <definedName name="_______FEV96">#REF!</definedName>
    <definedName name="_______FEV97">#REF!</definedName>
    <definedName name="_______FEV98">#REF!</definedName>
    <definedName name="_______FEV99">#REF!</definedName>
    <definedName name="_______ind100">#REF!</definedName>
    <definedName name="_______JAN95">#REF!</definedName>
    <definedName name="_______JAN96">#REF!</definedName>
    <definedName name="_______JAN97">#REF!</definedName>
    <definedName name="_______JAN98">#REF!</definedName>
    <definedName name="_______JAN99">#REF!</definedName>
    <definedName name="_______JAZ1">#REF!</definedName>
    <definedName name="_______JAZ11">#REF!</definedName>
    <definedName name="_______JAZ2">#REF!</definedName>
    <definedName name="_______JAZ22">#REF!</definedName>
    <definedName name="_______JAZ3">#REF!</definedName>
    <definedName name="_______JAZ33">#REF!</definedName>
    <definedName name="_______JUL95">#REF!</definedName>
    <definedName name="_______JUL96">#REF!</definedName>
    <definedName name="_______JUL97">#REF!</definedName>
    <definedName name="_______JUL98">#REF!</definedName>
    <definedName name="_______JUL99">#REF!</definedName>
    <definedName name="_______JUN95">#REF!</definedName>
    <definedName name="_______JUN96">#REF!</definedName>
    <definedName name="_______JUN97">#REF!</definedName>
    <definedName name="_______JUN98">#REF!</definedName>
    <definedName name="_______JUN99">#REF!</definedName>
    <definedName name="_______MAI95">#REF!</definedName>
    <definedName name="_______MAI96">#REF!</definedName>
    <definedName name="_______MAI97">#REF!</definedName>
    <definedName name="_______MAI98">#REF!</definedName>
    <definedName name="_______MAI99">#REF!</definedName>
    <definedName name="_______MAR95">#REF!</definedName>
    <definedName name="_______MAR96">#REF!</definedName>
    <definedName name="_______MAR97">#REF!</definedName>
    <definedName name="_______MAR98">#REF!</definedName>
    <definedName name="_______MAR99">#REF!</definedName>
    <definedName name="_______mem2">'[5]Mat Asf'!$H$37</definedName>
    <definedName name="_______NOV94">#REF!</definedName>
    <definedName name="_______NOV95">#REF!</definedName>
    <definedName name="_______NOV96">#REF!</definedName>
    <definedName name="_______NOV97">#REF!</definedName>
    <definedName name="_______NOV98">#REF!</definedName>
    <definedName name="_______NOV99">#REF!</definedName>
    <definedName name="_______oac2">#REF!</definedName>
    <definedName name="_______OUT94">#REF!</definedName>
    <definedName name="_______OUT95">#REF!</definedName>
    <definedName name="_______OUT96">#REF!</definedName>
    <definedName name="_______OUT97">#REF!</definedName>
    <definedName name="_______OUT98" localSheetId="11" hidden="1">{#N/A,#N/A,TRUE,"Serviços"}</definedName>
    <definedName name="_______OUT98" localSheetId="9" hidden="1">{#N/A,#N/A,TRUE,"Serviços"}</definedName>
    <definedName name="_______OUT98" localSheetId="10" hidden="1">{#N/A,#N/A,TRUE,"Serviços"}</definedName>
    <definedName name="_______OUT98" localSheetId="8" hidden="1">{#N/A,#N/A,TRUE,"Serviços"}</definedName>
    <definedName name="_______OUT98" localSheetId="7" hidden="1">{#N/A,#N/A,TRUE,"Serviços"}</definedName>
    <definedName name="_______OUT98" localSheetId="34" hidden="1">{#N/A,#N/A,TRUE,"Serviços"}</definedName>
    <definedName name="_______OUT98" localSheetId="44" hidden="1">{#N/A,#N/A,TRUE,"Serviços"}</definedName>
    <definedName name="_______OUT98" localSheetId="43" hidden="1">{#N/A,#N/A,TRUE,"Serviços"}</definedName>
    <definedName name="_______OUT98" localSheetId="42" hidden="1">{#N/A,#N/A,TRUE,"Serviços"}</definedName>
    <definedName name="_______OUT98" localSheetId="21" hidden="1">{#N/A,#N/A,TRUE,"Serviços"}</definedName>
    <definedName name="_______OUT98" localSheetId="15" hidden="1">{#N/A,#N/A,TRUE,"Serviços"}</definedName>
    <definedName name="_______OUT98" hidden="1">{#N/A,#N/A,TRUE,"Serviços"}</definedName>
    <definedName name="_______OUT99">'[11]#REF'!#REF!</definedName>
    <definedName name="_______PL1">#REF!</definedName>
    <definedName name="_______r">#REF!</definedName>
    <definedName name="_______Rbv1">'[8]Página 16'!$C$3:$C$7</definedName>
    <definedName name="_______reg1">[9]DADOS!$B$4</definedName>
    <definedName name="_______reg3">[10]eq!$A$2:$D$42</definedName>
    <definedName name="_______reg5">[10]mo!$A$2:$C$10</definedName>
    <definedName name="_______reg7">[9]mat!$A$2:$C$33</definedName>
    <definedName name="_______RET1">#REF!</definedName>
    <definedName name="_______SE2">#REF!</definedName>
    <definedName name="_______SET94">#REF!</definedName>
    <definedName name="_______SET95">#REF!</definedName>
    <definedName name="_______SET96">#REF!</definedName>
    <definedName name="_______SET97">#REF!</definedName>
    <definedName name="_______SET98">#REF!</definedName>
    <definedName name="_______SET99">#REF!</definedName>
    <definedName name="_______tsd4">#REF!</definedName>
    <definedName name="_______TT102">'[7]Relatório-1ª med.'!#REF!</definedName>
    <definedName name="_______TT107">'[7]Relatório-1ª med.'!#REF!</definedName>
    <definedName name="_______TT121">'[7]Relatório-1ª med.'!#REF!</definedName>
    <definedName name="_______TT123">'[7]Relatório-1ª med.'!#REF!</definedName>
    <definedName name="_______TT19">'[7]Relatório-1ª med.'!#REF!</definedName>
    <definedName name="_______TT20">'[7]Relatório-1ª med.'!#REF!</definedName>
    <definedName name="_______TT21">[3]RELATÓRIO!#REF!</definedName>
    <definedName name="_______TT22">[3]RELATÓRIO!#REF!</definedName>
    <definedName name="_______TT26">'[7]Relatório-1ª med.'!#REF!</definedName>
    <definedName name="_______TT27">'[7]Relatório-1ª med.'!#REF!</definedName>
    <definedName name="_______TT28">'[7]Relatório-1ª med.'!#REF!</definedName>
    <definedName name="_______TT30">'[7]Relatório-1ª med.'!#REF!</definedName>
    <definedName name="_______TT31">'[7]Relatório-1ª med.'!#REF!</definedName>
    <definedName name="_______TT32">'[7]Relatório-1ª med.'!#REF!</definedName>
    <definedName name="_______TT33">'[7]Relatório-1ª med.'!#REF!</definedName>
    <definedName name="_______TT34">'[7]Relatório-1ª med.'!#REF!</definedName>
    <definedName name="_______TT36">'[7]Relatório-1ª med.'!#REF!</definedName>
    <definedName name="_______TT37">'[7]Relatório-1ª med.'!#REF!</definedName>
    <definedName name="_______TT38">'[7]Relatório-1ª med.'!#REF!</definedName>
    <definedName name="_______TT39">'[7]Relatório-1ª med.'!#REF!</definedName>
    <definedName name="_______TT40">'[7]Relatório-1ª med.'!#REF!</definedName>
    <definedName name="_______TT5">'[7]Relatório-1ª med.'!#REF!</definedName>
    <definedName name="_______TT52">'[7]Relatório-1ª med.'!#REF!</definedName>
    <definedName name="_______TT53">'[7]Relatório-1ª med.'!#REF!</definedName>
    <definedName name="_______TT54">'[7]Relatório-1ª med.'!#REF!</definedName>
    <definedName name="_______TT55">'[7]Relatório-1ª med.'!#REF!</definedName>
    <definedName name="_______TT6">'[7]Relatório-1ª med.'!#REF!</definedName>
    <definedName name="_______TT60">'[7]Relatório-1ª med.'!#REF!</definedName>
    <definedName name="_______TT61">'[7]Relatório-1ª med.'!#REF!</definedName>
    <definedName name="_______TT69">'[7]Relatório-1ª med.'!#REF!</definedName>
    <definedName name="_______TT7">'[7]Relatório-1ª med.'!#REF!</definedName>
    <definedName name="_______TT70">'[7]Relatório-1ª med.'!#REF!</definedName>
    <definedName name="_______TT71">'[7]Relatório-1ª med.'!#REF!</definedName>
    <definedName name="_______TT74">'[7]Relatório-1ª med.'!#REF!</definedName>
    <definedName name="_______TT75">'[7]Relatório-1ª med.'!#REF!</definedName>
    <definedName name="_______TT76">'[7]Relatório-1ª med.'!#REF!</definedName>
    <definedName name="_______TT77">'[7]Relatório-1ª med.'!#REF!</definedName>
    <definedName name="_______TT78">'[7]Relatório-1ª med.'!#REF!</definedName>
    <definedName name="_______TT79">'[7]Relatório-1ª med.'!#REF!</definedName>
    <definedName name="_______TT94">'[7]Relatório-1ª med.'!#REF!</definedName>
    <definedName name="_______TT95">'[7]Relatório-1ª med.'!#REF!</definedName>
    <definedName name="_______TT97">'[7]Relatório-1ª med.'!#REF!</definedName>
    <definedName name="______cab1">#REF!</definedName>
    <definedName name="______emp2">'[4]DMT modelo'!$AA$13</definedName>
    <definedName name="______EXT1">#REF!</definedName>
    <definedName name="______Ext2">'[6]P A T O 99 B'!#REF!</definedName>
    <definedName name="______ind100">#REF!</definedName>
    <definedName name="______JAZ1">#REF!</definedName>
    <definedName name="______JAZ11">#REF!</definedName>
    <definedName name="______JAZ2">#REF!</definedName>
    <definedName name="______JAZ22">#REF!</definedName>
    <definedName name="______JAZ3">#REF!</definedName>
    <definedName name="______JAZ33">#REF!</definedName>
    <definedName name="______mem2">'[5]Mat Asf'!$H$37</definedName>
    <definedName name="______oac2">#REF!</definedName>
    <definedName name="______OUT98" localSheetId="11" hidden="1">{#N/A,#N/A,TRUE,"Serviços"}</definedName>
    <definedName name="______OUT98" localSheetId="9" hidden="1">{#N/A,#N/A,TRUE,"Serviços"}</definedName>
    <definedName name="______OUT98" localSheetId="10" hidden="1">{#N/A,#N/A,TRUE,"Serviços"}</definedName>
    <definedName name="______OUT98" localSheetId="8" hidden="1">{#N/A,#N/A,TRUE,"Serviços"}</definedName>
    <definedName name="______OUT98" localSheetId="7" hidden="1">{#N/A,#N/A,TRUE,"Serviços"}</definedName>
    <definedName name="______OUT98" localSheetId="34" hidden="1">{#N/A,#N/A,TRUE,"Serviços"}</definedName>
    <definedName name="______OUT98" localSheetId="44" hidden="1">{#N/A,#N/A,TRUE,"Serviços"}</definedName>
    <definedName name="______OUT98" localSheetId="43" hidden="1">{#N/A,#N/A,TRUE,"Serviços"}</definedName>
    <definedName name="______OUT98" localSheetId="42" hidden="1">{#N/A,#N/A,TRUE,"Serviços"}</definedName>
    <definedName name="______OUT98" localSheetId="21" hidden="1">{#N/A,#N/A,TRUE,"Serviços"}</definedName>
    <definedName name="______OUT98" localSheetId="15" hidden="1">{#N/A,#N/A,TRUE,"Serviços"}</definedName>
    <definedName name="______OUT98" hidden="1">{#N/A,#N/A,TRUE,"Serviços"}</definedName>
    <definedName name="______PL1">#REF!</definedName>
    <definedName name="______r">#REF!</definedName>
    <definedName name="______Rbv1">'[8]Página 16'!$C$3:$C$7</definedName>
    <definedName name="______reg1">[9]DADOS!$B$4</definedName>
    <definedName name="______reg3">[10]eq!$A$2:$D$42</definedName>
    <definedName name="______reg5">[10]mo!$A$2:$C$10</definedName>
    <definedName name="______reg7">[9]mat!$A$2:$C$33</definedName>
    <definedName name="______RET1">#REF!</definedName>
    <definedName name="______tsd4">#REF!</definedName>
    <definedName name="______TT102">'[7]Relatório-1ª med.'!#REF!</definedName>
    <definedName name="______TT107">'[7]Relatório-1ª med.'!#REF!</definedName>
    <definedName name="______TT121">'[7]Relatório-1ª med.'!#REF!</definedName>
    <definedName name="______TT123">'[7]Relatório-1ª med.'!#REF!</definedName>
    <definedName name="______TT19">'[7]Relatório-1ª med.'!#REF!</definedName>
    <definedName name="______TT20">'[7]Relatório-1ª med.'!#REF!</definedName>
    <definedName name="______TT21">[3]RELATÓRIO!#REF!</definedName>
    <definedName name="______TT22">[3]RELATÓRIO!#REF!</definedName>
    <definedName name="______TT26">'[7]Relatório-1ª med.'!#REF!</definedName>
    <definedName name="______TT27">'[7]Relatório-1ª med.'!#REF!</definedName>
    <definedName name="______TT28">'[7]Relatório-1ª med.'!#REF!</definedName>
    <definedName name="______TT30">'[7]Relatório-1ª med.'!#REF!</definedName>
    <definedName name="______TT31">'[7]Relatório-1ª med.'!#REF!</definedName>
    <definedName name="______TT32">'[7]Relatório-1ª med.'!#REF!</definedName>
    <definedName name="______TT33">'[7]Relatório-1ª med.'!#REF!</definedName>
    <definedName name="______TT34">'[7]Relatório-1ª med.'!#REF!</definedName>
    <definedName name="______TT36">'[7]Relatório-1ª med.'!#REF!</definedName>
    <definedName name="______TT37">'[7]Relatório-1ª med.'!#REF!</definedName>
    <definedName name="______TT38">'[7]Relatório-1ª med.'!#REF!</definedName>
    <definedName name="______TT39">'[7]Relatório-1ª med.'!#REF!</definedName>
    <definedName name="______TT40">'[7]Relatório-1ª med.'!#REF!</definedName>
    <definedName name="______TT5">'[7]Relatório-1ª med.'!#REF!</definedName>
    <definedName name="______TT52">'[7]Relatório-1ª med.'!#REF!</definedName>
    <definedName name="______TT53">'[7]Relatório-1ª med.'!#REF!</definedName>
    <definedName name="______TT54">'[7]Relatório-1ª med.'!#REF!</definedName>
    <definedName name="______TT55">'[7]Relatório-1ª med.'!#REF!</definedName>
    <definedName name="______TT6">'[7]Relatório-1ª med.'!#REF!</definedName>
    <definedName name="______TT60">'[7]Relatório-1ª med.'!#REF!</definedName>
    <definedName name="______TT61">'[7]Relatório-1ª med.'!#REF!</definedName>
    <definedName name="______TT69">'[7]Relatório-1ª med.'!#REF!</definedName>
    <definedName name="______TT7">'[7]Relatório-1ª med.'!#REF!</definedName>
    <definedName name="______TT70">'[7]Relatório-1ª med.'!#REF!</definedName>
    <definedName name="______TT71">'[7]Relatório-1ª med.'!#REF!</definedName>
    <definedName name="______TT74">'[7]Relatório-1ª med.'!#REF!</definedName>
    <definedName name="______TT75">'[7]Relatório-1ª med.'!#REF!</definedName>
    <definedName name="______TT76">'[7]Relatório-1ª med.'!#REF!</definedName>
    <definedName name="______TT77">'[7]Relatório-1ª med.'!#REF!</definedName>
    <definedName name="______TT78">'[7]Relatório-1ª med.'!#REF!</definedName>
    <definedName name="______TT79">'[7]Relatório-1ª med.'!#REF!</definedName>
    <definedName name="______TT94">'[7]Relatório-1ª med.'!#REF!</definedName>
    <definedName name="______TT95">'[7]Relatório-1ª med.'!#REF!</definedName>
    <definedName name="______TT97">'[7]Relatório-1ª med.'!#REF!</definedName>
    <definedName name="_____cab1">#REF!</definedName>
    <definedName name="_____emp2">'[4]DMT modelo'!$AA$13</definedName>
    <definedName name="_____EXT1">#REF!</definedName>
    <definedName name="_____Ext2">'[6]P A T O 99 B'!#REF!</definedName>
    <definedName name="_____ind100">#REF!</definedName>
    <definedName name="_____JAZ1">#REF!</definedName>
    <definedName name="_____JAZ11">#REF!</definedName>
    <definedName name="_____JAZ2">#REF!</definedName>
    <definedName name="_____JAZ22">#REF!</definedName>
    <definedName name="_____JAZ3">#REF!</definedName>
    <definedName name="_____JAZ33">#REF!</definedName>
    <definedName name="_____mem2">'[5]Mat Asf'!$H$37</definedName>
    <definedName name="_____oac2">#REF!</definedName>
    <definedName name="_____OUT98" localSheetId="11" hidden="1">{#N/A,#N/A,TRUE,"Serviços"}</definedName>
    <definedName name="_____OUT98" localSheetId="9" hidden="1">{#N/A,#N/A,TRUE,"Serviços"}</definedName>
    <definedName name="_____OUT98" localSheetId="10" hidden="1">{#N/A,#N/A,TRUE,"Serviços"}</definedName>
    <definedName name="_____OUT98" localSheetId="8" hidden="1">{#N/A,#N/A,TRUE,"Serviços"}</definedName>
    <definedName name="_____OUT98" localSheetId="7" hidden="1">{#N/A,#N/A,TRUE,"Serviços"}</definedName>
    <definedName name="_____OUT98" localSheetId="34" hidden="1">{#N/A,#N/A,TRUE,"Serviços"}</definedName>
    <definedName name="_____OUT98" localSheetId="44" hidden="1">{#N/A,#N/A,TRUE,"Serviços"}</definedName>
    <definedName name="_____OUT98" localSheetId="43" hidden="1">{#N/A,#N/A,TRUE,"Serviços"}</definedName>
    <definedName name="_____OUT98" localSheetId="42" hidden="1">{#N/A,#N/A,TRUE,"Serviços"}</definedName>
    <definedName name="_____OUT98" localSheetId="21" hidden="1">{#N/A,#N/A,TRUE,"Serviços"}</definedName>
    <definedName name="_____OUT98" localSheetId="15" hidden="1">{#N/A,#N/A,TRUE,"Serviços"}</definedName>
    <definedName name="_____OUT98" hidden="1">{#N/A,#N/A,TRUE,"Serviços"}</definedName>
    <definedName name="_____PL1">#REF!</definedName>
    <definedName name="_____r">#REF!</definedName>
    <definedName name="_____Rbv1">'[8]Página 16'!$C$3:$C$7</definedName>
    <definedName name="_____reg1">[9]DADOS!$B$4</definedName>
    <definedName name="_____reg3">[10]eq!$A$2:$D$42</definedName>
    <definedName name="_____reg5">[10]mo!$A$2:$C$10</definedName>
    <definedName name="_____reg7">[9]mat!$A$2:$C$33</definedName>
    <definedName name="_____RET1">#REF!</definedName>
    <definedName name="_____tsd4">#REF!</definedName>
    <definedName name="_____TT102">'[7]Relatório-1ª med.'!#REF!</definedName>
    <definedName name="_____TT107">'[7]Relatório-1ª med.'!#REF!</definedName>
    <definedName name="_____TT121">'[7]Relatório-1ª med.'!#REF!</definedName>
    <definedName name="_____TT123">'[7]Relatório-1ª med.'!#REF!</definedName>
    <definedName name="_____TT19">'[7]Relatório-1ª med.'!#REF!</definedName>
    <definedName name="_____TT20">'[7]Relatório-1ª med.'!#REF!</definedName>
    <definedName name="_____TT21">'[7]Relatório-1ª med.'!#REF!</definedName>
    <definedName name="_____TT22">'[7]Relatório-1ª med.'!#REF!</definedName>
    <definedName name="_____TT26">'[7]Relatório-1ª med.'!#REF!</definedName>
    <definedName name="_____TT27">'[7]Relatório-1ª med.'!#REF!</definedName>
    <definedName name="_____TT28">'[7]Relatório-1ª med.'!#REF!</definedName>
    <definedName name="_____TT30">'[7]Relatório-1ª med.'!#REF!</definedName>
    <definedName name="_____TT31">'[7]Relatório-1ª med.'!#REF!</definedName>
    <definedName name="_____TT32">'[7]Relatório-1ª med.'!#REF!</definedName>
    <definedName name="_____TT33">'[7]Relatório-1ª med.'!#REF!</definedName>
    <definedName name="_____TT34">'[7]Relatório-1ª med.'!#REF!</definedName>
    <definedName name="_____TT36">'[7]Relatório-1ª med.'!#REF!</definedName>
    <definedName name="_____TT37">'[7]Relatório-1ª med.'!#REF!</definedName>
    <definedName name="_____TT38">'[7]Relatório-1ª med.'!#REF!</definedName>
    <definedName name="_____TT39">'[7]Relatório-1ª med.'!#REF!</definedName>
    <definedName name="_____TT40">'[7]Relatório-1ª med.'!#REF!</definedName>
    <definedName name="_____TT5">'[7]Relatório-1ª med.'!#REF!</definedName>
    <definedName name="_____TT52">'[7]Relatório-1ª med.'!#REF!</definedName>
    <definedName name="_____TT53">'[7]Relatório-1ª med.'!#REF!</definedName>
    <definedName name="_____TT54">'[7]Relatório-1ª med.'!#REF!</definedName>
    <definedName name="_____TT55">'[7]Relatório-1ª med.'!#REF!</definedName>
    <definedName name="_____TT6">'[7]Relatório-1ª med.'!#REF!</definedName>
    <definedName name="_____TT60">'[7]Relatório-1ª med.'!#REF!</definedName>
    <definedName name="_____TT61">'[7]Relatório-1ª med.'!#REF!</definedName>
    <definedName name="_____TT69">'[7]Relatório-1ª med.'!#REF!</definedName>
    <definedName name="_____TT7">'[7]Relatório-1ª med.'!#REF!</definedName>
    <definedName name="_____TT70">'[7]Relatório-1ª med.'!#REF!</definedName>
    <definedName name="_____TT71">'[7]Relatório-1ª med.'!#REF!</definedName>
    <definedName name="_____TT74">'[7]Relatório-1ª med.'!#REF!</definedName>
    <definedName name="_____TT75">'[7]Relatório-1ª med.'!#REF!</definedName>
    <definedName name="_____TT76">'[7]Relatório-1ª med.'!#REF!</definedName>
    <definedName name="_____TT77">'[7]Relatório-1ª med.'!#REF!</definedName>
    <definedName name="_____TT78">'[7]Relatório-1ª med.'!#REF!</definedName>
    <definedName name="_____TT79">'[7]Relatório-1ª med.'!#REF!</definedName>
    <definedName name="_____TT94">'[7]Relatório-1ª med.'!#REF!</definedName>
    <definedName name="_____TT95">'[7]Relatório-1ª med.'!#REF!</definedName>
    <definedName name="_____TT97">'[7]Relatório-1ª med.'!#REF!</definedName>
    <definedName name="____cab1">#REF!</definedName>
    <definedName name="____emp2">'[4]DMT modelo'!$AA$13</definedName>
    <definedName name="____EXT1">#REF!</definedName>
    <definedName name="____Ext2">'[6]P A T O 99 B'!#REF!</definedName>
    <definedName name="____ind100">#REF!</definedName>
    <definedName name="____JAN2003">#REF!</definedName>
    <definedName name="____JAZ1">#REF!</definedName>
    <definedName name="____JAZ11">#REF!</definedName>
    <definedName name="____JAZ2">#REF!</definedName>
    <definedName name="____JAZ22">#REF!</definedName>
    <definedName name="____JAZ3">#REF!</definedName>
    <definedName name="____JAZ33">#REF!</definedName>
    <definedName name="____mem2">'[5]Mat Asf'!$H$37</definedName>
    <definedName name="____oac2">#REF!</definedName>
    <definedName name="____OUT98" localSheetId="11" hidden="1">{#N/A,#N/A,TRUE,"Serviços"}</definedName>
    <definedName name="____OUT98" localSheetId="9" hidden="1">{#N/A,#N/A,TRUE,"Serviços"}</definedName>
    <definedName name="____OUT98" localSheetId="10" hidden="1">{#N/A,#N/A,TRUE,"Serviços"}</definedName>
    <definedName name="____OUT98" localSheetId="8" hidden="1">{#N/A,#N/A,TRUE,"Serviços"}</definedName>
    <definedName name="____OUT98" localSheetId="7" hidden="1">{#N/A,#N/A,TRUE,"Serviços"}</definedName>
    <definedName name="____OUT98" localSheetId="34" hidden="1">{#N/A,#N/A,TRUE,"Serviços"}</definedName>
    <definedName name="____OUT98" localSheetId="44" hidden="1">{#N/A,#N/A,TRUE,"Serviços"}</definedName>
    <definedName name="____OUT98" localSheetId="43" hidden="1">{#N/A,#N/A,TRUE,"Serviços"}</definedName>
    <definedName name="____OUT98" localSheetId="42" hidden="1">{#N/A,#N/A,TRUE,"Serviços"}</definedName>
    <definedName name="____OUT98" localSheetId="21" hidden="1">{#N/A,#N/A,TRUE,"Serviços"}</definedName>
    <definedName name="____OUT98" localSheetId="15" hidden="1">{#N/A,#N/A,TRUE,"Serviços"}</definedName>
    <definedName name="____OUT98" hidden="1">{#N/A,#N/A,TRUE,"Serviços"}</definedName>
    <definedName name="____PL1">#REF!</definedName>
    <definedName name="____r">#REF!</definedName>
    <definedName name="____Rbv1">'[8]Página 16'!$C$3:$C$7</definedName>
    <definedName name="____reg1">[9]DADOS!$B$4</definedName>
    <definedName name="____reg3">[10]eq!$A$2:$D$42</definedName>
    <definedName name="____reg5">[10]mo!$A$2:$C$10</definedName>
    <definedName name="____reg7">[9]mat!$A$2:$C$33</definedName>
    <definedName name="____RET1">#REF!</definedName>
    <definedName name="____tsd4">#REF!</definedName>
    <definedName name="____TT102">'[7]Relatório-1ª med.'!#REF!</definedName>
    <definedName name="____TT107">'[7]Relatório-1ª med.'!#REF!</definedName>
    <definedName name="____TT121">'[7]Relatório-1ª med.'!#REF!</definedName>
    <definedName name="____TT123">'[7]Relatório-1ª med.'!#REF!</definedName>
    <definedName name="____TT19">'[7]Relatório-1ª med.'!#REF!</definedName>
    <definedName name="____TT20">'[7]Relatório-1ª med.'!#REF!</definedName>
    <definedName name="____TT21">'[7]Relatório-1ª med.'!#REF!</definedName>
    <definedName name="____TT22">'[7]Relatório-1ª med.'!#REF!</definedName>
    <definedName name="____TT236">'[7]Relatório-1ª med.'!#REF!</definedName>
    <definedName name="____TT26">'[7]Relatório-1ª med.'!#REF!</definedName>
    <definedName name="____TT27">'[7]Relatório-1ª med.'!#REF!</definedName>
    <definedName name="____TT28">'[7]Relatório-1ª med.'!#REF!</definedName>
    <definedName name="____TT30">'[7]Relatório-1ª med.'!#REF!</definedName>
    <definedName name="____TT31">'[7]Relatório-1ª med.'!#REF!</definedName>
    <definedName name="____TT32">'[7]Relatório-1ª med.'!#REF!</definedName>
    <definedName name="____TT33">'[7]Relatório-1ª med.'!#REF!</definedName>
    <definedName name="____TT34">'[7]Relatório-1ª med.'!#REF!</definedName>
    <definedName name="____TT36">'[7]Relatório-1ª med.'!#REF!</definedName>
    <definedName name="____TT37">'[7]Relatório-1ª med.'!#REF!</definedName>
    <definedName name="____TT38">'[7]Relatório-1ª med.'!#REF!</definedName>
    <definedName name="____TT39">'[7]Relatório-1ª med.'!#REF!</definedName>
    <definedName name="____TT40">'[7]Relatório-1ª med.'!#REF!</definedName>
    <definedName name="____TT5">'[7]Relatório-1ª med.'!#REF!</definedName>
    <definedName name="____TT52">'[7]Relatório-1ª med.'!#REF!</definedName>
    <definedName name="____TT53">'[7]Relatório-1ª med.'!#REF!</definedName>
    <definedName name="____TT54">'[7]Relatório-1ª med.'!#REF!</definedName>
    <definedName name="____TT55">'[7]Relatório-1ª med.'!#REF!</definedName>
    <definedName name="____TT6">'[7]Relatório-1ª med.'!#REF!</definedName>
    <definedName name="____TT60">'[7]Relatório-1ª med.'!#REF!</definedName>
    <definedName name="____TT61">'[7]Relatório-1ª med.'!#REF!</definedName>
    <definedName name="____TT69">'[7]Relatório-1ª med.'!#REF!</definedName>
    <definedName name="____TT7">'[7]Relatório-1ª med.'!#REF!</definedName>
    <definedName name="____TT70">'[7]Relatório-1ª med.'!#REF!</definedName>
    <definedName name="____TT71">'[7]Relatório-1ª med.'!#REF!</definedName>
    <definedName name="____TT74">'[7]Relatório-1ª med.'!#REF!</definedName>
    <definedName name="____TT75">'[7]Relatório-1ª med.'!#REF!</definedName>
    <definedName name="____TT76">'[7]Relatório-1ª med.'!#REF!</definedName>
    <definedName name="____TT77">'[7]Relatório-1ª med.'!#REF!</definedName>
    <definedName name="____TT78">'[7]Relatório-1ª med.'!#REF!</definedName>
    <definedName name="____TT78954">'[7]Relatório-1ª med.'!#REF!</definedName>
    <definedName name="____TT79">'[7]Relatório-1ª med.'!#REF!</definedName>
    <definedName name="____TT94">'[7]Relatório-1ª med.'!#REF!</definedName>
    <definedName name="____TT95">'[7]Relatório-1ª med.'!#REF!</definedName>
    <definedName name="____TT97">'[7]Relatório-1ª med.'!#REF!</definedName>
    <definedName name="___ABR95">#REF!</definedName>
    <definedName name="___ABR96">#REF!</definedName>
    <definedName name="___ABR97">#REF!</definedName>
    <definedName name="___ABR98">#REF!</definedName>
    <definedName name="___ABR99">#REF!</definedName>
    <definedName name="___AGO95">#REF!</definedName>
    <definedName name="___AGO96">#REF!</definedName>
    <definedName name="___AGO97">#REF!</definedName>
    <definedName name="___AGO98">#REF!</definedName>
    <definedName name="___AGO99">#REF!</definedName>
    <definedName name="___arg13">#REF!</definedName>
    <definedName name="___arg16">#REF!</definedName>
    <definedName name="___cab1">#REF!</definedName>
    <definedName name="___DEZ94">#REF!</definedName>
    <definedName name="___DEZ95">#REF!</definedName>
    <definedName name="___DEZ96">#REF!</definedName>
    <definedName name="___DEZ97">#REF!</definedName>
    <definedName name="___DEZ98">#REF!</definedName>
    <definedName name="___DEZ99">#REF!</definedName>
    <definedName name="___emp2">'[4]DMT modelo'!$AA$13</definedName>
    <definedName name="___EXT1">#REF!</definedName>
    <definedName name="___Ext2">'[6]P A T O 99 B'!#REF!</definedName>
    <definedName name="___FEV95">#REF!</definedName>
    <definedName name="___FEV96">#REF!</definedName>
    <definedName name="___FEV97">#REF!</definedName>
    <definedName name="___FEV98">#REF!</definedName>
    <definedName name="___FEV99">#REF!</definedName>
    <definedName name="___ind100">#REF!</definedName>
    <definedName name="___JAN2003">#REF!</definedName>
    <definedName name="___JAN95">#REF!</definedName>
    <definedName name="___JAN96">#REF!</definedName>
    <definedName name="___JAN97">#REF!</definedName>
    <definedName name="___JAN98">#REF!</definedName>
    <definedName name="___JAN99">#REF!</definedName>
    <definedName name="___JAZ1">#REF!</definedName>
    <definedName name="___JAZ11">#REF!</definedName>
    <definedName name="___JAZ2">#REF!</definedName>
    <definedName name="___JAZ22">#REF!</definedName>
    <definedName name="___JAZ3">#REF!</definedName>
    <definedName name="___JAZ33">#REF!</definedName>
    <definedName name="___JUL95">#REF!</definedName>
    <definedName name="___JUL96">#REF!</definedName>
    <definedName name="___JUL97">#REF!</definedName>
    <definedName name="___JUL98">#REF!</definedName>
    <definedName name="___JUL99">#REF!</definedName>
    <definedName name="___JUN95">#REF!</definedName>
    <definedName name="___JUN96">#REF!</definedName>
    <definedName name="___JUN97">#REF!</definedName>
    <definedName name="___JUN98">#REF!</definedName>
    <definedName name="___JUN99">#REF!</definedName>
    <definedName name="___MAI95">#REF!</definedName>
    <definedName name="___MAI96">#REF!</definedName>
    <definedName name="___MAI97">#REF!</definedName>
    <definedName name="___MAI98">#REF!</definedName>
    <definedName name="___MAI99">#REF!</definedName>
    <definedName name="___MAR95">#REF!</definedName>
    <definedName name="___MAR96">#REF!</definedName>
    <definedName name="___MAR97">#REF!</definedName>
    <definedName name="___MAR98">#REF!</definedName>
    <definedName name="___MAR99">#REF!</definedName>
    <definedName name="___mem2">'[5]Mat Asf'!$H$37</definedName>
    <definedName name="___NOV94">#REF!</definedName>
    <definedName name="___NOV95">#REF!</definedName>
    <definedName name="___NOV96">#REF!</definedName>
    <definedName name="___NOV97">#REF!</definedName>
    <definedName name="___NOV98">#REF!</definedName>
    <definedName name="___NOV99">#REF!</definedName>
    <definedName name="___oac2">#REF!</definedName>
    <definedName name="___OUT94">#REF!</definedName>
    <definedName name="___OUT95">#REF!</definedName>
    <definedName name="___OUT96">#REF!</definedName>
    <definedName name="___OUT97">#REF!</definedName>
    <definedName name="___OUT98" localSheetId="11" hidden="1">{#N/A,#N/A,TRUE,"Serviços"}</definedName>
    <definedName name="___OUT98" localSheetId="9" hidden="1">{#N/A,#N/A,TRUE,"Serviços"}</definedName>
    <definedName name="___OUT98" localSheetId="10" hidden="1">{#N/A,#N/A,TRUE,"Serviços"}</definedName>
    <definedName name="___OUT98" localSheetId="8" hidden="1">{#N/A,#N/A,TRUE,"Serviços"}</definedName>
    <definedName name="___OUT98" localSheetId="7" hidden="1">{#N/A,#N/A,TRUE,"Serviços"}</definedName>
    <definedName name="___OUT98" localSheetId="34" hidden="1">{#N/A,#N/A,TRUE,"Serviços"}</definedName>
    <definedName name="___OUT98" localSheetId="44" hidden="1">{#N/A,#N/A,TRUE,"Serviços"}</definedName>
    <definedName name="___OUT98" localSheetId="43" hidden="1">{#N/A,#N/A,TRUE,"Serviços"}</definedName>
    <definedName name="___OUT98" localSheetId="42" hidden="1">{#N/A,#N/A,TRUE,"Serviços"}</definedName>
    <definedName name="___OUT98" localSheetId="21" hidden="1">{#N/A,#N/A,TRUE,"Serviços"}</definedName>
    <definedName name="___OUT98" localSheetId="15" hidden="1">{#N/A,#N/A,TRUE,"Serviços"}</definedName>
    <definedName name="___OUT98" hidden="1">{#N/A,#N/A,TRUE,"Serviços"}</definedName>
    <definedName name="___OUT99">#REF!</definedName>
    <definedName name="___PL1">#REF!</definedName>
    <definedName name="___QQ2">#N/A</definedName>
    <definedName name="___r">#REF!</definedName>
    <definedName name="___Rbv1">'[8]Página 16'!$C$3:$C$7</definedName>
    <definedName name="___reg1">[9]DADOS!$B$4</definedName>
    <definedName name="___reg3">[10]eq!$A$2:$D$42</definedName>
    <definedName name="___reg5">[10]mo!$A$2:$C$10</definedName>
    <definedName name="___reg7">[9]mat!$A$2:$C$33</definedName>
    <definedName name="___RET1">#REF!</definedName>
    <definedName name="___SE2">#REF!</definedName>
    <definedName name="___SET94">#REF!</definedName>
    <definedName name="___SET95">#REF!</definedName>
    <definedName name="___SET96">#REF!</definedName>
    <definedName name="___SET97">#REF!</definedName>
    <definedName name="___SET98">#REF!</definedName>
    <definedName name="___SET99">#REF!</definedName>
    <definedName name="___STC04">#REF!</definedName>
    <definedName name="___tsd4">#REF!</definedName>
    <definedName name="___TT102">'[7]Relatório-1ª med.'!#REF!</definedName>
    <definedName name="___TT107">'[7]Relatório-1ª med.'!#REF!</definedName>
    <definedName name="___TT121">'[7]Relatório-1ª med.'!#REF!</definedName>
    <definedName name="___TT123">'[7]Relatório-1ª med.'!#REF!</definedName>
    <definedName name="___TT19">'[7]Relatório-1ª med.'!#REF!</definedName>
    <definedName name="___TT20">'[7]Relatório-1ª med.'!#REF!</definedName>
    <definedName name="___TT21">'[7]Relatório-1ª med.'!#REF!</definedName>
    <definedName name="___TT22">'[7]Relatório-1ª med.'!#REF!</definedName>
    <definedName name="___TT26">'[7]Relatório-1ª med.'!#REF!</definedName>
    <definedName name="___TT27">'[7]Relatório-1ª med.'!#REF!</definedName>
    <definedName name="___TT28">'[7]Relatório-1ª med.'!#REF!</definedName>
    <definedName name="___TT30">'[7]Relatório-1ª med.'!#REF!</definedName>
    <definedName name="___TT31">'[7]Relatório-1ª med.'!#REF!</definedName>
    <definedName name="___TT32">'[7]Relatório-1ª med.'!#REF!</definedName>
    <definedName name="___TT33">'[7]Relatório-1ª med.'!#REF!</definedName>
    <definedName name="___TT34">'[7]Relatório-1ª med.'!#REF!</definedName>
    <definedName name="___TT36">'[7]Relatório-1ª med.'!#REF!</definedName>
    <definedName name="___TT37">'[7]Relatório-1ª med.'!#REF!</definedName>
    <definedName name="___TT38">'[7]Relatório-1ª med.'!#REF!</definedName>
    <definedName name="___TT39">'[7]Relatório-1ª med.'!#REF!</definedName>
    <definedName name="___TT40">'[7]Relatório-1ª med.'!#REF!</definedName>
    <definedName name="___TT5">'[7]Relatório-1ª med.'!#REF!</definedName>
    <definedName name="___TT52">'[7]Relatório-1ª med.'!#REF!</definedName>
    <definedName name="___TT53">'[7]Relatório-1ª med.'!#REF!</definedName>
    <definedName name="___TT54">'[7]Relatório-1ª med.'!#REF!</definedName>
    <definedName name="___TT55">'[7]Relatório-1ª med.'!#REF!</definedName>
    <definedName name="___TT6">'[7]Relatório-1ª med.'!#REF!</definedName>
    <definedName name="___TT60">'[7]Relatório-1ª med.'!#REF!</definedName>
    <definedName name="___TT61">'[7]Relatório-1ª med.'!#REF!</definedName>
    <definedName name="___TT69">'[7]Relatório-1ª med.'!#REF!</definedName>
    <definedName name="___TT7">'[7]Relatório-1ª med.'!#REF!</definedName>
    <definedName name="___TT70">'[7]Relatório-1ª med.'!#REF!</definedName>
    <definedName name="___TT71">'[7]Relatório-1ª med.'!#REF!</definedName>
    <definedName name="___TT74">'[7]Relatório-1ª med.'!#REF!</definedName>
    <definedName name="___TT75">'[7]Relatório-1ª med.'!#REF!</definedName>
    <definedName name="___TT76">'[7]Relatório-1ª med.'!#REF!</definedName>
    <definedName name="___TT77">'[7]Relatório-1ª med.'!#REF!</definedName>
    <definedName name="___TT78">'[7]Relatório-1ª med.'!#REF!</definedName>
    <definedName name="___TT79">'[7]Relatório-1ª med.'!#REF!</definedName>
    <definedName name="___TT94">'[7]Relatório-1ª med.'!#REF!</definedName>
    <definedName name="___TT95">'[7]Relatório-1ª med.'!#REF!</definedName>
    <definedName name="___TT97">'[7]Relatório-1ª med.'!#REF!</definedName>
    <definedName name="__123Graph_A" localSheetId="11" hidden="1">#REF!</definedName>
    <definedName name="__123Graph_A" localSheetId="9" hidden="1">#REF!</definedName>
    <definedName name="__123Graph_A" localSheetId="10" hidden="1">#REF!</definedName>
    <definedName name="__123Graph_A" localSheetId="8" hidden="1">#REF!</definedName>
    <definedName name="__123Graph_A" localSheetId="7" hidden="1">#REF!</definedName>
    <definedName name="__123Graph_A" localSheetId="21" hidden="1">[12]aux!$I$28:$M$28</definedName>
    <definedName name="__123Graph_A" localSheetId="15" hidden="1">#REF!</definedName>
    <definedName name="__123Graph_A" hidden="1">[12]aux!$I$28:$M$28</definedName>
    <definedName name="__123Graph_AGraph1" localSheetId="11" hidden="1">#REF!</definedName>
    <definedName name="__123Graph_AGraph1" localSheetId="9" hidden="1">#REF!</definedName>
    <definedName name="__123Graph_AGraph1" localSheetId="10" hidden="1">#REF!</definedName>
    <definedName name="__123Graph_AGraph1" localSheetId="8" hidden="1">#REF!</definedName>
    <definedName name="__123Graph_AGraph1" localSheetId="7" hidden="1">#REF!</definedName>
    <definedName name="__123Graph_AGraph1" localSheetId="21" hidden="1">[12]aux!$I$6:$M$6</definedName>
    <definedName name="__123Graph_AGraph1" localSheetId="15" hidden="1">#REF!</definedName>
    <definedName name="__123Graph_AGraph1" hidden="1">[12]aux!$I$6:$M$6</definedName>
    <definedName name="__123Graph_AGraph10" localSheetId="11" hidden="1">#REF!</definedName>
    <definedName name="__123Graph_AGraph10" localSheetId="9" hidden="1">#REF!</definedName>
    <definedName name="__123Graph_AGraph10" localSheetId="10" hidden="1">#REF!</definedName>
    <definedName name="__123Graph_AGraph10" localSheetId="8" hidden="1">#REF!</definedName>
    <definedName name="__123Graph_AGraph10" localSheetId="7" hidden="1">#REF!</definedName>
    <definedName name="__123Graph_AGraph10" localSheetId="21" hidden="1">[12]aux!$I$24:$M$24</definedName>
    <definedName name="__123Graph_AGraph10" localSheetId="15" hidden="1">#REF!</definedName>
    <definedName name="__123Graph_AGraph10" hidden="1">[12]aux!$I$24:$M$24</definedName>
    <definedName name="__123Graph_AGraph11" localSheetId="11" hidden="1">#REF!</definedName>
    <definedName name="__123Graph_AGraph11" localSheetId="9" hidden="1">#REF!</definedName>
    <definedName name="__123Graph_AGraph11" localSheetId="10" hidden="1">#REF!</definedName>
    <definedName name="__123Graph_AGraph11" localSheetId="8" hidden="1">#REF!</definedName>
    <definedName name="__123Graph_AGraph11" localSheetId="7" hidden="1">#REF!</definedName>
    <definedName name="__123Graph_AGraph11" localSheetId="21" hidden="1">[12]aux!$I$26:$M$26</definedName>
    <definedName name="__123Graph_AGraph11" localSheetId="15" hidden="1">#REF!</definedName>
    <definedName name="__123Graph_AGraph11" hidden="1">[12]aux!$I$26:$M$26</definedName>
    <definedName name="__123Graph_AGraph12" localSheetId="11" hidden="1">#REF!</definedName>
    <definedName name="__123Graph_AGraph12" localSheetId="9" hidden="1">#REF!</definedName>
    <definedName name="__123Graph_AGraph12" localSheetId="10" hidden="1">#REF!</definedName>
    <definedName name="__123Graph_AGraph12" localSheetId="8" hidden="1">#REF!</definedName>
    <definedName name="__123Graph_AGraph12" localSheetId="7" hidden="1">#REF!</definedName>
    <definedName name="__123Graph_AGraph12" localSheetId="21" hidden="1">[12]aux!$I$28:$M$28</definedName>
    <definedName name="__123Graph_AGraph12" localSheetId="15" hidden="1">#REF!</definedName>
    <definedName name="__123Graph_AGraph12" hidden="1">[12]aux!$I$28:$M$28</definedName>
    <definedName name="__123Graph_AGraph2" localSheetId="11" hidden="1">#REF!</definedName>
    <definedName name="__123Graph_AGraph2" localSheetId="9" hidden="1">#REF!</definedName>
    <definedName name="__123Graph_AGraph2" localSheetId="10" hidden="1">#REF!</definedName>
    <definedName name="__123Graph_AGraph2" localSheetId="8" hidden="1">#REF!</definedName>
    <definedName name="__123Graph_AGraph2" localSheetId="7" hidden="1">#REF!</definedName>
    <definedName name="__123Graph_AGraph2" localSheetId="21" hidden="1">[12]aux!$I$8:$M$8</definedName>
    <definedName name="__123Graph_AGraph2" localSheetId="15" hidden="1">#REF!</definedName>
    <definedName name="__123Graph_AGraph2" hidden="1">[12]aux!$I$8:$M$8</definedName>
    <definedName name="__123Graph_AGraph3" localSheetId="11" hidden="1">#REF!</definedName>
    <definedName name="__123Graph_AGraph3" localSheetId="9" hidden="1">#REF!</definedName>
    <definedName name="__123Graph_AGraph3" localSheetId="10" hidden="1">#REF!</definedName>
    <definedName name="__123Graph_AGraph3" localSheetId="8" hidden="1">#REF!</definedName>
    <definedName name="__123Graph_AGraph3" localSheetId="7" hidden="1">#REF!</definedName>
    <definedName name="__123Graph_AGraph3" localSheetId="21" hidden="1">[12]aux!$I$10:$M$10</definedName>
    <definedName name="__123Graph_AGraph3" localSheetId="15" hidden="1">#REF!</definedName>
    <definedName name="__123Graph_AGraph3" hidden="1">[12]aux!$I$10:$M$10</definedName>
    <definedName name="__123Graph_AGraph4" localSheetId="11" hidden="1">#REF!</definedName>
    <definedName name="__123Graph_AGraph4" localSheetId="9" hidden="1">#REF!</definedName>
    <definedName name="__123Graph_AGraph4" localSheetId="10" hidden="1">#REF!</definedName>
    <definedName name="__123Graph_AGraph4" localSheetId="8" hidden="1">#REF!</definedName>
    <definedName name="__123Graph_AGraph4" localSheetId="7" hidden="1">#REF!</definedName>
    <definedName name="__123Graph_AGraph4" localSheetId="21" hidden="1">[12]aux!$I$12:$M$12</definedName>
    <definedName name="__123Graph_AGraph4" localSheetId="15" hidden="1">#REF!</definedName>
    <definedName name="__123Graph_AGraph4" hidden="1">[12]aux!$I$12:$M$12</definedName>
    <definedName name="__123Graph_AGraph5" localSheetId="11" hidden="1">#REF!</definedName>
    <definedName name="__123Graph_AGraph5" localSheetId="9" hidden="1">#REF!</definedName>
    <definedName name="__123Graph_AGraph5" localSheetId="10" hidden="1">#REF!</definedName>
    <definedName name="__123Graph_AGraph5" localSheetId="8" hidden="1">#REF!</definedName>
    <definedName name="__123Graph_AGraph5" localSheetId="7" hidden="1">#REF!</definedName>
    <definedName name="__123Graph_AGraph5" localSheetId="21" hidden="1">[12]aux!$I$14:$M$14</definedName>
    <definedName name="__123Graph_AGraph5" localSheetId="15" hidden="1">#REF!</definedName>
    <definedName name="__123Graph_AGraph5" hidden="1">[12]aux!$I$14:$M$14</definedName>
    <definedName name="__123Graph_AGraph6" localSheetId="11" hidden="1">#REF!</definedName>
    <definedName name="__123Graph_AGraph6" localSheetId="9" hidden="1">#REF!</definedName>
    <definedName name="__123Graph_AGraph6" localSheetId="10" hidden="1">#REF!</definedName>
    <definedName name="__123Graph_AGraph6" localSheetId="8" hidden="1">#REF!</definedName>
    <definedName name="__123Graph_AGraph6" localSheetId="7" hidden="1">#REF!</definedName>
    <definedName name="__123Graph_AGraph6" localSheetId="21" hidden="1">[12]aux!$I$16:$M$16</definedName>
    <definedName name="__123Graph_AGraph6" localSheetId="15" hidden="1">#REF!</definedName>
    <definedName name="__123Graph_AGraph6" hidden="1">[12]aux!$I$16:$M$16</definedName>
    <definedName name="__123Graph_AGraph7" localSheetId="11" hidden="1">#REF!</definedName>
    <definedName name="__123Graph_AGraph7" localSheetId="9" hidden="1">#REF!</definedName>
    <definedName name="__123Graph_AGraph7" localSheetId="10" hidden="1">#REF!</definedName>
    <definedName name="__123Graph_AGraph7" localSheetId="8" hidden="1">#REF!</definedName>
    <definedName name="__123Graph_AGraph7" localSheetId="7" hidden="1">#REF!</definedName>
    <definedName name="__123Graph_AGraph7" localSheetId="21" hidden="1">[12]aux!$I$18:$M$18</definedName>
    <definedName name="__123Graph_AGraph7" localSheetId="15" hidden="1">#REF!</definedName>
    <definedName name="__123Graph_AGraph7" hidden="1">[12]aux!$I$18:$M$18</definedName>
    <definedName name="__123Graph_AGraph8" localSheetId="11" hidden="1">#REF!</definedName>
    <definedName name="__123Graph_AGraph8" localSheetId="9" hidden="1">#REF!</definedName>
    <definedName name="__123Graph_AGraph8" localSheetId="10" hidden="1">#REF!</definedName>
    <definedName name="__123Graph_AGraph8" localSheetId="8" hidden="1">#REF!</definedName>
    <definedName name="__123Graph_AGraph8" localSheetId="7" hidden="1">#REF!</definedName>
    <definedName name="__123Graph_AGraph8" localSheetId="21" hidden="1">[12]aux!$I$20:$M$20</definedName>
    <definedName name="__123Graph_AGraph8" localSheetId="15" hidden="1">#REF!</definedName>
    <definedName name="__123Graph_AGraph8" hidden="1">[12]aux!$I$20:$M$20</definedName>
    <definedName name="__123Graph_AGraph9" localSheetId="11" hidden="1">#REF!</definedName>
    <definedName name="__123Graph_AGraph9" localSheetId="9" hidden="1">#REF!</definedName>
    <definedName name="__123Graph_AGraph9" localSheetId="10" hidden="1">#REF!</definedName>
    <definedName name="__123Graph_AGraph9" localSheetId="8" hidden="1">#REF!</definedName>
    <definedName name="__123Graph_AGraph9" localSheetId="7" hidden="1">#REF!</definedName>
    <definedName name="__123Graph_AGraph9" localSheetId="21" hidden="1">[12]aux!$I$22:$M$22</definedName>
    <definedName name="__123Graph_AGraph9" localSheetId="15" hidden="1">#REF!</definedName>
    <definedName name="__123Graph_AGraph9" hidden="1">[12]aux!$I$22:$M$22</definedName>
    <definedName name="__123Graph_B" localSheetId="11" hidden="1">#REF!</definedName>
    <definedName name="__123Graph_B" localSheetId="9" hidden="1">#REF!</definedName>
    <definedName name="__123Graph_B" localSheetId="10" hidden="1">#REF!</definedName>
    <definedName name="__123Graph_B" localSheetId="8" hidden="1">#REF!</definedName>
    <definedName name="__123Graph_B" localSheetId="7" hidden="1">#REF!</definedName>
    <definedName name="__123Graph_B" localSheetId="21" hidden="1">[12]aux!$B$28:$F$28</definedName>
    <definedName name="__123Graph_B" localSheetId="15" hidden="1">#REF!</definedName>
    <definedName name="__123Graph_B" hidden="1">[12]aux!$B$28:$F$28</definedName>
    <definedName name="__123Graph_BGraph1" localSheetId="11" hidden="1">#REF!</definedName>
    <definedName name="__123Graph_BGraph1" localSheetId="9" hidden="1">#REF!</definedName>
    <definedName name="__123Graph_BGraph1" localSheetId="10" hidden="1">#REF!</definedName>
    <definedName name="__123Graph_BGraph1" localSheetId="8" hidden="1">#REF!</definedName>
    <definedName name="__123Graph_BGraph1" localSheetId="7" hidden="1">#REF!</definedName>
    <definedName name="__123Graph_BGraph1" localSheetId="21" hidden="1">[12]aux!$B$6:$F$6</definedName>
    <definedName name="__123Graph_BGraph1" localSheetId="15" hidden="1">#REF!</definedName>
    <definedName name="__123Graph_BGraph1" hidden="1">[12]aux!$B$6:$F$6</definedName>
    <definedName name="__123Graph_BGraph10" localSheetId="11" hidden="1">#REF!</definedName>
    <definedName name="__123Graph_BGraph10" localSheetId="9" hidden="1">#REF!</definedName>
    <definedName name="__123Graph_BGraph10" localSheetId="10" hidden="1">#REF!</definedName>
    <definedName name="__123Graph_BGraph10" localSheetId="8" hidden="1">#REF!</definedName>
    <definedName name="__123Graph_BGraph10" localSheetId="7" hidden="1">#REF!</definedName>
    <definedName name="__123Graph_BGraph10" localSheetId="21" hidden="1">[12]aux!$B$24:$F$24</definedName>
    <definedName name="__123Graph_BGraph10" localSheetId="15" hidden="1">#REF!</definedName>
    <definedName name="__123Graph_BGraph10" hidden="1">[12]aux!$B$24:$F$24</definedName>
    <definedName name="__123Graph_BGraph11" localSheetId="11" hidden="1">#REF!</definedName>
    <definedName name="__123Graph_BGraph11" localSheetId="9" hidden="1">#REF!</definedName>
    <definedName name="__123Graph_BGraph11" localSheetId="10" hidden="1">#REF!</definedName>
    <definedName name="__123Graph_BGraph11" localSheetId="8" hidden="1">#REF!</definedName>
    <definedName name="__123Graph_BGraph11" localSheetId="7" hidden="1">#REF!</definedName>
    <definedName name="__123Graph_BGraph11" localSheetId="21" hidden="1">[12]aux!$B$26:$F$26</definedName>
    <definedName name="__123Graph_BGraph11" localSheetId="15" hidden="1">#REF!</definedName>
    <definedName name="__123Graph_BGraph11" hidden="1">[12]aux!$B$26:$F$26</definedName>
    <definedName name="__123Graph_BGraph12" localSheetId="11" hidden="1">#REF!</definedName>
    <definedName name="__123Graph_BGraph12" localSheetId="9" hidden="1">#REF!</definedName>
    <definedName name="__123Graph_BGraph12" localSheetId="10" hidden="1">#REF!</definedName>
    <definedName name="__123Graph_BGraph12" localSheetId="8" hidden="1">#REF!</definedName>
    <definedName name="__123Graph_BGraph12" localSheetId="7" hidden="1">#REF!</definedName>
    <definedName name="__123Graph_BGraph12" localSheetId="21" hidden="1">[12]aux!$B$28:$F$28</definedName>
    <definedName name="__123Graph_BGraph12" localSheetId="15" hidden="1">#REF!</definedName>
    <definedName name="__123Graph_BGraph12" hidden="1">[12]aux!$B$28:$F$28</definedName>
    <definedName name="__123Graph_BGraph2" localSheetId="11" hidden="1">#REF!</definedName>
    <definedName name="__123Graph_BGraph2" localSheetId="9" hidden="1">#REF!</definedName>
    <definedName name="__123Graph_BGraph2" localSheetId="10" hidden="1">#REF!</definedName>
    <definedName name="__123Graph_BGraph2" localSheetId="8" hidden="1">#REF!</definedName>
    <definedName name="__123Graph_BGraph2" localSheetId="7" hidden="1">#REF!</definedName>
    <definedName name="__123Graph_BGraph2" localSheetId="21" hidden="1">[12]aux!$B$8:$F$8</definedName>
    <definedName name="__123Graph_BGraph2" localSheetId="15" hidden="1">#REF!</definedName>
    <definedName name="__123Graph_BGraph2" hidden="1">[12]aux!$B$8:$F$8</definedName>
    <definedName name="__123Graph_BGraph3" localSheetId="11" hidden="1">#REF!</definedName>
    <definedName name="__123Graph_BGraph3" localSheetId="9" hidden="1">#REF!</definedName>
    <definedName name="__123Graph_BGraph3" localSheetId="10" hidden="1">#REF!</definedName>
    <definedName name="__123Graph_BGraph3" localSheetId="8" hidden="1">#REF!</definedName>
    <definedName name="__123Graph_BGraph3" localSheetId="7" hidden="1">#REF!</definedName>
    <definedName name="__123Graph_BGraph3" localSheetId="21" hidden="1">[12]aux!$B$10:$F$10</definedName>
    <definedName name="__123Graph_BGraph3" localSheetId="15" hidden="1">#REF!</definedName>
    <definedName name="__123Graph_BGraph3" hidden="1">[12]aux!$B$10:$F$10</definedName>
    <definedName name="__123Graph_BGraph4" localSheetId="11" hidden="1">#REF!</definedName>
    <definedName name="__123Graph_BGraph4" localSheetId="9" hidden="1">#REF!</definedName>
    <definedName name="__123Graph_BGraph4" localSheetId="10" hidden="1">#REF!</definedName>
    <definedName name="__123Graph_BGraph4" localSheetId="8" hidden="1">#REF!</definedName>
    <definedName name="__123Graph_BGraph4" localSheetId="7" hidden="1">#REF!</definedName>
    <definedName name="__123Graph_BGraph4" localSheetId="21" hidden="1">[12]aux!$B$12:$F$12</definedName>
    <definedName name="__123Graph_BGraph4" localSheetId="15" hidden="1">#REF!</definedName>
    <definedName name="__123Graph_BGraph4" hidden="1">[12]aux!$B$12:$F$12</definedName>
    <definedName name="__123Graph_BGraph5" localSheetId="11" hidden="1">#REF!</definedName>
    <definedName name="__123Graph_BGraph5" localSheetId="9" hidden="1">#REF!</definedName>
    <definedName name="__123Graph_BGraph5" localSheetId="10" hidden="1">#REF!</definedName>
    <definedName name="__123Graph_BGraph5" localSheetId="8" hidden="1">#REF!</definedName>
    <definedName name="__123Graph_BGraph5" localSheetId="7" hidden="1">#REF!</definedName>
    <definedName name="__123Graph_BGraph5" localSheetId="21" hidden="1">[12]aux!$B$14:$F$14</definedName>
    <definedName name="__123Graph_BGraph5" localSheetId="15" hidden="1">#REF!</definedName>
    <definedName name="__123Graph_BGraph5" hidden="1">[12]aux!$B$14:$F$14</definedName>
    <definedName name="__123Graph_BGraph6" localSheetId="11" hidden="1">#REF!</definedName>
    <definedName name="__123Graph_BGraph6" localSheetId="9" hidden="1">#REF!</definedName>
    <definedName name="__123Graph_BGraph6" localSheetId="10" hidden="1">#REF!</definedName>
    <definedName name="__123Graph_BGraph6" localSheetId="8" hidden="1">#REF!</definedName>
    <definedName name="__123Graph_BGraph6" localSheetId="7" hidden="1">#REF!</definedName>
    <definedName name="__123Graph_BGraph6" localSheetId="21" hidden="1">[12]aux!$B$16:$F$16</definedName>
    <definedName name="__123Graph_BGraph6" localSheetId="15" hidden="1">#REF!</definedName>
    <definedName name="__123Graph_BGraph6" hidden="1">[12]aux!$B$16:$F$16</definedName>
    <definedName name="__123Graph_BGraph7" localSheetId="11" hidden="1">#REF!</definedName>
    <definedName name="__123Graph_BGraph7" localSheetId="9" hidden="1">#REF!</definedName>
    <definedName name="__123Graph_BGraph7" localSheetId="10" hidden="1">#REF!</definedName>
    <definedName name="__123Graph_BGraph7" localSheetId="8" hidden="1">#REF!</definedName>
    <definedName name="__123Graph_BGraph7" localSheetId="7" hidden="1">#REF!</definedName>
    <definedName name="__123Graph_BGraph7" localSheetId="21" hidden="1">[12]aux!$B$18:$F$18</definedName>
    <definedName name="__123Graph_BGraph7" localSheetId="15" hidden="1">#REF!</definedName>
    <definedName name="__123Graph_BGraph7" hidden="1">[12]aux!$B$18:$F$18</definedName>
    <definedName name="__123Graph_BGraph8" localSheetId="11" hidden="1">#REF!</definedName>
    <definedName name="__123Graph_BGraph8" localSheetId="9" hidden="1">#REF!</definedName>
    <definedName name="__123Graph_BGraph8" localSheetId="10" hidden="1">#REF!</definedName>
    <definedName name="__123Graph_BGraph8" localSheetId="8" hidden="1">#REF!</definedName>
    <definedName name="__123Graph_BGraph8" localSheetId="7" hidden="1">#REF!</definedName>
    <definedName name="__123Graph_BGraph8" localSheetId="21" hidden="1">[12]aux!$B$20:$F$20</definedName>
    <definedName name="__123Graph_BGraph8" localSheetId="15" hidden="1">#REF!</definedName>
    <definedName name="__123Graph_BGraph8" hidden="1">[12]aux!$B$20:$F$20</definedName>
    <definedName name="__123Graph_BGraph9" localSheetId="11" hidden="1">#REF!</definedName>
    <definedName name="__123Graph_BGraph9" localSheetId="9" hidden="1">#REF!</definedName>
    <definedName name="__123Graph_BGraph9" localSheetId="10" hidden="1">#REF!</definedName>
    <definedName name="__123Graph_BGraph9" localSheetId="8" hidden="1">#REF!</definedName>
    <definedName name="__123Graph_BGraph9" localSheetId="7" hidden="1">#REF!</definedName>
    <definedName name="__123Graph_BGraph9" localSheetId="21" hidden="1">[12]aux!$B$22:$F$22</definedName>
    <definedName name="__123Graph_BGraph9" localSheetId="15" hidden="1">#REF!</definedName>
    <definedName name="__123Graph_BGraph9" hidden="1">[12]aux!$B$22:$F$22</definedName>
    <definedName name="__123Graph_X" localSheetId="11" hidden="1">#REF!</definedName>
    <definedName name="__123Graph_X" localSheetId="9" hidden="1">#REF!</definedName>
    <definedName name="__123Graph_X" localSheetId="10" hidden="1">#REF!</definedName>
    <definedName name="__123Graph_X" localSheetId="8" hidden="1">#REF!</definedName>
    <definedName name="__123Graph_X" localSheetId="7" hidden="1">#REF!</definedName>
    <definedName name="__123Graph_X" localSheetId="21" hidden="1">[12]aux!$B$29:$F$29</definedName>
    <definedName name="__123Graph_X" localSheetId="15" hidden="1">#REF!</definedName>
    <definedName name="__123Graph_X" hidden="1">[12]aux!$B$29:$F$29</definedName>
    <definedName name="__123Graph_XGraph1" localSheetId="11" hidden="1">#REF!</definedName>
    <definedName name="__123Graph_XGraph1" localSheetId="9" hidden="1">#REF!</definedName>
    <definedName name="__123Graph_XGraph1" localSheetId="10" hidden="1">#REF!</definedName>
    <definedName name="__123Graph_XGraph1" localSheetId="8" hidden="1">#REF!</definedName>
    <definedName name="__123Graph_XGraph1" localSheetId="7" hidden="1">#REF!</definedName>
    <definedName name="__123Graph_XGraph1" localSheetId="21" hidden="1">[12]aux!$B$7:$F$7</definedName>
    <definedName name="__123Graph_XGraph1" localSheetId="15" hidden="1">#REF!</definedName>
    <definedName name="__123Graph_XGraph1" hidden="1">[12]aux!$B$7:$F$7</definedName>
    <definedName name="__123Graph_XGraph10" localSheetId="11" hidden="1">#REF!</definedName>
    <definedName name="__123Graph_XGraph10" localSheetId="9" hidden="1">#REF!</definedName>
    <definedName name="__123Graph_XGraph10" localSheetId="10" hidden="1">#REF!</definedName>
    <definedName name="__123Graph_XGraph10" localSheetId="8" hidden="1">#REF!</definedName>
    <definedName name="__123Graph_XGraph10" localSheetId="7" hidden="1">#REF!</definedName>
    <definedName name="__123Graph_XGraph10" localSheetId="21" hidden="1">[12]aux!$B$25:$F$25</definedName>
    <definedName name="__123Graph_XGraph10" localSheetId="15" hidden="1">#REF!</definedName>
    <definedName name="__123Graph_XGraph10" hidden="1">[12]aux!$B$25:$F$25</definedName>
    <definedName name="__123Graph_XGraph11" localSheetId="11" hidden="1">#REF!</definedName>
    <definedName name="__123Graph_XGraph11" localSheetId="9" hidden="1">#REF!</definedName>
    <definedName name="__123Graph_XGraph11" localSheetId="10" hidden="1">#REF!</definedName>
    <definedName name="__123Graph_XGraph11" localSheetId="8" hidden="1">#REF!</definedName>
    <definedName name="__123Graph_XGraph11" localSheetId="7" hidden="1">#REF!</definedName>
    <definedName name="__123Graph_XGraph11" localSheetId="21" hidden="1">[12]aux!$B$27:$F$27</definedName>
    <definedName name="__123Graph_XGraph11" localSheetId="15" hidden="1">#REF!</definedName>
    <definedName name="__123Graph_XGraph11" hidden="1">[12]aux!$B$27:$F$27</definedName>
    <definedName name="__123Graph_XGraph12" localSheetId="11" hidden="1">#REF!</definedName>
    <definedName name="__123Graph_XGraph12" localSheetId="9" hidden="1">#REF!</definedName>
    <definedName name="__123Graph_XGraph12" localSheetId="10" hidden="1">#REF!</definedName>
    <definedName name="__123Graph_XGraph12" localSheetId="8" hidden="1">#REF!</definedName>
    <definedName name="__123Graph_XGraph12" localSheetId="7" hidden="1">#REF!</definedName>
    <definedName name="__123Graph_XGraph12" localSheetId="21" hidden="1">[12]aux!$B$29:$F$29</definedName>
    <definedName name="__123Graph_XGraph12" localSheetId="15" hidden="1">#REF!</definedName>
    <definedName name="__123Graph_XGraph12" hidden="1">[12]aux!$B$29:$F$29</definedName>
    <definedName name="__123Graph_XGraph2" localSheetId="11" hidden="1">#REF!</definedName>
    <definedName name="__123Graph_XGraph2" localSheetId="9" hidden="1">#REF!</definedName>
    <definedName name="__123Graph_XGraph2" localSheetId="10" hidden="1">#REF!</definedName>
    <definedName name="__123Graph_XGraph2" localSheetId="8" hidden="1">#REF!</definedName>
    <definedName name="__123Graph_XGraph2" localSheetId="7" hidden="1">#REF!</definedName>
    <definedName name="__123Graph_XGraph2" localSheetId="21" hidden="1">[12]aux!$B$9:$F$9</definedName>
    <definedName name="__123Graph_XGraph2" localSheetId="15" hidden="1">#REF!</definedName>
    <definedName name="__123Graph_XGraph2" hidden="1">[12]aux!$B$9:$F$9</definedName>
    <definedName name="__123Graph_XGraph3" localSheetId="11" hidden="1">#REF!</definedName>
    <definedName name="__123Graph_XGraph3" localSheetId="9" hidden="1">#REF!</definedName>
    <definedName name="__123Graph_XGraph3" localSheetId="10" hidden="1">#REF!</definedName>
    <definedName name="__123Graph_XGraph3" localSheetId="8" hidden="1">#REF!</definedName>
    <definedName name="__123Graph_XGraph3" localSheetId="7" hidden="1">#REF!</definedName>
    <definedName name="__123Graph_XGraph3" localSheetId="21" hidden="1">[12]aux!$B$11:$F$11</definedName>
    <definedName name="__123Graph_XGraph3" localSheetId="15" hidden="1">#REF!</definedName>
    <definedName name="__123Graph_XGraph3" hidden="1">[12]aux!$B$11:$F$11</definedName>
    <definedName name="__123Graph_XGraph4" localSheetId="11" hidden="1">#REF!</definedName>
    <definedName name="__123Graph_XGraph4" localSheetId="9" hidden="1">#REF!</definedName>
    <definedName name="__123Graph_XGraph4" localSheetId="10" hidden="1">#REF!</definedName>
    <definedName name="__123Graph_XGraph4" localSheetId="8" hidden="1">#REF!</definedName>
    <definedName name="__123Graph_XGraph4" localSheetId="7" hidden="1">#REF!</definedName>
    <definedName name="__123Graph_XGraph4" localSheetId="21" hidden="1">[12]aux!$B$13:$F$13</definedName>
    <definedName name="__123Graph_XGraph4" localSheetId="15" hidden="1">#REF!</definedName>
    <definedName name="__123Graph_XGraph4" hidden="1">[12]aux!$B$13:$F$13</definedName>
    <definedName name="__123Graph_XGraph5" localSheetId="11" hidden="1">#REF!</definedName>
    <definedName name="__123Graph_XGraph5" localSheetId="9" hidden="1">#REF!</definedName>
    <definedName name="__123Graph_XGraph5" localSheetId="10" hidden="1">#REF!</definedName>
    <definedName name="__123Graph_XGraph5" localSheetId="8" hidden="1">#REF!</definedName>
    <definedName name="__123Graph_XGraph5" localSheetId="7" hidden="1">#REF!</definedName>
    <definedName name="__123Graph_XGraph5" localSheetId="21" hidden="1">[12]aux!$B$15:$F$15</definedName>
    <definedName name="__123Graph_XGraph5" localSheetId="15" hidden="1">#REF!</definedName>
    <definedName name="__123Graph_XGraph5" hidden="1">[12]aux!$B$15:$F$15</definedName>
    <definedName name="__123Graph_XGraph6" localSheetId="11" hidden="1">#REF!</definedName>
    <definedName name="__123Graph_XGraph6" localSheetId="9" hidden="1">#REF!</definedName>
    <definedName name="__123Graph_XGraph6" localSheetId="10" hidden="1">#REF!</definedName>
    <definedName name="__123Graph_XGraph6" localSheetId="8" hidden="1">#REF!</definedName>
    <definedName name="__123Graph_XGraph6" localSheetId="7" hidden="1">#REF!</definedName>
    <definedName name="__123Graph_XGraph6" localSheetId="21" hidden="1">[12]aux!$B$17:$F$17</definedName>
    <definedName name="__123Graph_XGraph6" localSheetId="15" hidden="1">#REF!</definedName>
    <definedName name="__123Graph_XGraph6" hidden="1">[12]aux!$B$17:$F$17</definedName>
    <definedName name="__123Graph_XGraph7" localSheetId="11" hidden="1">#REF!</definedName>
    <definedName name="__123Graph_XGraph7" localSheetId="9" hidden="1">#REF!</definedName>
    <definedName name="__123Graph_XGraph7" localSheetId="10" hidden="1">#REF!</definedName>
    <definedName name="__123Graph_XGraph7" localSheetId="8" hidden="1">#REF!</definedName>
    <definedName name="__123Graph_XGraph7" localSheetId="7" hidden="1">#REF!</definedName>
    <definedName name="__123Graph_XGraph7" localSheetId="21" hidden="1">[12]aux!$B$19:$F$19</definedName>
    <definedName name="__123Graph_XGraph7" localSheetId="15" hidden="1">#REF!</definedName>
    <definedName name="__123Graph_XGraph7" hidden="1">[12]aux!$B$19:$F$19</definedName>
    <definedName name="__123Graph_XGraph8" localSheetId="11" hidden="1">#REF!</definedName>
    <definedName name="__123Graph_XGraph8" localSheetId="9" hidden="1">#REF!</definedName>
    <definedName name="__123Graph_XGraph8" localSheetId="10" hidden="1">#REF!</definedName>
    <definedName name="__123Graph_XGraph8" localSheetId="8" hidden="1">#REF!</definedName>
    <definedName name="__123Graph_XGraph8" localSheetId="7" hidden="1">#REF!</definedName>
    <definedName name="__123Graph_XGraph8" localSheetId="21" hidden="1">[12]aux!$B$21:$F$21</definedName>
    <definedName name="__123Graph_XGraph8" localSheetId="15" hidden="1">#REF!</definedName>
    <definedName name="__123Graph_XGraph8" hidden="1">[12]aux!$B$21:$F$21</definedName>
    <definedName name="__123Graph_XGraph9" localSheetId="11" hidden="1">#REF!</definedName>
    <definedName name="__123Graph_XGraph9" localSheetId="9" hidden="1">#REF!</definedName>
    <definedName name="__123Graph_XGraph9" localSheetId="10" hidden="1">#REF!</definedName>
    <definedName name="__123Graph_XGraph9" localSheetId="8" hidden="1">#REF!</definedName>
    <definedName name="__123Graph_XGraph9" localSheetId="7" hidden="1">#REF!</definedName>
    <definedName name="__123Graph_XGraph9" localSheetId="21" hidden="1">[12]aux!$B$23:$F$23</definedName>
    <definedName name="__123Graph_XGraph9" localSheetId="15" hidden="1">#REF!</definedName>
    <definedName name="__123Graph_XGraph9" hidden="1">[12]aux!$B$23:$F$23</definedName>
    <definedName name="__ABR95">#REF!</definedName>
    <definedName name="__ABR96">#REF!</definedName>
    <definedName name="__ABR97">#REF!</definedName>
    <definedName name="__ABR98">#REF!</definedName>
    <definedName name="__ABR99">#REF!</definedName>
    <definedName name="__ACA25">[13]DADOS!$C$17</definedName>
    <definedName name="__ACA50">[13]DADOS!$C$16</definedName>
    <definedName name="__AGO95">#REF!</definedName>
    <definedName name="__AGO96">#REF!</definedName>
    <definedName name="__AGO97">#REF!</definedName>
    <definedName name="__AGO98">#REF!</definedName>
    <definedName name="__AGO99">#REF!</definedName>
    <definedName name="__arg13">#REF!</definedName>
    <definedName name="__arg16">#REF!</definedName>
    <definedName name="__cab1">#REF!</definedName>
    <definedName name="__CMM30">[13]DADOS!$B$39</definedName>
    <definedName name="__DEZ94">#REF!</definedName>
    <definedName name="__DEZ95">#REF!</definedName>
    <definedName name="__DEZ96">#REF!</definedName>
    <definedName name="__DEZ97">#REF!</definedName>
    <definedName name="__DEZ98">#REF!</definedName>
    <definedName name="__DEZ99">#REF!</definedName>
    <definedName name="__emp2">'[4]DMT modelo'!$AA$13</definedName>
    <definedName name="__EXT1">#REF!</definedName>
    <definedName name="__Ext2">'[6]P A T O 99 B'!#REF!</definedName>
    <definedName name="__FEV95">#REF!</definedName>
    <definedName name="__FEV96">#REF!</definedName>
    <definedName name="__FEV97">#REF!</definedName>
    <definedName name="__FEV98">#REF!</definedName>
    <definedName name="__FEV99">#REF!</definedName>
    <definedName name="__ind100">#REF!</definedName>
    <definedName name="__JAN2003">#REF!</definedName>
    <definedName name="__JAN95">#REF!</definedName>
    <definedName name="__JAN96">#REF!</definedName>
    <definedName name="__JAN97">#REF!</definedName>
    <definedName name="__JAN98">#REF!</definedName>
    <definedName name="__JAN99">#REF!</definedName>
    <definedName name="__JAZ1">#REF!</definedName>
    <definedName name="__JAZ11">#REF!</definedName>
    <definedName name="__JAZ2">#REF!</definedName>
    <definedName name="__JAZ22">#REF!</definedName>
    <definedName name="__JAZ3">#REF!</definedName>
    <definedName name="__JAZ33">#REF!</definedName>
    <definedName name="__JUL95">#REF!</definedName>
    <definedName name="__JUL96">#REF!</definedName>
    <definedName name="__JUL97">#REF!</definedName>
    <definedName name="__JUL98">#REF!</definedName>
    <definedName name="__JUL99">#REF!</definedName>
    <definedName name="__JUN95">#REF!</definedName>
    <definedName name="__JUN96">#REF!</definedName>
    <definedName name="__JUN97">#REF!</definedName>
    <definedName name="__JUN98">#REF!</definedName>
    <definedName name="__JUN99">#REF!</definedName>
    <definedName name="__LAG2">[14]SERVIÇOS!$G$26</definedName>
    <definedName name="__MAI95">#REF!</definedName>
    <definedName name="__MAI96">#REF!</definedName>
    <definedName name="__MAI97">#REF!</definedName>
    <definedName name="__MAI98">#REF!</definedName>
    <definedName name="__MAI99">#REF!</definedName>
    <definedName name="__MAR95">#REF!</definedName>
    <definedName name="__MAR96">#REF!</definedName>
    <definedName name="__MAR97">#REF!</definedName>
    <definedName name="__MAR98">#REF!</definedName>
    <definedName name="__MAR99">#REF!</definedName>
    <definedName name="__mem2">'[5]Mat Asf'!$H$37</definedName>
    <definedName name="__NOV94">#REF!</definedName>
    <definedName name="__NOV95">#REF!</definedName>
    <definedName name="__NOV96">#REF!</definedName>
    <definedName name="__NOV97">#REF!</definedName>
    <definedName name="__NOV98">#REF!</definedName>
    <definedName name="__NOV99">#REF!</definedName>
    <definedName name="__oac2">#REF!</definedName>
    <definedName name="__OUT94">#REF!</definedName>
    <definedName name="__OUT95">#REF!</definedName>
    <definedName name="__OUT96">#REF!</definedName>
    <definedName name="__OUT97">#REF!</definedName>
    <definedName name="__OUT98" localSheetId="11" hidden="1">{#N/A,#N/A,TRUE,"Serviços"}</definedName>
    <definedName name="__OUT98" localSheetId="9" hidden="1">{#N/A,#N/A,TRUE,"Serviços"}</definedName>
    <definedName name="__OUT98" localSheetId="10" hidden="1">{#N/A,#N/A,TRUE,"Serviços"}</definedName>
    <definedName name="__OUT98" localSheetId="8" hidden="1">{#N/A,#N/A,TRUE,"Serviços"}</definedName>
    <definedName name="__OUT98" localSheetId="7" hidden="1">{#N/A,#N/A,TRUE,"Serviços"}</definedName>
    <definedName name="__OUT98" localSheetId="34" hidden="1">{#N/A,#N/A,TRUE,"Serviços"}</definedName>
    <definedName name="__OUT98" localSheetId="44" hidden="1">{#N/A,#N/A,TRUE,"Serviços"}</definedName>
    <definedName name="__OUT98" localSheetId="43" hidden="1">{#N/A,#N/A,TRUE,"Serviços"}</definedName>
    <definedName name="__OUT98" localSheetId="42" hidden="1">{#N/A,#N/A,TRUE,"Serviços"}</definedName>
    <definedName name="__OUT98" localSheetId="21" hidden="1">{#N/A,#N/A,TRUE,"Serviços"}</definedName>
    <definedName name="__OUT98" localSheetId="15" hidden="1">{#N/A,#N/A,TRUE,"Serviços"}</definedName>
    <definedName name="__OUT98" hidden="1">{#N/A,#N/A,TRUE,"Serviços"}</definedName>
    <definedName name="__OUT99">#REF!</definedName>
    <definedName name="__PAG1">"$#REF!.$C$16"</definedName>
    <definedName name="__PAG10">"$#REF!.$C$26"</definedName>
    <definedName name="__PAG11">"$#REF!.$C$27"</definedName>
    <definedName name="__PAG12">"$#REF!.$C$28"</definedName>
    <definedName name="__PAG13">"$#REF!.$C$21"</definedName>
    <definedName name="__PAG2">"$#REF!.$C$17"</definedName>
    <definedName name="__PAG3">"$#REF!.$C$18"</definedName>
    <definedName name="__PAG4">"$#REF!.$C$19"</definedName>
    <definedName name="__PAG5">"$#REF!.$C$20"</definedName>
    <definedName name="__PAG6">"$#REF!.$C$22"</definedName>
    <definedName name="__PAG7">"$#REF!.$C$23"</definedName>
    <definedName name="__PAG8">"$#REF!.$C$24"</definedName>
    <definedName name="__PAG9">"$#REF!.$C$25"</definedName>
    <definedName name="__pav2">#REF!</definedName>
    <definedName name="__PL1">#REF!</definedName>
    <definedName name="__QQ2">#N/A</definedName>
    <definedName name="__r">#REF!</definedName>
    <definedName name="__Rbv1">'[8]Página 16'!$C$3:$C$7</definedName>
    <definedName name="__reg1">[9]DADOS!$B$4</definedName>
    <definedName name="__reg3">[10]eq!$A$2:$D$42</definedName>
    <definedName name="__reg5">[10]mo!$A$2:$C$10</definedName>
    <definedName name="__reg7">[9]mat!$A$2:$C$33</definedName>
    <definedName name="__RET1">#REF!</definedName>
    <definedName name="__SE2">#REF!</definedName>
    <definedName name="__SET94">#REF!</definedName>
    <definedName name="__SET95">#REF!</definedName>
    <definedName name="__SET96">#REF!</definedName>
    <definedName name="__SET97">#REF!</definedName>
    <definedName name="__SET98">#REF!</definedName>
    <definedName name="__SET99">#REF!</definedName>
    <definedName name="__STC04">#REF!</definedName>
    <definedName name="__TB10">"'file:///D:/Meus documentos/ANASTÁCIO/SERCEL/BR262990800.xls'#$TLMB.$#REF!$#REF!"</definedName>
    <definedName name="__tb97">"$#REF!.$E$71"</definedName>
    <definedName name="__tbw97">"$#REF!.$E$73"</definedName>
    <definedName name="__TCB4">"$#REF!.$I$26"</definedName>
    <definedName name="__TCC4">"$#REF!.$I$18"</definedName>
    <definedName name="__TEB4">"$#REF!.$I$16"</definedName>
    <definedName name="__ter2">#REF!</definedName>
    <definedName name="__tsd4">#REF!</definedName>
    <definedName name="__TT102">'[7]Relatório-1ª med.'!#REF!</definedName>
    <definedName name="__TT107">'[7]Relatório-1ª med.'!#REF!</definedName>
    <definedName name="__TT121">'[7]Relatório-1ª med.'!#REF!</definedName>
    <definedName name="__TT123">'[7]Relatório-1ª med.'!#REF!</definedName>
    <definedName name="__TT18">[15]RELATÓRIO!#REF!</definedName>
    <definedName name="__TT19">'[7]Relatório-1ª med.'!#REF!</definedName>
    <definedName name="__TT20">'[7]Relatório-1ª med.'!#REF!</definedName>
    <definedName name="__TT21">'[7]Relatório-1ª med.'!#REF!</definedName>
    <definedName name="__TT22">'[7]Relatório-1ª med.'!#REF!</definedName>
    <definedName name="__TT26">'[7]Relatório-1ª med.'!#REF!</definedName>
    <definedName name="__TT27">'[7]Relatório-1ª med.'!#REF!</definedName>
    <definedName name="__TT28">'[7]Relatório-1ª med.'!#REF!</definedName>
    <definedName name="__TT30">'[7]Relatório-1ª med.'!#REF!</definedName>
    <definedName name="__TT31">'[7]Relatório-1ª med.'!#REF!</definedName>
    <definedName name="__TT32">'[7]Relatório-1ª med.'!#REF!</definedName>
    <definedName name="__TT33">'[7]Relatório-1ª med.'!#REF!</definedName>
    <definedName name="__TT34">'[7]Relatório-1ª med.'!#REF!</definedName>
    <definedName name="__TT36">'[7]Relatório-1ª med.'!#REF!</definedName>
    <definedName name="__TT37">'[7]Relatório-1ª med.'!#REF!</definedName>
    <definedName name="__TT38">'[7]Relatório-1ª med.'!#REF!</definedName>
    <definedName name="__TT39">'[7]Relatório-1ª med.'!#REF!</definedName>
    <definedName name="__TT40">'[7]Relatório-1ª med.'!#REF!</definedName>
    <definedName name="__TT5">'[7]Relatório-1ª med.'!#REF!</definedName>
    <definedName name="__TT52">'[7]Relatório-1ª med.'!#REF!</definedName>
    <definedName name="__TT53">'[7]Relatório-1ª med.'!#REF!</definedName>
    <definedName name="__TT54">'[7]Relatório-1ª med.'!#REF!</definedName>
    <definedName name="__TT55">'[7]Relatório-1ª med.'!#REF!</definedName>
    <definedName name="__TT6">'[7]Relatório-1ª med.'!#REF!</definedName>
    <definedName name="__TT60">'[7]Relatório-1ª med.'!#REF!</definedName>
    <definedName name="__TT61">'[7]Relatório-1ª med.'!#REF!</definedName>
    <definedName name="__TT69">'[7]Relatório-1ª med.'!#REF!</definedName>
    <definedName name="__TT7">'[7]Relatório-1ª med.'!#REF!</definedName>
    <definedName name="__TT70">'[7]Relatório-1ª med.'!#REF!</definedName>
    <definedName name="__TT71">'[7]Relatório-1ª med.'!#REF!</definedName>
    <definedName name="__TT74">'[7]Relatório-1ª med.'!#REF!</definedName>
    <definedName name="__TT75">'[7]Relatório-1ª med.'!#REF!</definedName>
    <definedName name="__TT76">'[7]Relatório-1ª med.'!#REF!</definedName>
    <definedName name="__TT77">'[7]Relatório-1ª med.'!#REF!</definedName>
    <definedName name="__TT78">'[7]Relatório-1ª med.'!#REF!</definedName>
    <definedName name="__TT79">'[7]Relatório-1ª med.'!#REF!</definedName>
    <definedName name="__TT94">'[7]Relatório-1ª med.'!#REF!</definedName>
    <definedName name="__TT95">'[7]Relatório-1ª med.'!#REF!</definedName>
    <definedName name="__TT97">'[7]Relatório-1ª med.'!#REF!</definedName>
    <definedName name="__xlfn_SUMIFS">NA()</definedName>
    <definedName name="_01_09_96">#REF!</definedName>
    <definedName name="_01_09_96_25">#REF!</definedName>
    <definedName name="_1.0_3S0900100">#REF!</definedName>
    <definedName name="_1.0_3S0900200">#REF!</definedName>
    <definedName name="_1.0_3S0900203">#REF!</definedName>
    <definedName name="_1.0_3S0900290">#REF!</definedName>
    <definedName name="_1.0_3S0900291">#REF!</definedName>
    <definedName name="_1830201">#N/A</definedName>
    <definedName name="_1Excel_BuiltIn_Print_Area_2_1">"$Quad_Quant_.$#REF!$#REF!:$#REF!$#REF!"</definedName>
    <definedName name="_1Excel_BuiltIn_Print_Area_7_1">#REF!</definedName>
    <definedName name="_2.0_3S0900100">#REF!</definedName>
    <definedName name="_2.0_3S0900200">#REF!</definedName>
    <definedName name="_2Excel_BuiltIn_Print_Area_7_1">"'file:///Y:/ENGENHARIA/Deise Aoki/PATOS - OK/PATOS 05-09-2007-ok/Laptop - Arquivos/DNIT/PATOs/Rondonópolis/PATO_BR-364_km_000_ao_km_11290_LICITAÇÃO MAIO DE 2007.xls'#$reg_mec_fx_dm_.$#REF!$#REF!:$#REF!$#REF!"</definedName>
    <definedName name="_2Excel_BuiltIn_Print_Area_8_1">#REF!</definedName>
    <definedName name="_3.0_3S0900200">#REF!</definedName>
    <definedName name="_3.0_3S0900290">#REF!</definedName>
    <definedName name="_3.0_3S0900291">#REF!</definedName>
    <definedName name="_3Excel_BuiltIn_Print_Titles_1_1">#REF!</definedName>
    <definedName name="_4.0_3S0900200">#REF!</definedName>
    <definedName name="_4.0_3S0900203">#REF!</definedName>
    <definedName name="_4.0_3S0900241">#REF!</definedName>
    <definedName name="_4.0_3S0900290">#REF!</definedName>
    <definedName name="_4.0_3S0900291">#REF!</definedName>
    <definedName name="_ABR95">#REF!</definedName>
    <definedName name="_ABR96">#REF!</definedName>
    <definedName name="_ABR97">#REF!</definedName>
    <definedName name="_ABR98">#REF!</definedName>
    <definedName name="_ABR99">#REF!</definedName>
    <definedName name="_ACA25">[13]DADOS!$C$17</definedName>
    <definedName name="_ACA50">[13]DADOS!$C$16</definedName>
    <definedName name="_AGO95">#REF!</definedName>
    <definedName name="_AGO96">#REF!</definedName>
    <definedName name="_AGO97">#REF!</definedName>
    <definedName name="_AGO98">#REF!</definedName>
    <definedName name="_AGO99">#REF!</definedName>
    <definedName name="_arg13">#REF!</definedName>
    <definedName name="_arg16">#REF!</definedName>
    <definedName name="_c">[1]PLMUSEU!#REF!</definedName>
    <definedName name="_cab1">#REF!</definedName>
    <definedName name="_CCM30">'[16]SERVIÇOS digitado'!#REF!</definedName>
    <definedName name="_CMM30">[13]DADOS!$B$39</definedName>
    <definedName name="_DEZ94">#REF!</definedName>
    <definedName name="_DEZ95">#REF!</definedName>
    <definedName name="_DEZ96">#REF!</definedName>
    <definedName name="_DEZ97">#REF!</definedName>
    <definedName name="_DEZ98">#REF!</definedName>
    <definedName name="_DEZ99">#REF!</definedName>
    <definedName name="_dmt1000">#REF!</definedName>
    <definedName name="_dmt1200">#REF!</definedName>
    <definedName name="_dmt200">#REF!</definedName>
    <definedName name="_dmt400">#REF!</definedName>
    <definedName name="_dmt50">#REF!</definedName>
    <definedName name="_dmt600">#REF!</definedName>
    <definedName name="_dmt800">#REF!</definedName>
    <definedName name="_dre2">#REF!</definedName>
    <definedName name="_ELE1">#REF!</definedName>
    <definedName name="_ELE2">#REF!</definedName>
    <definedName name="_ELE3">#REF!</definedName>
    <definedName name="_emp2">'[4]DMT modelo'!$AA$13</definedName>
    <definedName name="_EXT1">#REF!</definedName>
    <definedName name="_Ext2">'[6]P A T O 99 B'!#REF!</definedName>
    <definedName name="_FEV95">#REF!</definedName>
    <definedName name="_FEV96">#REF!</definedName>
    <definedName name="_FEV97">#REF!</definedName>
    <definedName name="_FEV98">#REF!</definedName>
    <definedName name="_FEV99">#REF!</definedName>
    <definedName name="_xlnm._FilterDatabase" localSheetId="11" hidden="1">#REF!</definedName>
    <definedName name="_xlnm._FilterDatabase" localSheetId="9" hidden="1">#REF!</definedName>
    <definedName name="_xlnm._FilterDatabase" localSheetId="10" hidden="1">#REF!</definedName>
    <definedName name="_xlnm._FilterDatabase" localSheetId="8" hidden="1">#REF!</definedName>
    <definedName name="_xlnm._FilterDatabase" localSheetId="7" hidden="1">#REF!</definedName>
    <definedName name="_xlnm._FilterDatabase" localSheetId="21" hidden="1">[17]Orçamento!$A$13:$H$24</definedName>
    <definedName name="_xlnm._FilterDatabase" localSheetId="15" hidden="1">'RESUMO MATERIAIS FINAL'!$A$2:$H$38</definedName>
    <definedName name="_xlnm._FilterDatabase" hidden="1">[17]Orçamento!$A$13:$H$24</definedName>
    <definedName name="_I">#REF!</definedName>
    <definedName name="_I_25">#REF!</definedName>
    <definedName name="_ind100">#REF!</definedName>
    <definedName name="_JAN2003">#REF!</definedName>
    <definedName name="_JAN95">#REF!</definedName>
    <definedName name="_JAN96">#REF!</definedName>
    <definedName name="_JAN97">#REF!</definedName>
    <definedName name="_JAN98">#REF!</definedName>
    <definedName name="_JAN99">#REF!</definedName>
    <definedName name="_JAZ1">#REF!</definedName>
    <definedName name="_JAZ11">#REF!</definedName>
    <definedName name="_JAZ2">#REF!</definedName>
    <definedName name="_JAZ22">#REF!</definedName>
    <definedName name="_JAZ3">#REF!</definedName>
    <definedName name="_JAZ33">#REF!</definedName>
    <definedName name="_JUL95">#REF!</definedName>
    <definedName name="_JUL96">#REF!</definedName>
    <definedName name="_JUL97">#REF!</definedName>
    <definedName name="_JUL98">#REF!</definedName>
    <definedName name="_JUL99">#REF!</definedName>
    <definedName name="_JUN95">#REF!</definedName>
    <definedName name="_JUN96">#REF!</definedName>
    <definedName name="_JUN97">#REF!</definedName>
    <definedName name="_JUN98">#REF!</definedName>
    <definedName name="_JUN99">#REF!</definedName>
    <definedName name="_Key1" localSheetId="11" hidden="1">#REF!</definedName>
    <definedName name="_Key1" localSheetId="9" hidden="1">#REF!</definedName>
    <definedName name="_Key1" localSheetId="10" hidden="1">#REF!</definedName>
    <definedName name="_Key1" localSheetId="8" hidden="1">#REF!</definedName>
    <definedName name="_Key1" localSheetId="7" hidden="1">#REF!</definedName>
    <definedName name="_Key1" localSheetId="21" hidden="1">'[18]1.6'!$A$11</definedName>
    <definedName name="_Key1" localSheetId="15" hidden="1">#REF!</definedName>
    <definedName name="_Key1" hidden="1">'[18]1.6'!$A$11</definedName>
    <definedName name="_la2">'[16]SERVIÇOS digitado'!#REF!</definedName>
    <definedName name="_LAG2">[14]SERVIÇOS!$G$26</definedName>
    <definedName name="_MAI95">#REF!</definedName>
    <definedName name="_MAI96">#REF!</definedName>
    <definedName name="_MAI97">#REF!</definedName>
    <definedName name="_MAI98">#REF!</definedName>
    <definedName name="_MAI99">#REF!</definedName>
    <definedName name="_MAR95">#REF!</definedName>
    <definedName name="_MAR96">#REF!</definedName>
    <definedName name="_MAR97">#REF!</definedName>
    <definedName name="_MAR98">#REF!</definedName>
    <definedName name="_MAR99">#REF!</definedName>
    <definedName name="_mem2">'[5]Mat Asf'!$H$37</definedName>
    <definedName name="_MO2">'[19]Desmat 0,15'!$H$30</definedName>
    <definedName name="_NOV94">#REF!</definedName>
    <definedName name="_NOV95">#REF!</definedName>
    <definedName name="_NOV96">#REF!</definedName>
    <definedName name="_NOV97">#REF!</definedName>
    <definedName name="_NOV98">#REF!</definedName>
    <definedName name="_NOV99">#REF!</definedName>
    <definedName name="_oac2">#REF!</definedName>
    <definedName name="_oae2">#REF!</definedName>
    <definedName name="_oco2">#REF!</definedName>
    <definedName name="_OR1">'[20]orcID nº1'!$A$14:$G$1025</definedName>
    <definedName name="_OR12">'[20]orc ID nº12'!$A$16:$G$181</definedName>
    <definedName name="_OR13">'[20]orc ID nº13'!$A$13:$G$34</definedName>
    <definedName name="_OR14">'[20]orc ID nº 14'!$A$14:$G$16</definedName>
    <definedName name="_OR15">'[20]orc ID nº 15'!$A$14:$G$104</definedName>
    <definedName name="_OR16">'[20]orc ID nº16'!$A$14:$G$33</definedName>
    <definedName name="_OR17">'[20]orc ID nº17'!$A$16:$G$80</definedName>
    <definedName name="_OR18">'[20]orc ID nº 18'!$A$14:$G$123</definedName>
    <definedName name="_OR19">'[20]orc ID nº19'!$A$14:$G$96</definedName>
    <definedName name="_OR2">'[20]orc ID nº2 '!$A$14:$G$70</definedName>
    <definedName name="_OR3">'[20]orc ID nº3'!$A$14:$G$134</definedName>
    <definedName name="_OR4">'[20]orcID nº4'!$A$14:$G$165</definedName>
    <definedName name="_OR5">'[20]orcID nº5'!$A$14:$G$149</definedName>
    <definedName name="_OR6">'[20]orcID nº6'!$A$14:$G$138</definedName>
    <definedName name="_OR7">'[20]orcID nº7'!$A$14:$G$137</definedName>
    <definedName name="_OR8">'[20]orc ID nº8'!$A$14:$G$133</definedName>
    <definedName name="_OR9">'[20]orc ID nº9'!$A$14:$G$157</definedName>
    <definedName name="_Order1" hidden="1">255</definedName>
    <definedName name="_Order2" hidden="1">255</definedName>
    <definedName name="_OUT94">#REF!</definedName>
    <definedName name="_OUT95">#REF!</definedName>
    <definedName name="_OUT96">#REF!</definedName>
    <definedName name="_OUT97">#REF!</definedName>
    <definedName name="_OUT98" localSheetId="11" hidden="1">{#N/A,#N/A,TRUE,"Serviços"}</definedName>
    <definedName name="_OUT98" localSheetId="9" hidden="1">{#N/A,#N/A,TRUE,"Serviços"}</definedName>
    <definedName name="_OUT98" localSheetId="10" hidden="1">{#N/A,#N/A,TRUE,"Serviços"}</definedName>
    <definedName name="_OUT98" localSheetId="8" hidden="1">{#N/A,#N/A,TRUE,"Serviços"}</definedName>
    <definedName name="_OUT98" localSheetId="7" hidden="1">{#N/A,#N/A,TRUE,"Serviços"}</definedName>
    <definedName name="_OUT98" localSheetId="34" hidden="1">{#N/A,#N/A,TRUE,"Serviços"}</definedName>
    <definedName name="_OUT98" localSheetId="44" hidden="1">{#N/A,#N/A,TRUE,"Serviços"}</definedName>
    <definedName name="_OUT98" localSheetId="43" hidden="1">{#N/A,#N/A,TRUE,"Serviços"}</definedName>
    <definedName name="_OUT98" localSheetId="42" hidden="1">{#N/A,#N/A,TRUE,"Serviços"}</definedName>
    <definedName name="_OUT98" localSheetId="21" hidden="1">{#N/A,#N/A,TRUE,"Serviços"}</definedName>
    <definedName name="_OUT98" localSheetId="15" hidden="1">{#N/A,#N/A,TRUE,"Serviços"}</definedName>
    <definedName name="_OUT98" hidden="1">{#N/A,#N/A,TRUE,"Serviços"}</definedName>
    <definedName name="_OUT99">#REF!</definedName>
    <definedName name="_PAG1">"$#REF!.$C$16"</definedName>
    <definedName name="_PAG10">"$#REF!.$C$26"</definedName>
    <definedName name="_PAG11">"$#REF!.$C$27"</definedName>
    <definedName name="_PAG12">"$#REF!.$C$28"</definedName>
    <definedName name="_PAG13">"$#REF!.$C$21"</definedName>
    <definedName name="_PAG2">"$#REF!.$C$17"</definedName>
    <definedName name="_PAG3">"$#REF!.$C$18"</definedName>
    <definedName name="_PAG4">"$#REF!.$C$19"</definedName>
    <definedName name="_PAG5">"$#REF!.$C$20"</definedName>
    <definedName name="_PAG6">"$#REF!.$C$22"</definedName>
    <definedName name="_PAG7">"$#REF!.$C$23"</definedName>
    <definedName name="_PAG8">"$#REF!.$C$24"</definedName>
    <definedName name="_PAG9">"$#REF!.$C$25"</definedName>
    <definedName name="_pav2">#REF!</definedName>
    <definedName name="_PCM30">'[16]SERVIÇOS digitado'!#REF!</definedName>
    <definedName name="_PL1">#REF!</definedName>
    <definedName name="_PLA2">'[16]SERVIÇOS digitado'!#REF!</definedName>
    <definedName name="_PTB10">'[16]SERVIÇOS digitado'!#REF!</definedName>
    <definedName name="_QQ2">#N/A</definedName>
    <definedName name="_r">#REF!</definedName>
    <definedName name="_Rbv1">'[8]Página 16'!$C$3:$C$7</definedName>
    <definedName name="_reg1">[9]DADOS!$B$4</definedName>
    <definedName name="_reg3">[10]eq!$A$2:$D$42</definedName>
    <definedName name="_reg5">[10]mo!$A$2:$C$10</definedName>
    <definedName name="_reg7">[9]mat!$A$2:$C$33</definedName>
    <definedName name="_Regression_Int" hidden="1">1</definedName>
    <definedName name="_RET1">#REF!</definedName>
    <definedName name="_S">[2]COMPOS1!#REF!</definedName>
    <definedName name="_S_10">[21]COMPOS1!#REF!</definedName>
    <definedName name="_S_25">[21]COMPOS1!#REF!</definedName>
    <definedName name="_S_27">[21]COMPOS1!#REF!</definedName>
    <definedName name="_S_29">[22]COMPOS1!#REF!</definedName>
    <definedName name="_S_31">[22]COMPOS1!#REF!</definedName>
    <definedName name="_S_9">[21]COMPOS1!#REF!</definedName>
    <definedName name="_SE2">#REF!</definedName>
    <definedName name="_SET94">#REF!</definedName>
    <definedName name="_SET95">#REF!</definedName>
    <definedName name="_SET96">#REF!</definedName>
    <definedName name="_SET97">#REF!</definedName>
    <definedName name="_SET98">#REF!</definedName>
    <definedName name="_SET99">#REF!</definedName>
    <definedName name="_STC04">#REF!</definedName>
    <definedName name="_sub1">#REF!</definedName>
    <definedName name="_sub2">#REF!</definedName>
    <definedName name="_sub3">#REF!</definedName>
    <definedName name="_sub4">#REF!</definedName>
    <definedName name="_tab0198">'[23]DER janeiro98'!$A$1:$D$810</definedName>
    <definedName name="_TB10">"'file:///D:/Meus documentos/ANASTÁCIO/SERCEL/BR262990800.xls'#$TLMB.$#REF!$#REF!"</definedName>
    <definedName name="_tb97">"$#REF!.$E$71"</definedName>
    <definedName name="_tbw97">"$#REF!.$E$73"</definedName>
    <definedName name="_TCB4">"$#REF!.$I$26"</definedName>
    <definedName name="_TCC4">"$#REF!.$I$18"</definedName>
    <definedName name="_TCM30">'[24]Mat. Bet.'!$F$25</definedName>
    <definedName name="_TEB4">"$#REF!.$I$16"</definedName>
    <definedName name="_ter2">#REF!</definedName>
    <definedName name="_tot1">#REF!</definedName>
    <definedName name="_tot2">#REF!</definedName>
    <definedName name="_tot3">#REF!</definedName>
    <definedName name="_tot4">#REF!</definedName>
    <definedName name="_tot5">#REF!</definedName>
    <definedName name="_TOT6">'[16]SERVIÇOS digitado'!$I$113</definedName>
    <definedName name="_TOT7">'[16]SERVIÇOS digitado'!#REF!</definedName>
    <definedName name="_tot8">#REF!</definedName>
    <definedName name="_TSD2">'[16]SERVIÇOS digitado'!#REF!</definedName>
    <definedName name="_tsd4">#REF!</definedName>
    <definedName name="_tt1">#N/A</definedName>
    <definedName name="_TT102">'[7]Relatório-1ª med.'!#REF!</definedName>
    <definedName name="_TT107">'[7]Relatório-1ª med.'!#REF!</definedName>
    <definedName name="_TT121">'[7]Relatório-1ª med.'!#REF!</definedName>
    <definedName name="_TT123">'[7]Relatório-1ª med.'!#REF!</definedName>
    <definedName name="_TT18">[25]RELATÓRIO!#REF!</definedName>
    <definedName name="_TT19">'[7]Relatório-1ª med.'!#REF!</definedName>
    <definedName name="_TT20">'[7]Relatório-1ª med.'!#REF!</definedName>
    <definedName name="_TT21">'[7]Relatório-1ª med.'!#REF!</definedName>
    <definedName name="_TT22">'[7]Relatório-1ª med.'!#REF!</definedName>
    <definedName name="_TT26">'[7]Relatório-1ª med.'!#REF!</definedName>
    <definedName name="_TT27">'[7]Relatório-1ª med.'!#REF!</definedName>
    <definedName name="_TT28">'[7]Relatório-1ª med.'!#REF!</definedName>
    <definedName name="_TT30">'[7]Relatório-1ª med.'!#REF!</definedName>
    <definedName name="_TT31">'[7]Relatório-1ª med.'!#REF!</definedName>
    <definedName name="_TT32">'[7]Relatório-1ª med.'!#REF!</definedName>
    <definedName name="_TT33">'[7]Relatório-1ª med.'!#REF!</definedName>
    <definedName name="_TT34">'[7]Relatório-1ª med.'!#REF!</definedName>
    <definedName name="_TT36">'[7]Relatório-1ª med.'!#REF!</definedName>
    <definedName name="_TT37">'[7]Relatório-1ª med.'!#REF!</definedName>
    <definedName name="_TT38">'[7]Relatório-1ª med.'!#REF!</definedName>
    <definedName name="_TT39">'[7]Relatório-1ª med.'!#REF!</definedName>
    <definedName name="_TT40">'[7]Relatório-1ª med.'!#REF!</definedName>
    <definedName name="_TT5">'[7]Relatório-1ª med.'!#REF!</definedName>
    <definedName name="_TT52">'[7]Relatório-1ª med.'!#REF!</definedName>
    <definedName name="_TT53">'[7]Relatório-1ª med.'!#REF!</definedName>
    <definedName name="_TT54">'[7]Relatório-1ª med.'!#REF!</definedName>
    <definedName name="_TT55">'[7]Relatório-1ª med.'!#REF!</definedName>
    <definedName name="_TT6">'[7]Relatório-1ª med.'!#REF!</definedName>
    <definedName name="_TT60">'[7]Relatório-1ª med.'!#REF!</definedName>
    <definedName name="_TT61">'[7]Relatório-1ª med.'!#REF!</definedName>
    <definedName name="_TT69">'[7]Relatório-1ª med.'!#REF!</definedName>
    <definedName name="_TT7">'[7]Relatório-1ª med.'!#REF!</definedName>
    <definedName name="_TT70">'[7]Relatório-1ª med.'!#REF!</definedName>
    <definedName name="_TT71">'[7]Relatório-1ª med.'!#REF!</definedName>
    <definedName name="_TT74">'[7]Relatório-1ª med.'!#REF!</definedName>
    <definedName name="_TT75">'[7]Relatório-1ª med.'!#REF!</definedName>
    <definedName name="_TT76">'[7]Relatório-1ª med.'!#REF!</definedName>
    <definedName name="_TT77">'[7]Relatório-1ª med.'!#REF!</definedName>
    <definedName name="_TT78">'[7]Relatório-1ª med.'!#REF!</definedName>
    <definedName name="_TT79">'[7]Relatório-1ª med.'!#REF!</definedName>
    <definedName name="_TT94">'[7]Relatório-1ª med.'!#REF!</definedName>
    <definedName name="_TT95">'[7]Relatório-1ª med.'!#REF!</definedName>
    <definedName name="_TT97">'[7]Relatório-1ª med.'!#REF!</definedName>
    <definedName name="_x">[1]PLMUSEU!#REF!</definedName>
    <definedName name="_z">[1]PLMUSEU!#REF!</definedName>
    <definedName name="A" localSheetId="11" hidden="1">{#N/A,#N/A,FALSE,"Planilha";#N/A,#N/A,FALSE,"Resumo";#N/A,#N/A,FALSE,"Fisico";#N/A,#N/A,FALSE,"Financeiro";#N/A,#N/A,FALSE,"Financeiro"}</definedName>
    <definedName name="A" localSheetId="9" hidden="1">{#N/A,#N/A,FALSE,"Planilha";#N/A,#N/A,FALSE,"Resumo";#N/A,#N/A,FALSE,"Fisico";#N/A,#N/A,FALSE,"Financeiro";#N/A,#N/A,FALSE,"Financeiro"}</definedName>
    <definedName name="A" localSheetId="10" hidden="1">{#N/A,#N/A,FALSE,"Planilha";#N/A,#N/A,FALSE,"Resumo";#N/A,#N/A,FALSE,"Fisico";#N/A,#N/A,FALSE,"Financeiro";#N/A,#N/A,FALSE,"Financeiro"}</definedName>
    <definedName name="A" localSheetId="8" hidden="1">{#N/A,#N/A,FALSE,"Planilha";#N/A,#N/A,FALSE,"Resumo";#N/A,#N/A,FALSE,"Fisico";#N/A,#N/A,FALSE,"Financeiro";#N/A,#N/A,FALSE,"Financeiro"}</definedName>
    <definedName name="A" localSheetId="7" hidden="1">{#N/A,#N/A,FALSE,"Planilha";#N/A,#N/A,FALSE,"Resumo";#N/A,#N/A,FALSE,"Fisico";#N/A,#N/A,FALSE,"Financeiro";#N/A,#N/A,FALSE,"Financeiro"}</definedName>
    <definedName name="A" localSheetId="34" hidden="1">{#N/A,#N/A,FALSE,"Planilha";#N/A,#N/A,FALSE,"Resumo";#N/A,#N/A,FALSE,"Fisico";#N/A,#N/A,FALSE,"Financeiro";#N/A,#N/A,FALSE,"Financeiro"}</definedName>
    <definedName name="A" localSheetId="44" hidden="1">{#N/A,#N/A,FALSE,"Planilha";#N/A,#N/A,FALSE,"Resumo";#N/A,#N/A,FALSE,"Fisico";#N/A,#N/A,FALSE,"Financeiro";#N/A,#N/A,FALSE,"Financeiro"}</definedName>
    <definedName name="A" localSheetId="21" hidden="1">{#N/A,#N/A,FALSE,"Planilha";#N/A,#N/A,FALSE,"Resumo";#N/A,#N/A,FALSE,"Fisico";#N/A,#N/A,FALSE,"Financeiro";#N/A,#N/A,FALSE,"Financeiro"}</definedName>
    <definedName name="A" localSheetId="15" hidden="1">{#N/A,#N/A,FALSE,"Planilha";#N/A,#N/A,FALSE,"Resumo";#N/A,#N/A,FALSE,"Fisico";#N/A,#N/A,FALSE,"Financeiro";#N/A,#N/A,FALSE,"Financeiro"}</definedName>
    <definedName name="A" hidden="1">{#N/A,#N/A,FALSE,"Planilha";#N/A,#N/A,FALSE,"Resumo";#N/A,#N/A,FALSE,"Fisico";#N/A,#N/A,FALSE,"Financeiro";#N/A,#N/A,FALSE,"Financeiro"}</definedName>
    <definedName name="a_25">#REF!</definedName>
    <definedName name="AA">#REF!</definedName>
    <definedName name="AA_1">#N/A</definedName>
    <definedName name="AA_10">#N/A</definedName>
    <definedName name="AA_12">#N/A</definedName>
    <definedName name="AA_13">#N/A</definedName>
    <definedName name="AA_14">#N/A</definedName>
    <definedName name="AA_2">#N/A</definedName>
    <definedName name="AA_22">#N/A</definedName>
    <definedName name="AA_25">#N/A</definedName>
    <definedName name="AA_26">#N/A</definedName>
    <definedName name="AA_27">#N/A</definedName>
    <definedName name="AA_28">#N/A</definedName>
    <definedName name="AA_29">#N/A</definedName>
    <definedName name="AA_3">#N/A</definedName>
    <definedName name="AA_30">#N/A</definedName>
    <definedName name="AA_31">#N/A</definedName>
    <definedName name="AA_32">#N/A</definedName>
    <definedName name="AA_33">#N/A</definedName>
    <definedName name="AA_34">#N/A</definedName>
    <definedName name="AA_35">#N/A</definedName>
    <definedName name="AA_36">#N/A</definedName>
    <definedName name="AA_37">#N/A</definedName>
    <definedName name="AA_38">#N/A</definedName>
    <definedName name="AA_4">#N/A</definedName>
    <definedName name="AA_5">#N/A</definedName>
    <definedName name="AA_6">#N/A</definedName>
    <definedName name="AA_7">#N/A</definedName>
    <definedName name="AA_8">#N/A</definedName>
    <definedName name="AA_9">#N/A</definedName>
    <definedName name="AAAA">'[7]Relatório-1ª med.'!#REF!</definedName>
    <definedName name="AAAA1">#REF!</definedName>
    <definedName name="AAAAA">#REF!</definedName>
    <definedName name="AAAAAAAAA">#N/A</definedName>
    <definedName name="AAAAAAAAA_25">#N/A</definedName>
    <definedName name="AB">#N/A</definedName>
    <definedName name="ABC_segurança">[1]PLMUSEU!#REF!</definedName>
    <definedName name="ABCD23">'[7]Relatório-1ª med.'!#REF!</definedName>
    <definedName name="ABR00">#REF!</definedName>
    <definedName name="acabamentos">#REF!</definedName>
    <definedName name="ACADGDDJSDJSBDJSJFSF">'[7]Relatório-1ª med.'!#REF!</definedName>
    <definedName name="AÇO_CA_50">#REF!</definedName>
    <definedName name="ACOSTD">#REF!</definedName>
    <definedName name="ACOSTLE">#REF!</definedName>
    <definedName name="acrescimo">#REF!</definedName>
    <definedName name="Acréscimo">#REF!</definedName>
    <definedName name="aditivo">#REF!</definedName>
    <definedName name="Agosto">#N/A</definedName>
    <definedName name="AGREGADO">#REF!</definedName>
    <definedName name="AJ">#REF!</definedName>
    <definedName name="AJA">#REF!</definedName>
    <definedName name="ajud">'[26]QTT  BETUM'!#REF!</definedName>
    <definedName name="alex" localSheetId="11" hidden="1">{#N/A,#N/A,FALSE,"MO (2)"}</definedName>
    <definedName name="alex" localSheetId="9" hidden="1">{#N/A,#N/A,FALSE,"MO (2)"}</definedName>
    <definedName name="alex" localSheetId="10" hidden="1">{#N/A,#N/A,FALSE,"MO (2)"}</definedName>
    <definedName name="alex" localSheetId="8" hidden="1">{#N/A,#N/A,FALSE,"MO (2)"}</definedName>
    <definedName name="alex" localSheetId="7" hidden="1">{#N/A,#N/A,FALSE,"MO (2)"}</definedName>
    <definedName name="alex" localSheetId="34" hidden="1">{#N/A,#N/A,FALSE,"MO (2)"}</definedName>
    <definedName name="alex" localSheetId="44" hidden="1">{#N/A,#N/A,FALSE,"MO (2)"}</definedName>
    <definedName name="alex" localSheetId="43" hidden="1">{#N/A,#N/A,FALSE,"MO (2)"}</definedName>
    <definedName name="alex" localSheetId="42" hidden="1">{#N/A,#N/A,FALSE,"MO (2)"}</definedName>
    <definedName name="alex" localSheetId="21" hidden="1">{#N/A,#N/A,FALSE,"MO (2)"}</definedName>
    <definedName name="alex" localSheetId="15" hidden="1">{#N/A,#N/A,FALSE,"MO (2)"}</definedName>
    <definedName name="alex" hidden="1">{#N/A,#N/A,FALSE,"MO (2)"}</definedName>
    <definedName name="ALTA">'[27]PRO-08'!#REF!</definedName>
    <definedName name="ALTA_10">'[28]PRO-08'!#REF!</definedName>
    <definedName name="ALTA_25">'[28]PRO-08'!#REF!</definedName>
    <definedName name="ALTA_27">'[28]PRO-08'!#REF!</definedName>
    <definedName name="ALTA_29">'[28]PRO-08'!#REF!</definedName>
    <definedName name="ALTA_9">'[28]PRO-08'!#REF!</definedName>
    <definedName name="ALVENARIA">#N/A</definedName>
    <definedName name="Alvenaria_vedação">#REF!</definedName>
    <definedName name="amarela">#REF!</definedName>
    <definedName name="amarela_25">#REF!</definedName>
    <definedName name="AnalisarAterro">[29]Plan1!#REF!</definedName>
    <definedName name="AnalisarCorte">[29]Plan1!#REF!</definedName>
    <definedName name="AND">#REF!</definedName>
    <definedName name="anscount" hidden="1">3</definedName>
    <definedName name="ant" localSheetId="11" hidden="1">{#N/A,#N/A,FALSE,"MO (2)"}</definedName>
    <definedName name="ant" localSheetId="9" hidden="1">{#N/A,#N/A,FALSE,"MO (2)"}</definedName>
    <definedName name="ant" localSheetId="10" hidden="1">{#N/A,#N/A,FALSE,"MO (2)"}</definedName>
    <definedName name="ant" localSheetId="8" hidden="1">{#N/A,#N/A,FALSE,"MO (2)"}</definedName>
    <definedName name="ant" localSheetId="7" hidden="1">{#N/A,#N/A,FALSE,"MO (2)"}</definedName>
    <definedName name="ant" localSheetId="34" hidden="1">{#N/A,#N/A,FALSE,"MO (2)"}</definedName>
    <definedName name="ant" localSheetId="44" hidden="1">{#N/A,#N/A,FALSE,"MO (2)"}</definedName>
    <definedName name="ant" localSheetId="43" hidden="1">{#N/A,#N/A,FALSE,"MO (2)"}</definedName>
    <definedName name="ant" localSheetId="42" hidden="1">{#N/A,#N/A,FALSE,"MO (2)"}</definedName>
    <definedName name="ant" localSheetId="21" hidden="1">{#N/A,#N/A,FALSE,"MO (2)"}</definedName>
    <definedName name="ant" localSheetId="17" hidden="1">{#N/A,#N/A,FALSE,"MO (2)"}</definedName>
    <definedName name="ant" localSheetId="1" hidden="1">{#N/A,#N/A,FALSE,"MO (2)"}</definedName>
    <definedName name="ant" localSheetId="16" hidden="1">{#N/A,#N/A,FALSE,"MO (2)"}</definedName>
    <definedName name="ant" localSheetId="26" hidden="1">{#N/A,#N/A,FALSE,"MO (2)"}</definedName>
    <definedName name="ant" localSheetId="13" hidden="1">{#N/A,#N/A,FALSE,"MO (2)"}</definedName>
    <definedName name="ant" localSheetId="15" hidden="1">{#N/A,#N/A,FALSE,"MO (2)"}</definedName>
    <definedName name="ant" localSheetId="33" hidden="1">{#N/A,#N/A,FALSE,"MO (2)"}</definedName>
    <definedName name="ant" hidden="1">{#N/A,#N/A,FALSE,"MO (2)"}</definedName>
    <definedName name="ant_1" localSheetId="11" hidden="1">{#N/A,#N/A,FALSE,"MO (2)"}</definedName>
    <definedName name="ant_1" localSheetId="9" hidden="1">{#N/A,#N/A,FALSE,"MO (2)"}</definedName>
    <definedName name="ant_1" localSheetId="10" hidden="1">{#N/A,#N/A,FALSE,"MO (2)"}</definedName>
    <definedName name="ant_1" localSheetId="8" hidden="1">{#N/A,#N/A,FALSE,"MO (2)"}</definedName>
    <definedName name="ant_1" localSheetId="7" hidden="1">{#N/A,#N/A,FALSE,"MO (2)"}</definedName>
    <definedName name="ant_1" localSheetId="34" hidden="1">{#N/A,#N/A,FALSE,"MO (2)"}</definedName>
    <definedName name="ant_1" localSheetId="44" hidden="1">{#N/A,#N/A,FALSE,"MO (2)"}</definedName>
    <definedName name="ant_1" localSheetId="43" hidden="1">{#N/A,#N/A,FALSE,"MO (2)"}</definedName>
    <definedName name="ant_1" localSheetId="42" hidden="1">{#N/A,#N/A,FALSE,"MO (2)"}</definedName>
    <definedName name="ant_1" localSheetId="21" hidden="1">{#N/A,#N/A,FALSE,"MO (2)"}</definedName>
    <definedName name="ant_1" localSheetId="17" hidden="1">{#N/A,#N/A,FALSE,"MO (2)"}</definedName>
    <definedName name="ant_1" localSheetId="1" hidden="1">{#N/A,#N/A,FALSE,"MO (2)"}</definedName>
    <definedName name="ant_1" localSheetId="16" hidden="1">{#N/A,#N/A,FALSE,"MO (2)"}</definedName>
    <definedName name="ant_1" localSheetId="26" hidden="1">{#N/A,#N/A,FALSE,"MO (2)"}</definedName>
    <definedName name="ant_1" localSheetId="13" hidden="1">{#N/A,#N/A,FALSE,"MO (2)"}</definedName>
    <definedName name="ant_1" localSheetId="15" hidden="1">{#N/A,#N/A,FALSE,"MO (2)"}</definedName>
    <definedName name="ant_1" localSheetId="33" hidden="1">{#N/A,#N/A,FALSE,"MO (2)"}</definedName>
    <definedName name="ant_1" hidden="1">{#N/A,#N/A,FALSE,"MO (2)"}</definedName>
    <definedName name="AQCAP20">"$#REF!.$I$15"</definedName>
    <definedName name="AQCM30">"$#REF!.$I$16"</definedName>
    <definedName name="AQRM1C">"$#REF!.$I$18"</definedName>
    <definedName name="AQRR1C">"$#REF!.$I$17"</definedName>
    <definedName name="area_base">#REF!</definedName>
    <definedName name="_xlnm.Extract">#REF!</definedName>
    <definedName name="_xlnm.Print_Area" localSheetId="2">'103689-PLACA DE OBRA '!$A$5:$G$43</definedName>
    <definedName name="_xlnm.Print_Area" localSheetId="3">'103694-POSTE MADEIRA'!$A$5:$G$17</definedName>
    <definedName name="_xlnm.Print_Area" localSheetId="11">'2003850'!$A$1:$L$44</definedName>
    <definedName name="_xlnm.Print_Area" localSheetId="9">'4011219'!$A$1:$L$39</definedName>
    <definedName name="_xlnm.Print_Area" localSheetId="10">'4016096'!$A$1:$L$38</definedName>
    <definedName name="_xlnm.Print_Area" localSheetId="8">'5914354'!$A$1:$L$30</definedName>
    <definedName name="_xlnm.Print_Area" localSheetId="24">ANP!$A$5:$E$37</definedName>
    <definedName name="_xlnm.Print_Area" localSheetId="19">'BDI-SERVIÇOS'!$E$4:$L$34</definedName>
    <definedName name="_xlnm.Print_Area" localSheetId="38">CALÇADA!$A$1:$N$53</definedName>
    <definedName name="_xlnm.Print_Area" localSheetId="23">COTAÇÃOBRITA!$B$5:$Q$32</definedName>
    <definedName name="_xlnm.Print_Area" localSheetId="0">'CPAV001-ADM'!$A$5:$L$17</definedName>
    <definedName name="_xlnm.Print_Area" localSheetId="4">'CPAV004-IMPRIMAÇÃO'!$A$5:$G$19</definedName>
    <definedName name="_xlnm.Print_Area" localSheetId="5">'CPAV005-TSD-104389'!$A$5:$G$23</definedName>
    <definedName name="_xlnm.Print_Area" localSheetId="6">'CPAV006-PISO TATIL'!$A$5:$G$16</definedName>
    <definedName name="_xlnm.Print_Area" localSheetId="30">'CPAV009- MOB_DESMOB'!$A$5:$N$36</definedName>
    <definedName name="_xlnm.Print_Area" localSheetId="7">'CPAV010 4016096'!$A$1:$L$45</definedName>
    <definedName name="_xlnm.Print_Area" localSheetId="29">'CRONOGRAMA - GERAL'!$B$5:$L$27</definedName>
    <definedName name="_xlnm.Print_Area" localSheetId="27">'CRONOGRAMA - ORIENTATIVO'!$B$5:$L$23</definedName>
    <definedName name="_xlnm.Print_Area" localSheetId="22">'CRONOGRAMA GERAL  - MATERIAIS'!$B$5:$L$21</definedName>
    <definedName name="_xlnm.Print_Area" localSheetId="20">'CRONOGRAMA REPASSE  - MATERIAIS'!$B$5:$L$21</definedName>
    <definedName name="_xlnm.Print_Area" localSheetId="34">DMT!$B$2:$H$20</definedName>
    <definedName name="_xlnm.Print_Area" localSheetId="44">'DREN. MEM. CAL.'!$B$2:$K$196</definedName>
    <definedName name="_xlnm.Print_Area" localSheetId="43">'DREN. REDE'!$A$1:$R$68</definedName>
    <definedName name="_xlnm.Print_Area" localSheetId="42">'DREN. SARJETA'!$B$1:$S$413</definedName>
    <definedName name="_xlnm.Print_Area" localSheetId="41">'MEIO-FIO E SARJETA'!$B$2:$H$54</definedName>
    <definedName name="_xlnm.Print_Area" localSheetId="17">'ORÇ. MATERIAL'!$G$1:$V$149</definedName>
    <definedName name="_xlnm.Print_Area" localSheetId="1">'ORÇ. ÓLEO DIESEL'!$B$5:$O$98</definedName>
    <definedName name="_xlnm.Print_Area" localSheetId="16">'ORÇAMENTO - GERAL'!$G$1:$U$89</definedName>
    <definedName name="_xlnm.Print_Area" localSheetId="26">'ORÇAMENTO - ORIENTATIVO'!$G$1:$Q$82</definedName>
    <definedName name="_xlnm.Print_Area" localSheetId="13">'ORÇAMENTO RESUMO NAO DESONERADO'!$G$1:$P$82</definedName>
    <definedName name="_xlnm.Print_Area" localSheetId="36">PAVIMENTO!$B$2:$L$55</definedName>
    <definedName name="_xlnm.Print_Area" localSheetId="12">QCI!$A$2:$H$10</definedName>
    <definedName name="_xlnm.Print_Area" localSheetId="14">'RESUMO - GERAL'!$B$5:$H$15</definedName>
    <definedName name="_xlnm.Print_Area" localSheetId="15">'RESUMO MATERIAIS FINAL'!$A$1:$L$38</definedName>
    <definedName name="_xlnm.Print_Area" localSheetId="25">'RESUMO -ORIENTATIVO'!$B$5:$H$13</definedName>
    <definedName name="_xlnm.Print_Area" localSheetId="32">RUAS!$B$2:$P$53</definedName>
    <definedName name="_xlnm.Print_Area" localSheetId="31">'SIN. HORIZONTAL '!$A$1:$L$105</definedName>
    <definedName name="_xlnm.Print_Area" localSheetId="37">'SUBLEITO-BASE-SUB.'!$B$2:$N$56</definedName>
    <definedName name="_xlnm.Print_Area" localSheetId="33">TERRAPLENAGEM!$A$1:$R$57</definedName>
    <definedName name="_xlnm.Print_Area" localSheetId="18">'TRANSP. DRENAGEM'!$B$2:$N$61</definedName>
    <definedName name="_xlnm.Print_Area" localSheetId="35">'TRANSP. MAT.PAV'!$B$2:$L$68</definedName>
    <definedName name="_xlnm.Print_Area" localSheetId="40">'TRANSP.PASSEIO '!$B$2:$L$20</definedName>
    <definedName name="_xlnm.Print_Area">#REF!</definedName>
    <definedName name="Área_impressão_IM">'[30]61M-CBMI'!$S$1:$U$52</definedName>
    <definedName name="AREA_IMPRI">#REF!</definedName>
    <definedName name="area_sub_base">#REF!</definedName>
    <definedName name="area01">#REF!</definedName>
    <definedName name="AREAL">#REF!</definedName>
    <definedName name="areal.pista">#REF!</definedName>
    <definedName name="AREAL.USINA">[31]Diagrama!$E$47</definedName>
    <definedName name="ÁreaTotal">'[32]Quadro Geral'!$A:$H</definedName>
    <definedName name="AREC">[13]DADOS!$C$15</definedName>
    <definedName name="Areia">#REF!</definedName>
    <definedName name="AREIACS">[13]DADOS!$C$11</definedName>
    <definedName name="AREIANP">#REF!</definedName>
    <definedName name="areianpav">[33]OAC_NPAV!$N$2</definedName>
    <definedName name="AREIAPAV">#REF!</definedName>
    <definedName name="AREIAPAVUSINA">#REF!</definedName>
    <definedName name="ARGAMASSA10">'[34]QUADRO 08 - COMPOSIÇÕES'!$H$715</definedName>
    <definedName name="ARGAMASSA10S">'[34]QUADRO 08 - COMPOSIÇÕES'!$H$713</definedName>
    <definedName name="arm">'[26]QTT  BETUM'!#REF!</definedName>
    <definedName name="as" localSheetId="11" hidden="1">{#N/A,#N/A,FALSE,"MO (2)"}</definedName>
    <definedName name="as" localSheetId="7" hidden="1">{#N/A,#N/A,FALSE,"MO (2)"}</definedName>
    <definedName name="as" localSheetId="21" hidden="1">{#N/A,#N/A,FALSE,"MO (2)"}</definedName>
    <definedName name="as" localSheetId="15" hidden="1">{#N/A,#N/A,FALSE,"MO (2)"}</definedName>
    <definedName name="as" localSheetId="33" hidden="1">{#N/A,#N/A,FALSE,"MO (2)"}</definedName>
    <definedName name="as" hidden="1">{#N/A,#N/A,FALSE,"MO (2)"}</definedName>
    <definedName name="asde">#REF!</definedName>
    <definedName name="asdf">#REF!</definedName>
    <definedName name="ASFALTO">"$#REF!.$E$#REF!"</definedName>
    <definedName name="ASSEN_TUBO_EMISS">#REF!</definedName>
    <definedName name="ASSEN_TUBO_EMISS2">#REF!</definedName>
    <definedName name="Assent.">[1]PLMUSEU!#REF!</definedName>
    <definedName name="ASSENT_EMISS3_S">#REF!</definedName>
    <definedName name="ASSENT_TUBO">#REF!</definedName>
    <definedName name="ATUAL">"$#REF!.$F$29"</definedName>
    <definedName name="Aut_original">[35]PROJETO!#REF!</definedName>
    <definedName name="Aut_original_25">[36]PROJETO!#REF!</definedName>
    <definedName name="Aut_original_4">[37]PROJETO!#REF!</definedName>
    <definedName name="Aut_resumo">[38]RESUMO_AUT1!#REF!</definedName>
    <definedName name="Aut_resumo_25">[39]RESUMO_AUT1!#REF!</definedName>
    <definedName name="Aut_resumo_4">[40]RESUMO_AUT1!#REF!</definedName>
    <definedName name="AUTO">"$#REF!.$D$12"</definedName>
    <definedName name="aux">#REF!</definedName>
    <definedName name="AvFisZero">#N/A</definedName>
    <definedName name="AVV">#REF!</definedName>
    <definedName name="azul">#REF!</definedName>
    <definedName name="azul_25">#REF!</definedName>
    <definedName name="AZULSINAL">#REF!</definedName>
    <definedName name="AZULSINAL_25">#REF!</definedName>
    <definedName name="b">#REF!</definedName>
    <definedName name="bacia16">#REF!</definedName>
    <definedName name="_xlnm.Database">#REF!</definedName>
    <definedName name="base">#REF!</definedName>
    <definedName name="bb">#N/A</definedName>
    <definedName name="bbbb" localSheetId="11" hidden="1">{#N/A,#N/A,FALSE,"MO (2)"}</definedName>
    <definedName name="bbbb" localSheetId="9" hidden="1">{#N/A,#N/A,FALSE,"MO (2)"}</definedName>
    <definedName name="bbbb" localSheetId="10" hidden="1">{#N/A,#N/A,FALSE,"MO (2)"}</definedName>
    <definedName name="bbbb" localSheetId="8" hidden="1">{#N/A,#N/A,FALSE,"MO (2)"}</definedName>
    <definedName name="bbbb" localSheetId="7" hidden="1">{#N/A,#N/A,FALSE,"MO (2)"}</definedName>
    <definedName name="bbbb" localSheetId="34" hidden="1">{#N/A,#N/A,FALSE,"MO (2)"}</definedName>
    <definedName name="bbbb" localSheetId="44" hidden="1">{#N/A,#N/A,FALSE,"MO (2)"}</definedName>
    <definedName name="bbbb" localSheetId="43" hidden="1">{#N/A,#N/A,FALSE,"MO (2)"}</definedName>
    <definedName name="bbbb" localSheetId="42" hidden="1">{#N/A,#N/A,FALSE,"MO (2)"}</definedName>
    <definedName name="bbbb" localSheetId="21" hidden="1">{#N/A,#N/A,FALSE,"MO (2)"}</definedName>
    <definedName name="bbbb" localSheetId="15" hidden="1">{#N/A,#N/A,FALSE,"MO (2)"}</definedName>
    <definedName name="bbbb" hidden="1">{#N/A,#N/A,FALSE,"MO (2)"}</definedName>
    <definedName name="bc">#REF!</definedName>
    <definedName name="BDI">#REF!</definedName>
    <definedName name="BDI_10">#REF!</definedName>
    <definedName name="BDI_25">#REF!</definedName>
    <definedName name="BDI_27">#REF!</definedName>
    <definedName name="BDI_29">#REF!</definedName>
    <definedName name="BDI_9">#REF!</definedName>
    <definedName name="BETUMINBETIM">#REF!</definedName>
    <definedName name="BETUMINCBA">#REF!</definedName>
    <definedName name="BETUMINOSO">#REF!</definedName>
    <definedName name="BG">#REF!</definedName>
    <definedName name="BG_25">#REF!</definedName>
    <definedName name="BGU">#REF!</definedName>
    <definedName name="BGU_25">#REF!</definedName>
    <definedName name="BI">[41]Teor!$A$3:$G$7</definedName>
    <definedName name="BII">'[42]Página 16'!$A$3:$G$7</definedName>
    <definedName name="BL_ANC_EMISS3_S">#REF!</definedName>
    <definedName name="BL_ANCO_EMISS2">#REF!</definedName>
    <definedName name="Bloco" localSheetId="2" hidden="1">#REF!</definedName>
    <definedName name="Bloco" localSheetId="3" hidden="1">#REF!</definedName>
    <definedName name="Bloco" localSheetId="11" hidden="1">#REF!</definedName>
    <definedName name="Bloco" localSheetId="9" hidden="1">#REF!</definedName>
    <definedName name="Bloco" localSheetId="10" hidden="1">#REF!</definedName>
    <definedName name="Bloco" localSheetId="8" hidden="1">#REF!</definedName>
    <definedName name="Bloco" localSheetId="5" hidden="1">#REF!</definedName>
    <definedName name="Bloco" localSheetId="6" hidden="1">#REF!</definedName>
    <definedName name="Bloco" localSheetId="30" hidden="1">#REF!</definedName>
    <definedName name="Bloco" localSheetId="7" hidden="1">#REF!</definedName>
    <definedName name="Bloco" localSheetId="34" hidden="1">#REF!</definedName>
    <definedName name="Bloco" localSheetId="44" hidden="1">#REF!</definedName>
    <definedName name="Bloco" localSheetId="43" hidden="1">#REF!</definedName>
    <definedName name="Bloco" localSheetId="42" hidden="1">#REF!</definedName>
    <definedName name="Bloco" localSheetId="21" hidden="1">#REF!</definedName>
    <definedName name="Bloco" localSheetId="39" hidden="1">#REF!</definedName>
    <definedName name="Bloco" localSheetId="15" hidden="1">#REF!</definedName>
    <definedName name="Bloco" localSheetId="31" hidden="1">#REF!</definedName>
    <definedName name="Bloco" localSheetId="28" hidden="1">#REF!</definedName>
    <definedName name="Bloco" hidden="1">#REF!</definedName>
    <definedName name="BLOCO_ANCOR_EMISS">#REF!</definedName>
    <definedName name="Bloco2" localSheetId="2" hidden="1">#REF!</definedName>
    <definedName name="Bloco2" localSheetId="3" hidden="1">#REF!</definedName>
    <definedName name="Bloco2" localSheetId="11" hidden="1">#REF!</definedName>
    <definedName name="Bloco2" localSheetId="9" hidden="1">#REF!</definedName>
    <definedName name="Bloco2" localSheetId="10" hidden="1">#REF!</definedName>
    <definedName name="Bloco2" localSheetId="8" hidden="1">#REF!</definedName>
    <definedName name="Bloco2" localSheetId="5" hidden="1">#REF!</definedName>
    <definedName name="Bloco2" localSheetId="6" hidden="1">#REF!</definedName>
    <definedName name="Bloco2" localSheetId="30" hidden="1">#REF!</definedName>
    <definedName name="Bloco2" localSheetId="7" hidden="1">#REF!</definedName>
    <definedName name="Bloco2" localSheetId="34" hidden="1">#REF!</definedName>
    <definedName name="Bloco2" localSheetId="44" hidden="1">#REF!</definedName>
    <definedName name="Bloco2" localSheetId="43" hidden="1">#REF!</definedName>
    <definedName name="Bloco2" localSheetId="42" hidden="1">#REF!</definedName>
    <definedName name="Bloco2" localSheetId="21" hidden="1">#REF!</definedName>
    <definedName name="Bloco2" localSheetId="39" hidden="1">#REF!</definedName>
    <definedName name="Bloco2" localSheetId="15" hidden="1">#REF!</definedName>
    <definedName name="Bloco2" localSheetId="31" hidden="1">#REF!</definedName>
    <definedName name="Bloco2" localSheetId="28" hidden="1">#REF!</definedName>
    <definedName name="Bloco2" hidden="1">#REF!</definedName>
    <definedName name="BONI">#REF!</definedName>
    <definedName name="BR">[43]Croqui!$B$3</definedName>
    <definedName name="BR_10">[44]ORÇAMENTO!$B$4</definedName>
    <definedName name="BR_10_13">[44]ORÇAMENTO!$B$4</definedName>
    <definedName name="BR_10_39">[44]ORÇAMENTO!$B$4</definedName>
    <definedName name="BR_10_6">[44]ORÇAMENTO!$B$4</definedName>
    <definedName name="BR_11">[44]ORÇAMENTO!$B$4</definedName>
    <definedName name="BR_11_13">[44]ORÇAMENTO!$B$4</definedName>
    <definedName name="BR_11_39">[44]ORÇAMENTO!$B$4</definedName>
    <definedName name="BR_11_6">[44]ORÇAMENTO!$B$4</definedName>
    <definedName name="BR_12">[44]ORÇAMENTO!$B$4</definedName>
    <definedName name="BR_12_13">[44]ORÇAMENTO!$B$4</definedName>
    <definedName name="BR_12_39">[44]ORÇAMENTO!$B$4</definedName>
    <definedName name="BR_12_6">[44]ORÇAMENTO!$B$4</definedName>
    <definedName name="BR_13">[44]ORÇAMENTO!$B$4</definedName>
    <definedName name="BR_13_13">[44]ORÇAMENTO!$B$4</definedName>
    <definedName name="BR_13_39">[44]ORÇAMENTO!$B$4</definedName>
    <definedName name="BR_13_6">[44]ORÇAMENTO!$B$4</definedName>
    <definedName name="BR_14">[44]ORÇAMENTO!$B$4</definedName>
    <definedName name="BR_14_13">[44]ORÇAMENTO!$B$4</definedName>
    <definedName name="BR_14_39">[44]ORÇAMENTO!$B$4</definedName>
    <definedName name="BR_14_6">[44]ORÇAMENTO!$B$4</definedName>
    <definedName name="BR_15">[44]ORÇAMENTO!$B$4</definedName>
    <definedName name="BR_15_13">[44]ORÇAMENTO!$B$4</definedName>
    <definedName name="BR_15_39">[44]ORÇAMENTO!$B$4</definedName>
    <definedName name="BR_15_6">[44]ORÇAMENTO!$B$4</definedName>
    <definedName name="BR_16">[44]ORÇAMENTO!$B$4</definedName>
    <definedName name="BR_16_13">[44]ORÇAMENTO!$B$4</definedName>
    <definedName name="BR_16_39">[44]ORÇAMENTO!$B$4</definedName>
    <definedName name="BR_16_6">[44]ORÇAMENTO!$B$4</definedName>
    <definedName name="BR_17">[44]ORÇAMENTO!$B$4</definedName>
    <definedName name="BR_17_13">[44]ORÇAMENTO!$B$4</definedName>
    <definedName name="BR_17_39">[44]ORÇAMENTO!$B$4</definedName>
    <definedName name="BR_17_6">[44]ORÇAMENTO!$B$4</definedName>
    <definedName name="BR_18">[44]ORÇAMENTO!$B$4</definedName>
    <definedName name="BR_18_13">[44]ORÇAMENTO!$B$4</definedName>
    <definedName name="BR_18_39">[44]ORÇAMENTO!$B$4</definedName>
    <definedName name="BR_18_6">[44]ORÇAMENTO!$B$4</definedName>
    <definedName name="BR_19">[44]ORÇAMENTO!$B$4</definedName>
    <definedName name="BR_19_13">[44]ORÇAMENTO!$B$4</definedName>
    <definedName name="BR_19_39">[44]ORÇAMENTO!$B$4</definedName>
    <definedName name="BR_19_6">[44]ORÇAMENTO!$B$4</definedName>
    <definedName name="BR_2">[44]ORÇAMENTO!$B$4</definedName>
    <definedName name="BR_2_13">[44]ORÇAMENTO!$B$4</definedName>
    <definedName name="BR_2_39">[44]ORÇAMENTO!$B$4</definedName>
    <definedName name="BR_2_6">[44]ORÇAMENTO!$B$4</definedName>
    <definedName name="BR_20">[44]ORÇAMENTO!$B$4</definedName>
    <definedName name="BR_20_13">[44]ORÇAMENTO!$B$4</definedName>
    <definedName name="BR_20_39">[44]ORÇAMENTO!$B$4</definedName>
    <definedName name="BR_20_6">[44]ORÇAMENTO!$B$4</definedName>
    <definedName name="BR_21">[44]ORÇAMENTO!$B$4</definedName>
    <definedName name="BR_21_13">[44]ORÇAMENTO!$B$4</definedName>
    <definedName name="BR_21_39">[44]ORÇAMENTO!$B$4</definedName>
    <definedName name="BR_21_6">[44]ORÇAMENTO!$B$4</definedName>
    <definedName name="BR_22">[44]ORÇAMENTO!$B$4</definedName>
    <definedName name="BR_22_13">[44]ORÇAMENTO!$B$4</definedName>
    <definedName name="BR_22_39">[44]ORÇAMENTO!$B$4</definedName>
    <definedName name="BR_22_6">[44]ORÇAMENTO!$B$4</definedName>
    <definedName name="BR_23">[44]ORÇAMENTO!$B$4</definedName>
    <definedName name="BR_23_13">[44]ORÇAMENTO!$B$4</definedName>
    <definedName name="BR_23_39">[44]ORÇAMENTO!$B$4</definedName>
    <definedName name="BR_23_6">[44]ORÇAMENTO!$B$4</definedName>
    <definedName name="BR_24">[44]ORÇAMENTO!$B$4</definedName>
    <definedName name="BR_24_13">[44]ORÇAMENTO!$B$4</definedName>
    <definedName name="BR_24_39">[44]ORÇAMENTO!$B$4</definedName>
    <definedName name="BR_24_6">[44]ORÇAMENTO!$B$4</definedName>
    <definedName name="BR_25">[44]ORÇAMENTO!$B$4</definedName>
    <definedName name="BR_25_13">[44]ORÇAMENTO!$B$4</definedName>
    <definedName name="BR_25_39">[44]ORÇAMENTO!$B$4</definedName>
    <definedName name="BR_25_6">[44]ORÇAMENTO!$B$4</definedName>
    <definedName name="BR_26">[44]ORÇAMENTO!$B$4</definedName>
    <definedName name="BR_26_13">[44]ORÇAMENTO!$B$4</definedName>
    <definedName name="BR_26_39">[44]ORÇAMENTO!$B$4</definedName>
    <definedName name="BR_26_6">[44]ORÇAMENTO!$B$4</definedName>
    <definedName name="BR_27">[44]ORÇAMENTO!$B$4</definedName>
    <definedName name="BR_27_13">[44]ORÇAMENTO!$B$4</definedName>
    <definedName name="BR_27_39">[44]ORÇAMENTO!$B$4</definedName>
    <definedName name="BR_27_6">[44]ORÇAMENTO!$B$4</definedName>
    <definedName name="BR_28">[44]ORÇAMENTO!$B$4</definedName>
    <definedName name="BR_28_13">[44]ORÇAMENTO!$B$4</definedName>
    <definedName name="BR_28_39">[44]ORÇAMENTO!$B$4</definedName>
    <definedName name="BR_28_6">[44]ORÇAMENTO!$B$4</definedName>
    <definedName name="BR_29">[44]ORÇAMENTO!$B$4</definedName>
    <definedName name="BR_29_13">[44]ORÇAMENTO!$B$4</definedName>
    <definedName name="BR_29_39">[44]ORÇAMENTO!$B$4</definedName>
    <definedName name="BR_29_6">[44]ORÇAMENTO!$B$4</definedName>
    <definedName name="BR_30">[44]ORÇAMENTO!$B$4</definedName>
    <definedName name="BR_30_13">[44]ORÇAMENTO!$B$4</definedName>
    <definedName name="BR_30_39">[44]ORÇAMENTO!$B$4</definedName>
    <definedName name="BR_30_6">[44]ORÇAMENTO!$B$4</definedName>
    <definedName name="BR_31">[44]ORÇAMENTO!$B$4</definedName>
    <definedName name="BR_32">[44]ORÇAMENTO!$B$4</definedName>
    <definedName name="BR_32_13">[44]ORÇAMENTO!$B$4</definedName>
    <definedName name="BR_32_39">[44]ORÇAMENTO!$B$4</definedName>
    <definedName name="BR_32_6">[44]ORÇAMENTO!$B$4</definedName>
    <definedName name="BR_33">[44]ORÇAMENTO!$B$4</definedName>
    <definedName name="BR_33_13">[44]ORÇAMENTO!$B$4</definedName>
    <definedName name="BR_33_39">[44]ORÇAMENTO!$B$4</definedName>
    <definedName name="BR_33_6">[44]ORÇAMENTO!$B$4</definedName>
    <definedName name="BR_34">[44]ORÇAMENTO!$B$4</definedName>
    <definedName name="BR_34_13">[44]ORÇAMENTO!$B$4</definedName>
    <definedName name="BR_34_39">[44]ORÇAMENTO!$B$4</definedName>
    <definedName name="BR_34_6">[44]ORÇAMENTO!$B$4</definedName>
    <definedName name="BR_40">[44]ORÇAMENTO!$B$4</definedName>
    <definedName name="BR_40_13">[44]ORÇAMENTO!$B$4</definedName>
    <definedName name="BR_40_39">[44]ORÇAMENTO!$B$4</definedName>
    <definedName name="BR_40_6">[44]ORÇAMENTO!$B$4</definedName>
    <definedName name="BR_41">[44]ORÇAMENTO!$B$4</definedName>
    <definedName name="BR_41_13">[44]ORÇAMENTO!$B$4</definedName>
    <definedName name="BR_41_39">[44]ORÇAMENTO!$B$4</definedName>
    <definedName name="BR_41_6">[44]ORÇAMENTO!$B$4</definedName>
    <definedName name="BR_43">[44]ORÇAMENTO!$B$4</definedName>
    <definedName name="BR_43_13">[44]ORÇAMENTO!$B$4</definedName>
    <definedName name="BR_43_39">[44]ORÇAMENTO!$B$4</definedName>
    <definedName name="BR_43_6">[44]ORÇAMENTO!$B$4</definedName>
    <definedName name="BR_44">[44]ORÇAMENTO!$B$4</definedName>
    <definedName name="BR_44_13">[44]ORÇAMENTO!$B$4</definedName>
    <definedName name="BR_44_39">[44]ORÇAMENTO!$B$4</definedName>
    <definedName name="BR_44_6">[44]ORÇAMENTO!$B$4</definedName>
    <definedName name="BR_45">[44]ORÇAMENTO!$B$4</definedName>
    <definedName name="BR_45_13">[44]ORÇAMENTO!$B$4</definedName>
    <definedName name="BR_45_39">[44]ORÇAMENTO!$B$4</definedName>
    <definedName name="BR_45_6">[44]ORÇAMENTO!$B$4</definedName>
    <definedName name="BR_46">[44]ORÇAMENTO!$B$4</definedName>
    <definedName name="BR_46_13">[44]ORÇAMENTO!$B$4</definedName>
    <definedName name="BR_46_39">[44]ORÇAMENTO!$B$4</definedName>
    <definedName name="BR_46_6">[44]ORÇAMENTO!$B$4</definedName>
    <definedName name="BR_47">[44]ORÇAMENTO!$B$4</definedName>
    <definedName name="BR_47_13">[44]ORÇAMENTO!$B$4</definedName>
    <definedName name="BR_47_39">[44]ORÇAMENTO!$B$4</definedName>
    <definedName name="BR_47_6">[44]ORÇAMENTO!$B$4</definedName>
    <definedName name="BR_48">[44]ORÇAMENTO!$B$4</definedName>
    <definedName name="BR_48_13">[44]ORÇAMENTO!$B$4</definedName>
    <definedName name="BR_48_39">[44]ORÇAMENTO!$B$4</definedName>
    <definedName name="BR_48_6">[44]ORÇAMENTO!$B$4</definedName>
    <definedName name="BR_49">[44]ORÇAMENTO!$B$4</definedName>
    <definedName name="BR_49_13">[44]ORÇAMENTO!$B$4</definedName>
    <definedName name="BR_49_39">[44]ORÇAMENTO!$B$4</definedName>
    <definedName name="BR_49_6">[44]ORÇAMENTO!$B$4</definedName>
    <definedName name="BR_50">[44]ORÇAMENTO!$B$4</definedName>
    <definedName name="BR_50_13">[44]ORÇAMENTO!$B$4</definedName>
    <definedName name="BR_50_39">[44]ORÇAMENTO!$B$4</definedName>
    <definedName name="BR_50_6">[44]ORÇAMENTO!$B$4</definedName>
    <definedName name="BR_51">[44]ORÇAMENTO!$B$4</definedName>
    <definedName name="BR_51_13">[44]ORÇAMENTO!$B$4</definedName>
    <definedName name="BR_51_39">[44]ORÇAMENTO!$B$4</definedName>
    <definedName name="BR_51_6">[44]ORÇAMENTO!$B$4</definedName>
    <definedName name="BR_52">[44]ORÇAMENTO!$B$4</definedName>
    <definedName name="BR_52_13">[44]ORÇAMENTO!$B$4</definedName>
    <definedName name="BR_52_39">[44]ORÇAMENTO!$B$4</definedName>
    <definedName name="BR_52_6">[44]ORÇAMENTO!$B$4</definedName>
    <definedName name="BR_6">[44]ORÇAMENTO!$B$4</definedName>
    <definedName name="BR_6_13">[44]ORÇAMENTO!$B$4</definedName>
    <definedName name="BR_6_39">[44]ORÇAMENTO!$B$4</definedName>
    <definedName name="BR_6_6">[44]ORÇAMENTO!$B$4</definedName>
    <definedName name="BR_7">[44]ORÇAMENTO!$B$4</definedName>
    <definedName name="BR_7_13">[44]ORÇAMENTO!$B$4</definedName>
    <definedName name="BR_7_39">[44]ORÇAMENTO!$B$4</definedName>
    <definedName name="BR_7_6">[44]ORÇAMENTO!$B$4</definedName>
    <definedName name="BR_8">[44]ORÇAMENTO!$B$4</definedName>
    <definedName name="BR_8_13">[44]ORÇAMENTO!$B$4</definedName>
    <definedName name="BR_8_39">[44]ORÇAMENTO!$B$4</definedName>
    <definedName name="BR_8_6">[44]ORÇAMENTO!$B$4</definedName>
    <definedName name="BR_9">[44]ORÇAMENTO!$B$4</definedName>
    <definedName name="BR_9_13">[44]ORÇAMENTO!$B$4</definedName>
    <definedName name="BR_9_39">[44]ORÇAMENTO!$B$4</definedName>
    <definedName name="BR_9_6">[44]ORÇAMENTO!$B$4</definedName>
    <definedName name="Brita">#REF!</definedName>
    <definedName name="britanpav">[33]OAC_NPAV!$N$3</definedName>
    <definedName name="BRITAP1">#REF!</definedName>
    <definedName name="BRITAP2">#REF!</definedName>
    <definedName name="BRITAT">[45]DADOS!$B$4</definedName>
    <definedName name="BRZ">[44]ORÇAMENTO!$B$4</definedName>
    <definedName name="BRZ_13">[44]ORÇAMENTO!$B$4</definedName>
    <definedName name="BRZ_39">[44]ORÇAMENTO!$B$4</definedName>
    <definedName name="BRZ_6">[44]ORÇAMENTO!$B$4</definedName>
    <definedName name="bueiro" localSheetId="11" hidden="1">{#N/A,#N/A,FALSE,"MO (2)"}</definedName>
    <definedName name="bueiro" localSheetId="9" hidden="1">{#N/A,#N/A,FALSE,"MO (2)"}</definedName>
    <definedName name="bueiro" localSheetId="10" hidden="1">{#N/A,#N/A,FALSE,"MO (2)"}</definedName>
    <definedName name="bueiro" localSheetId="8" hidden="1">{#N/A,#N/A,FALSE,"MO (2)"}</definedName>
    <definedName name="bueiro" localSheetId="7" hidden="1">{#N/A,#N/A,FALSE,"MO (2)"}</definedName>
    <definedName name="bueiro" localSheetId="44" hidden="1">{#N/A,#N/A,FALSE,"MO (2)"}</definedName>
    <definedName name="bueiro" localSheetId="21" hidden="1">{#N/A,#N/A,FALSE,"MO (2)"}</definedName>
    <definedName name="bueiro" localSheetId="15" hidden="1">{#N/A,#N/A,FALSE,"MO (2)"}</definedName>
    <definedName name="bueiro" localSheetId="33" hidden="1">{#N/A,#N/A,FALSE,"MO (2)"}</definedName>
    <definedName name="bueiro" hidden="1">{#N/A,#N/A,FALSE,"MO (2)"}</definedName>
    <definedName name="BuiltIn_Print_Titles">#REF!</definedName>
    <definedName name="c.drena">#REF!</definedName>
    <definedName name="cab">#REF!</definedName>
    <definedName name="CAB_ATERRO">#REF!</definedName>
    <definedName name="cab_cortes">#REF!</definedName>
    <definedName name="cab_dmt">#REF!</definedName>
    <definedName name="cab_limpeza">#REF!</definedName>
    <definedName name="CAB_PLANO">#REF!</definedName>
    <definedName name="cab_pmf">#REF!</definedName>
    <definedName name="CABEC">#REF!</definedName>
    <definedName name="cabeca">#REF!</definedName>
    <definedName name="CABEÇA">#REF!</definedName>
    <definedName name="cabeca1">#REF!</definedName>
    <definedName name="cabeçalho">#REF!</definedName>
    <definedName name="cabeçalho1">#REF!</definedName>
    <definedName name="cabmeio">#REF!</definedName>
    <definedName name="CAD_EMISS3_S">#REF!</definedName>
    <definedName name="CADASTRO">#REF!</definedName>
    <definedName name="CADASTRO_EMISS">#REF!</definedName>
    <definedName name="CADASTRO_EMISS2">#REF!</definedName>
    <definedName name="CADASTRO_REDE_COL">#REF!</definedName>
    <definedName name="CadIns" localSheetId="2" hidden="1">#REF!</definedName>
    <definedName name="CadIns" localSheetId="3" hidden="1">#REF!</definedName>
    <definedName name="CadIns" localSheetId="11" hidden="1">#REF!</definedName>
    <definedName name="CadIns" localSheetId="9" hidden="1">#REF!</definedName>
    <definedName name="CadIns" localSheetId="10" hidden="1">#REF!</definedName>
    <definedName name="CadIns" localSheetId="8" hidden="1">#REF!</definedName>
    <definedName name="CadIns" localSheetId="5" hidden="1">#REF!</definedName>
    <definedName name="CadIns" localSheetId="6" hidden="1">#REF!</definedName>
    <definedName name="CadIns" localSheetId="30" hidden="1">#REF!</definedName>
    <definedName name="CadIns" localSheetId="7" hidden="1">#REF!</definedName>
    <definedName name="CadIns" localSheetId="34" hidden="1">#REF!</definedName>
    <definedName name="CadIns" localSheetId="44" hidden="1">#REF!</definedName>
    <definedName name="CadIns" localSheetId="43" hidden="1">#REF!</definedName>
    <definedName name="CadIns" localSheetId="42" hidden="1">#REF!</definedName>
    <definedName name="CadIns" localSheetId="21" hidden="1">#REF!</definedName>
    <definedName name="CadIns" localSheetId="39" hidden="1">#REF!</definedName>
    <definedName name="CadIns" localSheetId="15" hidden="1">#REF!</definedName>
    <definedName name="CadIns" localSheetId="31" hidden="1">#REF!</definedName>
    <definedName name="CadIns" localSheetId="28" hidden="1">#REF!</definedName>
    <definedName name="CadIns" hidden="1">#REF!</definedName>
    <definedName name="CadSrv" localSheetId="2" hidden="1">#REF!</definedName>
    <definedName name="CadSrv" localSheetId="3" hidden="1">#REF!</definedName>
    <definedName name="CadSrv" localSheetId="11" hidden="1">#REF!</definedName>
    <definedName name="CadSrv" localSheetId="9" hidden="1">#REF!</definedName>
    <definedName name="CadSrv" localSheetId="10" hidden="1">#REF!</definedName>
    <definedName name="CadSrv" localSheetId="8" hidden="1">#REF!</definedName>
    <definedName name="CadSrv" localSheetId="5" hidden="1">#REF!</definedName>
    <definedName name="CadSrv" localSheetId="6" hidden="1">#REF!</definedName>
    <definedName name="CadSrv" localSheetId="30" hidden="1">#REF!</definedName>
    <definedName name="CadSrv" localSheetId="7" hidden="1">#REF!</definedName>
    <definedName name="CadSrv" localSheetId="34" hidden="1">#REF!</definedName>
    <definedName name="CadSrv" localSheetId="44" hidden="1">#REF!</definedName>
    <definedName name="CadSrv" localSheetId="43" hidden="1">#REF!</definedName>
    <definedName name="CadSrv" localSheetId="42" hidden="1">#REF!</definedName>
    <definedName name="CadSrv" localSheetId="21" hidden="1">#REF!</definedName>
    <definedName name="CadSrv" localSheetId="39" hidden="1">#REF!</definedName>
    <definedName name="CadSrv" localSheetId="15" hidden="1">#REF!</definedName>
    <definedName name="CadSrv" localSheetId="31" hidden="1">#REF!</definedName>
    <definedName name="CadSrv" localSheetId="28" hidden="1">#REF!</definedName>
    <definedName name="CadSrv" hidden="1">#REF!</definedName>
    <definedName name="CAI">'[16]SERVIÇOS digitado'!$G$27</definedName>
    <definedName name="CAIA">"'file:///D:/Meus documentos/ANASTÁCIO/SERCEL/BR262990800.xls'#$SERVIÇOS.$#REF!$#REF!"</definedName>
    <definedName name="caiacao">'[46]61M-CBMI'!$S$1:$U$52</definedName>
    <definedName name="CAIB">[13]DADOS!$C$19</definedName>
    <definedName name="caixa">'[3]RESUMO-DVOP'!$C$36</definedName>
    <definedName name="CAIXAS">#REF!</definedName>
    <definedName name="CAIXAS_EMISS3_S">#REF!</definedName>
    <definedName name="CAL">[13]DADOS!$C$24</definedName>
    <definedName name="CalcularAgora">#REF!</definedName>
    <definedName name="Camada_brita">#REF!</definedName>
    <definedName name="Camada_impermeabilizadora">#REF!</definedName>
    <definedName name="CAMI">"$#REF!.$D$13"</definedName>
    <definedName name="CAMPANARIO">'[47]UTR 2'!#REF!</definedName>
    <definedName name="CANALETA">#REF!</definedName>
    <definedName name="cant.pista">#REF!</definedName>
    <definedName name="CANTEIRO">[48]Diagrama!#REF!</definedName>
    <definedName name="CANTEIRO_DE_OBRAS">[49]CANT_OBRAS!$H$8</definedName>
    <definedName name="CANTEIRO_OBRAS">#REF!</definedName>
    <definedName name="CANTEIRO_P">#REF!</definedName>
    <definedName name="cap">[3]RELATÓRIO!$U$31</definedName>
    <definedName name="cap_20">#REF!</definedName>
    <definedName name="CAP20W">"$#REF!.$J$14"</definedName>
    <definedName name="CAP20WA">"$#REF!.$J$13"</definedName>
    <definedName name="CAPA" localSheetId="11" hidden="1">{#N/A,#N/A,TRUE,"Serviços"}</definedName>
    <definedName name="CAPA" localSheetId="9" hidden="1">{#N/A,#N/A,TRUE,"Serviços"}</definedName>
    <definedName name="CAPA" localSheetId="10" hidden="1">{#N/A,#N/A,TRUE,"Serviços"}</definedName>
    <definedName name="CAPA" localSheetId="8" hidden="1">{#N/A,#N/A,TRUE,"Serviços"}</definedName>
    <definedName name="CAPA" localSheetId="7" hidden="1">{#N/A,#N/A,TRUE,"Serviços"}</definedName>
    <definedName name="CAPA" localSheetId="34" hidden="1">{#N/A,#N/A,TRUE,"Serviços"}</definedName>
    <definedName name="CAPA" localSheetId="44" hidden="1">{#N/A,#N/A,TRUE,"Serviços"}</definedName>
    <definedName name="CAPA" localSheetId="43" hidden="1">{#N/A,#N/A,TRUE,"Serviços"}</definedName>
    <definedName name="CAPA" localSheetId="42" hidden="1">{#N/A,#N/A,TRUE,"Serviços"}</definedName>
    <definedName name="CAPA" localSheetId="21" hidden="1">{#N/A,#N/A,TRUE,"Serviços"}</definedName>
    <definedName name="CAPA" localSheetId="15" hidden="1">{#N/A,#N/A,TRUE,"Serviços"}</definedName>
    <definedName name="CAPA" hidden="1">{#N/A,#N/A,TRUE,"Serviços"}</definedName>
    <definedName name="capa1" localSheetId="11" hidden="1">{#N/A,#N/A,TRUE,"Serviços"}</definedName>
    <definedName name="capa1" localSheetId="9" hidden="1">{#N/A,#N/A,TRUE,"Serviços"}</definedName>
    <definedName name="capa1" localSheetId="10" hidden="1">{#N/A,#N/A,TRUE,"Serviços"}</definedName>
    <definedName name="capa1" localSheetId="8" hidden="1">{#N/A,#N/A,TRUE,"Serviços"}</definedName>
    <definedName name="capa1" localSheetId="7" hidden="1">{#N/A,#N/A,TRUE,"Serviços"}</definedName>
    <definedName name="capa1" localSheetId="34" hidden="1">{#N/A,#N/A,TRUE,"Serviços"}</definedName>
    <definedName name="capa1" localSheetId="44" hidden="1">{#N/A,#N/A,TRUE,"Serviços"}</definedName>
    <definedName name="capa1" localSheetId="43" hidden="1">{#N/A,#N/A,TRUE,"Serviços"}</definedName>
    <definedName name="capa1" localSheetId="42" hidden="1">{#N/A,#N/A,TRUE,"Serviços"}</definedName>
    <definedName name="capa1" localSheetId="21" hidden="1">{#N/A,#N/A,TRUE,"Serviços"}</definedName>
    <definedName name="capa1" localSheetId="15" hidden="1">{#N/A,#N/A,TRUE,"Serviços"}</definedName>
    <definedName name="capa1" hidden="1">{#N/A,#N/A,TRUE,"Serviços"}</definedName>
    <definedName name="capa2" localSheetId="11" hidden="1">{#N/A,#N/A,TRUE,"Serviços"}</definedName>
    <definedName name="capa2" localSheetId="9" hidden="1">{#N/A,#N/A,TRUE,"Serviços"}</definedName>
    <definedName name="capa2" localSheetId="10" hidden="1">{#N/A,#N/A,TRUE,"Serviços"}</definedName>
    <definedName name="capa2" localSheetId="8" hidden="1">{#N/A,#N/A,TRUE,"Serviços"}</definedName>
    <definedName name="capa2" localSheetId="7" hidden="1">{#N/A,#N/A,TRUE,"Serviços"}</definedName>
    <definedName name="capa2" localSheetId="34" hidden="1">{#N/A,#N/A,TRUE,"Serviços"}</definedName>
    <definedName name="capa2" localSheetId="44" hidden="1">{#N/A,#N/A,TRUE,"Serviços"}</definedName>
    <definedName name="capa2" localSheetId="43" hidden="1">{#N/A,#N/A,TRUE,"Serviços"}</definedName>
    <definedName name="capa2" localSheetId="42" hidden="1">{#N/A,#N/A,TRUE,"Serviços"}</definedName>
    <definedName name="capa2" localSheetId="21" hidden="1">{#N/A,#N/A,TRUE,"Serviços"}</definedName>
    <definedName name="capa2" localSheetId="15" hidden="1">{#N/A,#N/A,TRUE,"Serviços"}</definedName>
    <definedName name="capa2" hidden="1">{#N/A,#N/A,TRUE,"Serviços"}</definedName>
    <definedName name="CAPSEL">[14]SERVIÇOS!$G$25</definedName>
    <definedName name="CAPSEL_13">[14]SERVIÇOS!$G$25</definedName>
    <definedName name="CAPSEL_39">[14]SERVIÇOS!$G$25</definedName>
    <definedName name="CAPSEL_6">[14]SERVIÇOS!$G$25</definedName>
    <definedName name="CAPTOTAL">"$#REF!.$J$12"</definedName>
    <definedName name="carp">'[26]QTT  BETUM'!#REF!</definedName>
    <definedName name="CARRO">'[43]CALCULOS AUXILIARES'!$E$12</definedName>
    <definedName name="CBU">#REF!</definedName>
    <definedName name="CBU_25">#REF!</definedName>
    <definedName name="CBUII">#REF!</definedName>
    <definedName name="CBUII_25">#REF!</definedName>
    <definedName name="cbuq">#REF!</definedName>
    <definedName name="CBUQ_C">#REF!</definedName>
    <definedName name="CBUQB">#REF!</definedName>
    <definedName name="CBUQB_25">#REF!</definedName>
    <definedName name="CBUQc">#REF!</definedName>
    <definedName name="CBUQc_25">#REF!</definedName>
    <definedName name="çç">#N/A</definedName>
    <definedName name="CCARR">'[16]SERVIÇOS digitado'!#REF!</definedName>
    <definedName name="CCCCCCCCCCC">#N/A</definedName>
    <definedName name="CCCCCCCCCCC_25">#N/A</definedName>
    <definedName name="cch" hidden="1">#N/A</definedName>
    <definedName name="CCP">[44]SERVIÇOS!$G$59</definedName>
    <definedName name="CCP_13">[44]SERVIÇOS!$G$59</definedName>
    <definedName name="CCP_39">[44]SERVIÇOS!$G$59</definedName>
    <definedName name="CCP_6">[44]SERVIÇOS!$G$59</definedName>
    <definedName name="CCPW">"$#REF!.$E$34"</definedName>
    <definedName name="CCPWA">"$#REF!.$E$33"</definedName>
    <definedName name="ccva">#REF!</definedName>
    <definedName name="CD">[44]SERVIÇOS!$G$13</definedName>
    <definedName name="CD_13">[44]SERVIÇOS!$G$13</definedName>
    <definedName name="CD_39">[44]SERVIÇOS!$G$13</definedName>
    <definedName name="CD_6">[44]SERVIÇOS!$G$13</definedName>
    <definedName name="CD97A">"$#REF!.$H$80"</definedName>
    <definedName name="CD97AW">"$#REF!.$H$82"</definedName>
    <definedName name="CDF">'[16]SERVIÇOS digitado'!#REF!</definedName>
    <definedName name="CdQtEqA" hidden="1">2</definedName>
    <definedName name="CdQtEqP" hidden="1">2</definedName>
    <definedName name="CdQtMoA" hidden="1">2</definedName>
    <definedName name="CdQtMoP" hidden="1">2</definedName>
    <definedName name="CdQtMpA" hidden="1">5</definedName>
    <definedName name="CdQtMpP" hidden="1">5</definedName>
    <definedName name="CdQtTrA" hidden="1">2</definedName>
    <definedName name="CdQtTrP" hidden="1">2</definedName>
    <definedName name="CDSFSDA">'[7]Relatório-1ª med.'!#REF!</definedName>
    <definedName name="CDW">"$#REF!.$H$41"</definedName>
    <definedName name="CDWA">"$#REF!.$H$40"</definedName>
    <definedName name="CELSO">#N/A</definedName>
    <definedName name="CELSO_25">#N/A</definedName>
    <definedName name="cesar">#REF!</definedName>
    <definedName name="Chapisco">#REF!</definedName>
    <definedName name="Chave" localSheetId="2" hidden="1">#REF!</definedName>
    <definedName name="Chave" localSheetId="3" hidden="1">#REF!</definedName>
    <definedName name="Chave" localSheetId="11" hidden="1">#REF!</definedName>
    <definedName name="Chave" localSheetId="9" hidden="1">#REF!</definedName>
    <definedName name="Chave" localSheetId="10" hidden="1">#REF!</definedName>
    <definedName name="Chave" localSheetId="8" hidden="1">#REF!</definedName>
    <definedName name="Chave" localSheetId="5" hidden="1">#REF!</definedName>
    <definedName name="Chave" localSheetId="6" hidden="1">#REF!</definedName>
    <definedName name="Chave" localSheetId="30" hidden="1">#REF!</definedName>
    <definedName name="Chave" localSheetId="7" hidden="1">#REF!</definedName>
    <definedName name="Chave" localSheetId="34" hidden="1">#REF!</definedName>
    <definedName name="Chave" localSheetId="44" hidden="1">#REF!</definedName>
    <definedName name="Chave" localSheetId="43" hidden="1">#REF!</definedName>
    <definedName name="Chave" localSheetId="42" hidden="1">#REF!</definedName>
    <definedName name="Chave" localSheetId="21" hidden="1">#REF!</definedName>
    <definedName name="Chave" localSheetId="39" hidden="1">#REF!</definedName>
    <definedName name="Chave" localSheetId="15" hidden="1">#REF!</definedName>
    <definedName name="Chave" localSheetId="31" hidden="1">#REF!</definedName>
    <definedName name="Chave" localSheetId="28" hidden="1">#REF!</definedName>
    <definedName name="Chave" hidden="1">#REF!</definedName>
    <definedName name="Chave1" localSheetId="2" hidden="1">#REF!</definedName>
    <definedName name="Chave1" localSheetId="3" hidden="1">#REF!</definedName>
    <definedName name="Chave1" localSheetId="11" hidden="1">#REF!</definedName>
    <definedName name="Chave1" localSheetId="9" hidden="1">#REF!</definedName>
    <definedName name="Chave1" localSheetId="10" hidden="1">#REF!</definedName>
    <definedName name="Chave1" localSheetId="8" hidden="1">#REF!</definedName>
    <definedName name="Chave1" localSheetId="5" hidden="1">#REF!</definedName>
    <definedName name="Chave1" localSheetId="6" hidden="1">#REF!</definedName>
    <definedName name="Chave1" localSheetId="30" hidden="1">#REF!</definedName>
    <definedName name="Chave1" localSheetId="7" hidden="1">#REF!</definedName>
    <definedName name="Chave1" localSheetId="34" hidden="1">#REF!</definedName>
    <definedName name="Chave1" localSheetId="44" hidden="1">#REF!</definedName>
    <definedName name="Chave1" localSheetId="43" hidden="1">#REF!</definedName>
    <definedName name="Chave1" localSheetId="42" hidden="1">#REF!</definedName>
    <definedName name="Chave1" localSheetId="21" hidden="1">#REF!</definedName>
    <definedName name="Chave1" localSheetId="39" hidden="1">#REF!</definedName>
    <definedName name="Chave1" localSheetId="15" hidden="1">#REF!</definedName>
    <definedName name="Chave1" localSheetId="31" hidden="1">#REF!</definedName>
    <definedName name="Chave1" localSheetId="28" hidden="1">#REF!</definedName>
    <definedName name="Chave1" hidden="1">#REF!</definedName>
    <definedName name="CIM">[13]DADOS!$C$14</definedName>
    <definedName name="Cimento">#REF!</definedName>
    <definedName name="CIMENTOBARRA">#REF!</definedName>
    <definedName name="çl">#REF!</definedName>
    <definedName name="Clas" localSheetId="2" hidden="1">MAX(LEN(#REF!))</definedName>
    <definedName name="Clas" localSheetId="3" hidden="1">MAX(LEN(#REF!))</definedName>
    <definedName name="Clas" localSheetId="11" hidden="1">MAX(LEN(#REF!))</definedName>
    <definedName name="Clas" localSheetId="9" hidden="1">MAX(LEN(#REF!))</definedName>
    <definedName name="Clas" localSheetId="10" hidden="1">MAX(LEN(#REF!))</definedName>
    <definedName name="Clas" localSheetId="8" hidden="1">MAX(LEN(#REF!))</definedName>
    <definedName name="Clas" localSheetId="5" hidden="1">MAX(LEN(#REF!))</definedName>
    <definedName name="Clas" localSheetId="6" hidden="1">MAX(LEN(#REF!))</definedName>
    <definedName name="Clas" localSheetId="30" hidden="1">MAX(LEN(#REF!))</definedName>
    <definedName name="Clas" localSheetId="7" hidden="1">MAX(LEN(#REF!))</definedName>
    <definedName name="Clas" localSheetId="34" hidden="1">MAX(LEN(#REF!))</definedName>
    <definedName name="Clas" localSheetId="44" hidden="1">MAX(LEN(#REF!))</definedName>
    <definedName name="Clas" localSheetId="43" hidden="1">MAX(LEN(#REF!))</definedName>
    <definedName name="Clas" localSheetId="42" hidden="1">MAX(LEN(#REF!))</definedName>
    <definedName name="Clas" localSheetId="21" hidden="1">MAX(LEN(#REF!))</definedName>
    <definedName name="Clas" localSheetId="39" hidden="1">MAX(LEN(#REF!))</definedName>
    <definedName name="Clas" localSheetId="15" hidden="1">MAX(LEN(#REF!))</definedName>
    <definedName name="Clas" localSheetId="31" hidden="1">MAX(LEN(#REF!))</definedName>
    <definedName name="Clas" localSheetId="28" hidden="1">MAX(LEN(#REF!))</definedName>
    <definedName name="Clas" hidden="1">MAX(LEN(#REF!))</definedName>
    <definedName name="Cliente" hidden="1">""</definedName>
    <definedName name="Cls" hidden="1">#N/A</definedName>
    <definedName name="CM">"$#REF!.$O$31"</definedName>
    <definedName name="CM_30">#REF!</definedName>
    <definedName name="CM30W">"$#REF!.$I$14"</definedName>
    <definedName name="CM30WA">"$#REF!.$I$13"</definedName>
    <definedName name="CMTOTAL">"$#REF!.$I$12"</definedName>
    <definedName name="CMW">"$#REF!.$O$33"</definedName>
    <definedName name="CMWA">"$#REF!.$O$32"</definedName>
    <definedName name="COBERTURA">#N/A</definedName>
    <definedName name="Cobertura_canal">#REF!</definedName>
    <definedName name="COD">#REF!</definedName>
    <definedName name="Cód.">'[50]TPU-MARÇO_2002'!$B$2:$B$1965</definedName>
    <definedName name="cod.1">#REF!</definedName>
    <definedName name="cod.2">#REF!</definedName>
    <definedName name="Cód.3">#REF!</definedName>
    <definedName name="Cód.4">'[50]TPU-MARÇO_2002'!$D$2:$D$1965</definedName>
    <definedName name="Cód.Equip.">#REF!</definedName>
    <definedName name="Cód.SER">'[50]TPU-MARÇO_2002'!$H$2:$H$20</definedName>
    <definedName name="Cód.serv.">#REF!</definedName>
    <definedName name="Codigo" localSheetId="2" hidden="1">#REF!</definedName>
    <definedName name="Codigo" localSheetId="3" hidden="1">#REF!</definedName>
    <definedName name="Codigo" localSheetId="11" hidden="1">#REF!</definedName>
    <definedName name="Codigo" localSheetId="9" hidden="1">#REF!</definedName>
    <definedName name="Codigo" localSheetId="10" hidden="1">#REF!</definedName>
    <definedName name="Codigo" localSheetId="8" hidden="1">#REF!</definedName>
    <definedName name="Codigo" localSheetId="5" hidden="1">#REF!</definedName>
    <definedName name="Codigo" localSheetId="6" hidden="1">#REF!</definedName>
    <definedName name="Codigo" localSheetId="30" hidden="1">#REF!</definedName>
    <definedName name="Codigo" localSheetId="7" hidden="1">#REF!</definedName>
    <definedName name="Codigo" localSheetId="34" hidden="1">#REF!</definedName>
    <definedName name="Codigo" localSheetId="44" hidden="1">#REF!</definedName>
    <definedName name="Codigo" localSheetId="43" hidden="1">#REF!</definedName>
    <definedName name="Codigo" localSheetId="42" hidden="1">#REF!</definedName>
    <definedName name="Codigo" localSheetId="21" hidden="1">#REF!</definedName>
    <definedName name="Codigo" localSheetId="39" hidden="1">#REF!</definedName>
    <definedName name="Codigo" localSheetId="15" hidden="1">#REF!</definedName>
    <definedName name="Codigo" localSheetId="31" hidden="1">#REF!</definedName>
    <definedName name="Codigo" localSheetId="28" hidden="1">#REF!</definedName>
    <definedName name="Codigo" hidden="1">#REF!</definedName>
    <definedName name="Código">#REF!</definedName>
    <definedName name="CODOR1">'[20]orcID nº1'!$A$14:$A$1025</definedName>
    <definedName name="CODOR15">'[20]orc ID nº 15'!$A$14:$A$1000</definedName>
    <definedName name="CODOR17">'[20]orc ID nº17'!$A$16:$A$1000</definedName>
    <definedName name="CODOR18">'[20]orc ID nº 18'!$A$14:$A$1000</definedName>
    <definedName name="CODOR19">'[20]orc ID nº19'!$A$14:$A$1000</definedName>
    <definedName name="CODOR2">'[20]orc ID nº2 '!$A$14:$A$1000</definedName>
    <definedName name="CODOR3">'[20]orc ID nº3'!$A$14:$A$1001</definedName>
    <definedName name="CODOR4">'[20]orcID nº4'!$A$14:$A$1002</definedName>
    <definedName name="CODOR5">'[20]orcID nº5'!$A$14:$A$1002</definedName>
    <definedName name="CODOR6">'[20]orcID nº6'!$A$14:$A$1002</definedName>
    <definedName name="CODOR7">'[20]orcID nº7'!$A$14:$A$1003</definedName>
    <definedName name="CODOR8">'[20]orc ID nº8'!$A$14:$A$1003</definedName>
    <definedName name="CODOR9">'[20]orc ID nº9'!$A$14:$A$1002</definedName>
    <definedName name="Colchão">#REF!</definedName>
    <definedName name="Coluna" localSheetId="2" hidden="1">#REF!</definedName>
    <definedName name="Coluna" localSheetId="3" hidden="1">#REF!</definedName>
    <definedName name="Coluna" localSheetId="11" hidden="1">#REF!</definedName>
    <definedName name="Coluna" localSheetId="9" hidden="1">#REF!</definedName>
    <definedName name="Coluna" localSheetId="10" hidden="1">#REF!</definedName>
    <definedName name="Coluna" localSheetId="8" hidden="1">#REF!</definedName>
    <definedName name="Coluna" localSheetId="5" hidden="1">#REF!</definedName>
    <definedName name="Coluna" localSheetId="6" hidden="1">#REF!</definedName>
    <definedName name="Coluna" localSheetId="30" hidden="1">#REF!</definedName>
    <definedName name="Coluna" localSheetId="7" hidden="1">#REF!</definedName>
    <definedName name="Coluna" localSheetId="34" hidden="1">#REF!</definedName>
    <definedName name="Coluna" localSheetId="44" hidden="1">#REF!</definedName>
    <definedName name="Coluna" localSheetId="43" hidden="1">#REF!</definedName>
    <definedName name="Coluna" localSheetId="42" hidden="1">#REF!</definedName>
    <definedName name="Coluna" localSheetId="21" hidden="1">#REF!</definedName>
    <definedName name="Coluna" localSheetId="39" hidden="1">#REF!</definedName>
    <definedName name="Coluna" localSheetId="15" hidden="1">#REF!</definedName>
    <definedName name="Coluna" localSheetId="31" hidden="1">#REF!</definedName>
    <definedName name="Coluna" localSheetId="28" hidden="1">#REF!</definedName>
    <definedName name="Coluna" hidden="1">#REF!</definedName>
    <definedName name="Comp" localSheetId="2" hidden="1">#REF!</definedName>
    <definedName name="Comp" localSheetId="3" hidden="1">#REF!</definedName>
    <definedName name="Comp" localSheetId="11" hidden="1">#REF!</definedName>
    <definedName name="Comp" localSheetId="9" hidden="1">#REF!</definedName>
    <definedName name="Comp" localSheetId="10" hidden="1">#REF!</definedName>
    <definedName name="Comp" localSheetId="8" hidden="1">#REF!</definedName>
    <definedName name="Comp" localSheetId="5" hidden="1">#REF!</definedName>
    <definedName name="Comp" localSheetId="6" hidden="1">#REF!</definedName>
    <definedName name="Comp" localSheetId="30" hidden="1">#REF!</definedName>
    <definedName name="Comp" localSheetId="7" hidden="1">#REF!</definedName>
    <definedName name="Comp" localSheetId="34" hidden="1">#REF!</definedName>
    <definedName name="Comp" localSheetId="44" hidden="1">#REF!</definedName>
    <definedName name="Comp" localSheetId="43" hidden="1">#REF!</definedName>
    <definedName name="Comp" localSheetId="42" hidden="1">#REF!</definedName>
    <definedName name="Comp" localSheetId="21" hidden="1">#REF!</definedName>
    <definedName name="Comp" localSheetId="39" hidden="1">#REF!</definedName>
    <definedName name="Comp" localSheetId="15" hidden="1">#REF!</definedName>
    <definedName name="Comp" localSheetId="31" hidden="1">#REF!</definedName>
    <definedName name="Comp" localSheetId="28" hidden="1">#REF!</definedName>
    <definedName name="Comp" hidden="1">#REF!</definedName>
    <definedName name="COMP.CBUQ2" localSheetId="11" hidden="1">SUM(IF(#REF! =#REF!,(#REF!)*(#REF!="EQ")))</definedName>
    <definedName name="COMP.CBUQ2" localSheetId="7" hidden="1">SUM(IF(#REF! =#REF!,(#REF!)*(#REF!="EQ")))</definedName>
    <definedName name="COMP.CBUQ2" localSheetId="21" hidden="1">SUM(IF(#REF! =#REF!,(#REF!)*(#REF!="EQ")))</definedName>
    <definedName name="COMP.CBUQ2" localSheetId="15" hidden="1">SUM(IF(#REF! =#REF!,(#REF!)*(#REF!="EQ")))</definedName>
    <definedName name="COMP.CBUQ2" hidden="1">SUM(IF(#REF! =#REF!,(#REF!)*(#REF!="EQ")))</definedName>
    <definedName name="Comp_Área_Vol._25">#REF!</definedName>
    <definedName name="complementares">#REF!</definedName>
    <definedName name="composição">#REF!</definedName>
    <definedName name="CONCRETO">'[34]QUADRO 08 - COMPOSIÇÕES'!$H$129</definedName>
    <definedName name="Conser">#REF!</definedName>
    <definedName name="conserva">#REF!</definedName>
    <definedName name="consumo.2">#REF!</definedName>
    <definedName name="cont">#REF!</definedName>
    <definedName name="CONT_CANTEIRO">#REF!</definedName>
    <definedName name="CONTR">[44]SERVIÇOS!$I$5</definedName>
    <definedName name="CONTR_13">[44]SERVIÇOS!$I$5</definedName>
    <definedName name="CONTR_39">[44]SERVIÇOS!$I$5</definedName>
    <definedName name="CONTR_6">[44]SERVIÇOS!$I$5</definedName>
    <definedName name="contrapartida">#REF!</definedName>
    <definedName name="CONTRATO">[51]APONT!$B$5:$G$426</definedName>
    <definedName name="cp.100">#REF!</definedName>
    <definedName name="cp.95">#REF!</definedName>
    <definedName name="CpuAux" localSheetId="2" hidden="1">#REF!</definedName>
    <definedName name="CpuAux" localSheetId="3" hidden="1">#REF!</definedName>
    <definedName name="CpuAux" localSheetId="11" hidden="1">#REF!</definedName>
    <definedName name="CpuAux" localSheetId="9" hidden="1">#REF!</definedName>
    <definedName name="CpuAux" localSheetId="10" hidden="1">#REF!</definedName>
    <definedName name="CpuAux" localSheetId="8" hidden="1">#REF!</definedName>
    <definedName name="CpuAux" localSheetId="5" hidden="1">#REF!</definedName>
    <definedName name="CpuAux" localSheetId="6" hidden="1">#REF!</definedName>
    <definedName name="CpuAux" localSheetId="30" hidden="1">#REF!</definedName>
    <definedName name="CpuAux" localSheetId="7" hidden="1">#REF!</definedName>
    <definedName name="CpuAux" localSheetId="34" hidden="1">#REF!</definedName>
    <definedName name="CpuAux" localSheetId="44" hidden="1">#REF!</definedName>
    <definedName name="CpuAux" localSheetId="43" hidden="1">#REF!</definedName>
    <definedName name="CpuAux" localSheetId="42" hidden="1">#REF!</definedName>
    <definedName name="CpuAux" localSheetId="21" hidden="1">#REF!</definedName>
    <definedName name="CpuAux" localSheetId="39" hidden="1">#REF!</definedName>
    <definedName name="CpuAux" localSheetId="15" hidden="1">#REF!</definedName>
    <definedName name="CpuAux" localSheetId="31" hidden="1">#REF!</definedName>
    <definedName name="CpuAux" localSheetId="28" hidden="1">#REF!</definedName>
    <definedName name="CpuAux" hidden="1">#REF!</definedName>
    <definedName name="CPUBET">#REF!</definedName>
    <definedName name="CPUOAC">#REF!</definedName>
    <definedName name="CPUOAE">#REF!</definedName>
    <definedName name="CPUPAV">#REF!</definedName>
    <definedName name="CPUs" localSheetId="2" hidden="1">#REF!</definedName>
    <definedName name="CPUs" localSheetId="3" hidden="1">#REF!</definedName>
    <definedName name="CPUs" localSheetId="11" hidden="1">#REF!</definedName>
    <definedName name="CPUs" localSheetId="9" hidden="1">#REF!</definedName>
    <definedName name="CPUs" localSheetId="10" hidden="1">#REF!</definedName>
    <definedName name="CPUs" localSheetId="8" hidden="1">#REF!</definedName>
    <definedName name="CPUs" localSheetId="5" hidden="1">#REF!</definedName>
    <definedName name="CPUs" localSheetId="6" hidden="1">#REF!</definedName>
    <definedName name="CPUs" localSheetId="30" hidden="1">#REF!</definedName>
    <definedName name="CPUs" localSheetId="7" hidden="1">#REF!</definedName>
    <definedName name="CPUs" localSheetId="34" hidden="1">#REF!</definedName>
    <definedName name="CPUs" localSheetId="44" hidden="1">#REF!</definedName>
    <definedName name="CPUs" localSheetId="43" hidden="1">#REF!</definedName>
    <definedName name="CPUs" localSheetId="42" hidden="1">#REF!</definedName>
    <definedName name="CPUs" localSheetId="21" hidden="1">#REF!</definedName>
    <definedName name="CPUs" localSheetId="39" hidden="1">#REF!</definedName>
    <definedName name="CPUs" localSheetId="15" hidden="1">#REF!</definedName>
    <definedName name="CPUs" localSheetId="31" hidden="1">#REF!</definedName>
    <definedName name="CPUs" localSheetId="28" hidden="1">#REF!</definedName>
    <definedName name="CPUs" hidden="1">#REF!</definedName>
    <definedName name="CPUSERCOMPL">#REF!</definedName>
    <definedName name="CPUSIN">#REF!</definedName>
    <definedName name="CPUTER">#REF!</definedName>
    <definedName name="CPUVEIC">#REF!</definedName>
    <definedName name="CRIT" localSheetId="2" hidden="1">#REF!</definedName>
    <definedName name="CRIT" localSheetId="3" hidden="1">#REF!</definedName>
    <definedName name="CRIT" localSheetId="11" hidden="1">#REF!</definedName>
    <definedName name="CRIT" localSheetId="9" hidden="1">#REF!</definedName>
    <definedName name="CRIT" localSheetId="10" hidden="1">#REF!</definedName>
    <definedName name="CRIT" localSheetId="8" hidden="1">#REF!</definedName>
    <definedName name="CRIT" localSheetId="5" hidden="1">#REF!</definedName>
    <definedName name="CRIT" localSheetId="6" hidden="1">#REF!</definedName>
    <definedName name="CRIT" localSheetId="30" hidden="1">#REF!</definedName>
    <definedName name="CRIT" localSheetId="7" hidden="1">#REF!</definedName>
    <definedName name="CRIT" localSheetId="34" hidden="1">#REF!</definedName>
    <definedName name="CRIT" localSheetId="44" hidden="1">#REF!</definedName>
    <definedName name="CRIT" localSheetId="43" hidden="1">#REF!</definedName>
    <definedName name="CRIT" localSheetId="42" hidden="1">#REF!</definedName>
    <definedName name="CRIT" localSheetId="21" hidden="1">#REF!</definedName>
    <definedName name="CRIT" localSheetId="39" hidden="1">#REF!</definedName>
    <definedName name="CRIT" localSheetId="15" hidden="1">#REF!</definedName>
    <definedName name="CRIT" localSheetId="31" hidden="1">#REF!</definedName>
    <definedName name="CRIT" localSheetId="28" hidden="1">#REF!</definedName>
    <definedName name="CRIT" hidden="1">#REF!</definedName>
    <definedName name="_xlnm.Criteria">#REF!</definedName>
    <definedName name="Cron" localSheetId="11" hidden="1">{#N/A,#N/A,FALSE,"MO (2)"}</definedName>
    <definedName name="Cron" localSheetId="9" hidden="1">{#N/A,#N/A,FALSE,"MO (2)"}</definedName>
    <definedName name="Cron" localSheetId="10" hidden="1">{#N/A,#N/A,FALSE,"MO (2)"}</definedName>
    <definedName name="Cron" localSheetId="8" hidden="1">{#N/A,#N/A,FALSE,"MO (2)"}</definedName>
    <definedName name="Cron" localSheetId="7" hidden="1">{#N/A,#N/A,FALSE,"MO (2)"}</definedName>
    <definedName name="Cron" localSheetId="34" hidden="1">{#N/A,#N/A,FALSE,"MO (2)"}</definedName>
    <definedName name="Cron" localSheetId="44" hidden="1">{#N/A,#N/A,FALSE,"MO (2)"}</definedName>
    <definedName name="Cron" localSheetId="43" hidden="1">{#N/A,#N/A,FALSE,"MO (2)"}</definedName>
    <definedName name="Cron" localSheetId="42" hidden="1">{#N/A,#N/A,FALSE,"MO (2)"}</definedName>
    <definedName name="Cron" localSheetId="21" hidden="1">{#N/A,#N/A,FALSE,"MO (2)"}</definedName>
    <definedName name="Cron" localSheetId="17" hidden="1">{#N/A,#N/A,FALSE,"MO (2)"}</definedName>
    <definedName name="Cron" localSheetId="1" hidden="1">{#N/A,#N/A,FALSE,"MO (2)"}</definedName>
    <definedName name="Cron" localSheetId="16" hidden="1">{#N/A,#N/A,FALSE,"MO (2)"}</definedName>
    <definedName name="Cron" localSheetId="26" hidden="1">{#N/A,#N/A,FALSE,"MO (2)"}</definedName>
    <definedName name="Cron" localSheetId="13" hidden="1">{#N/A,#N/A,FALSE,"MO (2)"}</definedName>
    <definedName name="Cron" localSheetId="15" hidden="1">{#N/A,#N/A,FALSE,"MO (2)"}</definedName>
    <definedName name="Cron" localSheetId="33" hidden="1">{#N/A,#N/A,FALSE,"MO (2)"}</definedName>
    <definedName name="Cron" hidden="1">{#N/A,#N/A,FALSE,"MO (2)"}</definedName>
    <definedName name="Cron_1" localSheetId="11" hidden="1">{#N/A,#N/A,FALSE,"MO (2)"}</definedName>
    <definedName name="Cron_1" localSheetId="9" hidden="1">{#N/A,#N/A,FALSE,"MO (2)"}</definedName>
    <definedName name="Cron_1" localSheetId="10" hidden="1">{#N/A,#N/A,FALSE,"MO (2)"}</definedName>
    <definedName name="Cron_1" localSheetId="8" hidden="1">{#N/A,#N/A,FALSE,"MO (2)"}</definedName>
    <definedName name="Cron_1" localSheetId="7" hidden="1">{#N/A,#N/A,FALSE,"MO (2)"}</definedName>
    <definedName name="Cron_1" localSheetId="34" hidden="1">{#N/A,#N/A,FALSE,"MO (2)"}</definedName>
    <definedName name="Cron_1" localSheetId="44" hidden="1">{#N/A,#N/A,FALSE,"MO (2)"}</definedName>
    <definedName name="Cron_1" localSheetId="43" hidden="1">{#N/A,#N/A,FALSE,"MO (2)"}</definedName>
    <definedName name="Cron_1" localSheetId="42" hidden="1">{#N/A,#N/A,FALSE,"MO (2)"}</definedName>
    <definedName name="Cron_1" localSheetId="21" hidden="1">{#N/A,#N/A,FALSE,"MO (2)"}</definedName>
    <definedName name="Cron_1" localSheetId="17" hidden="1">{#N/A,#N/A,FALSE,"MO (2)"}</definedName>
    <definedName name="Cron_1" localSheetId="1" hidden="1">{#N/A,#N/A,FALSE,"MO (2)"}</definedName>
    <definedName name="Cron_1" localSheetId="16" hidden="1">{#N/A,#N/A,FALSE,"MO (2)"}</definedName>
    <definedName name="Cron_1" localSheetId="26" hidden="1">{#N/A,#N/A,FALSE,"MO (2)"}</definedName>
    <definedName name="Cron_1" localSheetId="13" hidden="1">{#N/A,#N/A,FALSE,"MO (2)"}</definedName>
    <definedName name="Cron_1" localSheetId="15" hidden="1">{#N/A,#N/A,FALSE,"MO (2)"}</definedName>
    <definedName name="Cron_1" localSheetId="33" hidden="1">{#N/A,#N/A,FALSE,"MO (2)"}</definedName>
    <definedName name="Cron_1" hidden="1">{#N/A,#N/A,FALSE,"MO (2)"}</definedName>
    <definedName name="crona">#REF!</definedName>
    <definedName name="CRONO">#REF!</definedName>
    <definedName name="CRONO_25">#REF!</definedName>
    <definedName name="cronograma" localSheetId="11" hidden="1">{#N/A,#N/A,TRUE,"Plan1"}</definedName>
    <definedName name="cronograma" localSheetId="9" hidden="1">{#N/A,#N/A,TRUE,"Plan1"}</definedName>
    <definedName name="cronograma" localSheetId="10" hidden="1">{#N/A,#N/A,TRUE,"Plan1"}</definedName>
    <definedName name="cronograma" localSheetId="8" hidden="1">{#N/A,#N/A,TRUE,"Plan1"}</definedName>
    <definedName name="cronograma" localSheetId="7" hidden="1">{#N/A,#N/A,TRUE,"Plan1"}</definedName>
    <definedName name="cronograma" localSheetId="34" hidden="1">{#N/A,#N/A,TRUE,"Plan1"}</definedName>
    <definedName name="cronograma" localSheetId="44" hidden="1">{#N/A,#N/A,TRUE,"Plan1"}</definedName>
    <definedName name="cronograma" localSheetId="43" hidden="1">{#N/A,#N/A,TRUE,"Plan1"}</definedName>
    <definedName name="cronograma" localSheetId="42" hidden="1">{#N/A,#N/A,TRUE,"Plan1"}</definedName>
    <definedName name="cronograma" localSheetId="21" hidden="1">{#N/A,#N/A,TRUE,"Plan1"}</definedName>
    <definedName name="cronograma" localSheetId="15" hidden="1">{#N/A,#N/A,TRUE,"Plan1"}</definedName>
    <definedName name="cronograma" hidden="1">{#N/A,#N/A,TRUE,"Plan1"}</definedName>
    <definedName name="Croquiiii">#N/A</definedName>
    <definedName name="CSA">'[16]SERVIÇOS digitado'!#REF!</definedName>
    <definedName name="CST">'[16]SERVIÇOS digitado'!#REF!</definedName>
    <definedName name="cu" localSheetId="11" hidden="1">{#N/A,#N/A,TRUE,"Serviços"}</definedName>
    <definedName name="cu" localSheetId="9" hidden="1">{#N/A,#N/A,TRUE,"Serviços"}</definedName>
    <definedName name="cu" localSheetId="10" hidden="1">{#N/A,#N/A,TRUE,"Serviços"}</definedName>
    <definedName name="cu" localSheetId="8" hidden="1">{#N/A,#N/A,TRUE,"Serviços"}</definedName>
    <definedName name="cu" localSheetId="7" hidden="1">{#N/A,#N/A,TRUE,"Serviços"}</definedName>
    <definedName name="cu" localSheetId="34" hidden="1">{#N/A,#N/A,TRUE,"Serviços"}</definedName>
    <definedName name="cu" localSheetId="44" hidden="1">{#N/A,#N/A,TRUE,"Serviços"}</definedName>
    <definedName name="cu" localSheetId="43" hidden="1">{#N/A,#N/A,TRUE,"Serviços"}</definedName>
    <definedName name="cu" localSheetId="42" hidden="1">{#N/A,#N/A,TRUE,"Serviços"}</definedName>
    <definedName name="cu" localSheetId="21" hidden="1">{#N/A,#N/A,TRUE,"Serviços"}</definedName>
    <definedName name="cu" localSheetId="15" hidden="1">{#N/A,#N/A,TRUE,"Serviços"}</definedName>
    <definedName name="cu" hidden="1">{#N/A,#N/A,TRUE,"Serviços"}</definedName>
    <definedName name="CUBAÇÃO">#REF!</definedName>
    <definedName name="CUN">#REF!</definedName>
    <definedName name="CunEq" localSheetId="2" hidden="1">SUM(IF(#REF! =#REF!,(#REF!)*(#REF!="EQ")))</definedName>
    <definedName name="CunEq" localSheetId="3" hidden="1">SUM(IF(#REF! =#REF!,(#REF!)*(#REF!="EQ")))</definedName>
    <definedName name="CunEq" localSheetId="11" hidden="1">SUM(IF(#REF! =#REF!,(#REF!)*(#REF!="EQ")))</definedName>
    <definedName name="CunEq" localSheetId="9" hidden="1">SUM(IF(#REF! =#REF!,(#REF!)*(#REF!="EQ")))</definedName>
    <definedName name="CunEq" localSheetId="10" hidden="1">SUM(IF(#REF! =#REF!,(#REF!)*(#REF!="EQ")))</definedName>
    <definedName name="CunEq" localSheetId="8" hidden="1">SUM(IF(#REF! =#REF!,(#REF!)*(#REF!="EQ")))</definedName>
    <definedName name="CunEq" localSheetId="5" hidden="1">SUM(IF(#REF! =#REF!,(#REF!)*(#REF!="EQ")))</definedName>
    <definedName name="CunEq" localSheetId="6" hidden="1">SUM(IF(#REF! =#REF!,(#REF!)*(#REF!="EQ")))</definedName>
    <definedName name="CunEq" localSheetId="30" hidden="1">SUM(IF(#REF! =#REF!,(#REF!)*(#REF!="EQ")))</definedName>
    <definedName name="CunEq" localSheetId="7" hidden="1">SUM(IF(#REF! =#REF!,(#REF!)*(#REF!="EQ")))</definedName>
    <definedName name="CunEq" localSheetId="34" hidden="1">SUM(IF(#REF! =#REF!,(#REF!)*(#REF!="EQ")))</definedName>
    <definedName name="CunEq" localSheetId="44" hidden="1">SUM(IF(#REF! =#REF!,(#REF!)*(#REF!="EQ")))</definedName>
    <definedName name="CunEq" localSheetId="43" hidden="1">SUM(IF(#REF! =#REF!,(#REF!)*(#REF!="EQ")))</definedName>
    <definedName name="CunEq" localSheetId="42" hidden="1">SUM(IF(#REF! =#REF!,(#REF!)*(#REF!="EQ")))</definedName>
    <definedName name="CunEq" localSheetId="21" hidden="1">SUM(IF(#REF! =#REF!,(#REF!)*(#REF!="EQ")))</definedName>
    <definedName name="CunEq" localSheetId="39" hidden="1">SUM(IF(#REF! =#REF!,(#REF!)*(#REF!="EQ")))</definedName>
    <definedName name="CunEq" localSheetId="15" hidden="1">SUM(IF(#REF! =#REF!,(#REF!)*(#REF!="EQ")))</definedName>
    <definedName name="CunEq" localSheetId="31" hidden="1">SUM(IF(#REF! =#REF!,(#REF!)*(#REF!="EQ")))</definedName>
    <definedName name="CunEq" localSheetId="28" hidden="1">SUM(IF(#REF! =#REF!,(#REF!)*(#REF!="EQ")))</definedName>
    <definedName name="CunEq" hidden="1">SUM(IF(#REF! =#REF!,(#REF!)*(#REF!="EQ")))</definedName>
    <definedName name="CunMo" localSheetId="2" hidden="1">SUM(IF(#REF! =#REF!,(#REF!)*(#REF!="MO")))</definedName>
    <definedName name="CunMo" localSheetId="3" hidden="1">SUM(IF(#REF! =#REF!,(#REF!)*(#REF!="MO")))</definedName>
    <definedName name="CunMo" localSheetId="11" hidden="1">SUM(IF(#REF! =#REF!,(#REF!)*(#REF!="MO")))</definedName>
    <definedName name="CunMo" localSheetId="9" hidden="1">SUM(IF(#REF! =#REF!,(#REF!)*(#REF!="MO")))</definedName>
    <definedName name="CunMo" localSheetId="10" hidden="1">SUM(IF(#REF! =#REF!,(#REF!)*(#REF!="MO")))</definedName>
    <definedName name="CunMo" localSheetId="8" hidden="1">SUM(IF(#REF! =#REF!,(#REF!)*(#REF!="MO")))</definedName>
    <definedName name="CunMo" localSheetId="5" hidden="1">SUM(IF(#REF! =#REF!,(#REF!)*(#REF!="MO")))</definedName>
    <definedName name="CunMo" localSheetId="6" hidden="1">SUM(IF(#REF! =#REF!,(#REF!)*(#REF!="MO")))</definedName>
    <definedName name="CunMo" localSheetId="30" hidden="1">SUM(IF(#REF! =#REF!,(#REF!)*(#REF!="MO")))</definedName>
    <definedName name="CunMo" localSheetId="7" hidden="1">SUM(IF(#REF! =#REF!,(#REF!)*(#REF!="MO")))</definedName>
    <definedName name="CunMo" localSheetId="34" hidden="1">SUM(IF(#REF! =#REF!,(#REF!)*(#REF!="MO")))</definedName>
    <definedName name="CunMo" localSheetId="44" hidden="1">SUM(IF(#REF! =#REF!,(#REF!)*(#REF!="MO")))</definedName>
    <definedName name="CunMo" localSheetId="43" hidden="1">SUM(IF(#REF! =#REF!,(#REF!)*(#REF!="MO")))</definedName>
    <definedName name="CunMo" localSheetId="42" hidden="1">SUM(IF(#REF! =#REF!,(#REF!)*(#REF!="MO")))</definedName>
    <definedName name="CunMo" localSheetId="21" hidden="1">SUM(IF(#REF! =#REF!,(#REF!)*(#REF!="MO")))</definedName>
    <definedName name="CunMo" localSheetId="39" hidden="1">SUM(IF(#REF! =#REF!,(#REF!)*(#REF!="MO")))</definedName>
    <definedName name="CunMo" localSheetId="15" hidden="1">SUM(IF(#REF! =#REF!,(#REF!)*(#REF!="MO")))</definedName>
    <definedName name="CunMo" localSheetId="31" hidden="1">SUM(IF(#REF! =#REF!,(#REF!)*(#REF!="MO")))</definedName>
    <definedName name="CunMo" localSheetId="28" hidden="1">SUM(IF(#REF! =#REF!,(#REF!)*(#REF!="MO")))</definedName>
    <definedName name="CunMo" hidden="1">SUM(IF(#REF! =#REF!,(#REF!)*(#REF!="MO")))</definedName>
    <definedName name="CunMp" localSheetId="2" hidden="1">SUM(IF(#REF! =#REF!,(#REF!)*(#REF!="MP")))</definedName>
    <definedName name="CunMp" localSheetId="3" hidden="1">SUM(IF(#REF! =#REF!,(#REF!)*(#REF!="MP")))</definedName>
    <definedName name="CunMp" localSheetId="11" hidden="1">SUM(IF(#REF! =#REF!,(#REF!)*(#REF!="MP")))</definedName>
    <definedName name="CunMp" localSheetId="9" hidden="1">SUM(IF(#REF! =#REF!,(#REF!)*(#REF!="MP")))</definedName>
    <definedName name="CunMp" localSheetId="10" hidden="1">SUM(IF(#REF! =#REF!,(#REF!)*(#REF!="MP")))</definedName>
    <definedName name="CunMp" localSheetId="8" hidden="1">SUM(IF(#REF! =#REF!,(#REF!)*(#REF!="MP")))</definedName>
    <definedName name="CunMp" localSheetId="5" hidden="1">SUM(IF(#REF! =#REF!,(#REF!)*(#REF!="MP")))</definedName>
    <definedName name="CunMp" localSheetId="6" hidden="1">SUM(IF(#REF! =#REF!,(#REF!)*(#REF!="MP")))</definedName>
    <definedName name="CunMp" localSheetId="30" hidden="1">SUM(IF(#REF! =#REF!,(#REF!)*(#REF!="MP")))</definedName>
    <definedName name="CunMp" localSheetId="7" hidden="1">SUM(IF(#REF! =#REF!,(#REF!)*(#REF!="MP")))</definedName>
    <definedName name="CunMp" localSheetId="34" hidden="1">SUM(IF(#REF! =#REF!,(#REF!)*(#REF!="MP")))</definedName>
    <definedName name="CunMp" localSheetId="44" hidden="1">SUM(IF(#REF! =#REF!,(#REF!)*(#REF!="MP")))</definedName>
    <definedName name="CunMp" localSheetId="43" hidden="1">SUM(IF(#REF! =#REF!,(#REF!)*(#REF!="MP")))</definedName>
    <definedName name="CunMp" localSheetId="42" hidden="1">SUM(IF(#REF! =#REF!,(#REF!)*(#REF!="MP")))</definedName>
    <definedName name="CunMp" localSheetId="21" hidden="1">SUM(IF(#REF! =#REF!,(#REF!)*(#REF!="MP")))</definedName>
    <definedName name="CunMp" localSheetId="39" hidden="1">SUM(IF(#REF! =#REF!,(#REF!)*(#REF!="MP")))</definedName>
    <definedName name="CunMp" localSheetId="15" hidden="1">SUM(IF(#REF! =#REF!,(#REF!)*(#REF!="MP")))</definedName>
    <definedName name="CunMp" localSheetId="31" hidden="1">SUM(IF(#REF! =#REF!,(#REF!)*(#REF!="MP")))</definedName>
    <definedName name="CunMp" localSheetId="28" hidden="1">SUM(IF(#REF! =#REF!,(#REF!)*(#REF!="MP")))</definedName>
    <definedName name="CunMp" hidden="1">SUM(IF(#REF! =#REF!,(#REF!)*(#REF!="MP")))</definedName>
    <definedName name="cvc">#REF!</definedName>
    <definedName name="cx.01">[52]Aterro!#REF!</definedName>
    <definedName name="cx_coletora">#REF!</definedName>
    <definedName name="d">#REF!</definedName>
    <definedName name="d.1000">#REF!</definedName>
    <definedName name="d.1200">#REF!</definedName>
    <definedName name="d.200">#REF!</definedName>
    <definedName name="d.400">#REF!</definedName>
    <definedName name="d.50">#REF!</definedName>
    <definedName name="d.600">#REF!</definedName>
    <definedName name="d.800">#REF!</definedName>
    <definedName name="d_25">#REF!</definedName>
    <definedName name="dadinho">#REF!</definedName>
    <definedName name="dadinho_29">#REF!</definedName>
    <definedName name="dadinho_31">#REF!</definedName>
    <definedName name="DADOS">#REF!</definedName>
    <definedName name="DADOS_29">#REF!</definedName>
    <definedName name="DADOS_31">#REF!</definedName>
    <definedName name="Dados_Primário">[53]PROD.PRIM.!$A$8:$J$38</definedName>
    <definedName name="DAER1" localSheetId="11" hidden="1">{#N/A,#N/A,TRUE,"Serviços"}</definedName>
    <definedName name="DAER1" localSheetId="9" hidden="1">{#N/A,#N/A,TRUE,"Serviços"}</definedName>
    <definedName name="DAER1" localSheetId="10" hidden="1">{#N/A,#N/A,TRUE,"Serviços"}</definedName>
    <definedName name="DAER1" localSheetId="8" hidden="1">{#N/A,#N/A,TRUE,"Serviços"}</definedName>
    <definedName name="DAER1" localSheetId="7" hidden="1">{#N/A,#N/A,TRUE,"Serviços"}</definedName>
    <definedName name="DAER1" localSheetId="34" hidden="1">{#N/A,#N/A,TRUE,"Serviços"}</definedName>
    <definedName name="DAER1" localSheetId="44" hidden="1">{#N/A,#N/A,TRUE,"Serviços"}</definedName>
    <definedName name="DAER1" localSheetId="43" hidden="1">{#N/A,#N/A,TRUE,"Serviços"}</definedName>
    <definedName name="DAER1" localSheetId="42" hidden="1">{#N/A,#N/A,TRUE,"Serviços"}</definedName>
    <definedName name="DAER1" localSheetId="21" hidden="1">{#N/A,#N/A,TRUE,"Serviços"}</definedName>
    <definedName name="DAER1" localSheetId="15" hidden="1">{#N/A,#N/A,TRUE,"Serviços"}</definedName>
    <definedName name="DAER1" hidden="1">{#N/A,#N/A,TRUE,"Serviços"}</definedName>
    <definedName name="DAS" localSheetId="11" hidden="1">{#N/A,#N/A,FALSE,"MO (2)"}</definedName>
    <definedName name="DAS" localSheetId="9" hidden="1">{#N/A,#N/A,FALSE,"MO (2)"}</definedName>
    <definedName name="DAS" localSheetId="10" hidden="1">{#N/A,#N/A,FALSE,"MO (2)"}</definedName>
    <definedName name="DAS" localSheetId="8" hidden="1">{#N/A,#N/A,FALSE,"MO (2)"}</definedName>
    <definedName name="DAS" localSheetId="7" hidden="1">{#N/A,#N/A,FALSE,"MO (2)"}</definedName>
    <definedName name="DAS" localSheetId="34" hidden="1">{#N/A,#N/A,FALSE,"MO (2)"}</definedName>
    <definedName name="DAS" localSheetId="44" hidden="1">{#N/A,#N/A,FALSE,"MO (2)"}</definedName>
    <definedName name="DAS" localSheetId="43" hidden="1">{#N/A,#N/A,FALSE,"MO (2)"}</definedName>
    <definedName name="DAS" localSheetId="42" hidden="1">{#N/A,#N/A,FALSE,"MO (2)"}</definedName>
    <definedName name="DAS" localSheetId="21" hidden="1">{#N/A,#N/A,FALSE,"MO (2)"}</definedName>
    <definedName name="DAS" localSheetId="17" hidden="1">{#N/A,#N/A,FALSE,"MO (2)"}</definedName>
    <definedName name="DAS" localSheetId="1" hidden="1">{#N/A,#N/A,FALSE,"MO (2)"}</definedName>
    <definedName name="DAS" localSheetId="16" hidden="1">{#N/A,#N/A,FALSE,"MO (2)"}</definedName>
    <definedName name="DAS" localSheetId="26" hidden="1">{#N/A,#N/A,FALSE,"MO (2)"}</definedName>
    <definedName name="DAS" localSheetId="13" hidden="1">{#N/A,#N/A,FALSE,"MO (2)"}</definedName>
    <definedName name="DAS" localSheetId="15" hidden="1">{#N/A,#N/A,FALSE,"MO (2)"}</definedName>
    <definedName name="DAS" localSheetId="33" hidden="1">{#N/A,#N/A,FALSE,"MO (2)"}</definedName>
    <definedName name="DAS" hidden="1">{#N/A,#N/A,FALSE,"MO (2)"}</definedName>
    <definedName name="DAS_1" localSheetId="11" hidden="1">{#N/A,#N/A,FALSE,"MO (2)"}</definedName>
    <definedName name="DAS_1" localSheetId="9" hidden="1">{#N/A,#N/A,FALSE,"MO (2)"}</definedName>
    <definedName name="DAS_1" localSheetId="10" hidden="1">{#N/A,#N/A,FALSE,"MO (2)"}</definedName>
    <definedName name="DAS_1" localSheetId="8" hidden="1">{#N/A,#N/A,FALSE,"MO (2)"}</definedName>
    <definedName name="DAS_1" localSheetId="7" hidden="1">{#N/A,#N/A,FALSE,"MO (2)"}</definedName>
    <definedName name="DAS_1" localSheetId="34" hidden="1">{#N/A,#N/A,FALSE,"MO (2)"}</definedName>
    <definedName name="DAS_1" localSheetId="44" hidden="1">{#N/A,#N/A,FALSE,"MO (2)"}</definedName>
    <definedName name="DAS_1" localSheetId="43" hidden="1">{#N/A,#N/A,FALSE,"MO (2)"}</definedName>
    <definedName name="DAS_1" localSheetId="42" hidden="1">{#N/A,#N/A,FALSE,"MO (2)"}</definedName>
    <definedName name="DAS_1" localSheetId="21" hidden="1">{#N/A,#N/A,FALSE,"MO (2)"}</definedName>
    <definedName name="DAS_1" localSheetId="17" hidden="1">{#N/A,#N/A,FALSE,"MO (2)"}</definedName>
    <definedName name="DAS_1" localSheetId="1" hidden="1">{#N/A,#N/A,FALSE,"MO (2)"}</definedName>
    <definedName name="DAS_1" localSheetId="16" hidden="1">{#N/A,#N/A,FALSE,"MO (2)"}</definedName>
    <definedName name="DAS_1" localSheetId="26" hidden="1">{#N/A,#N/A,FALSE,"MO (2)"}</definedName>
    <definedName name="DAS_1" localSheetId="13" hidden="1">{#N/A,#N/A,FALSE,"MO (2)"}</definedName>
    <definedName name="DAS_1" localSheetId="15" hidden="1">{#N/A,#N/A,FALSE,"MO (2)"}</definedName>
    <definedName name="DAS_1" localSheetId="33" hidden="1">{#N/A,#N/A,FALSE,"MO (2)"}</definedName>
    <definedName name="DAS_1" hidden="1">{#N/A,#N/A,FALSE,"MO (2)"}</definedName>
    <definedName name="dasd">#REF!</definedName>
    <definedName name="DATA">#REF!</definedName>
    <definedName name="Data_Final">#REF!</definedName>
    <definedName name="Data_Final_25">#REF!</definedName>
    <definedName name="Data_Início">#REF!</definedName>
    <definedName name="Data_Início_25">#REF!</definedName>
    <definedName name="data1">#REF!</definedName>
    <definedName name="DATA2">#REF!</definedName>
    <definedName name="DATA3">#REF!</definedName>
    <definedName name="DCA">"$#REF!.$E$31"</definedName>
    <definedName name="DCAW">"$#REF!.$E$33"</definedName>
    <definedName name="DDDD">[21]COMPOS1!#REF!</definedName>
    <definedName name="DDDDE" localSheetId="11" hidden="1">{#N/A,#N/A,FALSE,"MO (2)"}</definedName>
    <definedName name="DDDDE" localSheetId="9" hidden="1">{#N/A,#N/A,FALSE,"MO (2)"}</definedName>
    <definedName name="DDDDE" localSheetId="10" hidden="1">{#N/A,#N/A,FALSE,"MO (2)"}</definedName>
    <definedName name="DDDDE" localSheetId="8" hidden="1">{#N/A,#N/A,FALSE,"MO (2)"}</definedName>
    <definedName name="DDDDE" localSheetId="7" hidden="1">{#N/A,#N/A,FALSE,"MO (2)"}</definedName>
    <definedName name="DDDDE" localSheetId="34" hidden="1">{#N/A,#N/A,FALSE,"MO (2)"}</definedName>
    <definedName name="DDDDE" localSheetId="44" hidden="1">{#N/A,#N/A,FALSE,"MO (2)"}</definedName>
    <definedName name="DDDDE" localSheetId="43" hidden="1">{#N/A,#N/A,FALSE,"MO (2)"}</definedName>
    <definedName name="DDDDE" localSheetId="42" hidden="1">{#N/A,#N/A,FALSE,"MO (2)"}</definedName>
    <definedName name="DDDDE" localSheetId="21" hidden="1">{#N/A,#N/A,FALSE,"MO (2)"}</definedName>
    <definedName name="DDDDE" localSheetId="17" hidden="1">{#N/A,#N/A,FALSE,"MO (2)"}</definedName>
    <definedName name="DDDDE" localSheetId="1" hidden="1">{#N/A,#N/A,FALSE,"MO (2)"}</definedName>
    <definedName name="DDDDE" localSheetId="16" hidden="1">{#N/A,#N/A,FALSE,"MO (2)"}</definedName>
    <definedName name="DDDDE" localSheetId="26" hidden="1">{#N/A,#N/A,FALSE,"MO (2)"}</definedName>
    <definedName name="DDDDE" localSheetId="13" hidden="1">{#N/A,#N/A,FALSE,"MO (2)"}</definedName>
    <definedName name="DDDDE" localSheetId="15" hidden="1">{#N/A,#N/A,FALSE,"MO (2)"}</definedName>
    <definedName name="DDDDE" localSheetId="33" hidden="1">{#N/A,#N/A,FALSE,"MO (2)"}</definedName>
    <definedName name="DDDDE" hidden="1">{#N/A,#N/A,FALSE,"MO (2)"}</definedName>
    <definedName name="DDDDE_1" localSheetId="11" hidden="1">{#N/A,#N/A,FALSE,"MO (2)"}</definedName>
    <definedName name="DDDDE_1" localSheetId="9" hidden="1">{#N/A,#N/A,FALSE,"MO (2)"}</definedName>
    <definedName name="DDDDE_1" localSheetId="10" hidden="1">{#N/A,#N/A,FALSE,"MO (2)"}</definedName>
    <definedName name="DDDDE_1" localSheetId="8" hidden="1">{#N/A,#N/A,FALSE,"MO (2)"}</definedName>
    <definedName name="DDDDE_1" localSheetId="7" hidden="1">{#N/A,#N/A,FALSE,"MO (2)"}</definedName>
    <definedName name="DDDDE_1" localSheetId="34" hidden="1">{#N/A,#N/A,FALSE,"MO (2)"}</definedName>
    <definedName name="DDDDE_1" localSheetId="44" hidden="1">{#N/A,#N/A,FALSE,"MO (2)"}</definedName>
    <definedName name="DDDDE_1" localSheetId="43" hidden="1">{#N/A,#N/A,FALSE,"MO (2)"}</definedName>
    <definedName name="DDDDE_1" localSheetId="42" hidden="1">{#N/A,#N/A,FALSE,"MO (2)"}</definedName>
    <definedName name="DDDDE_1" localSheetId="21" hidden="1">{#N/A,#N/A,FALSE,"MO (2)"}</definedName>
    <definedName name="DDDDE_1" localSheetId="17" hidden="1">{#N/A,#N/A,FALSE,"MO (2)"}</definedName>
    <definedName name="DDDDE_1" localSheetId="1" hidden="1">{#N/A,#N/A,FALSE,"MO (2)"}</definedName>
    <definedName name="DDDDE_1" localSheetId="16" hidden="1">{#N/A,#N/A,FALSE,"MO (2)"}</definedName>
    <definedName name="DDDDE_1" localSheetId="26" hidden="1">{#N/A,#N/A,FALSE,"MO (2)"}</definedName>
    <definedName name="DDDDE_1" localSheetId="13" hidden="1">{#N/A,#N/A,FALSE,"MO (2)"}</definedName>
    <definedName name="DDDDE_1" localSheetId="15" hidden="1">{#N/A,#N/A,FALSE,"MO (2)"}</definedName>
    <definedName name="DDDDE_1" localSheetId="33" hidden="1">{#N/A,#N/A,FALSE,"MO (2)"}</definedName>
    <definedName name="DDDDE_1" hidden="1">{#N/A,#N/A,FALSE,"MO (2)"}</definedName>
    <definedName name="ddlc">#REF!</definedName>
    <definedName name="defensas">#REF!</definedName>
    <definedName name="densidade_cap">#REF!</definedName>
    <definedName name="Densidades">#REF!</definedName>
    <definedName name="DEQUIP">#REF!</definedName>
    <definedName name="DEQUIP_25">#REF!</definedName>
    <definedName name="DER">'[50]TPU-MARÇO_2002'!$E$2:$E$1965</definedName>
    <definedName name="DESAP">#REF!</definedName>
    <definedName name="DESAPROPRIAÇÃO">'[49]AQU TERRENO-'!$H$9</definedName>
    <definedName name="DescAux" hidden="1">#N/A</definedName>
    <definedName name="descida1">#REF!</definedName>
    <definedName name="descida2">#REF!</definedName>
    <definedName name="desconto">#REF!</definedName>
    <definedName name="desconto2">#REF!</definedName>
    <definedName name="descricao">#REF!</definedName>
    <definedName name="DESM">[13]DADOS!$C$22</definedName>
    <definedName name="DFDFDGFGSG">[54]Serviços!$A$3:$F$1403</definedName>
    <definedName name="DFGDFG">#REF!</definedName>
    <definedName name="DGA">'[27]PRO-08'!#REF!</definedName>
    <definedName name="DGA_10">'[28]PRO-08'!#REF!</definedName>
    <definedName name="DGA_25">'[28]PRO-08'!#REF!</definedName>
    <definedName name="DGA_27">'[28]PRO-08'!#REF!</definedName>
    <definedName name="DGA_29">'[28]PRO-08'!#REF!</definedName>
    <definedName name="DGA_9">'[28]PRO-08'!#REF!</definedName>
    <definedName name="DGF" localSheetId="11" hidden="1">{#N/A,#N/A,FALSE,"MO (2)"}</definedName>
    <definedName name="DGF" localSheetId="9" hidden="1">{#N/A,#N/A,FALSE,"MO (2)"}</definedName>
    <definedName name="DGF" localSheetId="10" hidden="1">{#N/A,#N/A,FALSE,"MO (2)"}</definedName>
    <definedName name="DGF" localSheetId="8" hidden="1">{#N/A,#N/A,FALSE,"MO (2)"}</definedName>
    <definedName name="DGF" localSheetId="7" hidden="1">{#N/A,#N/A,FALSE,"MO (2)"}</definedName>
    <definedName name="DGF" localSheetId="34" hidden="1">{#N/A,#N/A,FALSE,"MO (2)"}</definedName>
    <definedName name="DGF" localSheetId="44" hidden="1">{#N/A,#N/A,FALSE,"MO (2)"}</definedName>
    <definedName name="DGF" localSheetId="43" hidden="1">{#N/A,#N/A,FALSE,"MO (2)"}</definedName>
    <definedName name="DGF" localSheetId="42" hidden="1">{#N/A,#N/A,FALSE,"MO (2)"}</definedName>
    <definedName name="DGF" localSheetId="21" hidden="1">{#N/A,#N/A,FALSE,"MO (2)"}</definedName>
    <definedName name="DGF" localSheetId="15" hidden="1">{#N/A,#N/A,FALSE,"MO (2)"}</definedName>
    <definedName name="DGF" hidden="1">{#N/A,#N/A,FALSE,"MO (2)"}</definedName>
    <definedName name="DIA">"$#REF!.$H$4"</definedName>
    <definedName name="DIE">'[55]INSUMOS BÁSICOS'!$E$67</definedName>
    <definedName name="DIESEL">#REF!</definedName>
    <definedName name="DIGITAL">#N/A</definedName>
    <definedName name="DIGITAL_25">#N/A</definedName>
    <definedName name="DJ">#REF!</definedName>
    <definedName name="DJ_25">#REF!</definedName>
    <definedName name="DMT">'[56]C.U'!$D$1651,'[56]C.U'!$D$1155</definedName>
    <definedName name="DMT.BET.CBA">#REF!</definedName>
    <definedName name="DMT.BETUMINCBA">#REF!</definedName>
    <definedName name="DMT.CIMENTO">#REF!</definedName>
    <definedName name="DMT_0_50">#REF!</definedName>
    <definedName name="dmt_1000">#REF!</definedName>
    <definedName name="dmt_1200">#REF!</definedName>
    <definedName name="dmt_1400">#REF!</definedName>
    <definedName name="dmt_200">#REF!</definedName>
    <definedName name="DMT_200_400">#REF!</definedName>
    <definedName name="dmt_400">#REF!</definedName>
    <definedName name="DMT_400_600">#REF!</definedName>
    <definedName name="dmt_50">#REF!</definedName>
    <definedName name="DMT_50_200">#REF!</definedName>
    <definedName name="dmt_600">#REF!</definedName>
    <definedName name="dmt_800">#REF!</definedName>
    <definedName name="DMT_BRITA_MICRORREVESTIMENTO__P">" "</definedName>
    <definedName name="DMT_BRITA_PMF__P">" "</definedName>
    <definedName name="DMT_C_PS">'[57]DMT Materiais'!#REF!</definedName>
    <definedName name="DMT_Cim_P">'[57]DMT Materiais'!#REF!</definedName>
    <definedName name="DMT_Fl_P">'[57]DMT Materiais'!#REF!</definedName>
    <definedName name="DMT_Js_C">'[57]DMT Materiais'!#REF!</definedName>
    <definedName name="DMT_Js_Cnp">'[57]DMT Materiais'!#REF!</definedName>
    <definedName name="DMT_PROD.BETUM._US.CBUQ">'[57]DMT Materiais'!#REF!</definedName>
    <definedName name="DMTCIMENTO">#REF!</definedName>
    <definedName name="DNIT1">[43]Pato!$A$1</definedName>
    <definedName name="DPESSO">#REF!</definedName>
    <definedName name="DPESSO_25">#REF!</definedName>
    <definedName name="drafad">#REF!</definedName>
    <definedName name="DRE">#REF!</definedName>
    <definedName name="dren">#REF!</definedName>
    <definedName name="drena">#REF!</definedName>
    <definedName name="Drena2">#REF!</definedName>
    <definedName name="drenagem">#REF!</definedName>
    <definedName name="DRF">#REF!</definedName>
    <definedName name="DRI">#REF!</definedName>
    <definedName name="dsad">#REF!</definedName>
    <definedName name="Dsc">#N/A</definedName>
    <definedName name="DTMED">"$#REF!.$C$8"</definedName>
    <definedName name="EA">[44]SERVIÇOS!$G$32</definedName>
    <definedName name="EA_13">[44]SERVIÇOS!$G$32</definedName>
    <definedName name="EA_39">[44]SERVIÇOS!$G$32</definedName>
    <definedName name="EA_6">[44]SERVIÇOS!$G$32</definedName>
    <definedName name="ECJ">#REF!</definedName>
    <definedName name="ECJ_25">#REF!</definedName>
    <definedName name="edefegeh" localSheetId="11" hidden="1">{#N/A,#N/A,FALSE,"MO (2)"}</definedName>
    <definedName name="edefegeh" localSheetId="9" hidden="1">{#N/A,#N/A,FALSE,"MO (2)"}</definedName>
    <definedName name="edefegeh" localSheetId="10" hidden="1">{#N/A,#N/A,FALSE,"MO (2)"}</definedName>
    <definedName name="edefegeh" localSheetId="8" hidden="1">{#N/A,#N/A,FALSE,"MO (2)"}</definedName>
    <definedName name="edefegeh" localSheetId="7" hidden="1">{#N/A,#N/A,FALSE,"MO (2)"}</definedName>
    <definedName name="edefegeh" localSheetId="34" hidden="1">{#N/A,#N/A,FALSE,"MO (2)"}</definedName>
    <definedName name="edefegeh" localSheetId="44" hidden="1">{#N/A,#N/A,FALSE,"MO (2)"}</definedName>
    <definedName name="edefegeh" localSheetId="43" hidden="1">{#N/A,#N/A,FALSE,"MO (2)"}</definedName>
    <definedName name="edefegeh" localSheetId="42" hidden="1">{#N/A,#N/A,FALSE,"MO (2)"}</definedName>
    <definedName name="edefegeh" localSheetId="21" hidden="1">{#N/A,#N/A,FALSE,"MO (2)"}</definedName>
    <definedName name="edefegeh" localSheetId="17" hidden="1">{#N/A,#N/A,FALSE,"MO (2)"}</definedName>
    <definedName name="edefegeh" localSheetId="1" hidden="1">{#N/A,#N/A,FALSE,"MO (2)"}</definedName>
    <definedName name="edefegeh" localSheetId="16" hidden="1">{#N/A,#N/A,FALSE,"MO (2)"}</definedName>
    <definedName name="edefegeh" localSheetId="26" hidden="1">{#N/A,#N/A,FALSE,"MO (2)"}</definedName>
    <definedName name="edefegeh" localSheetId="13" hidden="1">{#N/A,#N/A,FALSE,"MO (2)"}</definedName>
    <definedName name="edefegeh" localSheetId="15" hidden="1">{#N/A,#N/A,FALSE,"MO (2)"}</definedName>
    <definedName name="edefegeh" localSheetId="33" hidden="1">{#N/A,#N/A,FALSE,"MO (2)"}</definedName>
    <definedName name="edefegeh" hidden="1">{#N/A,#N/A,FALSE,"MO (2)"}</definedName>
    <definedName name="edefegeh_1" localSheetId="11" hidden="1">{#N/A,#N/A,FALSE,"MO (2)"}</definedName>
    <definedName name="edefegeh_1" localSheetId="9" hidden="1">{#N/A,#N/A,FALSE,"MO (2)"}</definedName>
    <definedName name="edefegeh_1" localSheetId="10" hidden="1">{#N/A,#N/A,FALSE,"MO (2)"}</definedName>
    <definedName name="edefegeh_1" localSheetId="8" hidden="1">{#N/A,#N/A,FALSE,"MO (2)"}</definedName>
    <definedName name="edefegeh_1" localSheetId="7" hidden="1">{#N/A,#N/A,FALSE,"MO (2)"}</definedName>
    <definedName name="edefegeh_1" localSheetId="34" hidden="1">{#N/A,#N/A,FALSE,"MO (2)"}</definedName>
    <definedName name="edefegeh_1" localSheetId="44" hidden="1">{#N/A,#N/A,FALSE,"MO (2)"}</definedName>
    <definedName name="edefegeh_1" localSheetId="43" hidden="1">{#N/A,#N/A,FALSE,"MO (2)"}</definedName>
    <definedName name="edefegeh_1" localSheetId="42" hidden="1">{#N/A,#N/A,FALSE,"MO (2)"}</definedName>
    <definedName name="edefegeh_1" localSheetId="21" hidden="1">{#N/A,#N/A,FALSE,"MO (2)"}</definedName>
    <definedName name="edefegeh_1" localSheetId="17" hidden="1">{#N/A,#N/A,FALSE,"MO (2)"}</definedName>
    <definedName name="edefegeh_1" localSheetId="1" hidden="1">{#N/A,#N/A,FALSE,"MO (2)"}</definedName>
    <definedName name="edefegeh_1" localSheetId="16" hidden="1">{#N/A,#N/A,FALSE,"MO (2)"}</definedName>
    <definedName name="edefegeh_1" localSheetId="26" hidden="1">{#N/A,#N/A,FALSE,"MO (2)"}</definedName>
    <definedName name="edefegeh_1" localSheetId="13" hidden="1">{#N/A,#N/A,FALSE,"MO (2)"}</definedName>
    <definedName name="edefegeh_1" localSheetId="15" hidden="1">{#N/A,#N/A,FALSE,"MO (2)"}</definedName>
    <definedName name="edefegeh_1" localSheetId="33" hidden="1">{#N/A,#N/A,FALSE,"MO (2)"}</definedName>
    <definedName name="edefegeh_1" hidden="1">{#N/A,#N/A,FALSE,"MO (2)"}</definedName>
    <definedName name="EDIFICAÇÕES">#N/A</definedName>
    <definedName name="edit">#REF!</definedName>
    <definedName name="edita">#REF!</definedName>
    <definedName name="EDITA1">#REF!</definedName>
    <definedName name="EDITA2">#REF!</definedName>
    <definedName name="EDITAL">#REF!</definedName>
    <definedName name="EDITAL2">#REF!</definedName>
    <definedName name="EDITALA">#REF!</definedName>
    <definedName name="ee">"'file:///Y:/ENGENHARIA/Deise Aoki/PATOS - OK/PATOS 05-09-2007-ok/Laptop - Arquivos/DNIT/PATOs/Rondonópolis/PATO_BR-364_km_000_ao_km_11290_LICITAÇÃO MAIO DE 2007.xls'#$reg_mec_fx_dm_.$#REF!$#REF!:$#REF!$#REF!"</definedName>
    <definedName name="ee_1">"'file:///Y:/ENGENHARIA/Deise Aoki/PATOS - OK/PATOS 05-09-2007-ok/Laptop - Arquivos/DNIT/PATOs/Rondonópolis/PATO_BR-364_km_000_ao_km_11290_LICITAÇÃO MAIO DE 2007.xls'#$reg_mec_fx_dm_.$#REF!$#REF!:$#REF!$#REF!"</definedName>
    <definedName name="ee_26">[58]reg_mec_fx_dm_!#REF!</definedName>
    <definedName name="ee_27">[58]reg_mec_fx_dm_!#REF!</definedName>
    <definedName name="ee_28">[58]reg_mec_fx_dm_!#REF!</definedName>
    <definedName name="ee_29">[58]reg_mec_fx_dm_!#REF!</definedName>
    <definedName name="ee_34">"'file:///Y:/ENGENHARIA/Deise Aoki/PATOS - OK/PATOS 05-09-2007-ok/Laptop - Arquivos/DNIT/PATOs/Rondonópolis/PATO_BR-364_km_000_ao_km_11290_LICITAÇÃO MAIO DE 2007.xls'#$reg_mec_fx_dm_.$#REF!$#REF!:$#REF!$#REF!"</definedName>
    <definedName name="ee_37">"'file:///Y:/ENGENHARIA/Deise Aoki/PATOS - OK/PATOS 05-09-2007-ok/Laptop - Arquivos/DNIT/PATOs/Rondonópolis/PATO_BR-364_km_000_ao_km_11290_LICITAÇÃO MAIO DE 2007.xls'#$reg_mec_fx_dm_.$#REF!$#REF!:$#REF!$#REF!"</definedName>
    <definedName name="ee_38">"'file:///Y:/ENGENHARIA/Deise Aoki/PATOS - OK/PATOS 05-09-2007-ok/Laptop - Arquivos/DNIT/PATOs/Rondonópolis/PATO_BR-364_km_000_ao_km_11290_LICITAÇÃO MAIO DE 2007.xls'#$reg_mec_fx_dm_.$#REF!$#REF!:$#REF!$#REF!"</definedName>
    <definedName name="ee_49">"'file:///Y:/ENGENHARIA/Deise Aoki/PATOS - OK/PATOS 05-09-2007-ok/Laptop - Arquivos/DNIT/PATOs/Rondonópolis/PATO_BR-364_km_000_ao_km_11290_LICITAÇÃO MAIO DE 2007.xls'#$reg_mec_fx_dm_.$#REF!$#REF!:$#REF!$#REF!"</definedName>
    <definedName name="ee_5">[58]reg_mec_fx_dm_!#REF!</definedName>
    <definedName name="ee_6">[58]reg_mec_fx_dm_!#REF!</definedName>
    <definedName name="EE1_MAT">#REF!</definedName>
    <definedName name="EE1_MATERIAIS">'[49]ESTA ELEVATÓRIA_'!$H$106</definedName>
    <definedName name="EE1_SERV">#REF!</definedName>
    <definedName name="EE1_SERVIÇOS">'[49]ESTA ELEVATÓRIA_'!$H$9</definedName>
    <definedName name="EE2_MAT">#REF!</definedName>
    <definedName name="EE2_MATERIAIS">'[49]ESTA ELEVATÓRIA_'!$H$244</definedName>
    <definedName name="EE2_SERV">#REF!</definedName>
    <definedName name="EE2_SERVIÇOS">'[49]ESTA ELEVATÓRIA_'!$H$143</definedName>
    <definedName name="EE3_MAT">#REF!</definedName>
    <definedName name="EE3_SERV">#REF!</definedName>
    <definedName name="EJ">#REF!</definedName>
    <definedName name="EJ_25">#REF!</definedName>
    <definedName name="Elemento_vazado">#REF!</definedName>
    <definedName name="ELÉTRICA">#N/A</definedName>
    <definedName name="ELIAS">#REF!</definedName>
    <definedName name="EM">"$#REF!.$E$30"</definedName>
    <definedName name="em_algarismo_e_por_extenso">#REF!</definedName>
    <definedName name="EMISS_1_MAT">#REF!</definedName>
    <definedName name="EMISS_1_SERV">#REF!</definedName>
    <definedName name="EMISS_2_MAT">#REF!</definedName>
    <definedName name="EMISS_2_SERV">#REF!</definedName>
    <definedName name="EMISS_3_MAT">#REF!</definedName>
    <definedName name="EMISS_3_SERV">#REF!</definedName>
    <definedName name="EMISSÁRIO1_MATERIAIS">[49]EMISSÁRIO_!$H$39</definedName>
    <definedName name="EMISSÁRIO1_SERVIÇOS">[49]EMISSÁRIO_!$H$9</definedName>
    <definedName name="EMISSÁRIO2_MATERIAIS">[49]EMISSÁRIO_!$H$80</definedName>
    <definedName name="EMISSÁRIO2_SERVIÇOS">[49]EMISSÁRIO_!$H$50</definedName>
    <definedName name="EMP">[44]SERVIÇOS!$I$6</definedName>
    <definedName name="EMP_13">[44]SERVIÇOS!$I$6</definedName>
    <definedName name="EMP_39">[44]SERVIÇOS!$I$6</definedName>
    <definedName name="EMP_6">[44]SERVIÇOS!$I$6</definedName>
    <definedName name="EmpAux" hidden="1">""</definedName>
    <definedName name="Empo">#REF!</definedName>
    <definedName name="empo2">#REF!</definedName>
    <definedName name="Empola2">#REF!</definedName>
    <definedName name="Empolamento">#REF!</definedName>
    <definedName name="Empolo2">#REF!</definedName>
    <definedName name="empolo3">#REF!</definedName>
    <definedName name="Empr">#REF!</definedName>
    <definedName name="emprestimo">'[59]Vínculo (2)'!$Y$13</definedName>
    <definedName name="EMW">"$#REF!.$E$32"</definedName>
    <definedName name="EMWA">"$#REF!.$E$31"</definedName>
    <definedName name="ENC">#REF!</definedName>
    <definedName name="ENCP">#REF!</definedName>
    <definedName name="ENCPA">#REF!</definedName>
    <definedName name="ENCT">#REF!</definedName>
    <definedName name="ENCTA">#REF!</definedName>
    <definedName name="eng">'[5]Mat Asf'!$C$36</definedName>
    <definedName name="eng." localSheetId="11" hidden="1">{#N/A,#N/A,FALSE,"MO (2)"}</definedName>
    <definedName name="eng." localSheetId="9" hidden="1">{#N/A,#N/A,FALSE,"MO (2)"}</definedName>
    <definedName name="eng." localSheetId="10" hidden="1">{#N/A,#N/A,FALSE,"MO (2)"}</definedName>
    <definedName name="eng." localSheetId="8" hidden="1">{#N/A,#N/A,FALSE,"MO (2)"}</definedName>
    <definedName name="eng." localSheetId="7" hidden="1">{#N/A,#N/A,FALSE,"MO (2)"}</definedName>
    <definedName name="eng." localSheetId="34" hidden="1">{#N/A,#N/A,FALSE,"MO (2)"}</definedName>
    <definedName name="eng." localSheetId="44" hidden="1">{#N/A,#N/A,FALSE,"MO (2)"}</definedName>
    <definedName name="eng." localSheetId="43" hidden="1">{#N/A,#N/A,FALSE,"MO (2)"}</definedName>
    <definedName name="eng." localSheetId="42" hidden="1">{#N/A,#N/A,FALSE,"MO (2)"}</definedName>
    <definedName name="eng." localSheetId="21" hidden="1">{#N/A,#N/A,FALSE,"MO (2)"}</definedName>
    <definedName name="eng." localSheetId="17" hidden="1">{#N/A,#N/A,FALSE,"MO (2)"}</definedName>
    <definedName name="eng." localSheetId="1" hidden="1">{#N/A,#N/A,FALSE,"MO (2)"}</definedName>
    <definedName name="eng." localSheetId="16" hidden="1">{#N/A,#N/A,FALSE,"MO (2)"}</definedName>
    <definedName name="eng." localSheetId="26" hidden="1">{#N/A,#N/A,FALSE,"MO (2)"}</definedName>
    <definedName name="eng." localSheetId="13" hidden="1">{#N/A,#N/A,FALSE,"MO (2)"}</definedName>
    <definedName name="eng." localSheetId="15" hidden="1">{#N/A,#N/A,FALSE,"MO (2)"}</definedName>
    <definedName name="eng." localSheetId="33" hidden="1">{#N/A,#N/A,FALSE,"MO (2)"}</definedName>
    <definedName name="eng." hidden="1">{#N/A,#N/A,FALSE,"MO (2)"}</definedName>
    <definedName name="eng._1" localSheetId="11" hidden="1">{#N/A,#N/A,FALSE,"MO (2)"}</definedName>
    <definedName name="eng._1" localSheetId="9" hidden="1">{#N/A,#N/A,FALSE,"MO (2)"}</definedName>
    <definedName name="eng._1" localSheetId="10" hidden="1">{#N/A,#N/A,FALSE,"MO (2)"}</definedName>
    <definedName name="eng._1" localSheetId="8" hidden="1">{#N/A,#N/A,FALSE,"MO (2)"}</definedName>
    <definedName name="eng._1" localSheetId="7" hidden="1">{#N/A,#N/A,FALSE,"MO (2)"}</definedName>
    <definedName name="eng._1" localSheetId="34" hidden="1">{#N/A,#N/A,FALSE,"MO (2)"}</definedName>
    <definedName name="eng._1" localSheetId="44" hidden="1">{#N/A,#N/A,FALSE,"MO (2)"}</definedName>
    <definedName name="eng._1" localSheetId="43" hidden="1">{#N/A,#N/A,FALSE,"MO (2)"}</definedName>
    <definedName name="eng._1" localSheetId="42" hidden="1">{#N/A,#N/A,FALSE,"MO (2)"}</definedName>
    <definedName name="eng._1" localSheetId="21" hidden="1">{#N/A,#N/A,FALSE,"MO (2)"}</definedName>
    <definedName name="eng._1" localSheetId="17" hidden="1">{#N/A,#N/A,FALSE,"MO (2)"}</definedName>
    <definedName name="eng._1" localSheetId="1" hidden="1">{#N/A,#N/A,FALSE,"MO (2)"}</definedName>
    <definedName name="eng._1" localSheetId="16" hidden="1">{#N/A,#N/A,FALSE,"MO (2)"}</definedName>
    <definedName name="eng._1" localSheetId="26" hidden="1">{#N/A,#N/A,FALSE,"MO (2)"}</definedName>
    <definedName name="eng._1" localSheetId="13" hidden="1">{#N/A,#N/A,FALSE,"MO (2)"}</definedName>
    <definedName name="eng._1" localSheetId="15" hidden="1">{#N/A,#N/A,FALSE,"MO (2)"}</definedName>
    <definedName name="eng._1" localSheetId="33" hidden="1">{#N/A,#N/A,FALSE,"MO (2)"}</definedName>
    <definedName name="eng._1" hidden="1">{#N/A,#N/A,FALSE,"MO (2)"}</definedName>
    <definedName name="ENGENHARIA" localSheetId="11" hidden="1">{#N/A,#N/A,FALSE,"MO (2)"}</definedName>
    <definedName name="ENGENHARIA" localSheetId="9" hidden="1">{#N/A,#N/A,FALSE,"MO (2)"}</definedName>
    <definedName name="ENGENHARIA" localSheetId="10" hidden="1">{#N/A,#N/A,FALSE,"MO (2)"}</definedName>
    <definedName name="ENGENHARIA" localSheetId="8" hidden="1">{#N/A,#N/A,FALSE,"MO (2)"}</definedName>
    <definedName name="ENGENHARIA" localSheetId="7" hidden="1">{#N/A,#N/A,FALSE,"MO (2)"}</definedName>
    <definedName name="ENGENHARIA" localSheetId="34" hidden="1">{#N/A,#N/A,FALSE,"MO (2)"}</definedName>
    <definedName name="ENGENHARIA" localSheetId="44" hidden="1">{#N/A,#N/A,FALSE,"MO (2)"}</definedName>
    <definedName name="ENGENHARIA" localSheetId="43" hidden="1">{#N/A,#N/A,FALSE,"MO (2)"}</definedName>
    <definedName name="ENGENHARIA" localSheetId="42" hidden="1">{#N/A,#N/A,FALSE,"MO (2)"}</definedName>
    <definedName name="ENGENHARIA" localSheetId="21" hidden="1">{#N/A,#N/A,FALSE,"MO (2)"}</definedName>
    <definedName name="ENGENHARIA" localSheetId="17" hidden="1">{#N/A,#N/A,FALSE,"MO (2)"}</definedName>
    <definedName name="ENGENHARIA" localSheetId="1" hidden="1">{#N/A,#N/A,FALSE,"MO (2)"}</definedName>
    <definedName name="ENGENHARIA" localSheetId="16" hidden="1">{#N/A,#N/A,FALSE,"MO (2)"}</definedName>
    <definedName name="ENGENHARIA" localSheetId="26" hidden="1">{#N/A,#N/A,FALSE,"MO (2)"}</definedName>
    <definedName name="ENGENHARIA" localSheetId="13" hidden="1">{#N/A,#N/A,FALSE,"MO (2)"}</definedName>
    <definedName name="ENGENHARIA" localSheetId="15" hidden="1">{#N/A,#N/A,FALSE,"MO (2)"}</definedName>
    <definedName name="ENGENHARIA" localSheetId="33" hidden="1">{#N/A,#N/A,FALSE,"MO (2)"}</definedName>
    <definedName name="ENGENHARIA" hidden="1">{#N/A,#N/A,FALSE,"MO (2)"}</definedName>
    <definedName name="ENGENHARIA_1" localSheetId="11" hidden="1">{#N/A,#N/A,FALSE,"MO (2)"}</definedName>
    <definedName name="ENGENHARIA_1" localSheetId="9" hidden="1">{#N/A,#N/A,FALSE,"MO (2)"}</definedName>
    <definedName name="ENGENHARIA_1" localSheetId="10" hidden="1">{#N/A,#N/A,FALSE,"MO (2)"}</definedName>
    <definedName name="ENGENHARIA_1" localSheetId="8" hidden="1">{#N/A,#N/A,FALSE,"MO (2)"}</definedName>
    <definedName name="ENGENHARIA_1" localSheetId="7" hidden="1">{#N/A,#N/A,FALSE,"MO (2)"}</definedName>
    <definedName name="ENGENHARIA_1" localSheetId="34" hidden="1">{#N/A,#N/A,FALSE,"MO (2)"}</definedName>
    <definedName name="ENGENHARIA_1" localSheetId="44" hidden="1">{#N/A,#N/A,FALSE,"MO (2)"}</definedName>
    <definedName name="ENGENHARIA_1" localSheetId="43" hidden="1">{#N/A,#N/A,FALSE,"MO (2)"}</definedName>
    <definedName name="ENGENHARIA_1" localSheetId="42" hidden="1">{#N/A,#N/A,FALSE,"MO (2)"}</definedName>
    <definedName name="ENGENHARIA_1" localSheetId="21" hidden="1">{#N/A,#N/A,FALSE,"MO (2)"}</definedName>
    <definedName name="ENGENHARIA_1" localSheetId="17" hidden="1">{#N/A,#N/A,FALSE,"MO (2)"}</definedName>
    <definedName name="ENGENHARIA_1" localSheetId="1" hidden="1">{#N/A,#N/A,FALSE,"MO (2)"}</definedName>
    <definedName name="ENGENHARIA_1" localSheetId="16" hidden="1">{#N/A,#N/A,FALSE,"MO (2)"}</definedName>
    <definedName name="ENGENHARIA_1" localSheetId="26" hidden="1">{#N/A,#N/A,FALSE,"MO (2)"}</definedName>
    <definedName name="ENGENHARIA_1" localSheetId="13" hidden="1">{#N/A,#N/A,FALSE,"MO (2)"}</definedName>
    <definedName name="ENGENHARIA_1" localSheetId="15" hidden="1">{#N/A,#N/A,FALSE,"MO (2)"}</definedName>
    <definedName name="ENGENHARIA_1" localSheetId="33" hidden="1">{#N/A,#N/A,FALSE,"MO (2)"}</definedName>
    <definedName name="ENGENHARIA_1" hidden="1">{#N/A,#N/A,FALSE,"MO (2)"}</definedName>
    <definedName name="ENLEIV">#REF!</definedName>
    <definedName name="entrada1">#REF!</definedName>
    <definedName name="entrada2">#REF!</definedName>
    <definedName name="EQ" localSheetId="2" hidden="1">#REF!</definedName>
    <definedName name="EQ" localSheetId="3" hidden="1">#REF!</definedName>
    <definedName name="EQ" localSheetId="11" hidden="1">#REF!</definedName>
    <definedName name="EQ" localSheetId="9" hidden="1">#REF!</definedName>
    <definedName name="EQ" localSheetId="10" hidden="1">#REF!</definedName>
    <definedName name="EQ" localSheetId="8" hidden="1">#REF!</definedName>
    <definedName name="EQ" localSheetId="5" hidden="1">#REF!</definedName>
    <definedName name="EQ" localSheetId="6" hidden="1">#REF!</definedName>
    <definedName name="EQ" localSheetId="30" hidden="1">#REF!</definedName>
    <definedName name="EQ" localSheetId="7" hidden="1">#REF!</definedName>
    <definedName name="EQ" localSheetId="34" hidden="1">#REF!</definedName>
    <definedName name="EQ" localSheetId="44" hidden="1">#REF!</definedName>
    <definedName name="EQ" localSheetId="43" hidden="1">#REF!</definedName>
    <definedName name="EQ" localSheetId="42" hidden="1">#REF!</definedName>
    <definedName name="EQ" localSheetId="21" hidden="1">#REF!</definedName>
    <definedName name="EQ" localSheetId="39" hidden="1">#REF!</definedName>
    <definedName name="EQ" localSheetId="15" hidden="1">#REF!</definedName>
    <definedName name="EQ" localSheetId="31" hidden="1">#REF!</definedName>
    <definedName name="EQ" localSheetId="28" hidden="1">#REF!</definedName>
    <definedName name="EQ" hidden="1">#REF!</definedName>
    <definedName name="Equip">#REF!</definedName>
    <definedName name="Equipamentos">'[60]Custo horário de Equip'!$A$6:$E$144</definedName>
    <definedName name="ERT">#REF!</definedName>
    <definedName name="ES">#REF!</definedName>
    <definedName name="ESC">#REF!</definedName>
    <definedName name="ESC_EMISS3_S">#REF!</definedName>
    <definedName name="Escavação">#REF!</definedName>
    <definedName name="escavmec">#REF!</definedName>
    <definedName name="ESCORAMENTO">#REF!</definedName>
    <definedName name="ESGOT_EMISS3_S">#REF!</definedName>
    <definedName name="ESGOTAMENTO">#REF!</definedName>
    <definedName name="Esquadrias">#REF!</definedName>
    <definedName name="EST">#REF!</definedName>
    <definedName name="Estabilidade">#REF!</definedName>
    <definedName name="EstacaFinal">#REF!</definedName>
    <definedName name="EstacaInicial">#REF!</definedName>
    <definedName name="EU" localSheetId="11" hidden="1">{#N/A,#N/A,FALSE,"MO (2)"}</definedName>
    <definedName name="EU" localSheetId="9" hidden="1">{#N/A,#N/A,FALSE,"MO (2)"}</definedName>
    <definedName name="EU" localSheetId="10" hidden="1">{#N/A,#N/A,FALSE,"MO (2)"}</definedName>
    <definedName name="EU" localSheetId="8" hidden="1">{#N/A,#N/A,FALSE,"MO (2)"}</definedName>
    <definedName name="EU" localSheetId="7" hidden="1">{#N/A,#N/A,FALSE,"MO (2)"}</definedName>
    <definedName name="EU" localSheetId="34" hidden="1">{#N/A,#N/A,FALSE,"MO (2)"}</definedName>
    <definedName name="EU" localSheetId="44" hidden="1">{#N/A,#N/A,FALSE,"MO (2)"}</definedName>
    <definedName name="EU" localSheetId="43" hidden="1">{#N/A,#N/A,FALSE,"MO (2)"}</definedName>
    <definedName name="EU" localSheetId="42" hidden="1">{#N/A,#N/A,FALSE,"MO (2)"}</definedName>
    <definedName name="EU" localSheetId="21" hidden="1">{#N/A,#N/A,FALSE,"MO (2)"}</definedName>
    <definedName name="EU" localSheetId="17" hidden="1">{#N/A,#N/A,FALSE,"MO (2)"}</definedName>
    <definedName name="EU" localSheetId="1" hidden="1">{#N/A,#N/A,FALSE,"MO (2)"}</definedName>
    <definedName name="EU" localSheetId="16" hidden="1">{#N/A,#N/A,FALSE,"MO (2)"}</definedName>
    <definedName name="EU" localSheetId="26" hidden="1">{#N/A,#N/A,FALSE,"MO (2)"}</definedName>
    <definedName name="EU" localSheetId="13" hidden="1">{#N/A,#N/A,FALSE,"MO (2)"}</definedName>
    <definedName name="EU" localSheetId="15" hidden="1">{#N/A,#N/A,FALSE,"MO (2)"}</definedName>
    <definedName name="EU" localSheetId="33" hidden="1">{#N/A,#N/A,FALSE,"MO (2)"}</definedName>
    <definedName name="EU" hidden="1">{#N/A,#N/A,FALSE,"MO (2)"}</definedName>
    <definedName name="EU_1" localSheetId="11" hidden="1">{#N/A,#N/A,FALSE,"MO (2)"}</definedName>
    <definedName name="EU_1" localSheetId="9" hidden="1">{#N/A,#N/A,FALSE,"MO (2)"}</definedName>
    <definedName name="EU_1" localSheetId="10" hidden="1">{#N/A,#N/A,FALSE,"MO (2)"}</definedName>
    <definedName name="EU_1" localSheetId="8" hidden="1">{#N/A,#N/A,FALSE,"MO (2)"}</definedName>
    <definedName name="EU_1" localSheetId="7" hidden="1">{#N/A,#N/A,FALSE,"MO (2)"}</definedName>
    <definedName name="EU_1" localSheetId="34" hidden="1">{#N/A,#N/A,FALSE,"MO (2)"}</definedName>
    <definedName name="EU_1" localSheetId="44" hidden="1">{#N/A,#N/A,FALSE,"MO (2)"}</definedName>
    <definedName name="EU_1" localSheetId="43" hidden="1">{#N/A,#N/A,FALSE,"MO (2)"}</definedName>
    <definedName name="EU_1" localSheetId="42" hidden="1">{#N/A,#N/A,FALSE,"MO (2)"}</definedName>
    <definedName name="EU_1" localSheetId="21" hidden="1">{#N/A,#N/A,FALSE,"MO (2)"}</definedName>
    <definedName name="EU_1" localSheetId="17" hidden="1">{#N/A,#N/A,FALSE,"MO (2)"}</definedName>
    <definedName name="EU_1" localSheetId="1" hidden="1">{#N/A,#N/A,FALSE,"MO (2)"}</definedName>
    <definedName name="EU_1" localSheetId="16" hidden="1">{#N/A,#N/A,FALSE,"MO (2)"}</definedName>
    <definedName name="EU_1" localSheetId="26" hidden="1">{#N/A,#N/A,FALSE,"MO (2)"}</definedName>
    <definedName name="EU_1" localSheetId="13" hidden="1">{#N/A,#N/A,FALSE,"MO (2)"}</definedName>
    <definedName name="EU_1" localSheetId="15" hidden="1">{#N/A,#N/A,FALSE,"MO (2)"}</definedName>
    <definedName name="EU_1" localSheetId="33" hidden="1">{#N/A,#N/A,FALSE,"MO (2)"}</definedName>
    <definedName name="EU_1" hidden="1">{#N/A,#N/A,FALSE,"MO (2)"}</definedName>
    <definedName name="EXA">'[27]PRO-08'!#REF!</definedName>
    <definedName name="EXA_10">'[28]PRO-08'!#REF!</definedName>
    <definedName name="EXA_25">'[28]PRO-08'!#REF!</definedName>
    <definedName name="EXA_27">'[28]PRO-08'!#REF!</definedName>
    <definedName name="EXA_29">'[28]PRO-08'!#REF!</definedName>
    <definedName name="EXA_9">'[28]PRO-08'!#REF!</definedName>
    <definedName name="Excel_BuiltIn__FilterDatabase_1">#REF!</definedName>
    <definedName name="Excel_BuiltIn__FilterDatabase_10">#REF!</definedName>
    <definedName name="Excel_BuiltIn__FilterDatabase_11">#REF!</definedName>
    <definedName name="Excel_BuiltIn__FilterDatabase_12">#REF!</definedName>
    <definedName name="Excel_BuiltIn__FilterDatabase_13">#REF!</definedName>
    <definedName name="Excel_BuiltIn__FilterDatabase_14">#REF!</definedName>
    <definedName name="Excel_BuiltIn__FilterDatabase_15">#REF!</definedName>
    <definedName name="Excel_BuiltIn__FilterDatabase_16">#REF!</definedName>
    <definedName name="Excel_BuiltIn__FilterDatabase_17">#REF!</definedName>
    <definedName name="Excel_BuiltIn__FilterDatabase_18">#REF!</definedName>
    <definedName name="Excel_BuiltIn__FilterDatabase_19">#REF!</definedName>
    <definedName name="Excel_BuiltIn__FilterDatabase_2">#REF!</definedName>
    <definedName name="Excel_BuiltIn__FilterDatabase_25">#REF!</definedName>
    <definedName name="Excel_BuiltIn__FilterDatabase_3">#REF!</definedName>
    <definedName name="Excel_BuiltIn__FilterDatabase_4">#REF!</definedName>
    <definedName name="Excel_BuiltIn__FilterDatabase_5">#REF!</definedName>
    <definedName name="Excel_BuiltIn__FilterDatabase_6">#REF!</definedName>
    <definedName name="Excel_BuiltIn__FilterDatabase_7">#REF!</definedName>
    <definedName name="Excel_BuiltIn__FilterDatabase_8">#REF!</definedName>
    <definedName name="Excel_BuiltIn__FilterDatabase_9">#REF!</definedName>
    <definedName name="Excel_BuiltIn_Criteria">#REF!</definedName>
    <definedName name="Excel_BuiltIn_Database">#REF!</definedName>
    <definedName name="Excel_BuiltIn_Database_0">#REF!</definedName>
    <definedName name="Excel_BuiltIn_Database_25">#REF!</definedName>
    <definedName name="Excel_BuiltIn_Print_Area_1">#REF!</definedName>
    <definedName name="Excel_BuiltIn_Print_Area_1_1">#REF!</definedName>
    <definedName name="Excel_BuiltIn_Print_Area_10">#REF!</definedName>
    <definedName name="Excel_BuiltIn_Print_Area_11">#REF!</definedName>
    <definedName name="Excel_BuiltIn_Print_Area_12">#REF!</definedName>
    <definedName name="Excel_BuiltIn_Print_Area_13">#REF!</definedName>
    <definedName name="Excel_BuiltIn_Print_Area_14">#REF!</definedName>
    <definedName name="Excel_BuiltIn_Print_Area_15">#REF!</definedName>
    <definedName name="Excel_BuiltIn_Print_Area_16">#REF!</definedName>
    <definedName name="Excel_BuiltIn_Print_Area_17">#REF!</definedName>
    <definedName name="Excel_BuiltIn_Print_Area_2">#REF!</definedName>
    <definedName name="Excel_BuiltIn_Print_Area_2_1">"$Quad_Quant_.$#REF!$#REF!:$#REF!$#REF!"</definedName>
    <definedName name="Excel_BuiltIn_Print_Area_26_1">#REF!</definedName>
    <definedName name="Excel_BuiltIn_Print_Area_3">"$#REF!.$A$5:$P$91"</definedName>
    <definedName name="Excel_BuiltIn_Print_Area_3_1">#REF!</definedName>
    <definedName name="Excel_BuiltIn_Print_Area_4">"$#REF!.$A$4:$O$17"</definedName>
    <definedName name="Excel_BuiltIn_Print_Area_4_1">#REF!</definedName>
    <definedName name="Excel_BuiltIn_Print_Area_4_1_1">#REF!</definedName>
    <definedName name="Excel_BuiltIn_Print_Area_5">#REF!</definedName>
    <definedName name="Excel_BuiltIn_Print_Area_6">#REF!</definedName>
    <definedName name="Excel_BuiltIn_Print_Area_6_1">#REF!</definedName>
    <definedName name="Excel_BuiltIn_Print_Area_6_1_1">#REF!</definedName>
    <definedName name="Excel_BuiltIn_Print_Area_6_1_1_1">#REF!</definedName>
    <definedName name="Excel_BuiltIn_Print_Area_7">#REF!</definedName>
    <definedName name="Excel_BuiltIn_Print_Area_7_1">#REF!</definedName>
    <definedName name="Excel_BuiltIn_Print_Area_7_10">"'file:///Y:/ENGENHARIA/Deise Aoki/PATOS - OK/PATOS 05-09-2007-ok/Laptop - Arquivos/DNIT/PATOs/Rondonópolis/PATO_BR-364_km_0,00_ao_km_112,90_LICITAÇÃO Rev mario.xls'#$reg_mec_fx_dm_.$#REF!$#REF!:$#REF!$#REF!"</definedName>
    <definedName name="Excel_BuiltIn_Print_Area_7_11">"'file:///Y:/ENGENHARIA/Deise Aoki/PATOS - OK/PATOS 05-09-2007-ok/Laptop - Arquivos/DNIT/PATOs/Rondonópolis/PATO_BR-364_km_0,00_ao_km_112,90_LICITAÇÃO Rev mario.xls'#$reg_mec_fx_dm_.$#REF!$#REF!:$#REF!$#REF!"</definedName>
    <definedName name="Excel_BuiltIn_Print_Area_7_12">"'file:///Y:/ENGENHARIA/Deise Aoki/PATOS - OK/PATOS 05-09-2007-ok/Laptop - Arquivos/DNIT/PATOs/Rondonópolis/PATO_BR-364_km_000_ao_km_11290_LICITAÇÃO MAIO DE 2007.xls'#$reg_mec_fx_dm_.$#REF!$#REF!:$#REF!$#REF!"</definedName>
    <definedName name="Excel_BuiltIn_Print_Area_7_14">[61]reg_mec_fx_dm_!#REF!</definedName>
    <definedName name="Excel_BuiltIn_Print_Area_7_15">[58]reg_mec_fx_dm_!#REF!</definedName>
    <definedName name="Excel_BuiltIn_Print_Area_7_19">[58]reg_mec_fx_dm_!#REF!</definedName>
    <definedName name="Excel_BuiltIn_Print_Area_7_2">"'file:///Y:/ENGENHARIA/Deise Aoki/PATOS - OK/PATOS 05-09-2007-ok/Laptop - Arquivos/DNIT/PATOs/Rondonópolis/PATO_BR-364_km_0,00_ao_km_112,90_LICITAÇÃO Rev mario.xls'#$reg_mec_fx_dm_.$#REF!$#REF!:$#REF!$#REF!"</definedName>
    <definedName name="Excel_BuiltIn_Print_Area_7_21">"'file:///Y:/ENGENHARIA/Deise Aoki/PATOS - OK/PATOS 05-09-2007-ok/Laptop - Arquivos/DNIT/PATOs/Rondonópolis/PATO_BR-364_km_000_ao_km_11290_LICITAÇÃO MAIO DE 2007.xls'#$reg_mec_fx_dm_.$#REF!$#REF!:$#REF!$#REF!"</definedName>
    <definedName name="Excel_BuiltIn_Print_Area_7_24">"'file:///Y:/ENGENHARIA/Deise Aoki/PATOS - OK/PATOS 05-09-2007-ok/Laptop - Arquivos/DNIT/PATOs/Rondonópolis/PATO_BR-364_km_0,00_ao_km_112,90_LICITAÇÃO Rev mario.xls'#$reg_mec_fx_dm_.$#REF!$#REF!:$#REF!$#REF!"</definedName>
    <definedName name="Excel_BuiltIn_Print_Area_7_25">[61]reg_mec_fx_dm_!#REF!</definedName>
    <definedName name="Excel_BuiltIn_Print_Area_7_26">"'file:///Y:/ENGENHARIA/Deise Aoki/PATOS - OK/PATOS 05-09-2007-ok/Laptop - Arquivos/DNIT/PATOs/Rondonópolis/PATO_BR-364_km_000_ao_km_11290_LICITAÇÃO MAIO DE 2007.xls'#$reg_mec_fx_dm_.$#REF!$#REF!:$#REF!$#REF!"</definedName>
    <definedName name="Excel_BuiltIn_Print_Area_7_27">[61]reg_mec_fx_dm_!#REF!</definedName>
    <definedName name="Excel_BuiltIn_Print_Area_7_28">[61]reg_mec_fx_dm_!#REF!</definedName>
    <definedName name="Excel_BuiltIn_Print_Area_7_29">[61]reg_mec_fx_dm_!#REF!</definedName>
    <definedName name="Excel_BuiltIn_Print_Area_7_30">"'file:///Y:/ENGENHARIA/Deise Aoki/PATOS - OK/PATOS 05-09-2007-ok/Laptop - Arquivos/DNIT/PATOs/Rondonópolis/PATO_BR-364_km_0,00_ao_km_112,90_LICITAÇÃO Rev mario.xls'#$reg_mec_fx_dm_.$#REF!$#REF!:$#REF!$#REF!"</definedName>
    <definedName name="Excel_BuiltIn_Print_Area_7_31">[61]reg_mec_fx_dm_!#REF!</definedName>
    <definedName name="Excel_BuiltIn_Print_Area_7_32">"'file:///Y:/ENGENHARIA/Deise Aoki/PATOS - OK/PATOS 05-09-2007-ok/Laptop - Arquivos/DNIT/PATOs/Rondonópolis/PATO_BR-364_km_0,00_ao_km_112,90_LICITAÇÃO Rev mario.xls'#$reg_mec_fx_dm_.$#REF!$#REF!:$#REF!$#REF!"</definedName>
    <definedName name="Excel_BuiltIn_Print_Area_7_33">"'file:///Y:/ENGENHARIA/Deise Aoki/PATOS - OK/PATOS 05-09-2007-ok/Laptop - Arquivos/DNIT/PATOs/Rondonópolis/PATO_BR-364_km_0,00_ao_km_112,90_LICITAÇÃO Rev mario.xls'#$reg_mec_fx_dm_.$#REF!$#REF!:$#REF!$#REF!"</definedName>
    <definedName name="Excel_BuiltIn_Print_Area_7_34">"'file:///Y:/ENGENHARIA/Deise Aoki/PATOS - OK/PATOS 05-09-2007-ok/Laptop - Arquivos/DNIT/PATOs/Rondonópolis/PATO_BR-364_km_0,00_ao_km_112,90_LICITAÇÃO Rev mario.xls'#$reg_mec_fx_dm_.$#REF!$#REF!:$#REF!$#REF!"</definedName>
    <definedName name="Excel_BuiltIn_Print_Area_7_37">"'file:///Y:/ENGENHARIA/Deise Aoki/PATOS - OK/PATOS 05-09-2007-ok/Laptop - Arquivos/DNIT/PATOs/Rondonópolis/PATO_BR-364_km_000_ao_km_11290_LICITAÇÃO MAIO DE 2007.xls'#$reg_mec_fx_dm_.$#REF!$#REF!:$#REF!$#REF!"</definedName>
    <definedName name="Excel_BuiltIn_Print_Area_7_38">"'file:///Y:/ENGENHARIA/Deise Aoki/PATOS - OK/PATOS 05-09-2007-ok/Laptop - Arquivos/DNIT/PATOs/Rondonópolis/PATO_BR-364_km_000_ao_km_11290_LICITAÇÃO MAIO DE 2007.xls'#$reg_mec_fx_dm_.$#REF!$#REF!:$#REF!$#REF!"</definedName>
    <definedName name="Excel_BuiltIn_Print_Area_7_40">"'file:///Y:/ENGENHARIA/Deise Aoki/PATOS - OK/PATOS 05-09-2007-ok/Laptop - Arquivos/DNIT/PATOs/Rondonópolis/PATO_BR-364_km_0,00_ao_km_112,90_LICITAÇÃO Rev mario.xls'#$reg_mec_fx_dm_.$#REF!$#REF!:$#REF!$#REF!"</definedName>
    <definedName name="Excel_BuiltIn_Print_Area_7_41">"'file:///Y:/ENGENHARIA/Deise Aoki/PATOS - OK/PATOS 05-09-2007-ok/Laptop - Arquivos/DNIT/PATOs/Rondonópolis/PATO_BR-364_km_0,00_ao_km_112,90_LICITAÇÃO Rev LA.xls'#$reg_mec_fx_dm_.$#REF!$#REF!:$#REF!$#REF!"</definedName>
    <definedName name="Excel_BuiltIn_Print_Area_7_43">"'file:///Y:/ENGENHARIA/Deise Aoki/PATOS - OK/PATOS 05-09-2007-ok/Laptop - Arquivos/DNIT/PATOs/Rondonópolis/PATO_BR-364_km_0,00_ao_km_112,90_LICITAÇÃO Rev LA.xls'#$reg_mec_fx_dm_.$#REF!$#REF!:$#REF!$#REF!"</definedName>
    <definedName name="Excel_BuiltIn_Print_Area_7_44">"'file:///Y:/ENGENHARIA/Deise Aoki/PATOS - OK/PATOS 05-09-2007-ok/Laptop - Arquivos/DNIT/PATOs/Rondonópolis/PATO_BR-364_km_0,00_ao_km_112,90_LICITAÇÃO Rev mario.xls'#$reg_mec_fx_dm_.$#REF!$#REF!:$#REF!$#REF!"</definedName>
    <definedName name="Excel_BuiltIn_Print_Area_7_45">"'file:///Y:/ENGENHARIA/Deise Aoki/PATOS - OK/PATOS 05-09-2007-ok/Laptop - Arquivos/DNIT/PATOs/Rondonópolis/PATO_BR-364_km_0,00_ao_km_112,90_LICITAÇÃO Rev mario.xls'#$reg_mec_fx_dm_.$#REF!$#REF!:$#REF!$#REF!"</definedName>
    <definedName name="Excel_BuiltIn_Print_Area_7_46">"'file:///Y:/ENGENHARIA/Deise Aoki/PATOS - OK/PATOS 05-09-2007-ok/Laptop - Arquivos/DNIT/PATOs/Rondonópolis/PATO_BR-364_km_0,00_ao_km_112,90_LICITAÇÃO Rev mario.xls'#$reg_mec_fx_dm_.$#REF!$#REF!:$#REF!$#REF!"</definedName>
    <definedName name="Excel_BuiltIn_Print_Area_7_47">"'file:///Y:/ENGENHARIA/Deise Aoki/PATOS - OK/PATOS 05-09-2007-ok/Laptop - Arquivos/DNIT/PATOs/Rondonópolis/PATO_BR-364_km_0,00_ao_km_112,90_LICITAÇÃO Rev mario.xls'#$reg_mec_fx_dm_.$#REF!$#REF!:$#REF!$#REF!"</definedName>
    <definedName name="Excel_BuiltIn_Print_Area_7_48">"'file:///Y:/ENGENHARIA/Deise Aoki/PATOS - OK/PATOS 05-09-2007-ok/Laptop - Arquivos/DNIT/PATOs/Rondonópolis/PATO_BR-364_km_0,00_ao_km_112,90_LICITAÇÃO Rev mario.xls'#$reg_mec_fx_dm_.$#REF!$#REF!:$#REF!$#REF!"</definedName>
    <definedName name="Excel_BuiltIn_Print_Area_7_49">"'file:///Y:/ENGENHARIA/Deise Aoki/PATOS - OK/PATOS 05-09-2007-ok/Laptop - Arquivos/DNIT/PATOs/Rondonópolis/PATO_BR-364_km_0,00_ao_km_112,90_LICITAÇÃO Rev mario.xls'#$reg_mec_fx_dm_.$#REF!$#REF!:$#REF!$#REF!"</definedName>
    <definedName name="Excel_BuiltIn_Print_Area_7_5">[58]reg_mec_fx_dm_!#REF!</definedName>
    <definedName name="Excel_BuiltIn_Print_Area_7_50">"'file:///Y:/ENGENHARIA/Deise Aoki/PATOS - OK/PATOS 05-09-2007-ok/Laptop - Arquivos/DNIT/PATOs/Rondonópolis/PATO_BR-364_km_0,00_ao_km_112,90_LICITAÇÃO Rev mario.xls'#$reg_mec_fx_dm_.$#REF!$#REF!:$#REF!$#REF!"</definedName>
    <definedName name="Excel_BuiltIn_Print_Area_7_52">"'file:///Y:/ENGENHARIA/Deise Aoki/PATOS - OK/PATOS 05-09-2007-ok/Laptop - Arquivos/DNIT/PATOs/Rondonópolis/PATO_BR-364_km_0,00_ao_km_112,90_LICITAÇÃO Rev mario.xls'#$reg_mec_fx_dm_.$#REF!$#REF!:$#REF!$#REF!"</definedName>
    <definedName name="Excel_BuiltIn_Print_Area_7_6">"'file:///Y:/ENGENHARIA/Deise Aoki/PATOS - OK/PATOS 05-09-2007-ok/Laptop - Arquivos/DNIT/PATOs/Rondonópolis/PATO_BR-364_km_0,00_ao_km_112,90_LICITAÇÃO Rev mario.xls'#$reg_mec_fx_dm_.$#REF!$#REF!:$#REF!$#REF!"</definedName>
    <definedName name="Excel_BuiltIn_Print_Area_7_7">"'file:///Y:/ENGENHARIA/Deise Aoki/PATOS - OK/PATOS 05-09-2007-ok/Laptop - Arquivos/DNIT/PATOs/Rondonópolis/PATO_BR-364_km_0,00_ao_km_112,90_LICITAÇÃO Rev mario.xls'#$reg_mec_fx_dm_.$#REF!$#REF!:$#REF!$#REF!"</definedName>
    <definedName name="Excel_BuiltIn_Print_Area_7_8">"'file:///Y:/ENGENHARIA/Deise Aoki/PATOS - OK/PATOS 05-09-2007-ok/Laptop - Arquivos/DNIT/PATOs/Rondonópolis/PATO_BR-364_km_0,00_ao_km_112,90_LICITAÇÃO Rev mario.xls'#$reg_mec_fx_dm_.$#REF!$#REF!:$#REF!$#REF!"</definedName>
    <definedName name="Excel_BuiltIn_Print_Area_7_9">"'file:///Y:/ENGENHARIA/Deise Aoki/PATOS - OK/PATOS 05-09-2007-ok/Laptop - Arquivos/DNIT/PATOs/Rondonópolis/PATO_BR-364_km_0,00_ao_km_112,90_LICITAÇÃO Rev mario.xls'#$reg_mec_fx_dm_.$#REF!$#REF!:$#REF!$#REF!"</definedName>
    <definedName name="Excel_BuiltIn_Print_Area_8">#REF!</definedName>
    <definedName name="Excel_BuiltIn_Print_Area_8_1">#REF!</definedName>
    <definedName name="Excel_BuiltIn_Print_Area_8_1_10">#REF!</definedName>
    <definedName name="Excel_BuiltIn_Print_Area_9">#REF!</definedName>
    <definedName name="Excel_BuiltIn_Print_Titles_1">'[62]Carimbo de Nota'!#REF!</definedName>
    <definedName name="Excel_BuiltIn_Print_Titles_1_1">#REF!</definedName>
    <definedName name="Excel_BuiltIn_Print_Titles_10">#REF!</definedName>
    <definedName name="Excel_BuiltIn_Print_Titles_11">#REF!</definedName>
    <definedName name="Excel_BuiltIn_Print_Titles_12">#REF!</definedName>
    <definedName name="Excel_BuiltIn_Print_Titles_12_1">#REF!</definedName>
    <definedName name="Excel_BuiltIn_Print_Titles_13">#REF!</definedName>
    <definedName name="Excel_BuiltIn_Print_Titles_13_1">#REF!</definedName>
    <definedName name="Excel_BuiltIn_Print_Titles_14">#REF!</definedName>
    <definedName name="Excel_BuiltIn_Print_Titles_15">#REF!</definedName>
    <definedName name="Excel_BuiltIn_Print_Titles_16">#REF!</definedName>
    <definedName name="Excel_BuiltIn_Print_Titles_17">#REF!</definedName>
    <definedName name="Excel_BuiltIn_Print_Titles_2">#REF!</definedName>
    <definedName name="Excel_BuiltIn_Print_Titles_22">('[63]Capa Resumo'!$A:$F,'[63]Capa Resumo'!#REF!)</definedName>
    <definedName name="Excel_BuiltIn_Print_Titles_3">"$#REF!.$A$5:$IV$10"</definedName>
    <definedName name="Excel_BuiltIn_Print_Titles_3_1">#REF!</definedName>
    <definedName name="Excel_BuiltIn_Print_Titles_30">('[63]Capa Documentação'!$A:$F,'[63]Capa Documentação'!#REF!)</definedName>
    <definedName name="Excel_BuiltIn_Print_Titles_31">('[63]Capa Anexo I'!$A:$F,'[63]Capa Anexo I'!#REF!)</definedName>
    <definedName name="Excel_BuiltIn_Print_Titles_32">('[64]Capa Documentação'!$A:$F,'[64]Capa Documentação'!#REF!)</definedName>
    <definedName name="Excel_BuiltIn_Print_Titles_33">('[63]Capa Anexo II'!$A:$F,'[63]Capa Anexo II'!#REF!)</definedName>
    <definedName name="Excel_BuiltIn_Print_Titles_34">('[63]Capa Anexo III'!$A:$F,'[63]Capa Anexo III'!#REF!)</definedName>
    <definedName name="Excel_BuiltIn_Print_Titles_35">('[63]Capa Anexo IV'!$A:$F,'[63]Capa Anexo IV'!#REF!)</definedName>
    <definedName name="Excel_BuiltIn_Print_Titles_36">('[64]Capa Anexo III'!$A:$F,'[64]Capa Anexo III'!#REF!)</definedName>
    <definedName name="Excel_BuiltIn_Print_Titles_37">('[64]Capa Anexo IV'!$A:$F,'[64]Capa Anexo IV'!#REF!)</definedName>
    <definedName name="Excel_BuiltIn_Print_Titles_4">"$#REF!.$A$4:$IU$13"</definedName>
    <definedName name="Excel_BuiltIn_Print_Titles_5">#REF!</definedName>
    <definedName name="Excel_BuiltIn_Print_Titles_5_1">([65]CRONFISFIN_!$A$1:$D$65536,[65]CRONFISFIN_!$A$1:$IV$5)</definedName>
    <definedName name="Excel_BuiltIn_Print_Titles_6">#REF!</definedName>
    <definedName name="Excel_BuiltIn_Print_Titles_6_1">#REF!</definedName>
    <definedName name="Excel_BuiltIn_Print_Titles_6_1_1">#REF!</definedName>
    <definedName name="Excel_BuiltIn_Print_Titles_6_1_1_1_1">#REF!</definedName>
    <definedName name="Excel_BuiltIn_Print_Titles_64">#REF!</definedName>
    <definedName name="Excel_BuiltIn_Print_Titles_7">#REF!</definedName>
    <definedName name="Excel_BuiltIn_Print_Titles_7_1">#REF!</definedName>
    <definedName name="Excel_BuiltIn_Print_Titles_8">#REF!</definedName>
    <definedName name="Excel_BuiltIn_Print_Titles_8_1">#REF!</definedName>
    <definedName name="Excel_BuiltIn_Print_Titles_9">#REF!</definedName>
    <definedName name="EXER">#REF!</definedName>
    <definedName name="EXPU">#REF!</definedName>
    <definedName name="EXT">#REF!</definedName>
    <definedName name="EXT.TOTAL">[48]Diagrama!#REF!</definedName>
    <definedName name="EXT_10">[44]ORÇAMENTO!$C$5</definedName>
    <definedName name="EXT_10_13">[44]ORÇAMENTO!$C$5</definedName>
    <definedName name="EXT_10_39">[44]ORÇAMENTO!$C$5</definedName>
    <definedName name="EXT_10_6">[44]ORÇAMENTO!$C$5</definedName>
    <definedName name="EXT_11">[44]ORÇAMENTO!$C$5</definedName>
    <definedName name="EXT_11_13">[44]ORÇAMENTO!$C$5</definedName>
    <definedName name="EXT_11_39">[44]ORÇAMENTO!$C$5</definedName>
    <definedName name="EXT_11_6">[44]ORÇAMENTO!$C$5</definedName>
    <definedName name="EXT_12">[44]ORÇAMENTO!$C$5</definedName>
    <definedName name="EXT_12_13">[44]ORÇAMENTO!$C$5</definedName>
    <definedName name="EXT_12_39">[44]ORÇAMENTO!$C$5</definedName>
    <definedName name="EXT_12_6">[44]ORÇAMENTO!$C$5</definedName>
    <definedName name="EXT_13">[44]ORÇAMENTO!$C$5</definedName>
    <definedName name="EXT_13_13">[44]ORÇAMENTO!$C$5</definedName>
    <definedName name="EXT_13_39">[44]ORÇAMENTO!$C$5</definedName>
    <definedName name="EXT_13_6">[44]ORÇAMENTO!$C$5</definedName>
    <definedName name="EXT_14">[44]ORÇAMENTO!$C$5</definedName>
    <definedName name="EXT_14_13">[44]ORÇAMENTO!$C$5</definedName>
    <definedName name="EXT_14_39">[44]ORÇAMENTO!$C$5</definedName>
    <definedName name="EXT_14_6">[44]ORÇAMENTO!$C$5</definedName>
    <definedName name="EXT_15">[44]ORÇAMENTO!$C$5</definedName>
    <definedName name="EXT_15_13">[44]ORÇAMENTO!$C$5</definedName>
    <definedName name="EXT_15_39">[44]ORÇAMENTO!$C$5</definedName>
    <definedName name="EXT_15_6">[44]ORÇAMENTO!$C$5</definedName>
    <definedName name="EXT_16">[44]ORÇAMENTO!$C$5</definedName>
    <definedName name="EXT_16_13">[44]ORÇAMENTO!$C$5</definedName>
    <definedName name="EXT_16_39">[44]ORÇAMENTO!$C$5</definedName>
    <definedName name="EXT_16_6">[44]ORÇAMENTO!$C$5</definedName>
    <definedName name="EXT_17">[44]ORÇAMENTO!$C$5</definedName>
    <definedName name="EXT_17_13">[44]ORÇAMENTO!$C$5</definedName>
    <definedName name="EXT_17_39">[44]ORÇAMENTO!$C$5</definedName>
    <definedName name="EXT_17_6">[44]ORÇAMENTO!$C$5</definedName>
    <definedName name="EXT_18">[44]ORÇAMENTO!$C$5</definedName>
    <definedName name="EXT_18_13">[44]ORÇAMENTO!$C$5</definedName>
    <definedName name="EXT_18_39">[44]ORÇAMENTO!$C$5</definedName>
    <definedName name="EXT_18_6">[44]ORÇAMENTO!$C$5</definedName>
    <definedName name="EXT_19">[44]ORÇAMENTO!$C$5</definedName>
    <definedName name="EXT_19_13">[44]ORÇAMENTO!$C$5</definedName>
    <definedName name="EXT_19_39">[44]ORÇAMENTO!$C$5</definedName>
    <definedName name="EXT_19_6">[44]ORÇAMENTO!$C$5</definedName>
    <definedName name="EXT_2">[44]ORÇAMENTO!$C$5</definedName>
    <definedName name="EXT_2_13">[44]ORÇAMENTO!$C$5</definedName>
    <definedName name="EXT_2_39">[44]ORÇAMENTO!$C$5</definedName>
    <definedName name="EXT_2_6">[44]ORÇAMENTO!$C$5</definedName>
    <definedName name="EXT_20">[44]ORÇAMENTO!$C$5</definedName>
    <definedName name="EXT_20_13">[44]ORÇAMENTO!$C$5</definedName>
    <definedName name="EXT_20_39">[44]ORÇAMENTO!$C$5</definedName>
    <definedName name="EXT_20_6">[44]ORÇAMENTO!$C$5</definedName>
    <definedName name="EXT_21">[44]ORÇAMENTO!$C$5</definedName>
    <definedName name="EXT_21_13">[44]ORÇAMENTO!$C$5</definedName>
    <definedName name="EXT_21_39">[44]ORÇAMENTO!$C$5</definedName>
    <definedName name="EXT_21_6">[44]ORÇAMENTO!$C$5</definedName>
    <definedName name="EXT_22">[44]ORÇAMENTO!$C$5</definedName>
    <definedName name="EXT_22_13">[44]ORÇAMENTO!$C$5</definedName>
    <definedName name="EXT_22_39">[44]ORÇAMENTO!$C$5</definedName>
    <definedName name="EXT_22_6">[44]ORÇAMENTO!$C$5</definedName>
    <definedName name="EXT_23">[44]ORÇAMENTO!$C$5</definedName>
    <definedName name="EXT_23_13">[44]ORÇAMENTO!$C$5</definedName>
    <definedName name="EXT_23_39">[44]ORÇAMENTO!$C$5</definedName>
    <definedName name="EXT_23_6">[44]ORÇAMENTO!$C$5</definedName>
    <definedName name="EXT_24">[44]ORÇAMENTO!$C$5</definedName>
    <definedName name="EXT_24_13">[44]ORÇAMENTO!$C$5</definedName>
    <definedName name="EXT_24_39">[44]ORÇAMENTO!$C$5</definedName>
    <definedName name="EXT_24_6">[44]ORÇAMENTO!$C$5</definedName>
    <definedName name="EXT_25">[44]ORÇAMENTO!$C$5</definedName>
    <definedName name="EXT_25_13">[44]ORÇAMENTO!$C$5</definedName>
    <definedName name="EXT_25_39">[44]ORÇAMENTO!$C$5</definedName>
    <definedName name="EXT_25_6">[44]ORÇAMENTO!$C$5</definedName>
    <definedName name="EXT_26">[44]ORÇAMENTO!$C$5</definedName>
    <definedName name="EXT_26_13">[44]ORÇAMENTO!$C$5</definedName>
    <definedName name="EXT_26_39">[44]ORÇAMENTO!$C$5</definedName>
    <definedName name="EXT_26_6">[44]ORÇAMENTO!$C$5</definedName>
    <definedName name="EXT_27">[44]ORÇAMENTO!$C$5</definedName>
    <definedName name="EXT_27_13">[44]ORÇAMENTO!$C$5</definedName>
    <definedName name="EXT_27_39">[44]ORÇAMENTO!$C$5</definedName>
    <definedName name="EXT_27_6">[44]ORÇAMENTO!$C$5</definedName>
    <definedName name="EXT_28">[44]ORÇAMENTO!$C$5</definedName>
    <definedName name="EXT_28_13">[44]ORÇAMENTO!$C$5</definedName>
    <definedName name="EXT_28_39">[44]ORÇAMENTO!$C$5</definedName>
    <definedName name="EXT_28_6">[44]ORÇAMENTO!$C$5</definedName>
    <definedName name="EXT_29">[44]ORÇAMENTO!$C$5</definedName>
    <definedName name="EXT_29_13">[44]ORÇAMENTO!$C$5</definedName>
    <definedName name="EXT_29_39">[44]ORÇAMENTO!$C$5</definedName>
    <definedName name="EXT_29_6">[44]ORÇAMENTO!$C$5</definedName>
    <definedName name="EXT_30">[44]ORÇAMENTO!$C$5</definedName>
    <definedName name="EXT_30_13">[44]ORÇAMENTO!$C$5</definedName>
    <definedName name="EXT_30_39">[44]ORÇAMENTO!$C$5</definedName>
    <definedName name="EXT_30_6">[44]ORÇAMENTO!$C$5</definedName>
    <definedName name="EXT_31">[44]ORÇAMENTO!$C$5</definedName>
    <definedName name="EXT_32">[44]ORÇAMENTO!$C$5</definedName>
    <definedName name="EXT_32_13">[44]ORÇAMENTO!$C$5</definedName>
    <definedName name="EXT_32_39">[44]ORÇAMENTO!$C$5</definedName>
    <definedName name="EXT_32_6">[44]ORÇAMENTO!$C$5</definedName>
    <definedName name="EXT_33">[44]ORÇAMENTO!$C$5</definedName>
    <definedName name="EXT_33_13">[44]ORÇAMENTO!$C$5</definedName>
    <definedName name="EXT_33_39">[44]ORÇAMENTO!$C$5</definedName>
    <definedName name="EXT_33_6">[44]ORÇAMENTO!$C$5</definedName>
    <definedName name="EXT_34">[44]ORÇAMENTO!$C$5</definedName>
    <definedName name="EXT_34_13">[44]ORÇAMENTO!$C$5</definedName>
    <definedName name="EXT_34_39">[44]ORÇAMENTO!$C$5</definedName>
    <definedName name="EXT_34_6">[44]ORÇAMENTO!$C$5</definedName>
    <definedName name="EXT_40">[44]ORÇAMENTO!$C$5</definedName>
    <definedName name="EXT_40_13">[44]ORÇAMENTO!$C$5</definedName>
    <definedName name="EXT_40_39">[44]ORÇAMENTO!$C$5</definedName>
    <definedName name="EXT_40_6">[44]ORÇAMENTO!$C$5</definedName>
    <definedName name="EXT_41">[44]ORÇAMENTO!$C$5</definedName>
    <definedName name="EXT_41_13">[44]ORÇAMENTO!$C$5</definedName>
    <definedName name="EXT_41_39">[44]ORÇAMENTO!$C$5</definedName>
    <definedName name="EXT_41_6">[44]ORÇAMENTO!$C$5</definedName>
    <definedName name="EXT_43">[44]ORÇAMENTO!$C$5</definedName>
    <definedName name="EXT_43_13">[44]ORÇAMENTO!$C$5</definedName>
    <definedName name="EXT_43_39">[44]ORÇAMENTO!$C$5</definedName>
    <definedName name="EXT_43_6">[44]ORÇAMENTO!$C$5</definedName>
    <definedName name="EXT_44">[44]ORÇAMENTO!$C$5</definedName>
    <definedName name="EXT_44_13">[44]ORÇAMENTO!$C$5</definedName>
    <definedName name="EXT_44_39">[44]ORÇAMENTO!$C$5</definedName>
    <definedName name="EXT_44_6">[44]ORÇAMENTO!$C$5</definedName>
    <definedName name="EXT_45">[44]ORÇAMENTO!$C$5</definedName>
    <definedName name="EXT_45_13">[44]ORÇAMENTO!$C$5</definedName>
    <definedName name="EXT_45_39">[44]ORÇAMENTO!$C$5</definedName>
    <definedName name="EXT_45_6">[44]ORÇAMENTO!$C$5</definedName>
    <definedName name="EXT_46">[44]ORÇAMENTO!$C$5</definedName>
    <definedName name="EXT_46_13">[44]ORÇAMENTO!$C$5</definedName>
    <definedName name="EXT_46_39">[44]ORÇAMENTO!$C$5</definedName>
    <definedName name="EXT_46_6">[44]ORÇAMENTO!$C$5</definedName>
    <definedName name="EXT_47">[44]ORÇAMENTO!$C$5</definedName>
    <definedName name="EXT_47_13">[44]ORÇAMENTO!$C$5</definedName>
    <definedName name="EXT_47_39">[44]ORÇAMENTO!$C$5</definedName>
    <definedName name="EXT_47_6">[44]ORÇAMENTO!$C$5</definedName>
    <definedName name="EXT_48">[44]ORÇAMENTO!$C$5</definedName>
    <definedName name="EXT_48_13">[44]ORÇAMENTO!$C$5</definedName>
    <definedName name="EXT_48_39">[44]ORÇAMENTO!$C$5</definedName>
    <definedName name="EXT_48_6">[44]ORÇAMENTO!$C$5</definedName>
    <definedName name="EXT_49">[44]ORÇAMENTO!$C$5</definedName>
    <definedName name="EXT_49_13">[44]ORÇAMENTO!$C$5</definedName>
    <definedName name="EXT_49_39">[44]ORÇAMENTO!$C$5</definedName>
    <definedName name="EXT_49_6">[44]ORÇAMENTO!$C$5</definedName>
    <definedName name="EXT_50">[44]ORÇAMENTO!$C$5</definedName>
    <definedName name="EXT_50_13">[44]ORÇAMENTO!$C$5</definedName>
    <definedName name="EXT_50_39">[44]ORÇAMENTO!$C$5</definedName>
    <definedName name="EXT_50_6">[44]ORÇAMENTO!$C$5</definedName>
    <definedName name="EXT_51">[44]ORÇAMENTO!$C$5</definedName>
    <definedName name="EXT_51_13">[44]ORÇAMENTO!$C$5</definedName>
    <definedName name="EXT_51_39">[44]ORÇAMENTO!$C$5</definedName>
    <definedName name="EXT_51_6">[44]ORÇAMENTO!$C$5</definedName>
    <definedName name="EXT_52">[44]ORÇAMENTO!$C$5</definedName>
    <definedName name="EXT_52_13">[44]ORÇAMENTO!$C$5</definedName>
    <definedName name="EXT_52_39">[44]ORÇAMENTO!$C$5</definedName>
    <definedName name="EXT_52_6">[44]ORÇAMENTO!$C$5</definedName>
    <definedName name="EXT_6">[44]ORÇAMENTO!$C$5</definedName>
    <definedName name="EXT_6_13">[44]ORÇAMENTO!$C$5</definedName>
    <definedName name="EXT_6_39">[44]ORÇAMENTO!$C$5</definedName>
    <definedName name="EXT_6_6">[44]ORÇAMENTO!$C$5</definedName>
    <definedName name="EXT_7">[44]ORÇAMENTO!$C$5</definedName>
    <definedName name="EXT_7_13">[44]ORÇAMENTO!$C$5</definedName>
    <definedName name="EXT_7_39">[44]ORÇAMENTO!$C$5</definedName>
    <definedName name="EXT_7_6">[44]ORÇAMENTO!$C$5</definedName>
    <definedName name="EXT_8">[44]ORÇAMENTO!$C$5</definedName>
    <definedName name="EXT_8_13">[44]ORÇAMENTO!$C$5</definedName>
    <definedName name="EXT_8_39">[44]ORÇAMENTO!$C$5</definedName>
    <definedName name="EXT_8_6">[44]ORÇAMENTO!$C$5</definedName>
    <definedName name="EXT_9">[44]ORÇAMENTO!$C$5</definedName>
    <definedName name="EXT_9_13">[44]ORÇAMENTO!$C$5</definedName>
    <definedName name="EXT_9_39">[44]ORÇAMENTO!$C$5</definedName>
    <definedName name="EXT_9_6">[44]ORÇAMENTO!$C$5</definedName>
    <definedName name="EXTA">#REF!</definedName>
    <definedName name="extensao">#REF!</definedName>
    <definedName name="EXTENSÃO">[43]Croqui!$A$7</definedName>
    <definedName name="EXTENSÃO1">#REF!</definedName>
    <definedName name="Extenso">#N/A</definedName>
    <definedName name="Extenso_1">#N/A</definedName>
    <definedName name="Extenso_10">#N/A</definedName>
    <definedName name="Extenso_12">#N/A</definedName>
    <definedName name="Extenso_13">#N/A</definedName>
    <definedName name="Extenso_14">#N/A</definedName>
    <definedName name="Extenso_2">#N/A</definedName>
    <definedName name="Extenso_22">#N/A</definedName>
    <definedName name="Extenso_25">#N/A</definedName>
    <definedName name="Extenso_26">#N/A</definedName>
    <definedName name="Extenso_27">#N/A</definedName>
    <definedName name="Extenso_28">#N/A</definedName>
    <definedName name="Extenso_29">#N/A</definedName>
    <definedName name="Extenso_3">#N/A</definedName>
    <definedName name="Extenso_30">#N/A</definedName>
    <definedName name="Extenso_31">#N/A</definedName>
    <definedName name="Extenso_32">#N/A</definedName>
    <definedName name="Extenso_33">#N/A</definedName>
    <definedName name="Extenso_34">#N/A</definedName>
    <definedName name="Extenso_35">#N/A</definedName>
    <definedName name="Extenso_36">#N/A</definedName>
    <definedName name="Extenso_37">#N/A</definedName>
    <definedName name="Extenso_38">#N/A</definedName>
    <definedName name="Extenso_4">#N/A</definedName>
    <definedName name="Extenso_5">#N/A</definedName>
    <definedName name="Extenso_6">#N/A</definedName>
    <definedName name="Extenso_7">#N/A</definedName>
    <definedName name="Extenso_8">#N/A</definedName>
    <definedName name="Extenso_9">#N/A</definedName>
    <definedName name="ExtFaixa">#REF!</definedName>
    <definedName name="ExtFaixa2">'[6]P A T O 99 B'!#REF!</definedName>
    <definedName name="F_01_120">#REF!</definedName>
    <definedName name="F_01_150">#REF!</definedName>
    <definedName name="F_01_180">#REF!</definedName>
    <definedName name="F_01_210">#REF!</definedName>
    <definedName name="F_01_240">#REF!</definedName>
    <definedName name="F_01_270">#REF!</definedName>
    <definedName name="F_01_30">#REF!</definedName>
    <definedName name="F_01_300">#REF!</definedName>
    <definedName name="F_01_330">#REF!</definedName>
    <definedName name="F_01_360">#REF!</definedName>
    <definedName name="F_01_390">#REF!</definedName>
    <definedName name="F_01_420">#REF!</definedName>
    <definedName name="F_01_450">#REF!</definedName>
    <definedName name="F_01_480">#REF!</definedName>
    <definedName name="F_01_510">#REF!</definedName>
    <definedName name="F_01_540">#REF!</definedName>
    <definedName name="F_01_570">#REF!</definedName>
    <definedName name="F_01_60">#REF!</definedName>
    <definedName name="F_01_600">#REF!</definedName>
    <definedName name="F_01_630">#REF!</definedName>
    <definedName name="F_01_660">#REF!</definedName>
    <definedName name="F_01_690">#REF!</definedName>
    <definedName name="F_01_720">#REF!</definedName>
    <definedName name="F_01_90">#REF!</definedName>
    <definedName name="F_02_120">#REF!</definedName>
    <definedName name="F_02_150">#REF!</definedName>
    <definedName name="F_02_180">#REF!</definedName>
    <definedName name="F_02_210">#REF!</definedName>
    <definedName name="F_02_240">#REF!</definedName>
    <definedName name="F_02_270">#REF!</definedName>
    <definedName name="F_02_30">#REF!</definedName>
    <definedName name="F_02_300">#REF!</definedName>
    <definedName name="F_02_330">#REF!</definedName>
    <definedName name="F_02_360">#REF!</definedName>
    <definedName name="F_02_390">#REF!</definedName>
    <definedName name="F_02_420">#REF!</definedName>
    <definedName name="F_02_450">#REF!</definedName>
    <definedName name="F_02_480">#REF!</definedName>
    <definedName name="F_02_510">#REF!</definedName>
    <definedName name="F_02_540">#REF!</definedName>
    <definedName name="F_02_570">#REF!</definedName>
    <definedName name="F_02_60">#REF!</definedName>
    <definedName name="F_02_600">#REF!</definedName>
    <definedName name="F_02_630">#REF!</definedName>
    <definedName name="F_02_660">#REF!</definedName>
    <definedName name="F_02_690">#REF!</definedName>
    <definedName name="F_02_720">#REF!</definedName>
    <definedName name="F_02_90">#REF!</definedName>
    <definedName name="F_03_120">#REF!</definedName>
    <definedName name="F_03_150">#REF!</definedName>
    <definedName name="F_03_180">#REF!</definedName>
    <definedName name="F_03_210">#REF!</definedName>
    <definedName name="F_03_240">#REF!</definedName>
    <definedName name="F_03_270">#REF!</definedName>
    <definedName name="F_03_30">#REF!</definedName>
    <definedName name="F_03_300">#REF!</definedName>
    <definedName name="F_03_330">#REF!</definedName>
    <definedName name="F_03_360">#REF!</definedName>
    <definedName name="F_03_390">#REF!</definedName>
    <definedName name="F_03_420">#REF!</definedName>
    <definedName name="F_03_450">#REF!</definedName>
    <definedName name="F_03_480">#REF!</definedName>
    <definedName name="F_03_510">#REF!</definedName>
    <definedName name="F_03_540">#REF!</definedName>
    <definedName name="F_03_570">#REF!</definedName>
    <definedName name="F_03_60">#REF!</definedName>
    <definedName name="F_03_600">#REF!</definedName>
    <definedName name="F_03_630">#REF!</definedName>
    <definedName name="F_03_660">#REF!</definedName>
    <definedName name="F_03_690">#REF!</definedName>
    <definedName name="F_03_720">#REF!</definedName>
    <definedName name="F_03_90">#REF!</definedName>
    <definedName name="F_04_120">#REF!</definedName>
    <definedName name="F_04_150">#REF!</definedName>
    <definedName name="F_04_180">#REF!</definedName>
    <definedName name="F_04_210">#REF!</definedName>
    <definedName name="F_04_240">#REF!</definedName>
    <definedName name="F_04_270">#REF!</definedName>
    <definedName name="F_04_30">#REF!</definedName>
    <definedName name="F_04_300">#REF!</definedName>
    <definedName name="F_04_330">#REF!</definedName>
    <definedName name="F_04_360">#REF!</definedName>
    <definedName name="F_04_390">#REF!</definedName>
    <definedName name="F_04_420">#REF!</definedName>
    <definedName name="F_04_450">#REF!</definedName>
    <definedName name="F_04_480">#REF!</definedName>
    <definedName name="F_04_510">#REF!</definedName>
    <definedName name="F_04_540">#REF!</definedName>
    <definedName name="F_04_570">#REF!</definedName>
    <definedName name="F_04_60">#REF!</definedName>
    <definedName name="F_04_600">#REF!</definedName>
    <definedName name="F_04_630">#REF!</definedName>
    <definedName name="F_04_660">#REF!</definedName>
    <definedName name="F_04_690">#REF!</definedName>
    <definedName name="F_04_720">#REF!</definedName>
    <definedName name="F_04_90">#REF!</definedName>
    <definedName name="F_05_120">#REF!</definedName>
    <definedName name="F_05_150">#REF!</definedName>
    <definedName name="F_05_180">#REF!</definedName>
    <definedName name="F_05_210">#REF!</definedName>
    <definedName name="F_05_240">#REF!</definedName>
    <definedName name="F_05_270">#REF!</definedName>
    <definedName name="F_05_30">#REF!</definedName>
    <definedName name="F_05_300">#REF!</definedName>
    <definedName name="F_05_330">#REF!</definedName>
    <definedName name="F_05_360">#REF!</definedName>
    <definedName name="F_05_390">#REF!</definedName>
    <definedName name="F_05_420">#REF!</definedName>
    <definedName name="F_05_450">#REF!</definedName>
    <definedName name="F_05_480">#REF!</definedName>
    <definedName name="F_05_510">#REF!</definedName>
    <definedName name="F_05_540">#REF!</definedName>
    <definedName name="F_05_570">#REF!</definedName>
    <definedName name="F_05_60">#REF!</definedName>
    <definedName name="F_05_600">#REF!</definedName>
    <definedName name="F_05_630">#REF!</definedName>
    <definedName name="F_05_660">#REF!</definedName>
    <definedName name="F_05_690">#REF!</definedName>
    <definedName name="F_05_720">#REF!</definedName>
    <definedName name="F_05_90">#REF!</definedName>
    <definedName name="F_06_120">#REF!</definedName>
    <definedName name="F_06_150">#REF!</definedName>
    <definedName name="F_06_180">#REF!</definedName>
    <definedName name="F_06_210">#REF!</definedName>
    <definedName name="F_06_240">#REF!</definedName>
    <definedName name="F_06_270">#REF!</definedName>
    <definedName name="F_06_30">#REF!</definedName>
    <definedName name="F_06_300">#REF!</definedName>
    <definedName name="F_06_330">#REF!</definedName>
    <definedName name="F_06_360">#REF!</definedName>
    <definedName name="F_06_390">#REF!</definedName>
    <definedName name="F_06_420">#REF!</definedName>
    <definedName name="F_06_450">#REF!</definedName>
    <definedName name="F_06_480">#REF!</definedName>
    <definedName name="F_06_510">#REF!</definedName>
    <definedName name="F_06_540">#REF!</definedName>
    <definedName name="F_06_570">#REF!</definedName>
    <definedName name="F_06_60">#REF!</definedName>
    <definedName name="F_06_600">#REF!</definedName>
    <definedName name="F_06_630">#REF!</definedName>
    <definedName name="F_06_660">#REF!</definedName>
    <definedName name="F_06_690">#REF!</definedName>
    <definedName name="F_06_720">#REF!</definedName>
    <definedName name="F_06_90">#REF!</definedName>
    <definedName name="F_07_120">#REF!</definedName>
    <definedName name="F_07_150">#REF!</definedName>
    <definedName name="F_07_180">#REF!</definedName>
    <definedName name="F_07_210">#REF!</definedName>
    <definedName name="F_07_240">#REF!</definedName>
    <definedName name="F_07_270">#REF!</definedName>
    <definedName name="F_07_30">#REF!</definedName>
    <definedName name="F_07_300">#REF!</definedName>
    <definedName name="F_07_330">#REF!</definedName>
    <definedName name="F_07_360">#REF!</definedName>
    <definedName name="F_07_390">#REF!</definedName>
    <definedName name="F_07_420">#REF!</definedName>
    <definedName name="F_07_450">#REF!</definedName>
    <definedName name="F_07_480">#REF!</definedName>
    <definedName name="F_07_510">#REF!</definedName>
    <definedName name="F_07_540">#REF!</definedName>
    <definedName name="F_07_570">#REF!</definedName>
    <definedName name="F_07_60">#REF!</definedName>
    <definedName name="F_07_600">#REF!</definedName>
    <definedName name="F_07_630">#REF!</definedName>
    <definedName name="F_07_660">#REF!</definedName>
    <definedName name="F_07_690">#REF!</definedName>
    <definedName name="F_07_720">#REF!</definedName>
    <definedName name="F_07_90">#REF!</definedName>
    <definedName name="F_08_120">#REF!</definedName>
    <definedName name="F_08_150">#REF!</definedName>
    <definedName name="F_08_180">#REF!</definedName>
    <definedName name="F_08_210">#REF!</definedName>
    <definedName name="F_08_240">#REF!</definedName>
    <definedName name="F_08_270">#REF!</definedName>
    <definedName name="F_08_30">#REF!</definedName>
    <definedName name="F_08_300">#REF!</definedName>
    <definedName name="F_08_330">#REF!</definedName>
    <definedName name="F_08_360">#REF!</definedName>
    <definedName name="F_08_390">#REF!</definedName>
    <definedName name="F_08_420">#REF!</definedName>
    <definedName name="F_08_450">#REF!</definedName>
    <definedName name="F_08_480">#REF!</definedName>
    <definedName name="F_08_510">#REF!</definedName>
    <definedName name="F_08_540">#REF!</definedName>
    <definedName name="F_08_570">#REF!</definedName>
    <definedName name="F_08_60">#REF!</definedName>
    <definedName name="F_08_600">#REF!</definedName>
    <definedName name="F_08_630">#REF!</definedName>
    <definedName name="F_08_660">#REF!</definedName>
    <definedName name="F_08_690">#REF!</definedName>
    <definedName name="F_08_720">#REF!</definedName>
    <definedName name="F_08_90">#REF!</definedName>
    <definedName name="F_09_120">#REF!</definedName>
    <definedName name="F_09_150">#REF!</definedName>
    <definedName name="F_09_180">#REF!</definedName>
    <definedName name="F_09_210">#REF!</definedName>
    <definedName name="F_09_240">#REF!</definedName>
    <definedName name="F_09_270">#REF!</definedName>
    <definedName name="F_09_30">#REF!</definedName>
    <definedName name="F_09_300">#REF!</definedName>
    <definedName name="F_09_330">#REF!</definedName>
    <definedName name="F_09_360">#REF!</definedName>
    <definedName name="F_09_390">#REF!</definedName>
    <definedName name="F_09_420">#REF!</definedName>
    <definedName name="F_09_450">#REF!</definedName>
    <definedName name="F_09_480">#REF!</definedName>
    <definedName name="F_09_510">#REF!</definedName>
    <definedName name="F_09_540">#REF!</definedName>
    <definedName name="F_09_570">#REF!</definedName>
    <definedName name="F_09_60">#REF!</definedName>
    <definedName name="F_09_600">#REF!</definedName>
    <definedName name="F_09_630">#REF!</definedName>
    <definedName name="F_09_660">#REF!</definedName>
    <definedName name="F_09_690">#REF!</definedName>
    <definedName name="F_09_720">#REF!</definedName>
    <definedName name="F_09_90">#REF!</definedName>
    <definedName name="F_10_120">#REF!</definedName>
    <definedName name="F_10_150">#REF!</definedName>
    <definedName name="F_10_180">#REF!</definedName>
    <definedName name="F_10_210">#REF!</definedName>
    <definedName name="F_10_240">#REF!</definedName>
    <definedName name="F_10_270">#REF!</definedName>
    <definedName name="F_10_30">#REF!</definedName>
    <definedName name="F_10_300">#REF!</definedName>
    <definedName name="F_10_330">#REF!</definedName>
    <definedName name="F_10_360">#REF!</definedName>
    <definedName name="F_10_390">#REF!</definedName>
    <definedName name="F_10_420">#REF!</definedName>
    <definedName name="F_10_450">#REF!</definedName>
    <definedName name="F_10_480">#REF!</definedName>
    <definedName name="F_10_510">#REF!</definedName>
    <definedName name="F_10_540">#REF!</definedName>
    <definedName name="F_10_570">#REF!</definedName>
    <definedName name="F_10_60">#REF!</definedName>
    <definedName name="F_10_600">#REF!</definedName>
    <definedName name="F_10_630">#REF!</definedName>
    <definedName name="F_10_660">#REF!</definedName>
    <definedName name="F_10_690">#REF!</definedName>
    <definedName name="F_10_720">#REF!</definedName>
    <definedName name="F_10_90">#REF!</definedName>
    <definedName name="F_11_120">#REF!</definedName>
    <definedName name="F_11_150">#REF!</definedName>
    <definedName name="F_11_180">#REF!</definedName>
    <definedName name="F_11_210">#REF!</definedName>
    <definedName name="F_11_240">#REF!</definedName>
    <definedName name="F_11_270">#REF!</definedName>
    <definedName name="F_11_30">#REF!</definedName>
    <definedName name="F_11_300">#REF!</definedName>
    <definedName name="F_11_330">#REF!</definedName>
    <definedName name="F_11_360">#REF!</definedName>
    <definedName name="F_11_390">#REF!</definedName>
    <definedName name="F_11_420">#REF!</definedName>
    <definedName name="F_11_450">#REF!</definedName>
    <definedName name="F_11_480">#REF!</definedName>
    <definedName name="F_11_510">#REF!</definedName>
    <definedName name="F_11_540">#REF!</definedName>
    <definedName name="F_11_570">#REF!</definedName>
    <definedName name="F_11_60">#REF!</definedName>
    <definedName name="F_11_600">#REF!</definedName>
    <definedName name="F_11_630">#REF!</definedName>
    <definedName name="F_11_660">#REF!</definedName>
    <definedName name="F_11_690">#REF!</definedName>
    <definedName name="F_11_720">#REF!</definedName>
    <definedName name="F_11_90">#REF!</definedName>
    <definedName name="F_12_120">#REF!</definedName>
    <definedName name="F_12_150">#REF!</definedName>
    <definedName name="F_12_180">#REF!</definedName>
    <definedName name="F_12_210">#REF!</definedName>
    <definedName name="F_12_240">#REF!</definedName>
    <definedName name="F_12_270">#REF!</definedName>
    <definedName name="F_12_30">#REF!</definedName>
    <definedName name="F_12_300">#REF!</definedName>
    <definedName name="F_12_330">#REF!</definedName>
    <definedName name="F_12_360">#REF!</definedName>
    <definedName name="F_12_390">#REF!</definedName>
    <definedName name="F_12_420">#REF!</definedName>
    <definedName name="F_12_450">#REF!</definedName>
    <definedName name="F_12_480">#REF!</definedName>
    <definedName name="F_12_510">#REF!</definedName>
    <definedName name="F_12_540">#REF!</definedName>
    <definedName name="F_12_570">#REF!</definedName>
    <definedName name="F_12_60">#REF!</definedName>
    <definedName name="F_12_600">#REF!</definedName>
    <definedName name="F_12_630">#REF!</definedName>
    <definedName name="F_12_660">#REF!</definedName>
    <definedName name="F_12_690">#REF!</definedName>
    <definedName name="F_12_720">#REF!</definedName>
    <definedName name="F_12_90">#REF!</definedName>
    <definedName name="F_13_120">#REF!</definedName>
    <definedName name="F_13_150">#REF!</definedName>
    <definedName name="F_13_180">#REF!</definedName>
    <definedName name="F_13_210">#REF!</definedName>
    <definedName name="F_13_240">#REF!</definedName>
    <definedName name="F_13_270">#REF!</definedName>
    <definedName name="F_13_30">#REF!</definedName>
    <definedName name="F_13_300">#REF!</definedName>
    <definedName name="F_13_330">#REF!</definedName>
    <definedName name="F_13_360">#REF!</definedName>
    <definedName name="F_13_390">#REF!</definedName>
    <definedName name="F_13_420">#REF!</definedName>
    <definedName name="F_13_450">#REF!</definedName>
    <definedName name="F_13_480">#REF!</definedName>
    <definedName name="F_13_510">#REF!</definedName>
    <definedName name="F_13_540">#REF!</definedName>
    <definedName name="F_13_570">#REF!</definedName>
    <definedName name="F_13_60">#REF!</definedName>
    <definedName name="F_13_600">#REF!</definedName>
    <definedName name="F_13_630">#REF!</definedName>
    <definedName name="F_13_660">#REF!</definedName>
    <definedName name="F_13_690">#REF!</definedName>
    <definedName name="F_13_720">#REF!</definedName>
    <definedName name="F_13_90">#REF!</definedName>
    <definedName name="F_14_120">#REF!</definedName>
    <definedName name="F_14_150">#REF!</definedName>
    <definedName name="F_14_180">#REF!</definedName>
    <definedName name="F_14_210">#REF!</definedName>
    <definedName name="F_14_240">#REF!</definedName>
    <definedName name="F_14_270">#REF!</definedName>
    <definedName name="F_14_30">#REF!</definedName>
    <definedName name="F_14_300">#REF!</definedName>
    <definedName name="F_14_330">#REF!</definedName>
    <definedName name="F_14_360">#REF!</definedName>
    <definedName name="F_14_390">#REF!</definedName>
    <definedName name="F_14_420">#REF!</definedName>
    <definedName name="F_14_450">#REF!</definedName>
    <definedName name="F_14_480">#REF!</definedName>
    <definedName name="F_14_510">#REF!</definedName>
    <definedName name="F_14_540">#REF!</definedName>
    <definedName name="F_14_570">#REF!</definedName>
    <definedName name="F_14_60">#REF!</definedName>
    <definedName name="F_14_600">#REF!</definedName>
    <definedName name="F_14_630">#REF!</definedName>
    <definedName name="F_14_660">#REF!</definedName>
    <definedName name="F_14_690">#REF!</definedName>
    <definedName name="F_14_720">#REF!</definedName>
    <definedName name="F_14_90">#REF!</definedName>
    <definedName name="F_15_120">#REF!</definedName>
    <definedName name="F_15_150">#REF!</definedName>
    <definedName name="F_15_180">#REF!</definedName>
    <definedName name="F_15_210">#REF!</definedName>
    <definedName name="F_15_240">#REF!</definedName>
    <definedName name="F_15_270">#REF!</definedName>
    <definedName name="F_15_30">#REF!</definedName>
    <definedName name="F_15_300">#REF!</definedName>
    <definedName name="F_15_330">#REF!</definedName>
    <definedName name="F_15_360">#REF!</definedName>
    <definedName name="F_15_390">#REF!</definedName>
    <definedName name="F_15_420">#REF!</definedName>
    <definedName name="F_15_450">#REF!</definedName>
    <definedName name="F_15_480">#REF!</definedName>
    <definedName name="F_15_510">#REF!</definedName>
    <definedName name="F_15_540">#REF!</definedName>
    <definedName name="F_15_570">#REF!</definedName>
    <definedName name="F_15_60">#REF!</definedName>
    <definedName name="F_15_600">#REF!</definedName>
    <definedName name="F_15_630">#REF!</definedName>
    <definedName name="F_15_660">#REF!</definedName>
    <definedName name="F_15_690">#REF!</definedName>
    <definedName name="F_15_720">#REF!</definedName>
    <definedName name="F_15_90">#REF!</definedName>
    <definedName name="faixa">'[3]RESUMO-DVOP'!$N$123</definedName>
    <definedName name="faixa2">'[3]RESUMO-DVOP'!$N$185</definedName>
    <definedName name="FAT">"$#REF!.$H$#REF!"</definedName>
    <definedName name="fator">#REF!</definedName>
    <definedName name="FATOR1">#REF!</definedName>
    <definedName name="fator100">#REF!</definedName>
    <definedName name="FATOR2">#REF!</definedName>
    <definedName name="fator50">#REF!</definedName>
    <definedName name="FATURAS2002" localSheetId="11" hidden="1">{#N/A,#N/A,TRUE,"Serviços"}</definedName>
    <definedName name="FATURAS2002" localSheetId="9" hidden="1">{#N/A,#N/A,TRUE,"Serviços"}</definedName>
    <definedName name="FATURAS2002" localSheetId="10" hidden="1">{#N/A,#N/A,TRUE,"Serviços"}</definedName>
    <definedName name="FATURAS2002" localSheetId="8" hidden="1">{#N/A,#N/A,TRUE,"Serviços"}</definedName>
    <definedName name="FATURAS2002" localSheetId="7" hidden="1">{#N/A,#N/A,TRUE,"Serviços"}</definedName>
    <definedName name="FATURAS2002" localSheetId="34" hidden="1">{#N/A,#N/A,TRUE,"Serviços"}</definedName>
    <definedName name="FATURAS2002" localSheetId="44" hidden="1">{#N/A,#N/A,TRUE,"Serviços"}</definedName>
    <definedName name="FATURAS2002" localSheetId="43" hidden="1">{#N/A,#N/A,TRUE,"Serviços"}</definedName>
    <definedName name="FATURAS2002" localSheetId="42" hidden="1">{#N/A,#N/A,TRUE,"Serviços"}</definedName>
    <definedName name="FATURAS2002" localSheetId="21" hidden="1">{#N/A,#N/A,TRUE,"Serviços"}</definedName>
    <definedName name="FATURAS2002" localSheetId="15" hidden="1">{#N/A,#N/A,TRUE,"Serviços"}</definedName>
    <definedName name="FATURAS2002" hidden="1">{#N/A,#N/A,TRUE,"Serviços"}</definedName>
    <definedName name="fc1a">'[27]PRO-08'!#REF!</definedName>
    <definedName name="fc1a_10">'[28]PRO-08'!#REF!</definedName>
    <definedName name="fc1a_25">'[28]PRO-08'!#REF!</definedName>
    <definedName name="fc1a_27">'[28]PRO-08'!#REF!</definedName>
    <definedName name="fc1a_29">'[28]PRO-08'!#REF!</definedName>
    <definedName name="fc1a_9">'[28]PRO-08'!#REF!</definedName>
    <definedName name="FC2A">'[27]PRO-08'!#REF!</definedName>
    <definedName name="FC2A_10">'[28]PRO-08'!#REF!</definedName>
    <definedName name="FC2A_25">'[28]PRO-08'!#REF!</definedName>
    <definedName name="FC2A_27">'[28]PRO-08'!#REF!</definedName>
    <definedName name="FC2A_29">'[28]PRO-08'!#REF!</definedName>
    <definedName name="FC2A_9">'[28]PRO-08'!#REF!</definedName>
    <definedName name="FC3A">'[27]PRO-08'!#REF!</definedName>
    <definedName name="FC3A_10">'[28]PRO-08'!#REF!</definedName>
    <definedName name="FC3A_25">'[28]PRO-08'!#REF!</definedName>
    <definedName name="FC3A_27">'[28]PRO-08'!#REF!</definedName>
    <definedName name="FC3A_29">'[28]PRO-08'!#REF!</definedName>
    <definedName name="FC3A_9">'[28]PRO-08'!#REF!</definedName>
    <definedName name="FCT">"$#REF!.$N$#REF!"</definedName>
    <definedName name="FE">'[66]RESUMO-DVOP'!$C$35</definedName>
    <definedName name="FERRAGENS">#N/A</definedName>
    <definedName name="Ferro_CA60">#REF!</definedName>
    <definedName name="FEV00">#REF!</definedName>
    <definedName name="ffg" localSheetId="11" hidden="1">{#N/A,#N/A,FALSE,"MO (2)"}</definedName>
    <definedName name="ffg" localSheetId="9" hidden="1">{#N/A,#N/A,FALSE,"MO (2)"}</definedName>
    <definedName name="ffg" localSheetId="10" hidden="1">{#N/A,#N/A,FALSE,"MO (2)"}</definedName>
    <definedName name="ffg" localSheetId="8" hidden="1">{#N/A,#N/A,FALSE,"MO (2)"}</definedName>
    <definedName name="ffg" localSheetId="7" hidden="1">{#N/A,#N/A,FALSE,"MO (2)"}</definedName>
    <definedName name="ffg" localSheetId="34" hidden="1">{#N/A,#N/A,FALSE,"MO (2)"}</definedName>
    <definedName name="ffg" localSheetId="44" hidden="1">{#N/A,#N/A,FALSE,"MO (2)"}</definedName>
    <definedName name="ffg" localSheetId="43" hidden="1">{#N/A,#N/A,FALSE,"MO (2)"}</definedName>
    <definedName name="ffg" localSheetId="42" hidden="1">{#N/A,#N/A,FALSE,"MO (2)"}</definedName>
    <definedName name="ffg" localSheetId="21" hidden="1">{#N/A,#N/A,FALSE,"MO (2)"}</definedName>
    <definedName name="ffg" localSheetId="17" hidden="1">{#N/A,#N/A,FALSE,"MO (2)"}</definedName>
    <definedName name="ffg" localSheetId="1" hidden="1">{#N/A,#N/A,FALSE,"MO (2)"}</definedName>
    <definedName name="ffg" localSheetId="16" hidden="1">{#N/A,#N/A,FALSE,"MO (2)"}</definedName>
    <definedName name="ffg" localSheetId="26" hidden="1">{#N/A,#N/A,FALSE,"MO (2)"}</definedName>
    <definedName name="ffg" localSheetId="13" hidden="1">{#N/A,#N/A,FALSE,"MO (2)"}</definedName>
    <definedName name="ffg" localSheetId="15" hidden="1">{#N/A,#N/A,FALSE,"MO (2)"}</definedName>
    <definedName name="ffg" localSheetId="33" hidden="1">{#N/A,#N/A,FALSE,"MO (2)"}</definedName>
    <definedName name="ffg" hidden="1">{#N/A,#N/A,FALSE,"MO (2)"}</definedName>
    <definedName name="ffg_1" localSheetId="11" hidden="1">{#N/A,#N/A,FALSE,"MO (2)"}</definedName>
    <definedName name="ffg_1" localSheetId="9" hidden="1">{#N/A,#N/A,FALSE,"MO (2)"}</definedName>
    <definedName name="ffg_1" localSheetId="10" hidden="1">{#N/A,#N/A,FALSE,"MO (2)"}</definedName>
    <definedName name="ffg_1" localSheetId="8" hidden="1">{#N/A,#N/A,FALSE,"MO (2)"}</definedName>
    <definedName name="ffg_1" localSheetId="7" hidden="1">{#N/A,#N/A,FALSE,"MO (2)"}</definedName>
    <definedName name="ffg_1" localSheetId="34" hidden="1">{#N/A,#N/A,FALSE,"MO (2)"}</definedName>
    <definedName name="ffg_1" localSheetId="44" hidden="1">{#N/A,#N/A,FALSE,"MO (2)"}</definedName>
    <definedName name="ffg_1" localSheetId="43" hidden="1">{#N/A,#N/A,FALSE,"MO (2)"}</definedName>
    <definedName name="ffg_1" localSheetId="42" hidden="1">{#N/A,#N/A,FALSE,"MO (2)"}</definedName>
    <definedName name="ffg_1" localSheetId="21" hidden="1">{#N/A,#N/A,FALSE,"MO (2)"}</definedName>
    <definedName name="ffg_1" localSheetId="17" hidden="1">{#N/A,#N/A,FALSE,"MO (2)"}</definedName>
    <definedName name="ffg_1" localSheetId="1" hidden="1">{#N/A,#N/A,FALSE,"MO (2)"}</definedName>
    <definedName name="ffg_1" localSheetId="16" hidden="1">{#N/A,#N/A,FALSE,"MO (2)"}</definedName>
    <definedName name="ffg_1" localSheetId="26" hidden="1">{#N/A,#N/A,FALSE,"MO (2)"}</definedName>
    <definedName name="ffg_1" localSheetId="13" hidden="1">{#N/A,#N/A,FALSE,"MO (2)"}</definedName>
    <definedName name="ffg_1" localSheetId="15" hidden="1">{#N/A,#N/A,FALSE,"MO (2)"}</definedName>
    <definedName name="ffg_1" localSheetId="33" hidden="1">{#N/A,#N/A,FALSE,"MO (2)"}</definedName>
    <definedName name="ffg_1" hidden="1">{#N/A,#N/A,FALSE,"MO (2)"}</definedName>
    <definedName name="fgff" localSheetId="11" hidden="1">{#N/A,#N/A,FALSE,"MO (2)"}</definedName>
    <definedName name="fgff" localSheetId="9" hidden="1">{#N/A,#N/A,FALSE,"MO (2)"}</definedName>
    <definedName name="fgff" localSheetId="10" hidden="1">{#N/A,#N/A,FALSE,"MO (2)"}</definedName>
    <definedName name="fgff" localSheetId="8" hidden="1">{#N/A,#N/A,FALSE,"MO (2)"}</definedName>
    <definedName name="fgff" localSheetId="7" hidden="1">{#N/A,#N/A,FALSE,"MO (2)"}</definedName>
    <definedName name="fgff" localSheetId="34" hidden="1">{#N/A,#N/A,FALSE,"MO (2)"}</definedName>
    <definedName name="fgff" localSheetId="44" hidden="1">{#N/A,#N/A,FALSE,"MO (2)"}</definedName>
    <definedName name="fgff" localSheetId="43" hidden="1">{#N/A,#N/A,FALSE,"MO (2)"}</definedName>
    <definedName name="fgff" localSheetId="42" hidden="1">{#N/A,#N/A,FALSE,"MO (2)"}</definedName>
    <definedName name="fgff" localSheetId="21" hidden="1">{#N/A,#N/A,FALSE,"MO (2)"}</definedName>
    <definedName name="fgff" localSheetId="15" hidden="1">{#N/A,#N/A,FALSE,"MO (2)"}</definedName>
    <definedName name="fgff" hidden="1">{#N/A,#N/A,FALSE,"MO (2)"}</definedName>
    <definedName name="fghji" localSheetId="11" hidden="1">{#N/A,#N/A,FALSE,"MO (2)"}</definedName>
    <definedName name="fghji" localSheetId="9" hidden="1">{#N/A,#N/A,FALSE,"MO (2)"}</definedName>
    <definedName name="fghji" localSheetId="10" hidden="1">{#N/A,#N/A,FALSE,"MO (2)"}</definedName>
    <definedName name="fghji" localSheetId="8" hidden="1">{#N/A,#N/A,FALSE,"MO (2)"}</definedName>
    <definedName name="fghji" localSheetId="7" hidden="1">{#N/A,#N/A,FALSE,"MO (2)"}</definedName>
    <definedName name="fghji" localSheetId="34" hidden="1">{#N/A,#N/A,FALSE,"MO (2)"}</definedName>
    <definedName name="fghji" localSheetId="44" hidden="1">{#N/A,#N/A,FALSE,"MO (2)"}</definedName>
    <definedName name="fghji" localSheetId="43" hidden="1">{#N/A,#N/A,FALSE,"MO (2)"}</definedName>
    <definedName name="fghji" localSheetId="42" hidden="1">{#N/A,#N/A,FALSE,"MO (2)"}</definedName>
    <definedName name="fghji" localSheetId="21" hidden="1">{#N/A,#N/A,FALSE,"MO (2)"}</definedName>
    <definedName name="fghji" localSheetId="17" hidden="1">{#N/A,#N/A,FALSE,"MO (2)"}</definedName>
    <definedName name="fghji" localSheetId="1" hidden="1">{#N/A,#N/A,FALSE,"MO (2)"}</definedName>
    <definedName name="fghji" localSheetId="16" hidden="1">{#N/A,#N/A,FALSE,"MO (2)"}</definedName>
    <definedName name="fghji" localSheetId="26" hidden="1">{#N/A,#N/A,FALSE,"MO (2)"}</definedName>
    <definedName name="fghji" localSheetId="13" hidden="1">{#N/A,#N/A,FALSE,"MO (2)"}</definedName>
    <definedName name="fghji" localSheetId="15" hidden="1">{#N/A,#N/A,FALSE,"MO (2)"}</definedName>
    <definedName name="fghji" localSheetId="33" hidden="1">{#N/A,#N/A,FALSE,"MO (2)"}</definedName>
    <definedName name="fghji" hidden="1">{#N/A,#N/A,FALSE,"MO (2)"}</definedName>
    <definedName name="fghji_1" localSheetId="11" hidden="1">{#N/A,#N/A,FALSE,"MO (2)"}</definedName>
    <definedName name="fghji_1" localSheetId="9" hidden="1">{#N/A,#N/A,FALSE,"MO (2)"}</definedName>
    <definedName name="fghji_1" localSheetId="10" hidden="1">{#N/A,#N/A,FALSE,"MO (2)"}</definedName>
    <definedName name="fghji_1" localSheetId="8" hidden="1">{#N/A,#N/A,FALSE,"MO (2)"}</definedName>
    <definedName name="fghji_1" localSheetId="7" hidden="1">{#N/A,#N/A,FALSE,"MO (2)"}</definedName>
    <definedName name="fghji_1" localSheetId="34" hidden="1">{#N/A,#N/A,FALSE,"MO (2)"}</definedName>
    <definedName name="fghji_1" localSheetId="44" hidden="1">{#N/A,#N/A,FALSE,"MO (2)"}</definedName>
    <definedName name="fghji_1" localSheetId="43" hidden="1">{#N/A,#N/A,FALSE,"MO (2)"}</definedName>
    <definedName name="fghji_1" localSheetId="42" hidden="1">{#N/A,#N/A,FALSE,"MO (2)"}</definedName>
    <definedName name="fghji_1" localSheetId="21" hidden="1">{#N/A,#N/A,FALSE,"MO (2)"}</definedName>
    <definedName name="fghji_1" localSheetId="17" hidden="1">{#N/A,#N/A,FALSE,"MO (2)"}</definedName>
    <definedName name="fghji_1" localSheetId="1" hidden="1">{#N/A,#N/A,FALSE,"MO (2)"}</definedName>
    <definedName name="fghji_1" localSheetId="16" hidden="1">{#N/A,#N/A,FALSE,"MO (2)"}</definedName>
    <definedName name="fghji_1" localSheetId="26" hidden="1">{#N/A,#N/A,FALSE,"MO (2)"}</definedName>
    <definedName name="fghji_1" localSheetId="13" hidden="1">{#N/A,#N/A,FALSE,"MO (2)"}</definedName>
    <definedName name="fghji_1" localSheetId="15" hidden="1">{#N/A,#N/A,FALSE,"MO (2)"}</definedName>
    <definedName name="fghji_1" localSheetId="33" hidden="1">{#N/A,#N/A,FALSE,"MO (2)"}</definedName>
    <definedName name="fghji_1" hidden="1">{#N/A,#N/A,FALSE,"MO (2)"}</definedName>
    <definedName name="figura1">"Figura 1"</definedName>
    <definedName name="FILLER.USINA">[31]Diagrama!$E$52</definedName>
    <definedName name="Filtro">#REF!</definedName>
    <definedName name="fim">#REF!</definedName>
    <definedName name="FIM.TRECHO">#REF!</definedName>
    <definedName name="FIM.TRECHO_P">#REF!</definedName>
    <definedName name="fir">#REF!</definedName>
    <definedName name="FIRMA">#REF!</definedName>
    <definedName name="FIRMA1">#REF!</definedName>
    <definedName name="FIRMA2">#REF!</definedName>
    <definedName name="FIRMA3">#REF!</definedName>
    <definedName name="FLU">#REF!</definedName>
    <definedName name="Fluência">#REF!</definedName>
    <definedName name="FM">"$#REF!.$E$31"</definedName>
    <definedName name="FMW">"$#REF!.$E$33"</definedName>
    <definedName name="FMWA">"$#REF!.$E$32"</definedName>
    <definedName name="FOG">#REF!</definedName>
    <definedName name="FOLHA01" localSheetId="11" hidden="1">{#N/A,#N/A,TRUE,"Serviços"}</definedName>
    <definedName name="FOLHA01" localSheetId="9" hidden="1">{#N/A,#N/A,TRUE,"Serviços"}</definedName>
    <definedName name="FOLHA01" localSheetId="10" hidden="1">{#N/A,#N/A,TRUE,"Serviços"}</definedName>
    <definedName name="FOLHA01" localSheetId="8" hidden="1">{#N/A,#N/A,TRUE,"Serviços"}</definedName>
    <definedName name="FOLHA01" localSheetId="7" hidden="1">{#N/A,#N/A,TRUE,"Serviços"}</definedName>
    <definedName name="FOLHA01" localSheetId="34" hidden="1">{#N/A,#N/A,TRUE,"Serviços"}</definedName>
    <definedName name="FOLHA01" localSheetId="44" hidden="1">{#N/A,#N/A,TRUE,"Serviços"}</definedName>
    <definedName name="FOLHA01" localSheetId="43" hidden="1">{#N/A,#N/A,TRUE,"Serviços"}</definedName>
    <definedName name="FOLHA01" localSheetId="42" hidden="1">{#N/A,#N/A,TRUE,"Serviços"}</definedName>
    <definedName name="FOLHA01" localSheetId="21" hidden="1">{#N/A,#N/A,TRUE,"Serviços"}</definedName>
    <definedName name="FOLHA01" localSheetId="15" hidden="1">{#N/A,#N/A,TRUE,"Serviços"}</definedName>
    <definedName name="FOLHA01" hidden="1">{#N/A,#N/A,TRUE,"Serviços"}</definedName>
    <definedName name="folha1" localSheetId="11" hidden="1">{#N/A,#N/A,TRUE,"Serviços"}</definedName>
    <definedName name="folha1" localSheetId="9" hidden="1">{#N/A,#N/A,TRUE,"Serviços"}</definedName>
    <definedName name="folha1" localSheetId="10" hidden="1">{#N/A,#N/A,TRUE,"Serviços"}</definedName>
    <definedName name="folha1" localSheetId="8" hidden="1">{#N/A,#N/A,TRUE,"Serviços"}</definedName>
    <definedName name="folha1" localSheetId="7" hidden="1">{#N/A,#N/A,TRUE,"Serviços"}</definedName>
    <definedName name="folha1" localSheetId="34" hidden="1">{#N/A,#N/A,TRUE,"Serviços"}</definedName>
    <definedName name="folha1" localSheetId="44" hidden="1">{#N/A,#N/A,TRUE,"Serviços"}</definedName>
    <definedName name="folha1" localSheetId="43" hidden="1">{#N/A,#N/A,TRUE,"Serviços"}</definedName>
    <definedName name="folha1" localSheetId="42" hidden="1">{#N/A,#N/A,TRUE,"Serviços"}</definedName>
    <definedName name="folha1" localSheetId="21" hidden="1">{#N/A,#N/A,TRUE,"Serviços"}</definedName>
    <definedName name="folha1" localSheetId="15" hidden="1">{#N/A,#N/A,TRUE,"Serviços"}</definedName>
    <definedName name="folha1" hidden="1">{#N/A,#N/A,TRUE,"Serviços"}</definedName>
    <definedName name="formulas">[67]C!$B$112,[67]C!$B$50,[67]C!$B$174:$B$177,[67]C!$B$236:$B$239,[67]C!$B$298:$B$301,[67]C!$B$360:$B$362,[67]C!$B$422:$B$424,[67]C!$B$484:$B$486,[67]C!$B$546:$B$547,[67]C!$B$608:$B$609,[67]C!$B$671:$B$672,[67]C!$B$733:$B$734,[67]C!$B$795:$B$796,[67]C!$B$857:$B$858,[67]C!$B$980,[67]C!$B$1042,[67]C!$B$1104,[67]C!$B$1166:$B$1168,[67]C!$B$1228:$B$1230,[67]C!$B$1290:$B$1292</definedName>
    <definedName name="FORN.CIM.USINA">[31]Diagrama!$E$53</definedName>
    <definedName name="FORN_ACESS_EMISS">#REF!</definedName>
    <definedName name="FORN_ACESS_EMISS2_M">#REF!</definedName>
    <definedName name="FORN_ACESS_EMISS3_M">#REF!</definedName>
    <definedName name="FORN_ACESS_REDE_COL">#REF!</definedName>
    <definedName name="FORN_ACESSÓRIOS">#REF!</definedName>
    <definedName name="FORN_CON_EMISS3_M">#REF!</definedName>
    <definedName name="FORN_CONEX">#REF!</definedName>
    <definedName name="FORN_CONEX_EMISS">#REF!</definedName>
    <definedName name="FORN_CONEX_PEÇAS">#REF!</definedName>
    <definedName name="FORN_PEÇAS_EMISS2_M">#REF!</definedName>
    <definedName name="FORN_TUB_EMISS">#REF!</definedName>
    <definedName name="FORN_TUB_EMISS2_M">#REF!</definedName>
    <definedName name="FORN_TUB_EMISS3_M">#REF!</definedName>
    <definedName name="FORN_TUB_REDE_COL">#REF!</definedName>
    <definedName name="FORN_TUBU">#REF!</definedName>
    <definedName name="FORNEC_CAP20">#REF!</definedName>
    <definedName name="FORNEC_CM30">#REF!</definedName>
    <definedName name="fornecer">#REF!</definedName>
    <definedName name="função">#REF!</definedName>
    <definedName name="Fundação">#REF!</definedName>
    <definedName name="fx_horiz">#REF!</definedName>
    <definedName name="G_01">#REF!</definedName>
    <definedName name="G_02">#REF!</definedName>
    <definedName name="G_03">#REF!</definedName>
    <definedName name="G_04">#REF!</definedName>
    <definedName name="G_05">#REF!</definedName>
    <definedName name="G_06">#REF!</definedName>
    <definedName name="G_07">#REF!</definedName>
    <definedName name="G_08">#REF!</definedName>
    <definedName name="G_09">#REF!</definedName>
    <definedName name="G_10">#REF!</definedName>
    <definedName name="G_11">#REF!</definedName>
    <definedName name="G_12">#REF!</definedName>
    <definedName name="G_13">#REF!</definedName>
    <definedName name="G_14">#REF!</definedName>
    <definedName name="G_15">#REF!</definedName>
    <definedName name="G_16">#REF!</definedName>
    <definedName name="G_17">#REF!</definedName>
    <definedName name="G_18">#REF!</definedName>
    <definedName name="G_19">#REF!</definedName>
    <definedName name="G_20">#REF!</definedName>
    <definedName name="G_21">#REF!</definedName>
    <definedName name="G_22">#REF!</definedName>
    <definedName name="G_23">#REF!</definedName>
    <definedName name="G_24">#REF!</definedName>
    <definedName name="G_25">#REF!</definedName>
    <definedName name="GAS">'[55]INSUMOS BÁSICOS'!$E$66</definedName>
    <definedName name="GASOLINA">#REF!</definedName>
    <definedName name="GAST">[13]DADOS!$C$21</definedName>
    <definedName name="GD">'[55]QUADRO 04 - PLANILHAS PREÇOS'!#REF!</definedName>
    <definedName name="GEOVANI">#REF!</definedName>
    <definedName name="GEOVANI_25">#REF!</definedName>
    <definedName name="GEOVANI2">[68]PROJETO!#REF!</definedName>
    <definedName name="GEOVANI2_25">[69]PROJETO!#REF!</definedName>
    <definedName name="geral">#REF!</definedName>
    <definedName name="gfgh" localSheetId="11" hidden="1">{#N/A,#N/A,FALSE,"MO (2)"}</definedName>
    <definedName name="gfgh" localSheetId="9" hidden="1">{#N/A,#N/A,FALSE,"MO (2)"}</definedName>
    <definedName name="gfgh" localSheetId="10" hidden="1">{#N/A,#N/A,FALSE,"MO (2)"}</definedName>
    <definedName name="gfgh" localSheetId="8" hidden="1">{#N/A,#N/A,FALSE,"MO (2)"}</definedName>
    <definedName name="gfgh" localSheetId="7" hidden="1">{#N/A,#N/A,FALSE,"MO (2)"}</definedName>
    <definedName name="gfgh" localSheetId="34" hidden="1">{#N/A,#N/A,FALSE,"MO (2)"}</definedName>
    <definedName name="gfgh" localSheetId="44" hidden="1">{#N/A,#N/A,FALSE,"MO (2)"}</definedName>
    <definedName name="gfgh" localSheetId="43" hidden="1">{#N/A,#N/A,FALSE,"MO (2)"}</definedName>
    <definedName name="gfgh" localSheetId="42" hidden="1">{#N/A,#N/A,FALSE,"MO (2)"}</definedName>
    <definedName name="gfgh" localSheetId="21" hidden="1">{#N/A,#N/A,FALSE,"MO (2)"}</definedName>
    <definedName name="gfgh" localSheetId="17" hidden="1">{#N/A,#N/A,FALSE,"MO (2)"}</definedName>
    <definedName name="gfgh" localSheetId="1" hidden="1">{#N/A,#N/A,FALSE,"MO (2)"}</definedName>
    <definedName name="gfgh" localSheetId="16" hidden="1">{#N/A,#N/A,FALSE,"MO (2)"}</definedName>
    <definedName name="gfgh" localSheetId="26" hidden="1">{#N/A,#N/A,FALSE,"MO (2)"}</definedName>
    <definedName name="gfgh" localSheetId="13" hidden="1">{#N/A,#N/A,FALSE,"MO (2)"}</definedName>
    <definedName name="gfgh" localSheetId="15" hidden="1">{#N/A,#N/A,FALSE,"MO (2)"}</definedName>
    <definedName name="gfgh" localSheetId="33" hidden="1">{#N/A,#N/A,FALSE,"MO (2)"}</definedName>
    <definedName name="gfgh" hidden="1">{#N/A,#N/A,FALSE,"MO (2)"}</definedName>
    <definedName name="gfgh_1" localSheetId="11" hidden="1">{#N/A,#N/A,FALSE,"MO (2)"}</definedName>
    <definedName name="gfgh_1" localSheetId="9" hidden="1">{#N/A,#N/A,FALSE,"MO (2)"}</definedName>
    <definedName name="gfgh_1" localSheetId="10" hidden="1">{#N/A,#N/A,FALSE,"MO (2)"}</definedName>
    <definedName name="gfgh_1" localSheetId="8" hidden="1">{#N/A,#N/A,FALSE,"MO (2)"}</definedName>
    <definedName name="gfgh_1" localSheetId="7" hidden="1">{#N/A,#N/A,FALSE,"MO (2)"}</definedName>
    <definedName name="gfgh_1" localSheetId="34" hidden="1">{#N/A,#N/A,FALSE,"MO (2)"}</definedName>
    <definedName name="gfgh_1" localSheetId="44" hidden="1">{#N/A,#N/A,FALSE,"MO (2)"}</definedName>
    <definedName name="gfgh_1" localSheetId="43" hidden="1">{#N/A,#N/A,FALSE,"MO (2)"}</definedName>
    <definedName name="gfgh_1" localSheetId="42" hidden="1">{#N/A,#N/A,FALSE,"MO (2)"}</definedName>
    <definedName name="gfgh_1" localSheetId="21" hidden="1">{#N/A,#N/A,FALSE,"MO (2)"}</definedName>
    <definedName name="gfgh_1" localSheetId="17" hidden="1">{#N/A,#N/A,FALSE,"MO (2)"}</definedName>
    <definedName name="gfgh_1" localSheetId="1" hidden="1">{#N/A,#N/A,FALSE,"MO (2)"}</definedName>
    <definedName name="gfgh_1" localSheetId="16" hidden="1">{#N/A,#N/A,FALSE,"MO (2)"}</definedName>
    <definedName name="gfgh_1" localSheetId="26" hidden="1">{#N/A,#N/A,FALSE,"MO (2)"}</definedName>
    <definedName name="gfgh_1" localSheetId="13" hidden="1">{#N/A,#N/A,FALSE,"MO (2)"}</definedName>
    <definedName name="gfgh_1" localSheetId="15" hidden="1">{#N/A,#N/A,FALSE,"MO (2)"}</definedName>
    <definedName name="gfgh_1" localSheetId="33" hidden="1">{#N/A,#N/A,FALSE,"MO (2)"}</definedName>
    <definedName name="gfgh_1" hidden="1">{#N/A,#N/A,FALSE,"MO (2)"}</definedName>
    <definedName name="GP">"'file:///D:/Meus documentos/ANASTÁCIO/SERCEL/BR262990800.xls'#$SERVIÇOS.$#REF!$#REF!"</definedName>
    <definedName name="GRAMA">'[55]QUADRO 04 - PLANILHAS PREÇOS'!#REF!</definedName>
    <definedName name="grama_mudas">#REF!</definedName>
    <definedName name="_xlnm.Recorder">#REF!</definedName>
    <definedName name="gtryfj" localSheetId="11" hidden="1">{#N/A,#N/A,TRUE,"Serviços"}</definedName>
    <definedName name="gtryfj" localSheetId="9" hidden="1">{#N/A,#N/A,TRUE,"Serviços"}</definedName>
    <definedName name="gtryfj" localSheetId="10" hidden="1">{#N/A,#N/A,TRUE,"Serviços"}</definedName>
    <definedName name="gtryfj" localSheetId="8" hidden="1">{#N/A,#N/A,TRUE,"Serviços"}</definedName>
    <definedName name="gtryfj" localSheetId="7" hidden="1">{#N/A,#N/A,TRUE,"Serviços"}</definedName>
    <definedName name="gtryfj" localSheetId="34" hidden="1">{#N/A,#N/A,TRUE,"Serviços"}</definedName>
    <definedName name="gtryfj" localSheetId="44" hidden="1">{#N/A,#N/A,TRUE,"Serviços"}</definedName>
    <definedName name="gtryfj" localSheetId="43" hidden="1">{#N/A,#N/A,TRUE,"Serviços"}</definedName>
    <definedName name="gtryfj" localSheetId="42" hidden="1">{#N/A,#N/A,TRUE,"Serviços"}</definedName>
    <definedName name="gtryfj" localSheetId="21" hidden="1">{#N/A,#N/A,TRUE,"Serviços"}</definedName>
    <definedName name="gtryfj" localSheetId="15" hidden="1">{#N/A,#N/A,TRUE,"Serviços"}</definedName>
    <definedName name="gtryfj" hidden="1">{#N/A,#N/A,TRUE,"Serviços"}</definedName>
    <definedName name="Guia">"Figura 1"</definedName>
    <definedName name="Guias">#REF!</definedName>
    <definedName name="hi">#REF!</definedName>
    <definedName name="hi_10">#REF!</definedName>
    <definedName name="hi_25">#REF!</definedName>
    <definedName name="hi_27">#REF!</definedName>
    <definedName name="hi_29">#REF!</definedName>
    <definedName name="hi_9">#REF!</definedName>
    <definedName name="HIDRÁULICA">#N/A</definedName>
    <definedName name="HJ" localSheetId="7">[70]!PassaExtenso</definedName>
    <definedName name="HJ" localSheetId="20">[70]!PassaExtenso</definedName>
    <definedName name="HJ" localSheetId="13">[70]!PassaExtenso</definedName>
    <definedName name="HJ">[70]!PassaExtenso</definedName>
    <definedName name="HP">#REF!</definedName>
    <definedName name="HP.1">#REF!</definedName>
    <definedName name="ic">'[71]Desmatamento '!$L$10</definedName>
    <definedName name="idem">#REF!</definedName>
    <definedName name="IM">#REF!</definedName>
    <definedName name="IM_25">#REF!</definedName>
    <definedName name="IMP">#REF!</definedName>
    <definedName name="IMPERMEABILIZA">#N/A</definedName>
    <definedName name="Import.DescLote" hidden="1">#REF!</definedName>
    <definedName name="Import.PLE">OFFSET([72]PLE!$E$33,1,0):OFFSET([72]PLE!$BB$38,-1,0)</definedName>
    <definedName name="Import.PLQ">OFFSET([72]Eventograma_e_Quantitativos!$N$17,1,0):OFFSET([72]Eventograma_e_Quantitativos!$BK$34,-1,0)</definedName>
    <definedName name="IMPRIMAÇÃO">#REF!</definedName>
    <definedName name="IND">#REF!</definedName>
    <definedName name="INDI">#REF!</definedName>
    <definedName name="indi_33">#REF!</definedName>
    <definedName name="INDI22">#REF!</definedName>
    <definedName name="indice_2">#REF!</definedName>
    <definedName name="INDICEI1">#REF!</definedName>
    <definedName name="inic">#REF!</definedName>
    <definedName name="INIC.TRECHO">#REF!</definedName>
    <definedName name="INIC.TRECHO_P">#REF!</definedName>
    <definedName name="INICIO">'[59]Vínculo (2)'!$Y$8</definedName>
    <definedName name="início">#REF!</definedName>
    <definedName name="Inst_elétricas">#REF!</definedName>
    <definedName name="Inst_hidráulicas">#REF!</definedName>
    <definedName name="INST_PROVISÓRIAS">#REF!</definedName>
    <definedName name="Inst_sanitárias">#REF!</definedName>
    <definedName name="Insumos" localSheetId="2" hidden="1">#REF!</definedName>
    <definedName name="Insumos" localSheetId="3" hidden="1">#REF!</definedName>
    <definedName name="Insumos" localSheetId="11" hidden="1">#REF!</definedName>
    <definedName name="Insumos" localSheetId="9" hidden="1">#REF!</definedName>
    <definedName name="Insumos" localSheetId="10" hidden="1">#REF!</definedName>
    <definedName name="Insumos" localSheetId="8" hidden="1">#REF!</definedName>
    <definedName name="Insumos" localSheetId="5" hidden="1">#REF!</definedName>
    <definedName name="Insumos" localSheetId="6" hidden="1">#REF!</definedName>
    <definedName name="Insumos" localSheetId="30" hidden="1">#REF!</definedName>
    <definedName name="Insumos" localSheetId="7" hidden="1">#REF!</definedName>
    <definedName name="Insumos" localSheetId="34" hidden="1">#REF!</definedName>
    <definedName name="Insumos" localSheetId="44" hidden="1">#REF!</definedName>
    <definedName name="Insumos" localSheetId="43" hidden="1">#REF!</definedName>
    <definedName name="Insumos" localSheetId="42" hidden="1">#REF!</definedName>
    <definedName name="Insumos" localSheetId="21" hidden="1">#REF!</definedName>
    <definedName name="Insumos" localSheetId="39" hidden="1">#REF!</definedName>
    <definedName name="Insumos" localSheetId="15" hidden="1">#REF!</definedName>
    <definedName name="Insumos" localSheetId="31" hidden="1">#REF!</definedName>
    <definedName name="Insumos" localSheetId="28" hidden="1">#REF!</definedName>
    <definedName name="Insumos" hidden="1">#REF!</definedName>
    <definedName name="INSUMOSBETUMINOSOS">[73]ANP!$A$6:$D$10</definedName>
    <definedName name="Itens" localSheetId="2" hidden="1">#REF!</definedName>
    <definedName name="Itens" localSheetId="3" hidden="1">#REF!</definedName>
    <definedName name="Itens" localSheetId="11" hidden="1">#REF!</definedName>
    <definedName name="Itens" localSheetId="9" hidden="1">#REF!</definedName>
    <definedName name="Itens" localSheetId="10" hidden="1">#REF!</definedName>
    <definedName name="Itens" localSheetId="8" hidden="1">#REF!</definedName>
    <definedName name="Itens" localSheetId="5" hidden="1">#REF!</definedName>
    <definedName name="Itens" localSheetId="6" hidden="1">#REF!</definedName>
    <definedName name="Itens" localSheetId="30" hidden="1">#REF!</definedName>
    <definedName name="Itens" localSheetId="7" hidden="1">#REF!</definedName>
    <definedName name="Itens" localSheetId="34" hidden="1">#REF!</definedName>
    <definedName name="Itens" localSheetId="44" hidden="1">#REF!</definedName>
    <definedName name="Itens" localSheetId="43" hidden="1">#REF!</definedName>
    <definedName name="Itens" localSheetId="42" hidden="1">#REF!</definedName>
    <definedName name="Itens" localSheetId="21" hidden="1">#REF!</definedName>
    <definedName name="Itens" localSheetId="39" hidden="1">#REF!</definedName>
    <definedName name="Itens" localSheetId="15" hidden="1">#REF!</definedName>
    <definedName name="Itens" localSheetId="31" hidden="1">#REF!</definedName>
    <definedName name="Itens" localSheetId="28" hidden="1">#REF!</definedName>
    <definedName name="Itens" hidden="1">#REF!</definedName>
    <definedName name="JAN00">#REF!</definedName>
    <definedName name="JANEIRO2003" localSheetId="11" hidden="1">{#N/A,#N/A,TRUE,"Serviços"}</definedName>
    <definedName name="JANEIRO2003" localSheetId="9" hidden="1">{#N/A,#N/A,TRUE,"Serviços"}</definedName>
    <definedName name="JANEIRO2003" localSheetId="10" hidden="1">{#N/A,#N/A,TRUE,"Serviços"}</definedName>
    <definedName name="JANEIRO2003" localSheetId="8" hidden="1">{#N/A,#N/A,TRUE,"Serviços"}</definedName>
    <definedName name="JANEIRO2003" localSheetId="7" hidden="1">{#N/A,#N/A,TRUE,"Serviços"}</definedName>
    <definedName name="JANEIRO2003" localSheetId="34" hidden="1">{#N/A,#N/A,TRUE,"Serviços"}</definedName>
    <definedName name="JANEIRO2003" localSheetId="44" hidden="1">{#N/A,#N/A,TRUE,"Serviços"}</definedName>
    <definedName name="JANEIRO2003" localSheetId="43" hidden="1">{#N/A,#N/A,TRUE,"Serviços"}</definedName>
    <definedName name="JANEIRO2003" localSheetId="42" hidden="1">{#N/A,#N/A,TRUE,"Serviços"}</definedName>
    <definedName name="JANEIRO2003" localSheetId="21" hidden="1">{#N/A,#N/A,TRUE,"Serviços"}</definedName>
    <definedName name="JANEIRO2003" localSheetId="15" hidden="1">{#N/A,#N/A,TRUE,"Serviços"}</definedName>
    <definedName name="JANEIRO2003" hidden="1">{#N/A,#N/A,TRUE,"Serviços"}</definedName>
    <definedName name="JAZ">#REF!</definedName>
    <definedName name="JAZIDA">#REF!</definedName>
    <definedName name="JAZIDA.PISTA">[31]Diagrama!$E$51</definedName>
    <definedName name="JAZIDA.USINA">[74]Diagrama!#REF!</definedName>
    <definedName name="JAZIDAS">'[34]QUADRO 08 - COMPOSIÇÕES'!$H$786</definedName>
    <definedName name="JF">'[75]Desmat 0,15'!$G$65</definedName>
    <definedName name="jkhjkjkg" localSheetId="11" hidden="1">{#N/A,#N/A,FALSE,"MO (2)"}</definedName>
    <definedName name="jkhjkjkg" localSheetId="9" hidden="1">{#N/A,#N/A,FALSE,"MO (2)"}</definedName>
    <definedName name="jkhjkjkg" localSheetId="10" hidden="1">{#N/A,#N/A,FALSE,"MO (2)"}</definedName>
    <definedName name="jkhjkjkg" localSheetId="8" hidden="1">{#N/A,#N/A,FALSE,"MO (2)"}</definedName>
    <definedName name="jkhjkjkg" localSheetId="7" hidden="1">{#N/A,#N/A,FALSE,"MO (2)"}</definedName>
    <definedName name="jkhjkjkg" localSheetId="34" hidden="1">{#N/A,#N/A,FALSE,"MO (2)"}</definedName>
    <definedName name="jkhjkjkg" localSheetId="44" hidden="1">{#N/A,#N/A,FALSE,"MO (2)"}</definedName>
    <definedName name="jkhjkjkg" localSheetId="43" hidden="1">{#N/A,#N/A,FALSE,"MO (2)"}</definedName>
    <definedName name="jkhjkjkg" localSheetId="42" hidden="1">{#N/A,#N/A,FALSE,"MO (2)"}</definedName>
    <definedName name="jkhjkjkg" localSheetId="21" hidden="1">{#N/A,#N/A,FALSE,"MO (2)"}</definedName>
    <definedName name="jkhjkjkg" localSheetId="17" hidden="1">{#N/A,#N/A,FALSE,"MO (2)"}</definedName>
    <definedName name="jkhjkjkg" localSheetId="1" hidden="1">{#N/A,#N/A,FALSE,"MO (2)"}</definedName>
    <definedName name="jkhjkjkg" localSheetId="16" hidden="1">{#N/A,#N/A,FALSE,"MO (2)"}</definedName>
    <definedName name="jkhjkjkg" localSheetId="26" hidden="1">{#N/A,#N/A,FALSE,"MO (2)"}</definedName>
    <definedName name="jkhjkjkg" localSheetId="13" hidden="1">{#N/A,#N/A,FALSE,"MO (2)"}</definedName>
    <definedName name="jkhjkjkg" localSheetId="15" hidden="1">{#N/A,#N/A,FALSE,"MO (2)"}</definedName>
    <definedName name="jkhjkjkg" localSheetId="33" hidden="1">{#N/A,#N/A,FALSE,"MO (2)"}</definedName>
    <definedName name="jkhjkjkg" hidden="1">{#N/A,#N/A,FALSE,"MO (2)"}</definedName>
    <definedName name="jkhjkjkg_1" localSheetId="11" hidden="1">{#N/A,#N/A,FALSE,"MO (2)"}</definedName>
    <definedName name="jkhjkjkg_1" localSheetId="9" hidden="1">{#N/A,#N/A,FALSE,"MO (2)"}</definedName>
    <definedName name="jkhjkjkg_1" localSheetId="10" hidden="1">{#N/A,#N/A,FALSE,"MO (2)"}</definedName>
    <definedName name="jkhjkjkg_1" localSheetId="8" hidden="1">{#N/A,#N/A,FALSE,"MO (2)"}</definedName>
    <definedName name="jkhjkjkg_1" localSheetId="7" hidden="1">{#N/A,#N/A,FALSE,"MO (2)"}</definedName>
    <definedName name="jkhjkjkg_1" localSheetId="34" hidden="1">{#N/A,#N/A,FALSE,"MO (2)"}</definedName>
    <definedName name="jkhjkjkg_1" localSheetId="44" hidden="1">{#N/A,#N/A,FALSE,"MO (2)"}</definedName>
    <definedName name="jkhjkjkg_1" localSheetId="43" hidden="1">{#N/A,#N/A,FALSE,"MO (2)"}</definedName>
    <definedName name="jkhjkjkg_1" localSheetId="42" hidden="1">{#N/A,#N/A,FALSE,"MO (2)"}</definedName>
    <definedName name="jkhjkjkg_1" localSheetId="21" hidden="1">{#N/A,#N/A,FALSE,"MO (2)"}</definedName>
    <definedName name="jkhjkjkg_1" localSheetId="17" hidden="1">{#N/A,#N/A,FALSE,"MO (2)"}</definedName>
    <definedName name="jkhjkjkg_1" localSheetId="1" hidden="1">{#N/A,#N/A,FALSE,"MO (2)"}</definedName>
    <definedName name="jkhjkjkg_1" localSheetId="16" hidden="1">{#N/A,#N/A,FALSE,"MO (2)"}</definedName>
    <definedName name="jkhjkjkg_1" localSheetId="26" hidden="1">{#N/A,#N/A,FALSE,"MO (2)"}</definedName>
    <definedName name="jkhjkjkg_1" localSheetId="13" hidden="1">{#N/A,#N/A,FALSE,"MO (2)"}</definedName>
    <definedName name="jkhjkjkg_1" localSheetId="15" hidden="1">{#N/A,#N/A,FALSE,"MO (2)"}</definedName>
    <definedName name="jkhjkjkg_1" localSheetId="33" hidden="1">{#N/A,#N/A,FALSE,"MO (2)"}</definedName>
    <definedName name="jkhjkjkg_1" hidden="1">{#N/A,#N/A,FALSE,"MO (2)"}</definedName>
    <definedName name="JOSE">[3]RELATÓRIO!$I$31</definedName>
    <definedName name="jun00">#REF!</definedName>
    <definedName name="kdren">#REF!</definedName>
    <definedName name="kdrena">#REF!</definedName>
    <definedName name="Km">#REF!</definedName>
    <definedName name="KM_AREAL">#REF!</definedName>
    <definedName name="KM_CBUQ">'[57]DMT Materiais'!#REF!</definedName>
    <definedName name="KM_CIMENTO">#REF!</definedName>
    <definedName name="KM_CIMENTO_P">#REF!</definedName>
    <definedName name="KM_FIM_TRAV.URBANA">'[57]DMT Materiais'!#REF!</definedName>
    <definedName name="KM_INÍCIO_TRAV.URBANA">'[57]DMT Materiais'!#REF!</definedName>
    <definedName name="koae">#REF!</definedName>
    <definedName name="kpavi">#REF!</definedName>
    <definedName name="KSIN">#REF!</definedName>
    <definedName name="ksinal">'[76]Indice de Reajuste'!#REF!</definedName>
    <definedName name="kterra">#REF!</definedName>
    <definedName name="la" localSheetId="11" hidden="1">{#N/A,#N/A,FALSE,"MO (2)"}</definedName>
    <definedName name="la" localSheetId="9" hidden="1">{#N/A,#N/A,FALSE,"MO (2)"}</definedName>
    <definedName name="la" localSheetId="10" hidden="1">{#N/A,#N/A,FALSE,"MO (2)"}</definedName>
    <definedName name="la" localSheetId="8" hidden="1">{#N/A,#N/A,FALSE,"MO (2)"}</definedName>
    <definedName name="la" localSheetId="7" hidden="1">{#N/A,#N/A,FALSE,"MO (2)"}</definedName>
    <definedName name="la" localSheetId="34" hidden="1">{#N/A,#N/A,FALSE,"MO (2)"}</definedName>
    <definedName name="la" localSheetId="44" hidden="1">{#N/A,#N/A,FALSE,"MO (2)"}</definedName>
    <definedName name="la" localSheetId="43" hidden="1">{#N/A,#N/A,FALSE,"MO (2)"}</definedName>
    <definedName name="la" localSheetId="42" hidden="1">{#N/A,#N/A,FALSE,"MO (2)"}</definedName>
    <definedName name="la" localSheetId="21" hidden="1">{#N/A,#N/A,FALSE,"MO (2)"}</definedName>
    <definedName name="la" localSheetId="15" hidden="1">{#N/A,#N/A,FALSE,"MO (2)"}</definedName>
    <definedName name="la" hidden="1">{#N/A,#N/A,FALSE,"MO (2)"}</definedName>
    <definedName name="LAG2_13">[14]SERVIÇOS!$G$26</definedName>
    <definedName name="LAG2_39">[14]SERVIÇOS!$G$26</definedName>
    <definedName name="LAG2_6">[14]SERVIÇOS!$G$26</definedName>
    <definedName name="Largura_da_Faixa_de_Tráfego___...........">#REF!</definedName>
    <definedName name="LASTRO">#N/A</definedName>
    <definedName name="LASTRO_CONCRETO">#REF!</definedName>
    <definedName name="LASTRO_EMISS3_S">#REF!</definedName>
    <definedName name="LDD">"'file:///D:/Meus documentos/ANASTÁCIO/SERCEL/BR262990800.xls'#$SERVIÇOS.$#REF!$#REF!"</definedName>
    <definedName name="LDI">"$#REF!.$J$#REF!"</definedName>
    <definedName name="lev">#REF!</definedName>
    <definedName name="LEVANTAMENTO">#REF!</definedName>
    <definedName name="LIG_PRED_SERV">#REF!</definedName>
    <definedName name="LIG_PREDIAIS_MAT">#REF!</definedName>
    <definedName name="LIGAÇÃO_PREDIAL_MATERIAL">'[49]ligação predial'!$H$19</definedName>
    <definedName name="LIGAÇÃO_PREDIAL_SERVIÇOS">'[49]ligação predial'!$H$9</definedName>
    <definedName name="LIGAÇÕES">#REF!</definedName>
    <definedName name="LILASDRENA">#REF!</definedName>
    <definedName name="LILASDRENA_25">#REF!</definedName>
    <definedName name="llllllll">#N/A</definedName>
    <definedName name="llllllll_2">#N/A</definedName>
    <definedName name="llllllll_25">#N/A</definedName>
    <definedName name="llllllll_26">#N/A</definedName>
    <definedName name="llllllll_27">#N/A</definedName>
    <definedName name="loc">#REF!</definedName>
    <definedName name="LOC_EMISS3">#REF!</definedName>
    <definedName name="LOCAÇÃO">#REF!</definedName>
    <definedName name="LOCAÇÃO_EMISS">#REF!</definedName>
    <definedName name="LOCAÇÃO_EMISS2">#REF!</definedName>
    <definedName name="local">#REF!</definedName>
    <definedName name="LOCAL1">'[34]DADOS DE ENTRADA CONCORRÊNCIA'!$B$25</definedName>
    <definedName name="LOCALIDADE">'[34]DADOS DE ENTRADA CONCORRÊNCIA'!$B$8</definedName>
    <definedName name="LOTA">#REF!</definedName>
    <definedName name="LOTE">#REF!</definedName>
    <definedName name="LOTE1">#REF!</definedName>
    <definedName name="Louças_acessórios">#REF!</definedName>
    <definedName name="LP">"$#REF!.$E$28"</definedName>
    <definedName name="LPTE">'[16]SERVIÇOS digitado'!#REF!</definedName>
    <definedName name="LPW">"$#REF!.$E$30"</definedName>
    <definedName name="LPWA">"$#REF!.$E$29"</definedName>
    <definedName name="LS">#REF!</definedName>
    <definedName name="LSW">"$#REF!.$E$29"</definedName>
    <definedName name="LSWA">"$#REF!.$E$28"</definedName>
    <definedName name="luis">#REF!</definedName>
    <definedName name="LVC">"'file:///D:/Meus documentos/ANASTÁCIO/SERCEL/BR262990800.xls'#$SERVIÇOS.$#REF!$#REF!"</definedName>
    <definedName name="LVD">"'file:///D:/Meus documentos/ANASTÁCIO/SERCEL/BR262990800.xls'#$SERVIÇOS.$#REF!$#REF!"</definedName>
    <definedName name="madpav">#REF!</definedName>
    <definedName name="mai00">#REF!</definedName>
    <definedName name="MAN.DREN">#REF!</definedName>
    <definedName name="MAO">[77]mo!$A$2:$C$10</definedName>
    <definedName name="MaodeObra">'[60]Custo Mão-de-Obra'!$A$7:$H$34</definedName>
    <definedName name="MAR00">#REF!</definedName>
    <definedName name="maria">'[3]RESUMO-DVOP'!$I$12</definedName>
    <definedName name="Massa">#REF!</definedName>
    <definedName name="mat">[78]Mat!$B$4:$E$528</definedName>
    <definedName name="MATBET">"$#REF!.$A$1:$N$16"</definedName>
    <definedName name="MATERIAIS">[45]mat!$A$2:$C$33</definedName>
    <definedName name="Material_britado">#REF!</definedName>
    <definedName name="MATERIALBETUMINOSO1">#REF!</definedName>
    <definedName name="Max" localSheetId="2" hidden="1">COUNTIF(#REF!,"&lt;&gt;0")+3</definedName>
    <definedName name="Max" localSheetId="3" hidden="1">COUNTIF(#REF!,"&lt;&gt;0")+3</definedName>
    <definedName name="Max" localSheetId="11" hidden="1">COUNTIF(#REF!,"&lt;&gt;0")+3</definedName>
    <definedName name="Max" localSheetId="9" hidden="1">COUNTIF(#REF!,"&lt;&gt;0")+3</definedName>
    <definedName name="Max" localSheetId="10" hidden="1">COUNTIF(#REF!,"&lt;&gt;0")+3</definedName>
    <definedName name="Max" localSheetId="5" hidden="1">COUNTIF(#REF!,"&lt;&gt;0")+3</definedName>
    <definedName name="Max" localSheetId="6" hidden="1">COUNTIF(#REF!,"&lt;&gt;0")+3</definedName>
    <definedName name="Max" localSheetId="30" hidden="1">COUNTIF(#REF!,"&lt;&gt;0")+3</definedName>
    <definedName name="Max" localSheetId="7" hidden="1">COUNTIF(#REF!,"&lt;&gt;0")+3</definedName>
    <definedName name="Max" localSheetId="39" hidden="1">COUNTIF(#REF!,"&lt;&gt;0")+3</definedName>
    <definedName name="Max" localSheetId="31" hidden="1">COUNTIF(#REF!,"&lt;&gt;0")+3</definedName>
    <definedName name="Max" localSheetId="28" hidden="1">COUNTIF(#REF!,"&lt;&gt;0")+3</definedName>
    <definedName name="Max" hidden="1">COUNTIF(#REF!,"&lt;&gt;0")+3</definedName>
    <definedName name="mbc">#REF!</definedName>
    <definedName name="MBF">#REF!</definedName>
    <definedName name="MBQ">[44]SERVIÇOS!$G$57</definedName>
    <definedName name="MBQ_13">[44]SERVIÇOS!$G$57</definedName>
    <definedName name="MBQ_39">[44]SERVIÇOS!$G$57</definedName>
    <definedName name="MBQ_6">[44]SERVIÇOS!$G$57</definedName>
    <definedName name="MBQA">'[16]SERVIÇOS digitado'!#REF!</definedName>
    <definedName name="MBQT">'[16]SERVIÇOS digitado'!#REF!</definedName>
    <definedName name="MBR">"$#REF!.$I$34"</definedName>
    <definedName name="MBUF">"$#REF!.$D$12"</definedName>
    <definedName name="MBUFW">"$#REF!.$D$14"</definedName>
    <definedName name="MBUFWA">"$#REF!.$D$13"</definedName>
    <definedName name="MBUQ">"$#REF!.$E$12"</definedName>
    <definedName name="MBUQW">"$#REF!.$E$14"</definedName>
    <definedName name="MBUQWA">"$#REF!.$E$13"</definedName>
    <definedName name="MD">[44]SERVIÇOS!$G$60</definedName>
    <definedName name="MD_13">[44]SERVIÇOS!$G$60</definedName>
    <definedName name="MD_39">[44]SERVIÇOS!$G$60</definedName>
    <definedName name="MD_6">[44]SERVIÇOS!$G$60</definedName>
    <definedName name="ME.ROD">#REF!</definedName>
    <definedName name="med" localSheetId="11" hidden="1">{#N/A,#N/A,FALSE,"MO (2)"}</definedName>
    <definedName name="med" localSheetId="9" hidden="1">{#N/A,#N/A,FALSE,"MO (2)"}</definedName>
    <definedName name="med" localSheetId="10" hidden="1">{#N/A,#N/A,FALSE,"MO (2)"}</definedName>
    <definedName name="med" localSheetId="8" hidden="1">{#N/A,#N/A,FALSE,"MO (2)"}</definedName>
    <definedName name="med" localSheetId="7" hidden="1">{#N/A,#N/A,FALSE,"MO (2)"}</definedName>
    <definedName name="med" localSheetId="34" hidden="1">{#N/A,#N/A,FALSE,"MO (2)"}</definedName>
    <definedName name="med" localSheetId="44" hidden="1">{#N/A,#N/A,FALSE,"MO (2)"}</definedName>
    <definedName name="med" localSheetId="43" hidden="1">{#N/A,#N/A,FALSE,"MO (2)"}</definedName>
    <definedName name="med" localSheetId="42" hidden="1">{#N/A,#N/A,FALSE,"MO (2)"}</definedName>
    <definedName name="med" localSheetId="21" hidden="1">{#N/A,#N/A,FALSE,"MO (2)"}</definedName>
    <definedName name="med" localSheetId="17" hidden="1">{#N/A,#N/A,FALSE,"MO (2)"}</definedName>
    <definedName name="med" localSheetId="1" hidden="1">{#N/A,#N/A,FALSE,"MO (2)"}</definedName>
    <definedName name="med" localSheetId="16" hidden="1">{#N/A,#N/A,FALSE,"MO (2)"}</definedName>
    <definedName name="med" localSheetId="26" hidden="1">{#N/A,#N/A,FALSE,"MO (2)"}</definedName>
    <definedName name="med" localSheetId="13" hidden="1">{#N/A,#N/A,FALSE,"MO (2)"}</definedName>
    <definedName name="med" localSheetId="15" hidden="1">{#N/A,#N/A,FALSE,"MO (2)"}</definedName>
    <definedName name="med" localSheetId="33" hidden="1">{#N/A,#N/A,FALSE,"MO (2)"}</definedName>
    <definedName name="med" hidden="1">{#N/A,#N/A,FALSE,"MO (2)"}</definedName>
    <definedName name="med_1" localSheetId="11" hidden="1">{#N/A,#N/A,FALSE,"MO (2)"}</definedName>
    <definedName name="med_1" localSheetId="9" hidden="1">{#N/A,#N/A,FALSE,"MO (2)"}</definedName>
    <definedName name="med_1" localSheetId="10" hidden="1">{#N/A,#N/A,FALSE,"MO (2)"}</definedName>
    <definedName name="med_1" localSheetId="8" hidden="1">{#N/A,#N/A,FALSE,"MO (2)"}</definedName>
    <definedName name="med_1" localSheetId="7" hidden="1">{#N/A,#N/A,FALSE,"MO (2)"}</definedName>
    <definedName name="med_1" localSheetId="34" hidden="1">{#N/A,#N/A,FALSE,"MO (2)"}</definedName>
    <definedName name="med_1" localSheetId="44" hidden="1">{#N/A,#N/A,FALSE,"MO (2)"}</definedName>
    <definedName name="med_1" localSheetId="43" hidden="1">{#N/A,#N/A,FALSE,"MO (2)"}</definedName>
    <definedName name="med_1" localSheetId="42" hidden="1">{#N/A,#N/A,FALSE,"MO (2)"}</definedName>
    <definedName name="med_1" localSheetId="21" hidden="1">{#N/A,#N/A,FALSE,"MO (2)"}</definedName>
    <definedName name="med_1" localSheetId="17" hidden="1">{#N/A,#N/A,FALSE,"MO (2)"}</definedName>
    <definedName name="med_1" localSheetId="1" hidden="1">{#N/A,#N/A,FALSE,"MO (2)"}</definedName>
    <definedName name="med_1" localSheetId="16" hidden="1">{#N/A,#N/A,FALSE,"MO (2)"}</definedName>
    <definedName name="med_1" localSheetId="26" hidden="1">{#N/A,#N/A,FALSE,"MO (2)"}</definedName>
    <definedName name="med_1" localSheetId="13" hidden="1">{#N/A,#N/A,FALSE,"MO (2)"}</definedName>
    <definedName name="med_1" localSheetId="15" hidden="1">{#N/A,#N/A,FALSE,"MO (2)"}</definedName>
    <definedName name="med_1" localSheetId="33" hidden="1">{#N/A,#N/A,FALSE,"MO (2)"}</definedName>
    <definedName name="med_1" hidden="1">{#N/A,#N/A,FALSE,"MO (2)"}</definedName>
    <definedName name="MEDAGOREAL">[3]RELATÓRIO!$I$30</definedName>
    <definedName name="mediçao">[72]PLE!$AX$28</definedName>
    <definedName name="Medição">#REF!</definedName>
    <definedName name="Medição_25">#REF!</definedName>
    <definedName name="MEIO_FIO">#REF!</definedName>
    <definedName name="meiofio">#REF!</definedName>
    <definedName name="Mem">'[5]Mat Asf'!$C$37</definedName>
    <definedName name="MERDA">#N/A</definedName>
    <definedName name="MERDA_25">#N/A</definedName>
    <definedName name="mes">#REF!</definedName>
    <definedName name="MÊS">"$#REF!.$I$4"</definedName>
    <definedName name="mesoestrutura">#REF!</definedName>
    <definedName name="Meu">#REF!</definedName>
    <definedName name="MM">#N/A</definedName>
    <definedName name="MO">#REF!</definedName>
    <definedName name="mo_base">#REF!</definedName>
    <definedName name="mo_sub_base">#REF!</definedName>
    <definedName name="Mob">#REF!</definedName>
    <definedName name="mod1.ext">#N/A</definedName>
    <definedName name="Modelo" localSheetId="2" hidden="1">#REF!</definedName>
    <definedName name="Modelo" localSheetId="3" hidden="1">#REF!</definedName>
    <definedName name="Modelo" localSheetId="11" hidden="1">#REF!</definedName>
    <definedName name="Modelo" localSheetId="9" hidden="1">#REF!</definedName>
    <definedName name="Modelo" localSheetId="10" hidden="1">#REF!</definedName>
    <definedName name="Modelo" localSheetId="8" hidden="1">#REF!</definedName>
    <definedName name="Modelo" localSheetId="5" hidden="1">#REF!</definedName>
    <definedName name="Modelo" localSheetId="6" hidden="1">#REF!</definedName>
    <definedName name="Modelo" localSheetId="30" hidden="1">#REF!</definedName>
    <definedName name="Modelo" localSheetId="7" hidden="1">#REF!</definedName>
    <definedName name="Modelo" localSheetId="34" hidden="1">#REF!</definedName>
    <definedName name="Modelo" localSheetId="44" hidden="1">#REF!</definedName>
    <definedName name="Modelo" localSheetId="43" hidden="1">#REF!</definedName>
    <definedName name="Modelo" localSheetId="42" hidden="1">#REF!</definedName>
    <definedName name="Modelo" localSheetId="21" hidden="1">#REF!</definedName>
    <definedName name="Modelo" localSheetId="39" hidden="1">#REF!</definedName>
    <definedName name="Modelo" localSheetId="15" hidden="1">#REF!</definedName>
    <definedName name="Modelo" localSheetId="31" hidden="1">#REF!</definedName>
    <definedName name="Modelo" localSheetId="28" hidden="1">#REF!</definedName>
    <definedName name="Modelo" hidden="1">#REF!</definedName>
    <definedName name="MODEXT">#N/A</definedName>
    <definedName name="módulo1.Extenso">#N/A</definedName>
    <definedName name="módulo1.Extenso_1">#N/A</definedName>
    <definedName name="módulo1.Extenso_10">#N/A</definedName>
    <definedName name="módulo1.Extenso_12">#N/A</definedName>
    <definedName name="módulo1.Extenso_13">#N/A</definedName>
    <definedName name="módulo1.Extenso_14">#N/A</definedName>
    <definedName name="módulo1.Extenso_2">#N/A</definedName>
    <definedName name="módulo1.Extenso_22">#N/A</definedName>
    <definedName name="módulo1.Extenso_25">#N/A</definedName>
    <definedName name="módulo1.Extenso_26">#N/A</definedName>
    <definedName name="módulo1.Extenso_27">#N/A</definedName>
    <definedName name="módulo1.Extenso_28">#N/A</definedName>
    <definedName name="módulo1.Extenso_29">#N/A</definedName>
    <definedName name="módulo1.Extenso_3">#N/A</definedName>
    <definedName name="módulo1.Extenso_30">#N/A</definedName>
    <definedName name="módulo1.Extenso_31">#N/A</definedName>
    <definedName name="módulo1.Extenso_32">#N/A</definedName>
    <definedName name="módulo1.Extenso_33">#N/A</definedName>
    <definedName name="módulo1.Extenso_34">#N/A</definedName>
    <definedName name="módulo1.Extenso_35">#N/A</definedName>
    <definedName name="módulo1.Extenso_36">#N/A</definedName>
    <definedName name="módulo1.Extenso_37">#N/A</definedName>
    <definedName name="módulo1.Extenso_38">#N/A</definedName>
    <definedName name="módulo1.Extenso_4">#N/A</definedName>
    <definedName name="módulo1.Extenso_5">#N/A</definedName>
    <definedName name="módulo1.Extenso_6">#N/A</definedName>
    <definedName name="módulo1.Extenso_7">#N/A</definedName>
    <definedName name="módulo1.Extenso_8">#N/A</definedName>
    <definedName name="módulo1.Extenso_9">#N/A</definedName>
    <definedName name="mont">'[26]QTT  BETUM'!#REF!</definedName>
    <definedName name="mosubb">#REF!</definedName>
    <definedName name="mosubl">#REF!</definedName>
    <definedName name="MOV_TERR_EMISS3_S">#REF!</definedName>
    <definedName name="MOV_TERRA">#REF!</definedName>
    <definedName name="MOV_TERRA_EMISS">#REF!</definedName>
    <definedName name="MOV_TERRA_EMISS2">#REF!</definedName>
    <definedName name="MP" localSheetId="2" hidden="1">#REF!</definedName>
    <definedName name="MP" localSheetId="3" hidden="1">#REF!</definedName>
    <definedName name="MP" localSheetId="11" hidden="1">#REF!</definedName>
    <definedName name="MP" localSheetId="9" hidden="1">#REF!</definedName>
    <definedName name="MP" localSheetId="10" hidden="1">#REF!</definedName>
    <definedName name="MP" localSheetId="8" hidden="1">#REF!</definedName>
    <definedName name="MP" localSheetId="5" hidden="1">#REF!</definedName>
    <definedName name="MP" localSheetId="6" hidden="1">#REF!</definedName>
    <definedName name="MP" localSheetId="30" hidden="1">#REF!</definedName>
    <definedName name="MP" localSheetId="7" hidden="1">#REF!</definedName>
    <definedName name="MP" localSheetId="34" hidden="1">#REF!</definedName>
    <definedName name="MP" localSheetId="44" hidden="1">#REF!</definedName>
    <definedName name="MP" localSheetId="43" hidden="1">#REF!</definedName>
    <definedName name="MP" localSheetId="42" hidden="1">#REF!</definedName>
    <definedName name="MP" localSheetId="21" hidden="1">#REF!</definedName>
    <definedName name="MP" localSheetId="39" hidden="1">#REF!</definedName>
    <definedName name="MP" localSheetId="15" hidden="1">#REF!</definedName>
    <definedName name="MP" localSheetId="31" hidden="1">#REF!</definedName>
    <definedName name="MP" localSheetId="28" hidden="1">#REF!</definedName>
    <definedName name="MP" hidden="1">#REF!</definedName>
    <definedName name="NColunas">#REF!</definedName>
    <definedName name="NLEq" hidden="1">4</definedName>
    <definedName name="NLinhasPagina">#REF!</definedName>
    <definedName name="NLinhasRodape">#REF!</definedName>
    <definedName name="NLMo" hidden="1">6</definedName>
    <definedName name="NLMp" hidden="1">5</definedName>
    <definedName name="NLTr" hidden="1">3</definedName>
    <definedName name="Ns">#REF!</definedName>
    <definedName name="NTEI">'[27]PRO-08'!#REF!</definedName>
    <definedName name="NTEI_10">'[28]PRO-08'!#REF!</definedName>
    <definedName name="NTEI_25">'[28]PRO-08'!#REF!</definedName>
    <definedName name="NTEI_27">'[28]PRO-08'!#REF!</definedName>
    <definedName name="NTEI_29">'[28]PRO-08'!#REF!</definedName>
    <definedName name="NTEI_9">'[28]PRO-08'!#REF!</definedName>
    <definedName name="NUMED">"$#REF!.$C$3"</definedName>
    <definedName name="OAC">#REF!</definedName>
    <definedName name="oac.b">#REF!</definedName>
    <definedName name="oac.c">#REF!</definedName>
    <definedName name="oac.ve">#REF!</definedName>
    <definedName name="oac.ve.remoc">#REF!</definedName>
    <definedName name="oac.vr">#REF!</definedName>
    <definedName name="oac.vr.remoc">#REF!</definedName>
    <definedName name="Oacorre2">#REF!</definedName>
    <definedName name="OAE">#REF!</definedName>
    <definedName name="oae.vc">#REF!</definedName>
    <definedName name="OAE_MAR94">#REF!</definedName>
    <definedName name="Oaesp2">#REF!</definedName>
    <definedName name="OBJETO">#REF!</definedName>
    <definedName name="OBJETOA">#REF!</definedName>
    <definedName name="Obra" hidden="1">""</definedName>
    <definedName name="OCOM">#REF!</definedName>
    <definedName name="Ocomp2">#REF!</definedName>
    <definedName name="oesp">#REF!</definedName>
    <definedName name="oi" localSheetId="11" hidden="1">{#N/A,#N/A,FALSE,"MO (2)"}</definedName>
    <definedName name="oi" localSheetId="7" hidden="1">{#N/A,#N/A,FALSE,"MO (2)"}</definedName>
    <definedName name="oi" localSheetId="21" hidden="1">{#N/A,#N/A,FALSE,"MO (2)"}</definedName>
    <definedName name="oi" localSheetId="15" hidden="1">{#N/A,#N/A,FALSE,"MO (2)"}</definedName>
    <definedName name="oi" hidden="1">{#N/A,#N/A,FALSE,"MO (2)"}</definedName>
    <definedName name="ok">[79]Dados!$B$1</definedName>
    <definedName name="OLEO">[13]DADOS!$C$23</definedName>
    <definedName name="OnOff" hidden="1">"ON"</definedName>
    <definedName name="OP">#REF!</definedName>
    <definedName name="OPA">#REF!</definedName>
    <definedName name="OPA_10">'[28]PRO-08'!#REF!</definedName>
    <definedName name="OPA_25">'[28]PRO-08'!#REF!</definedName>
    <definedName name="OPA_27">'[28]PRO-08'!#REF!</definedName>
    <definedName name="OPA_29">'[28]PRO-08'!#REF!</definedName>
    <definedName name="OPA_9">'[28]PRO-08'!#REF!</definedName>
    <definedName name="opera">#REF!</definedName>
    <definedName name="Orçamento">#REF!</definedName>
    <definedName name="ORÇAMENTO.BancoRef" localSheetId="11" hidden="1">#REF!</definedName>
    <definedName name="ORÇAMENTO.BancoRef" localSheetId="7" hidden="1">#REF!</definedName>
    <definedName name="ORÇAMENTO.BancoRef" localSheetId="15" hidden="1">#REF!</definedName>
    <definedName name="ORÇAMENTO.BancoRef" hidden="1">#REF!</definedName>
    <definedName name="ORÇAMENTO.CustoUnitario" localSheetId="11" hidden="1">ROUND(#REF!,15-13*#REF!)</definedName>
    <definedName name="ORÇAMENTO.CustoUnitario" localSheetId="7" hidden="1">ROUND(#REF!,15-13*#REF!)</definedName>
    <definedName name="ORÇAMENTO.CustoUnitario" localSheetId="15" hidden="1">ROUND(#REF!,15-13*#REF!)</definedName>
    <definedName name="ORÇAMENTO.CustoUnitario" hidden="1">ROUND(#REF!,15-13*#REF!)</definedName>
    <definedName name="Orçamento_13">"e:///Y:/WINDOWS/Temporary Internet Files/Content.IE5/Q9YZIJ83/file:///A:/TERCIO/BR%2525252520163%2525252520REST%2525252520set%25252525202003/DEISI/Or%25252525C3%25252525A7amento%2525252520Sta%2525252520Helena%2525252520Guaranta.xls'#$Orçamento.$A$13:$D$34"</definedName>
    <definedName name="Orçamento_39">"e:///Y:/WINDOWS/Temporary Internet Files/Content.IE5/Q9YZIJ83/file:///A:/TERCIO/BR%2525252520163%2525252520REST%2525252520set%25252525202003/DEISI/Or%25252525C3%25252525A7amento%2525252520Sta%2525252520Helena%2525252520Guaranta.xls'#$Orçamento.$A$13:$D$34"</definedName>
    <definedName name="Orçamento_6">"e:///Y:/WINDOWS/Temporary Internet Files/Content.IE5/Q9YZIJ83/file:///A:/TERCIO/BR%2525252520163%2525252520REST%2525252520set%25252525202003/DEISI/Or%25252525C3%25252525A7amento%2525252520Sta%2525252520Helena%2525252520Guaranta.xls'#$Orçamento.$A$13:$D$34"</definedName>
    <definedName name="orçamrest" localSheetId="11" hidden="1">{#N/A,#N/A,TRUE,"Serviços"}</definedName>
    <definedName name="orçamrest" localSheetId="9" hidden="1">{#N/A,#N/A,TRUE,"Serviços"}</definedName>
    <definedName name="orçamrest" localSheetId="10" hidden="1">{#N/A,#N/A,TRUE,"Serviços"}</definedName>
    <definedName name="orçamrest" localSheetId="8" hidden="1">{#N/A,#N/A,TRUE,"Serviços"}</definedName>
    <definedName name="orçamrest" localSheetId="7" hidden="1">{#N/A,#N/A,TRUE,"Serviços"}</definedName>
    <definedName name="orçamrest" localSheetId="34" hidden="1">{#N/A,#N/A,TRUE,"Serviços"}</definedName>
    <definedName name="orçamrest" localSheetId="44" hidden="1">{#N/A,#N/A,TRUE,"Serviços"}</definedName>
    <definedName name="orçamrest" localSheetId="43" hidden="1">{#N/A,#N/A,TRUE,"Serviços"}</definedName>
    <definedName name="orçamrest" localSheetId="42" hidden="1">{#N/A,#N/A,TRUE,"Serviços"}</definedName>
    <definedName name="orçamrest" localSheetId="21" hidden="1">{#N/A,#N/A,TRUE,"Serviços"}</definedName>
    <definedName name="orçamrest" localSheetId="15" hidden="1">{#N/A,#N/A,TRUE,"Serviços"}</definedName>
    <definedName name="orçamrest" hidden="1">{#N/A,#N/A,TRUE,"Serviços"}</definedName>
    <definedName name="Ordem" localSheetId="2" hidden="1">#REF!</definedName>
    <definedName name="Ordem" localSheetId="3" hidden="1">#REF!</definedName>
    <definedName name="Ordem" localSheetId="11" hidden="1">#REF!</definedName>
    <definedName name="Ordem" localSheetId="9" hidden="1">#REF!</definedName>
    <definedName name="Ordem" localSheetId="10" hidden="1">#REF!</definedName>
    <definedName name="Ordem" localSheetId="8" hidden="1">#REF!</definedName>
    <definedName name="Ordem" localSheetId="5" hidden="1">#REF!</definedName>
    <definedName name="Ordem" localSheetId="6" hidden="1">#REF!</definedName>
    <definedName name="Ordem" localSheetId="30" hidden="1">#REF!</definedName>
    <definedName name="Ordem" localSheetId="7" hidden="1">#REF!</definedName>
    <definedName name="Ordem" localSheetId="34" hidden="1">#REF!</definedName>
    <definedName name="Ordem" localSheetId="44" hidden="1">#REF!</definedName>
    <definedName name="Ordem" localSheetId="43" hidden="1">#REF!</definedName>
    <definedName name="Ordem" localSheetId="42" hidden="1">#REF!</definedName>
    <definedName name="Ordem" localSheetId="21" hidden="1">#REF!</definedName>
    <definedName name="Ordem" localSheetId="39" hidden="1">#REF!</definedName>
    <definedName name="Ordem" localSheetId="15" hidden="1">#REF!</definedName>
    <definedName name="Ordem" localSheetId="31" hidden="1">#REF!</definedName>
    <definedName name="Ordem" localSheetId="28" hidden="1">#REF!</definedName>
    <definedName name="Ordem" hidden="1">#REF!</definedName>
    <definedName name="org">#REF!</definedName>
    <definedName name="ÓRGÃO">#REF!</definedName>
    <definedName name="Origem" localSheetId="2" hidden="1">#REF!</definedName>
    <definedName name="Origem" localSheetId="3" hidden="1">#REF!</definedName>
    <definedName name="Origem" localSheetId="11" hidden="1">#REF!</definedName>
    <definedName name="Origem" localSheetId="9" hidden="1">#REF!</definedName>
    <definedName name="Origem" localSheetId="10" hidden="1">#REF!</definedName>
    <definedName name="Origem" localSheetId="8" hidden="1">#REF!</definedName>
    <definedName name="Origem" localSheetId="5" hidden="1">#REF!</definedName>
    <definedName name="Origem" localSheetId="6" hidden="1">#REF!</definedName>
    <definedName name="Origem" localSheetId="30" hidden="1">#REF!</definedName>
    <definedName name="Origem" localSheetId="7" hidden="1">#REF!</definedName>
    <definedName name="Origem" localSheetId="34" hidden="1">#REF!</definedName>
    <definedName name="Origem" localSheetId="44" hidden="1">#REF!</definedName>
    <definedName name="Origem" localSheetId="43" hidden="1">#REF!</definedName>
    <definedName name="Origem" localSheetId="42" hidden="1">#REF!</definedName>
    <definedName name="Origem" localSheetId="21" hidden="1">#REF!</definedName>
    <definedName name="Origem" localSheetId="39" hidden="1">#REF!</definedName>
    <definedName name="Origem" localSheetId="15" hidden="1">#REF!</definedName>
    <definedName name="Origem" localSheetId="31" hidden="1">#REF!</definedName>
    <definedName name="Origem" localSheetId="28" hidden="1">#REF!</definedName>
    <definedName name="Origem" hidden="1">#REF!</definedName>
    <definedName name="Orla" localSheetId="11">#REF!</definedName>
    <definedName name="Orla" localSheetId="7">#REF!</definedName>
    <definedName name="Orla" localSheetId="21">#REF!</definedName>
    <definedName name="Orla" localSheetId="15">#REF!</definedName>
    <definedName name="Orla">#REF!</definedName>
    <definedName name="orlando" localSheetId="11">#REF!</definedName>
    <definedName name="orlando" localSheetId="7">#REF!</definedName>
    <definedName name="orlando" localSheetId="21">#REF!</definedName>
    <definedName name="orlando" localSheetId="15">#REF!</definedName>
    <definedName name="orlando">#REF!</definedName>
    <definedName name="OUTR" localSheetId="11">'[16]SERVIÇOS digitado'!#REF!</definedName>
    <definedName name="OUTR" localSheetId="7">'[16]SERVIÇOS digitado'!#REF!</definedName>
    <definedName name="OUTR" localSheetId="15">'[16]SERVIÇOS digitado'!#REF!</definedName>
    <definedName name="OUTR">'[16]SERVIÇOS digitado'!#REF!</definedName>
    <definedName name="PassaExtenso" localSheetId="2">[70]!PassaExtenso</definedName>
    <definedName name="PassaExtenso" localSheetId="3">[70]!PassaExtenso</definedName>
    <definedName name="PassaExtenso" localSheetId="7">[70]!PassaExtenso</definedName>
    <definedName name="PassaExtenso" localSheetId="27">[70]!PassaExtenso</definedName>
    <definedName name="PassaExtenso" localSheetId="22">[70]!PassaExtenso</definedName>
    <definedName name="PassaExtenso" localSheetId="20">[70]!PassaExtenso</definedName>
    <definedName name="PassaExtenso" localSheetId="26">[70]!PassaExtenso</definedName>
    <definedName name="PassaExtenso" localSheetId="13">[70]!PassaExtenso</definedName>
    <definedName name="PassaExtenso" localSheetId="15">[70]!PassaExtenso</definedName>
    <definedName name="PassaExtenso" localSheetId="25">[70]!PassaExtenso</definedName>
    <definedName name="PassaExtenso" localSheetId="40">[70]!PassaExtenso</definedName>
    <definedName name="PassaExtenso">[70]!PassaExtenso</definedName>
    <definedName name="PassaExtenso___0" localSheetId="11">PassaExtenso_5</definedName>
    <definedName name="PassaExtenso___0" localSheetId="7">[0]!PassaExtenso_5</definedName>
    <definedName name="PassaExtenso___0" localSheetId="21">PassaExtenso_5</definedName>
    <definedName name="PassaExtenso___0" localSheetId="15">[80]!PassaExtenso_5</definedName>
    <definedName name="PassaExtenso___0">PassaExtenso_5</definedName>
    <definedName name="PassaExtenso_10">#N/A</definedName>
    <definedName name="PassaExtenso_25">#N/A</definedName>
    <definedName name="PassaExtenso_27">#N/A</definedName>
    <definedName name="PassaExtenso_29">#N/A</definedName>
    <definedName name="PassaExtenso_4">#N/A</definedName>
    <definedName name="PassaExtenso_5">#N/A</definedName>
    <definedName name="PassaExtenso_9">#N/A</definedName>
    <definedName name="PATO">"$#REF!.$A$5:$J$84"</definedName>
    <definedName name="pav" localSheetId="11">#REF!</definedName>
    <definedName name="pav" localSheetId="7">#REF!</definedName>
    <definedName name="pav" localSheetId="21">#REF!</definedName>
    <definedName name="pav" localSheetId="15">#REF!</definedName>
    <definedName name="pav">#REF!</definedName>
    <definedName name="PAV_2" localSheetId="11">[3]RELATÓRIO!#REF!</definedName>
    <definedName name="PAV_2" localSheetId="7">[3]RELATÓRIO!#REF!</definedName>
    <definedName name="PAV_2" localSheetId="21">[3]RELATÓRIO!#REF!</definedName>
    <definedName name="PAV_2">[3]RELATÓRIO!#REF!</definedName>
    <definedName name="PAV_25" localSheetId="11">[81]RESUMO_AUT1!#REF!</definedName>
    <definedName name="PAV_25" localSheetId="7">[81]RESUMO_AUT1!#REF!</definedName>
    <definedName name="PAV_25" localSheetId="21">[81]RESUMO_AUT1!#REF!</definedName>
    <definedName name="PAV_25">[81]RESUMO_AUT1!#REF!</definedName>
    <definedName name="PAV_EMISS3_S" localSheetId="11">#REF!</definedName>
    <definedName name="PAV_EMISS3_S" localSheetId="7">#REF!</definedName>
    <definedName name="PAV_EMISS3_S" localSheetId="21">#REF!</definedName>
    <definedName name="PAV_EMISS3_S" localSheetId="15">#REF!</definedName>
    <definedName name="PAV_EMISS3_S">#REF!</definedName>
    <definedName name="PAV_MAR94" localSheetId="11">#REF!</definedName>
    <definedName name="PAV_MAR94" localSheetId="7">#REF!</definedName>
    <definedName name="PAV_MAR94" localSheetId="21">#REF!</definedName>
    <definedName name="PAV_MAR94" localSheetId="15">#REF!</definedName>
    <definedName name="PAV_MAR94">#REF!</definedName>
    <definedName name="pavi" localSheetId="11">#REF!</definedName>
    <definedName name="pavi" localSheetId="7">#REF!</definedName>
    <definedName name="pavi" localSheetId="21">#REF!</definedName>
    <definedName name="pavi" localSheetId="15">#REF!</definedName>
    <definedName name="pavi">#REF!</definedName>
    <definedName name="Pavi2" localSheetId="11">#REF!</definedName>
    <definedName name="Pavi2" localSheetId="7">#REF!</definedName>
    <definedName name="Pavi2" localSheetId="21">#REF!</definedName>
    <definedName name="Pavi2" localSheetId="15">#REF!</definedName>
    <definedName name="Pavi2">#REF!</definedName>
    <definedName name="PAVIM_EMISS" localSheetId="11">#REF!</definedName>
    <definedName name="PAVIM_EMISS" localSheetId="7">#REF!</definedName>
    <definedName name="PAVIM_EMISS" localSheetId="21">#REF!</definedName>
    <definedName name="PAVIM_EMISS" localSheetId="15">#REF!</definedName>
    <definedName name="PAVIM_EMISS">#REF!</definedName>
    <definedName name="PAVIM_EMISS2" localSheetId="11">#REF!</definedName>
    <definedName name="PAVIM_EMISS2" localSheetId="7">#REF!</definedName>
    <definedName name="PAVIM_EMISS2" localSheetId="21">#REF!</definedName>
    <definedName name="PAVIM_EMISS2" localSheetId="15">#REF!</definedName>
    <definedName name="PAVIM_EMISS2">#REF!</definedName>
    <definedName name="pavimentacao" localSheetId="11">#REF!</definedName>
    <definedName name="pavimentacao" localSheetId="7">#REF!</definedName>
    <definedName name="pavimentacao" localSheetId="21">#REF!</definedName>
    <definedName name="pavimentacao" localSheetId="15">#REF!</definedName>
    <definedName name="pavimentacao">#REF!</definedName>
    <definedName name="PAVIMENTAÇÃO" localSheetId="11">#REF!</definedName>
    <definedName name="PAVIMENTAÇÃO" localSheetId="7">#REF!</definedName>
    <definedName name="PAVIMENTAÇÃO" localSheetId="21">#REF!</definedName>
    <definedName name="PAVIMENTAÇÃO" localSheetId="15">#REF!</definedName>
    <definedName name="PAVIMENTAÇÃO">#REF!</definedName>
    <definedName name="PAVIMENTONOVO" localSheetId="11">[82]QuQuant!#REF!</definedName>
    <definedName name="PAVIMENTONOVO" localSheetId="7">[82]QuQuant!#REF!</definedName>
    <definedName name="PAVIMENTONOVO" localSheetId="21">[82]QuQuant!#REF!</definedName>
    <definedName name="PAVIMENTONOVO" localSheetId="15">[82]QuQuant!#REF!</definedName>
    <definedName name="PAVIMENTONOVO">[82]QuQuant!#REF!</definedName>
    <definedName name="PAVIMENTONOVO_25" localSheetId="21">[82]QuQuant!#REF!</definedName>
    <definedName name="PAVIMENTONOVO_25" localSheetId="15">[82]QuQuant!#REF!</definedName>
    <definedName name="PAVIMENTONOVO_25">[82]QuQuant!#REF!</definedName>
    <definedName name="PCAIA">"'file:///D:/Meus documentos/ANASTÁCIO/SERCEL/BR262990800.xls'#$SERVIÇOS.$#REF!$#REF!"</definedName>
    <definedName name="PCCARR" localSheetId="21">'[16]SERVIÇOS digitado'!#REF!</definedName>
    <definedName name="PCCARR">'[16]SERVIÇOS digitado'!#REF!</definedName>
    <definedName name="PCDF" localSheetId="21">'[16]SERVIÇOS digitado'!#REF!</definedName>
    <definedName name="PCDF">'[16]SERVIÇOS digitado'!#REF!</definedName>
    <definedName name="PCS">'[16]SERVIÇOS digitado'!$H$39</definedName>
    <definedName name="PCSA" localSheetId="21">'[16]SERVIÇOS digitado'!#REF!</definedName>
    <definedName name="PCSA">'[16]SERVIÇOS digitado'!#REF!</definedName>
    <definedName name="PCST" localSheetId="21">'[16]SERVIÇOS digitado'!#REF!</definedName>
    <definedName name="PCST">'[16]SERVIÇOS digitado'!#REF!</definedName>
    <definedName name="PDE" localSheetId="11">#REF!</definedName>
    <definedName name="PDE" localSheetId="7">#REF!</definedName>
    <definedName name="PDE" localSheetId="21">#REF!</definedName>
    <definedName name="PDE" localSheetId="15">#REF!</definedName>
    <definedName name="PDE">#REF!</definedName>
    <definedName name="PDM" localSheetId="11">[13]DADOS!$C$13</definedName>
    <definedName name="PDM" localSheetId="7">[13]DADOS!$C$13</definedName>
    <definedName name="PDM">[13]DADOS!$C$13</definedName>
    <definedName name="PED" localSheetId="11">#REF!</definedName>
    <definedName name="PED" localSheetId="7">#REF!</definedName>
    <definedName name="PED" localSheetId="21">#REF!</definedName>
    <definedName name="PED" localSheetId="15">#REF!</definedName>
    <definedName name="PED">#REF!</definedName>
    <definedName name="PED.PISTA" localSheetId="11">#REF!</definedName>
    <definedName name="PED.PISTA" localSheetId="7">#REF!</definedName>
    <definedName name="PED.PISTA" localSheetId="21">#REF!</definedName>
    <definedName name="PED.PISTA" localSheetId="15">#REF!</definedName>
    <definedName name="PED.PISTA">#REF!</definedName>
    <definedName name="PEDA" localSheetId="11">#REF!</definedName>
    <definedName name="PEDA" localSheetId="7">#REF!</definedName>
    <definedName name="PEDA" localSheetId="21">#REF!</definedName>
    <definedName name="PEDA" localSheetId="15">#REF!</definedName>
    <definedName name="PEDA">#REF!</definedName>
    <definedName name="pedr" localSheetId="11">'[26]QTT  BETUM'!#REF!</definedName>
    <definedName name="pedr" localSheetId="7">'[26]QTT  BETUM'!#REF!</definedName>
    <definedName name="pedr" localSheetId="21">'[26]QTT  BETUM'!#REF!</definedName>
    <definedName name="pedr" localSheetId="15">'[26]QTT  BETUM'!#REF!</definedName>
    <definedName name="pedr">'[26]QTT  BETUM'!#REF!</definedName>
    <definedName name="PEDR.PISTA" localSheetId="11">#REF!</definedName>
    <definedName name="PEDR.PISTA" localSheetId="7">#REF!</definedName>
    <definedName name="PEDR.PISTA" localSheetId="21">#REF!</definedName>
    <definedName name="PEDR.PISTA" localSheetId="15">#REF!</definedName>
    <definedName name="PEDR.PISTA">#REF!</definedName>
    <definedName name="pedre" localSheetId="11">#REF!</definedName>
    <definedName name="pedre" localSheetId="7">#REF!</definedName>
    <definedName name="pedre" localSheetId="21">#REF!</definedName>
    <definedName name="pedre" localSheetId="15">#REF!</definedName>
    <definedName name="pedre">#REF!</definedName>
    <definedName name="PEDREIRA" localSheetId="11">#REF!</definedName>
    <definedName name="PEDREIRA" localSheetId="7">#REF!</definedName>
    <definedName name="PEDREIRA" localSheetId="21">#REF!</definedName>
    <definedName name="PEDREIRA" localSheetId="15">#REF!</definedName>
    <definedName name="PEDREIRA">#REF!</definedName>
    <definedName name="PEDREIRA.PISTA">[31]Diagrama!$E$46</definedName>
    <definedName name="PEDREIRA.USINA">[31]Diagrama!$E$45</definedName>
    <definedName name="PEDREIRA_P" localSheetId="11">#REF!</definedName>
    <definedName name="PEDREIRA_P" localSheetId="7">#REF!</definedName>
    <definedName name="PEDREIRA_P" localSheetId="21">#REF!</definedName>
    <definedName name="PEDREIRA_P" localSheetId="15">#REF!</definedName>
    <definedName name="PEDREIRA_P">#REF!</definedName>
    <definedName name="PEMN" localSheetId="11">'[16]SERVIÇOS digitado'!#REF!</definedName>
    <definedName name="PEMN" localSheetId="7">'[16]SERVIÇOS digitado'!#REF!</definedName>
    <definedName name="PEMN" localSheetId="21">'[16]SERVIÇOS digitado'!#REF!</definedName>
    <definedName name="PEMN" localSheetId="15">'[16]SERVIÇOS digitado'!#REF!</definedName>
    <definedName name="PEMN">'[16]SERVIÇOS digitado'!#REF!</definedName>
    <definedName name="PEN">[14]SERVIÇOS!$G$59</definedName>
    <definedName name="PEN_13">[14]SERVIÇOS!$G$59</definedName>
    <definedName name="PEN_39">[14]SERVIÇOS!$G$59</definedName>
    <definedName name="PEN_6">[14]SERVIÇOS!$G$59</definedName>
    <definedName name="PercResid." localSheetId="11">#REF!</definedName>
    <definedName name="PercResid." localSheetId="7">#REF!</definedName>
    <definedName name="PercResid." localSheetId="21">#REF!</definedName>
    <definedName name="PercResid." localSheetId="15">#REF!</definedName>
    <definedName name="PercResid.">#REF!</definedName>
    <definedName name="pesquisa" localSheetId="11">#REF!</definedName>
    <definedName name="pesquisa" localSheetId="7">#REF!</definedName>
    <definedName name="pesquisa" localSheetId="21">#REF!</definedName>
    <definedName name="pesquisa" localSheetId="15">#REF!</definedName>
    <definedName name="pesquisa">#REF!</definedName>
    <definedName name="pesquisa_25" localSheetId="11">#REF!</definedName>
    <definedName name="pesquisa_25" localSheetId="7">#REF!</definedName>
    <definedName name="pesquisa_25" localSheetId="21">#REF!</definedName>
    <definedName name="pesquisa_25" localSheetId="15">#REF!</definedName>
    <definedName name="pesquisa_25">#REF!</definedName>
    <definedName name="pesquisa1">'[8]Página 16'!$A$3:$G$7</definedName>
    <definedName name="PESSO" localSheetId="11">#REF!</definedName>
    <definedName name="PESSO" localSheetId="7">#REF!</definedName>
    <definedName name="PESSO" localSheetId="21">#REF!</definedName>
    <definedName name="PESSO" localSheetId="15">#REF!</definedName>
    <definedName name="PESSO">#REF!</definedName>
    <definedName name="PESSO_25" localSheetId="11">#REF!</definedName>
    <definedName name="PESSO_25" localSheetId="7">#REF!</definedName>
    <definedName name="PESSO_25" localSheetId="21">#REF!</definedName>
    <definedName name="PESSO_25" localSheetId="15">#REF!</definedName>
    <definedName name="PESSO_25">#REF!</definedName>
    <definedName name="PG">"$#REF!.$C$1"</definedName>
    <definedName name="PGP">"'file:///D:/Meus documentos/ANASTÁCIO/SERCEL/BR262990800.xls'#$SERVIÇOS.$#REF!$#REF!"</definedName>
    <definedName name="Pia_cozinha" localSheetId="11">#REF!</definedName>
    <definedName name="Pia_cozinha" localSheetId="7">#REF!</definedName>
    <definedName name="Pia_cozinha" localSheetId="21">#REF!</definedName>
    <definedName name="Pia_cozinha" localSheetId="15">#REF!</definedName>
    <definedName name="Pia_cozinha">#REF!</definedName>
    <definedName name="Pilar" localSheetId="11">#REF!</definedName>
    <definedName name="Pilar" localSheetId="7">#REF!</definedName>
    <definedName name="Pilar" localSheetId="21">#REF!</definedName>
    <definedName name="Pilar" localSheetId="15">#REF!</definedName>
    <definedName name="Pilar">#REF!</definedName>
    <definedName name="pint" localSheetId="11">'[26]QTT  BETUM'!#REF!</definedName>
    <definedName name="pint" localSheetId="7">'[26]QTT  BETUM'!#REF!</definedName>
    <definedName name="pint" localSheetId="21">'[26]QTT  BETUM'!#REF!</definedName>
    <definedName name="pint" localSheetId="15">'[26]QTT  BETUM'!#REF!</definedName>
    <definedName name="pint">'[26]QTT  BETUM'!#REF!</definedName>
    <definedName name="pint_lig" localSheetId="11">#REF!</definedName>
    <definedName name="pint_lig" localSheetId="7">#REF!</definedName>
    <definedName name="pint_lig" localSheetId="21">#REF!</definedName>
    <definedName name="pint_lig" localSheetId="15">#REF!</definedName>
    <definedName name="pint_lig">#REF!</definedName>
    <definedName name="PINTURA">#N/A</definedName>
    <definedName name="Pintura_cal" localSheetId="11">#REF!</definedName>
    <definedName name="Pintura_cal" localSheetId="7">#REF!</definedName>
    <definedName name="Pintura_cal" localSheetId="21">#REF!</definedName>
    <definedName name="Pintura_cal" localSheetId="15">#REF!</definedName>
    <definedName name="Pintura_cal">#REF!</definedName>
    <definedName name="Pintura_óleo" localSheetId="11">#REF!</definedName>
    <definedName name="Pintura_óleo" localSheetId="7">#REF!</definedName>
    <definedName name="Pintura_óleo" localSheetId="21">#REF!</definedName>
    <definedName name="Pintura_óleo" localSheetId="15">#REF!</definedName>
    <definedName name="Pintura_óleo">#REF!</definedName>
    <definedName name="Piso_cimentado" localSheetId="11">#REF!</definedName>
    <definedName name="Piso_cimentado" localSheetId="7">#REF!</definedName>
    <definedName name="Piso_cimentado" localSheetId="21">#REF!</definedName>
    <definedName name="Piso_cimentado" localSheetId="15">#REF!</definedName>
    <definedName name="Piso_cimentado">#REF!</definedName>
    <definedName name="PISTAPDLD" localSheetId="11">#REF!</definedName>
    <definedName name="PISTAPDLD" localSheetId="7">#REF!</definedName>
    <definedName name="PISTAPDLD" localSheetId="21">#REF!</definedName>
    <definedName name="PISTAPDLD" localSheetId="15">#REF!</definedName>
    <definedName name="PISTAPDLD">#REF!</definedName>
    <definedName name="PISTAPDLE" localSheetId="11">#REF!</definedName>
    <definedName name="PISTAPDLE" localSheetId="7">#REF!</definedName>
    <definedName name="PISTAPDLE" localSheetId="21">#REF!</definedName>
    <definedName name="PISTAPDLE" localSheetId="15">#REF!</definedName>
    <definedName name="PISTAPDLE">#REF!</definedName>
    <definedName name="PISTAPELD" localSheetId="11">#REF!</definedName>
    <definedName name="PISTAPELD" localSheetId="7">#REF!</definedName>
    <definedName name="PISTAPELD" localSheetId="21">#REF!</definedName>
    <definedName name="PISTAPELD" localSheetId="15">#REF!</definedName>
    <definedName name="PISTAPELD">#REF!</definedName>
    <definedName name="PISTAPELE" localSheetId="11">#REF!</definedName>
    <definedName name="PISTAPELE" localSheetId="7">#REF!</definedName>
    <definedName name="PISTAPELE" localSheetId="21">#REF!</definedName>
    <definedName name="PISTAPELE" localSheetId="15">#REF!</definedName>
    <definedName name="PISTAPELE">#REF!</definedName>
    <definedName name="PL" localSheetId="11">#REF!</definedName>
    <definedName name="PL" localSheetId="7">#REF!</definedName>
    <definedName name="PL" localSheetId="21">#REF!</definedName>
    <definedName name="PL" localSheetId="15">#REF!</definedName>
    <definedName name="PL">#REF!</definedName>
    <definedName name="PL_25" localSheetId="11">#REF!</definedName>
    <definedName name="PL_25" localSheetId="7">#REF!</definedName>
    <definedName name="PL_25" localSheetId="21">#REF!</definedName>
    <definedName name="PL_25" localSheetId="15">#REF!</definedName>
    <definedName name="PL_25">#REF!</definedName>
    <definedName name="PL1_25" localSheetId="11">#REF!</definedName>
    <definedName name="PL1_25" localSheetId="7">#REF!</definedName>
    <definedName name="PL1_25" localSheetId="21">#REF!</definedName>
    <definedName name="PL1_25" localSheetId="15">#REF!</definedName>
    <definedName name="PL1_25">#REF!</definedName>
    <definedName name="PLA" localSheetId="11">'[16]SERVIÇOS digitado'!#REF!</definedName>
    <definedName name="PLA" localSheetId="7">'[16]SERVIÇOS digitado'!#REF!</definedName>
    <definedName name="PLA" localSheetId="21">'[16]SERVIÇOS digitado'!#REF!</definedName>
    <definedName name="PLA" localSheetId="15">'[16]SERVIÇOS digitado'!#REF!</definedName>
    <definedName name="PLA">'[16]SERVIÇOS digitado'!#REF!</definedName>
    <definedName name="Placa" localSheetId="11">#REF!</definedName>
    <definedName name="Placa" localSheetId="7">#REF!</definedName>
    <definedName name="Placa" localSheetId="21">#REF!</definedName>
    <definedName name="Placa" localSheetId="15">#REF!</definedName>
    <definedName name="Placa">#REF!</definedName>
    <definedName name="Placa_de_cimento" localSheetId="11">#REF!</definedName>
    <definedName name="Placa_de_cimento" localSheetId="7">#REF!</definedName>
    <definedName name="Placa_de_cimento" localSheetId="21">#REF!</definedName>
    <definedName name="Placa_de_cimento" localSheetId="15">#REF!</definedName>
    <definedName name="Placa_de_cimento">#REF!</definedName>
    <definedName name="PLACA_OBRA" localSheetId="11">#REF!</definedName>
    <definedName name="PLACA_OBRA" localSheetId="7">#REF!</definedName>
    <definedName name="PLACA_OBRA" localSheetId="21">#REF!</definedName>
    <definedName name="PLACA_OBRA" localSheetId="15">#REF!</definedName>
    <definedName name="PLACA_OBRA">#REF!</definedName>
    <definedName name="plan">[83]Orçamento!$A$17:$D$80</definedName>
    <definedName name="Plan1" localSheetId="2" hidden="1">#REF!</definedName>
    <definedName name="Plan1" localSheetId="3" hidden="1">#REF!</definedName>
    <definedName name="Plan1" localSheetId="11" hidden="1">#REF!</definedName>
    <definedName name="Plan1" localSheetId="9" hidden="1">#REF!</definedName>
    <definedName name="Plan1" localSheetId="10" hidden="1">#REF!</definedName>
    <definedName name="Plan1" localSheetId="8" hidden="1">#REF!</definedName>
    <definedName name="Plan1" localSheetId="5" hidden="1">#REF!</definedName>
    <definedName name="Plan1" localSheetId="6" hidden="1">#REF!</definedName>
    <definedName name="Plan1" localSheetId="30" hidden="1">#REF!</definedName>
    <definedName name="Plan1" localSheetId="7" hidden="1">#REF!</definedName>
    <definedName name="Plan1" localSheetId="34" hidden="1">#REF!</definedName>
    <definedName name="Plan1" localSheetId="44" hidden="1">#REF!</definedName>
    <definedName name="Plan1" localSheetId="43" hidden="1">#REF!</definedName>
    <definedName name="Plan1" localSheetId="42" hidden="1">#REF!</definedName>
    <definedName name="Plan1" localSheetId="21" hidden="1">#REF!</definedName>
    <definedName name="Plan1" localSheetId="39" hidden="1">#REF!</definedName>
    <definedName name="Plan1" localSheetId="15" hidden="1">#REF!</definedName>
    <definedName name="Plan1" localSheetId="31" hidden="1">#REF!</definedName>
    <definedName name="Plan1" localSheetId="28" hidden="1">#REF!</definedName>
    <definedName name="Plan1" hidden="1">#REF!</definedName>
    <definedName name="plan2">[83]Orçamento!$A$17:$D$80</definedName>
    <definedName name="plan3">[83]Orçamento!$A$17:$D$80</definedName>
    <definedName name="planilha" localSheetId="11" hidden="1">{#N/A,#N/A,TRUE,"Serviços"}</definedName>
    <definedName name="planilha" localSheetId="9" hidden="1">{#N/A,#N/A,TRUE,"Serviços"}</definedName>
    <definedName name="planilha" localSheetId="10" hidden="1">{#N/A,#N/A,TRUE,"Serviços"}</definedName>
    <definedName name="planilha" localSheetId="8" hidden="1">{#N/A,#N/A,TRUE,"Serviços"}</definedName>
    <definedName name="planilha" localSheetId="7" hidden="1">{#N/A,#N/A,TRUE,"Serviços"}</definedName>
    <definedName name="planilha" localSheetId="34" hidden="1">{#N/A,#N/A,TRUE,"Serviços"}</definedName>
    <definedName name="planilha" localSheetId="44" hidden="1">{#N/A,#N/A,TRUE,"Serviços"}</definedName>
    <definedName name="planilha" localSheetId="43" hidden="1">{#N/A,#N/A,TRUE,"Serviços"}</definedName>
    <definedName name="planilha" localSheetId="42" hidden="1">{#N/A,#N/A,TRUE,"Serviços"}</definedName>
    <definedName name="planilha" localSheetId="21" hidden="1">{#N/A,#N/A,TRUE,"Serviços"}</definedName>
    <definedName name="planilha" localSheetId="15" hidden="1">{#N/A,#N/A,TRUE,"Serviços"}</definedName>
    <definedName name="planilha" hidden="1">{#N/A,#N/A,TRUE,"Serviços"}</definedName>
    <definedName name="PlanilhasOriginais" localSheetId="11">#REF!</definedName>
    <definedName name="PlanilhasOriginais" localSheetId="7">#REF!</definedName>
    <definedName name="PlanilhasOriginais" localSheetId="21">#REF!</definedName>
    <definedName name="PlanilhasOriginais" localSheetId="15">#REF!</definedName>
    <definedName name="PlanilhasOriginais">#REF!</definedName>
    <definedName name="PLANO" localSheetId="11">#REF!</definedName>
    <definedName name="PLANO" localSheetId="7">#REF!</definedName>
    <definedName name="plano" localSheetId="21">#REF!</definedName>
    <definedName name="PLANO" localSheetId="15">#REF!</definedName>
    <definedName name="PLANO">#REF!</definedName>
    <definedName name="Plapla" localSheetId="11">[84]RMLE157!#REF!</definedName>
    <definedName name="Plapla" localSheetId="7">[84]RMLE157!#REF!</definedName>
    <definedName name="Plapla" localSheetId="21">[84]RMLE157!#REF!</definedName>
    <definedName name="Plapla" localSheetId="15">[84]RMLE157!#REF!</definedName>
    <definedName name="Plapla">[84]RMLE157!#REF!</definedName>
    <definedName name="PLCD">"$#REF!.$L$39"</definedName>
    <definedName name="PLCD97">"$#REF!.$L$80"</definedName>
    <definedName name="PLDD">"'file:///D:/Meus documentos/ANASTÁCIO/SERCEL/BR262990800.xls'#$SERVIÇOS.$#REF!$#REF!"</definedName>
    <definedName name="PLIQ">"$#REF!.$C$5"</definedName>
    <definedName name="pliq1">"$#REF!.$C$6"</definedName>
    <definedName name="PLMBUQ">"$#REF!.$L$32"</definedName>
    <definedName name="PLPTE" localSheetId="21">'[16]SERVIÇOS digitado'!#REF!</definedName>
    <definedName name="PLPTE">'[16]SERVIÇOS digitado'!#REF!</definedName>
    <definedName name="PLT" localSheetId="21">'[16]SERVIÇOS digitado'!#REF!</definedName>
    <definedName name="PLT">'[16]SERVIÇOS digitado'!#REF!</definedName>
    <definedName name="PLVC">"'file:///D:/Meus documentos/ANASTÁCIO/SERCEL/BR262990800.xls'#$SERVIÇOS.$#REF!$#REF!"</definedName>
    <definedName name="PLVD">"'file:///D:/Meus documentos/ANASTÁCIO/SERCEL/BR262990800.xls'#$SERVIÇOS.$#REF!$#REF!"</definedName>
    <definedName name="PLW">"$#REF!.$F$14"</definedName>
    <definedName name="PLWA">"$#REF!.$F$13"</definedName>
    <definedName name="PMBQA" localSheetId="21">'[16]SERVIÇOS digitado'!#REF!</definedName>
    <definedName name="PMBQA">'[16]SERVIÇOS digitado'!#REF!</definedName>
    <definedName name="PMBQT" localSheetId="21">'[16]SERVIÇOS digitado'!#REF!</definedName>
    <definedName name="PMBQT">'[16]SERVIÇOS digitado'!#REF!</definedName>
    <definedName name="PMD">'[16]SERVIÇOS digitado'!$H$69</definedName>
    <definedName name="PO" localSheetId="21">'[85]8ª MP_BR-459'!#REF!</definedName>
    <definedName name="PO">'[85]8ª MP_BR-459'!#REF!</definedName>
    <definedName name="POÇO_VISIT" localSheetId="11">#REF!</definedName>
    <definedName name="POÇO_VISIT" localSheetId="7">#REF!</definedName>
    <definedName name="POÇO_VISIT" localSheetId="21">#REF!</definedName>
    <definedName name="POÇO_VISIT" localSheetId="15">#REF!</definedName>
    <definedName name="POÇO_VISIT">#REF!</definedName>
    <definedName name="Ponte">#N/A</definedName>
    <definedName name="Posição" localSheetId="2" hidden="1">#REF!</definedName>
    <definedName name="Posição" localSheetId="3" hidden="1">#REF!</definedName>
    <definedName name="Posição" localSheetId="11" hidden="1">#REF!</definedName>
    <definedName name="Posição" localSheetId="9" hidden="1">#REF!</definedName>
    <definedName name="Posição" localSheetId="10" hidden="1">#REF!</definedName>
    <definedName name="Posição" localSheetId="8" hidden="1">#REF!</definedName>
    <definedName name="Posição" localSheetId="5" hidden="1">#REF!</definedName>
    <definedName name="Posição" localSheetId="6" hidden="1">#REF!</definedName>
    <definedName name="Posição" localSheetId="30" hidden="1">#REF!</definedName>
    <definedName name="Posição" localSheetId="7" hidden="1">#REF!</definedName>
    <definedName name="Posição" localSheetId="34" hidden="1">#REF!</definedName>
    <definedName name="Posição" localSheetId="44" hidden="1">#REF!</definedName>
    <definedName name="Posição" localSheetId="43" hidden="1">#REF!</definedName>
    <definedName name="Posição" localSheetId="42" hidden="1">#REF!</definedName>
    <definedName name="Posição" localSheetId="21" hidden="1">#REF!</definedName>
    <definedName name="Posição" localSheetId="39" hidden="1">#REF!</definedName>
    <definedName name="Posição" localSheetId="15" hidden="1">#REF!</definedName>
    <definedName name="Posição" localSheetId="31" hidden="1">#REF!</definedName>
    <definedName name="Posição" localSheetId="28" hidden="1">#REF!</definedName>
    <definedName name="Posição" hidden="1">#REF!</definedName>
    <definedName name="potencia" localSheetId="11">#REF!</definedName>
    <definedName name="potencia" localSheetId="7">#REF!</definedName>
    <definedName name="potencia" localSheetId="21">#REF!</definedName>
    <definedName name="potencia" localSheetId="15">#REF!</definedName>
    <definedName name="potencia">#REF!</definedName>
    <definedName name="PPEN" localSheetId="11">'[16]SERVIÇOS digitado'!#REF!</definedName>
    <definedName name="PPEN" localSheetId="7">'[16]SERVIÇOS digitado'!#REF!</definedName>
    <definedName name="PPEN" localSheetId="15">'[16]SERVIÇOS digitado'!#REF!</definedName>
    <definedName name="PPEN">'[16]SERVIÇOS digitado'!#REF!</definedName>
    <definedName name="PPLA" localSheetId="15">'[16]SERVIÇOS digitado'!#REF!</definedName>
    <definedName name="PPLA">'[16]SERVIÇOS digitado'!#REF!</definedName>
    <definedName name="PPLT" localSheetId="15">'[16]SERVIÇOS digitado'!#REF!</definedName>
    <definedName name="PPLT">'[16]SERVIÇOS digitado'!#REF!</definedName>
    <definedName name="PPP" localSheetId="15">'[86]Coord. G RC'!#REF!</definedName>
    <definedName name="PPP">'[86]Coord. G RC'!#REF!</definedName>
    <definedName name="PRAZO" localSheetId="11">#REF!</definedName>
    <definedName name="PRAZO" localSheetId="7">#REF!</definedName>
    <definedName name="PRAZO" localSheetId="21">#REF!</definedName>
    <definedName name="PRAZO" localSheetId="15">#REF!</definedName>
    <definedName name="PRAZO">#REF!</definedName>
    <definedName name="PRAZOA" localSheetId="11">#REF!</definedName>
    <definedName name="PRAZOA" localSheetId="7">#REF!</definedName>
    <definedName name="PRAZOA" localSheetId="21">#REF!</definedName>
    <definedName name="PRAZOA" localSheetId="15">#REF!</definedName>
    <definedName name="PRAZOA">#REF!</definedName>
    <definedName name="PRBQ" localSheetId="11">'[16]SERVIÇOS digitado'!#REF!</definedName>
    <definedName name="PRBQ" localSheetId="7">'[16]SERVIÇOS digitado'!#REF!</definedName>
    <definedName name="PRBQ" localSheetId="21">'[16]SERVIÇOS digitado'!#REF!</definedName>
    <definedName name="PRBQ" localSheetId="15">'[16]SERVIÇOS digitado'!#REF!</definedName>
    <definedName name="PRBQ">'[16]SERVIÇOS digitado'!#REF!</definedName>
    <definedName name="PRCC" localSheetId="21">'[16]SERVIÇOS digitado'!#REF!</definedName>
    <definedName name="PRCC" localSheetId="15">'[16]SERVIÇOS digitado'!#REF!</definedName>
    <definedName name="PRCC">'[16]SERVIÇOS digitado'!#REF!</definedName>
    <definedName name="Prd" hidden="1">#N/A</definedName>
    <definedName name="PrdAux" hidden="1">#N/A</definedName>
    <definedName name="PRDM">"'file:///D:/Meus documentos/ANASTÁCIO/SERCEL/BR262990800.xls'#$SERVIÇOS.$#REF!$#REF!"</definedName>
    <definedName name="PRE" localSheetId="11">#REF!</definedName>
    <definedName name="PRE" localSheetId="7">#REF!</definedName>
    <definedName name="PRE" localSheetId="21">#REF!</definedName>
    <definedName name="PRE" localSheetId="15">#REF!</definedName>
    <definedName name="PRE">#REF!</definedName>
    <definedName name="pre.marc" localSheetId="11">'[26]QTT  BETUM'!#REF!</definedName>
    <definedName name="pre.marc" localSheetId="7">'[26]QTT  BETUM'!#REF!</definedName>
    <definedName name="pre.marc" localSheetId="21">'[26]QTT  BETUM'!#REF!</definedName>
    <definedName name="pre.marc">'[26]QTT  BETUM'!#REF!</definedName>
    <definedName name="Preço_Improd." localSheetId="11">#REF!</definedName>
    <definedName name="Preço_Improd." localSheetId="7">#REF!</definedName>
    <definedName name="Preço_Improd." localSheetId="21">#REF!</definedName>
    <definedName name="Preço_Improd." localSheetId="15">#REF!</definedName>
    <definedName name="Preço_Improd.">#REF!</definedName>
    <definedName name="Preço_prod." localSheetId="11">#REF!</definedName>
    <definedName name="Preço_prod." localSheetId="7">#REF!</definedName>
    <definedName name="Preço_prod." localSheetId="21">#REF!</definedName>
    <definedName name="Preço_prod." localSheetId="15">#REF!</definedName>
    <definedName name="Preço_prod.">#REF!</definedName>
    <definedName name="Preço_Unitário" localSheetId="11">#REF!</definedName>
    <definedName name="Preço_Unitário" localSheetId="7">#REF!</definedName>
    <definedName name="Preço_Unitário" localSheetId="21">#REF!</definedName>
    <definedName name="Preço_Unitário" localSheetId="15">#REF!</definedName>
    <definedName name="Preço_Unitário">#REF!</definedName>
    <definedName name="preco1" localSheetId="11">#REF!</definedName>
    <definedName name="preco1" localSheetId="7">#REF!</definedName>
    <definedName name="preco1" localSheetId="21">#REF!</definedName>
    <definedName name="preco1" localSheetId="15">#REF!</definedName>
    <definedName name="preco1">#REF!</definedName>
    <definedName name="PREÇOSOBRAS">'[87]BD Equip.'!$A$1:$B$263</definedName>
    <definedName name="PRECP" localSheetId="21">'[16]SERVIÇOS digitado'!#REF!</definedName>
    <definedName name="PRECP">'[16]SERVIÇOS digitado'!#REF!</definedName>
    <definedName name="PREGO" localSheetId="11">[13]DADOS!$C$18</definedName>
    <definedName name="PREGO" localSheetId="7">[13]DADOS!$C$18</definedName>
    <definedName name="PREGO">[13]DADOS!$C$18</definedName>
    <definedName name="Print" localSheetId="21">[82]QuQuant!#REF!</definedName>
    <definedName name="Print">[82]QuQuant!#REF!</definedName>
    <definedName name="Print_25" localSheetId="21">[82]QuQuant!#REF!</definedName>
    <definedName name="Print_25">[82]QuQuant!#REF!</definedName>
    <definedName name="Print_4" localSheetId="21">[82]QuQuant!#REF!</definedName>
    <definedName name="Print_4">[82]QuQuant!#REF!</definedName>
    <definedName name="Print_Area_MI" localSheetId="11">#REF!</definedName>
    <definedName name="Print_Area_MI" localSheetId="7">#REF!</definedName>
    <definedName name="Print_Area_MI" localSheetId="21">#REF!</definedName>
    <definedName name="Print_Area_MI" localSheetId="15">#REF!</definedName>
    <definedName name="Print_Area_MI">#REF!</definedName>
    <definedName name="Print_Area_MI_1" localSheetId="11">#REF!</definedName>
    <definedName name="Print_Area_MI_1" localSheetId="7">#REF!</definedName>
    <definedName name="Print_Area_MI_1" localSheetId="21">#REF!</definedName>
    <definedName name="Print_Area_MI_1" localSheetId="15">#REF!</definedName>
    <definedName name="Print_Area_MI_1">#REF!</definedName>
    <definedName name="Print_Area_MI_25" localSheetId="11">#REF!</definedName>
    <definedName name="Print_Area_MI_25" localSheetId="7">#REF!</definedName>
    <definedName name="Print_Area_MI_25" localSheetId="21">#REF!</definedName>
    <definedName name="Print_Area_MI_25" localSheetId="15">#REF!</definedName>
    <definedName name="Print_Area_MI_25">#REF!</definedName>
    <definedName name="Print_Area_MI_3" localSheetId="11">#REF!</definedName>
    <definedName name="Print_Area_MI_3" localSheetId="7">#REF!</definedName>
    <definedName name="Print_Area_MI_3" localSheetId="21">#REF!</definedName>
    <definedName name="Print_Area_MI_3" localSheetId="15">#REF!</definedName>
    <definedName name="Print_Area_MI_3">#REF!</definedName>
    <definedName name="Print_Area_MI_4" localSheetId="11">#REF!</definedName>
    <definedName name="Print_Area_MI_4" localSheetId="7">#REF!</definedName>
    <definedName name="Print_Area_MI_4" localSheetId="21">#REF!</definedName>
    <definedName name="Print_Area_MI_4" localSheetId="15">#REF!</definedName>
    <definedName name="Print_Area_MI_4">#REF!</definedName>
    <definedName name="Print_Area_MI_5" localSheetId="11">#REF!</definedName>
    <definedName name="Print_Area_MI_5" localSheetId="7">#REF!</definedName>
    <definedName name="Print_Area_MI_5" localSheetId="21">#REF!</definedName>
    <definedName name="Print_Area_MI_5" localSheetId="15">#REF!</definedName>
    <definedName name="Print_Area_MI_5">#REF!</definedName>
    <definedName name="Print_Titles_MI" localSheetId="11">#REF!</definedName>
    <definedName name="Print_Titles_MI" localSheetId="7">#REF!</definedName>
    <definedName name="PRINT_TITLES_MI" localSheetId="21">#REF!</definedName>
    <definedName name="Print_Titles_MI" localSheetId="15">#REF!</definedName>
    <definedName name="Print_Titles_MI">#REF!</definedName>
    <definedName name="PRINT_TITLES_MI_3" localSheetId="11">#REF!</definedName>
    <definedName name="PRINT_TITLES_MI_3" localSheetId="7">#REF!</definedName>
    <definedName name="PRINT_TITLES_MI_3" localSheetId="21">#REF!</definedName>
    <definedName name="PRINT_TITLES_MI_3" localSheetId="15">#REF!</definedName>
    <definedName name="PRINT_TITLES_MI_3">#REF!</definedName>
    <definedName name="PRINT_TITLES_MI_4" localSheetId="11">#REF!</definedName>
    <definedName name="PRINT_TITLES_MI_4" localSheetId="7">#REF!</definedName>
    <definedName name="PRINT_TITLES_MI_4" localSheetId="21">#REF!</definedName>
    <definedName name="PRINT_TITLES_MI_4" localSheetId="15">#REF!</definedName>
    <definedName name="PRINT_TITLES_MI_4">#REF!</definedName>
    <definedName name="PRINT_TITLES_MI_5" localSheetId="11">#REF!</definedName>
    <definedName name="PRINT_TITLES_MI_5" localSheetId="7">#REF!</definedName>
    <definedName name="PRINT_TITLES_MI_5" localSheetId="21">#REF!</definedName>
    <definedName name="PRINT_TITLES_MI_5" localSheetId="15">#REF!</definedName>
    <definedName name="PRINT_TITLES_MI_5">#REF!</definedName>
    <definedName name="PRM1C" localSheetId="11">'[16]SERVIÇOS digitado'!#REF!</definedName>
    <definedName name="PRM1C" localSheetId="7">'[16]SERVIÇOS digitado'!#REF!</definedName>
    <definedName name="PRM1C" localSheetId="15">'[16]SERVIÇOS digitado'!#REF!</definedName>
    <definedName name="PRM1C">'[16]SERVIÇOS digitado'!#REF!</definedName>
    <definedName name="PRMCC">"'file:///D:/Meus documentos/ANASTÁCIO/SERCEL/BR262990800.xls'#$SERVIÇOS.$#REF!$#REF!"</definedName>
    <definedName name="PROD_1" localSheetId="11" hidden="1">{#N/A,#N/A,TRUE,"Serviços"}</definedName>
    <definedName name="PROD_1" localSheetId="9" hidden="1">{#N/A,#N/A,TRUE,"Serviços"}</definedName>
    <definedName name="PROD_1" localSheetId="10" hidden="1">{#N/A,#N/A,TRUE,"Serviços"}</definedName>
    <definedName name="PROD_1" localSheetId="8" hidden="1">{#N/A,#N/A,TRUE,"Serviços"}</definedName>
    <definedName name="PROD_1" localSheetId="7" hidden="1">{#N/A,#N/A,TRUE,"Serviços"}</definedName>
    <definedName name="PROD_1" localSheetId="34" hidden="1">{#N/A,#N/A,TRUE,"Serviços"}</definedName>
    <definedName name="PROD_1" localSheetId="44" hidden="1">{#N/A,#N/A,TRUE,"Serviços"}</definedName>
    <definedName name="PROD_1" localSheetId="43" hidden="1">{#N/A,#N/A,TRUE,"Serviços"}</definedName>
    <definedName name="PROD_1" localSheetId="42" hidden="1">{#N/A,#N/A,TRUE,"Serviços"}</definedName>
    <definedName name="PROD_1" localSheetId="21" hidden="1">{#N/A,#N/A,TRUE,"Serviços"}</definedName>
    <definedName name="PROD_1" localSheetId="15" hidden="1">{#N/A,#N/A,TRUE,"Serviços"}</definedName>
    <definedName name="PROD_1" hidden="1">{#N/A,#N/A,TRUE,"Serviços"}</definedName>
    <definedName name="produção" localSheetId="11">#REF!</definedName>
    <definedName name="produção" localSheetId="7">#REF!</definedName>
    <definedName name="produção" localSheetId="21">#REF!</definedName>
    <definedName name="produção" localSheetId="15">#REF!</definedName>
    <definedName name="produção">#REF!</definedName>
    <definedName name="produçao1" localSheetId="11">#REF!</definedName>
    <definedName name="produçao1" localSheetId="7">#REF!</definedName>
    <definedName name="produçao1" localSheetId="21">#REF!</definedName>
    <definedName name="produçao1" localSheetId="15">#REF!</definedName>
    <definedName name="produçao1">#REF!</definedName>
    <definedName name="prot.ambient" localSheetId="11">#REF!</definedName>
    <definedName name="prot.ambient" localSheetId="7">#REF!</definedName>
    <definedName name="prot.ambient" localSheetId="21">#REF!</definedName>
    <definedName name="prot.ambient" localSheetId="15">#REF!</definedName>
    <definedName name="prot.ambient">#REF!</definedName>
    <definedName name="PRPA" localSheetId="11">'[16]SERVIÇOS digitado'!#REF!</definedName>
    <definedName name="PRPA" localSheetId="7">'[16]SERVIÇOS digitado'!#REF!</definedName>
    <definedName name="PRPA" localSheetId="21">'[16]SERVIÇOS digitado'!#REF!</definedName>
    <definedName name="PRPA" localSheetId="15">'[16]SERVIÇOS digitado'!#REF!</definedName>
    <definedName name="PRPA">'[16]SERVIÇOS digitado'!#REF!</definedName>
    <definedName name="PRPL" localSheetId="21">'[16]SERVIÇOS digitado'!#REF!</definedName>
    <definedName name="PRPL" localSheetId="15">'[16]SERVIÇOS digitado'!#REF!</definedName>
    <definedName name="PRPL">'[16]SERVIÇOS digitado'!#REF!</definedName>
    <definedName name="PRPT" localSheetId="21">'[16]SERVIÇOS digitado'!#REF!</definedName>
    <definedName name="PRPT">'[16]SERVIÇOS digitado'!#REF!</definedName>
    <definedName name="PRR1C" localSheetId="21">'[16]SERVIÇOS digitado'!#REF!</definedName>
    <definedName name="PRR1C">'[16]SERVIÇOS digitado'!#REF!</definedName>
    <definedName name="PRRMBF">"'file:///D:/Meus documentos/ANASTÁCIO/SERCEL/BR262990800.xls'#$SERVIÇOS.$#REF!$#REF!"</definedName>
    <definedName name="PRRP" localSheetId="21">'[16]SERVIÇOS digitado'!#REF!</definedName>
    <definedName name="PRRP">'[16]SERVIÇOS digitado'!#REF!</definedName>
    <definedName name="PSCB" localSheetId="21">'[16]SERVIÇOS digitado'!#REF!</definedName>
    <definedName name="PSCB">'[16]SERVIÇOS digitado'!#REF!</definedName>
    <definedName name="PSERVIÇOS" localSheetId="11">#REF!</definedName>
    <definedName name="PSERVIÇOS" localSheetId="7">#REF!</definedName>
    <definedName name="PSERVIÇOS" localSheetId="21">#REF!</definedName>
    <definedName name="PSERVIÇOS" localSheetId="15">#REF!</definedName>
    <definedName name="PSERVIÇOS">#REF!</definedName>
    <definedName name="PSERVIÇOS_25" localSheetId="11">#REF!</definedName>
    <definedName name="PSERVIÇOS_25" localSheetId="7">#REF!</definedName>
    <definedName name="PSERVIÇOS_25" localSheetId="21">#REF!</definedName>
    <definedName name="PSERVIÇOS_25" localSheetId="15">#REF!</definedName>
    <definedName name="PSERVIÇOS_25">#REF!</definedName>
    <definedName name="PTBA" localSheetId="11">'[16]SERVIÇOS digitado'!#REF!</definedName>
    <definedName name="PTBA" localSheetId="7">'[16]SERVIÇOS digitado'!#REF!</definedName>
    <definedName name="PTBA" localSheetId="21">'[16]SERVIÇOS digitado'!#REF!</definedName>
    <definedName name="PTBA" localSheetId="15">'[16]SERVIÇOS digitado'!#REF!</definedName>
    <definedName name="PTBA">'[16]SERVIÇOS digitado'!#REF!</definedName>
    <definedName name="PTBT" localSheetId="21">'[16]SERVIÇOS digitado'!#REF!</definedName>
    <definedName name="PTBT" localSheetId="15">'[16]SERVIÇOS digitado'!#REF!</definedName>
    <definedName name="PTBT">'[16]SERVIÇOS digitado'!#REF!</definedName>
    <definedName name="PTCAP20" localSheetId="21">'[16]SERVIÇOS digitado'!#REF!</definedName>
    <definedName name="PTCAP20">'[16]SERVIÇOS digitado'!#REF!</definedName>
    <definedName name="PTCM30" localSheetId="21">'[16]SERVIÇOS digitado'!#REF!</definedName>
    <definedName name="PTCM30">'[16]SERVIÇOS digitado'!#REF!</definedName>
    <definedName name="pte">#N/A</definedName>
    <definedName name="PTEB4" localSheetId="21">'[16]SERVIÇOS digitado'!#REF!</definedName>
    <definedName name="PTEB4">'[16]SERVIÇOS digitado'!#REF!</definedName>
    <definedName name="Pto" localSheetId="21">ROUND(#REF!*#REF!,2)</definedName>
    <definedName name="Pto">ROUND(#REF!*#REF!,2)</definedName>
    <definedName name="PTRM1C" localSheetId="21">'[16]SERVIÇOS digitado'!#REF!</definedName>
    <definedName name="PTRM1C">'[16]SERVIÇOS digitado'!#REF!</definedName>
    <definedName name="PTRR1C" localSheetId="21">'[16]SERVIÇOS digitado'!#REF!</definedName>
    <definedName name="PTRR1C">'[16]SERVIÇOS digitado'!#REF!</definedName>
    <definedName name="PTSD2" localSheetId="21">'[16]SERVIÇOS digitado'!#REF!</definedName>
    <definedName name="PTSD2">'[16]SERVIÇOS digitado'!#REF!</definedName>
    <definedName name="Pun">#N/A</definedName>
    <definedName name="pz" localSheetId="11">#REF!</definedName>
    <definedName name="pz" localSheetId="7">#REF!</definedName>
    <definedName name="pz" localSheetId="21">#REF!</definedName>
    <definedName name="pz" localSheetId="15">#REF!</definedName>
    <definedName name="pz">#REF!</definedName>
    <definedName name="Q" localSheetId="2" hidden="1">#REF!</definedName>
    <definedName name="Q" localSheetId="3" hidden="1">#REF!</definedName>
    <definedName name="Q" localSheetId="11" hidden="1">#REF!</definedName>
    <definedName name="Q" localSheetId="9" hidden="1">#REF!</definedName>
    <definedName name="Q" localSheetId="10" hidden="1">#REF!</definedName>
    <definedName name="Q" localSheetId="8" hidden="1">#REF!</definedName>
    <definedName name="Q" localSheetId="5" hidden="1">#REF!</definedName>
    <definedName name="Q" localSheetId="6" hidden="1">#REF!</definedName>
    <definedName name="Q" localSheetId="30" hidden="1">#REF!</definedName>
    <definedName name="Q" localSheetId="7" hidden="1">#REF!</definedName>
    <definedName name="Q" localSheetId="34" hidden="1">#REF!</definedName>
    <definedName name="Q" localSheetId="44" hidden="1">#REF!</definedName>
    <definedName name="Q" localSheetId="43" hidden="1">#REF!</definedName>
    <definedName name="Q" localSheetId="42" hidden="1">#REF!</definedName>
    <definedName name="Q" localSheetId="21" hidden="1">#REF!</definedName>
    <definedName name="Q" localSheetId="39" hidden="1">#REF!</definedName>
    <definedName name="Q" localSheetId="15" hidden="1">#REF!</definedName>
    <definedName name="Q" localSheetId="31" hidden="1">#REF!</definedName>
    <definedName name="Q" localSheetId="28" hidden="1">#REF!</definedName>
    <definedName name="Q" hidden="1">#REF!</definedName>
    <definedName name="q_25" localSheetId="11">'[6]P A T O 99 B'!#REF!</definedName>
    <definedName name="q_25" localSheetId="7">'[6]P A T O 99 B'!#REF!</definedName>
    <definedName name="q_25" localSheetId="21">'[6]P A T O 99 B'!#REF!</definedName>
    <definedName name="q_25" localSheetId="15">'[6]P A T O 99 B'!#REF!</definedName>
    <definedName name="q_25">'[6]P A T O 99 B'!#REF!</definedName>
    <definedName name="QD" localSheetId="2" hidden="1">#REF!</definedName>
    <definedName name="QD" localSheetId="3" hidden="1">#REF!</definedName>
    <definedName name="QD" localSheetId="11" hidden="1">#REF!</definedName>
    <definedName name="QD" localSheetId="9" hidden="1">#REF!</definedName>
    <definedName name="QD" localSheetId="10" hidden="1">#REF!</definedName>
    <definedName name="QD" localSheetId="8" hidden="1">#REF!</definedName>
    <definedName name="QD" localSheetId="5" hidden="1">#REF!</definedName>
    <definedName name="QD" localSheetId="6" hidden="1">#REF!</definedName>
    <definedName name="QD" localSheetId="30" hidden="1">#REF!</definedName>
    <definedName name="QD" localSheetId="7" hidden="1">#REF!</definedName>
    <definedName name="QD" localSheetId="34" hidden="1">#REF!</definedName>
    <definedName name="QD" localSheetId="44" hidden="1">#REF!</definedName>
    <definedName name="QD" localSheetId="43" hidden="1">#REF!</definedName>
    <definedName name="QD" localSheetId="42" hidden="1">#REF!</definedName>
    <definedName name="QD" localSheetId="21" hidden="1">#REF!</definedName>
    <definedName name="QD" localSheetId="39" hidden="1">#REF!</definedName>
    <definedName name="QD" localSheetId="15" hidden="1">#REF!</definedName>
    <definedName name="QD" localSheetId="31" hidden="1">#REF!</definedName>
    <definedName name="QD" localSheetId="28" hidden="1">#REF!</definedName>
    <definedName name="QD" hidden="1">#REF!</definedName>
    <definedName name="QQ_2">#N/A</definedName>
    <definedName name="qq_2_">#N/A</definedName>
    <definedName name="QQ_2_1">#N/A</definedName>
    <definedName name="QQ_2_10">#N/A</definedName>
    <definedName name="QQ_2_12">#N/A</definedName>
    <definedName name="QQ_2_13">#N/A</definedName>
    <definedName name="QQ_2_14">#N/A</definedName>
    <definedName name="QQ_2_2">#N/A</definedName>
    <definedName name="QQ_2_22">#N/A</definedName>
    <definedName name="QQ_2_25">#N/A</definedName>
    <definedName name="QQ_2_26">#N/A</definedName>
    <definedName name="QQ_2_27">#N/A</definedName>
    <definedName name="QQ_2_28">#N/A</definedName>
    <definedName name="QQ_2_29">#N/A</definedName>
    <definedName name="QQ_2_3">#N/A</definedName>
    <definedName name="QQ_2_30">#N/A</definedName>
    <definedName name="QQ_2_31">#N/A</definedName>
    <definedName name="QQ_2_32">#N/A</definedName>
    <definedName name="QQ_2_33">#N/A</definedName>
    <definedName name="QQ_2_34">#N/A</definedName>
    <definedName name="QQ_2_35">#N/A</definedName>
    <definedName name="QQ_2_36">#N/A</definedName>
    <definedName name="QQ_2_37">#N/A</definedName>
    <definedName name="QQ_2_38">#N/A</definedName>
    <definedName name="QQ_2_4">#N/A</definedName>
    <definedName name="QQ_2_5">#N/A</definedName>
    <definedName name="QQ_2_6">#N/A</definedName>
    <definedName name="QQ_2_7">#N/A</definedName>
    <definedName name="QQ_2_8">#N/A</definedName>
    <definedName name="QQ_2_9">#N/A</definedName>
    <definedName name="qqq" localSheetId="11">[1]PLMUSEU!#REF!</definedName>
    <definedName name="qqq" localSheetId="7">[1]PLMUSEU!#REF!</definedName>
    <definedName name="qqq" localSheetId="21">[1]PLMUSEU!#REF!</definedName>
    <definedName name="qqq" localSheetId="15">[1]PLMUSEU!#REF!</definedName>
    <definedName name="qqq">[1]PLMUSEU!#REF!</definedName>
    <definedName name="qqqqqqqqqqqq" localSheetId="11">[88]PLE!$AX$28</definedName>
    <definedName name="qqqqqqqqqqqq" localSheetId="7">[88]PLE!$AX$28</definedName>
    <definedName name="qqqqqqqqqqqq">[88]PLE!$AX$28</definedName>
    <definedName name="QTD" localSheetId="2" hidden="1">#REF!</definedName>
    <definedName name="QTD" localSheetId="3" hidden="1">#REF!</definedName>
    <definedName name="QTD" localSheetId="11" hidden="1">#REF!</definedName>
    <definedName name="QTD" localSheetId="9" hidden="1">#REF!</definedName>
    <definedName name="QTD" localSheetId="10" hidden="1">#REF!</definedName>
    <definedName name="QTD" localSheetId="8" hidden="1">#REF!</definedName>
    <definedName name="QTD" localSheetId="5" hidden="1">#REF!</definedName>
    <definedName name="QTD" localSheetId="6" hidden="1">#REF!</definedName>
    <definedName name="QTD" localSheetId="30" hidden="1">#REF!</definedName>
    <definedName name="QTD" localSheetId="7" hidden="1">#REF!</definedName>
    <definedName name="QTD" localSheetId="34" hidden="1">#REF!</definedName>
    <definedName name="QTD" localSheetId="44" hidden="1">#REF!</definedName>
    <definedName name="QTD" localSheetId="43" hidden="1">#REF!</definedName>
    <definedName name="QTD" localSheetId="42" hidden="1">#REF!</definedName>
    <definedName name="QTD" localSheetId="21" hidden="1">#REF!</definedName>
    <definedName name="QTD" localSheetId="39" hidden="1">#REF!</definedName>
    <definedName name="QTD" localSheetId="15" hidden="1">#REF!</definedName>
    <definedName name="QTD" localSheetId="31" hidden="1">#REF!</definedName>
    <definedName name="QTD" localSheetId="28" hidden="1">#REF!</definedName>
    <definedName name="QTD" hidden="1">#REF!</definedName>
    <definedName name="QtEq" localSheetId="2" hidden="1">#REF!</definedName>
    <definedName name="QtEq" localSheetId="3" hidden="1">#REF!</definedName>
    <definedName name="QtEq" localSheetId="11" hidden="1">#REF!</definedName>
    <definedName name="QtEq" localSheetId="9" hidden="1">#REF!</definedName>
    <definedName name="QtEq" localSheetId="10" hidden="1">#REF!</definedName>
    <definedName name="QtEq" localSheetId="8" hidden="1">#REF!</definedName>
    <definedName name="QtEq" localSheetId="5" hidden="1">#REF!</definedName>
    <definedName name="QtEq" localSheetId="6" hidden="1">#REF!</definedName>
    <definedName name="QtEq" localSheetId="30" hidden="1">#REF!</definedName>
    <definedName name="QtEq" localSheetId="7" hidden="1">#REF!</definedName>
    <definedName name="QtEq" localSheetId="34" hidden="1">#REF!</definedName>
    <definedName name="QtEq" localSheetId="44" hidden="1">#REF!</definedName>
    <definedName name="QtEq" localSheetId="43" hidden="1">#REF!</definedName>
    <definedName name="QtEq" localSheetId="42" hidden="1">#REF!</definedName>
    <definedName name="QtEq" localSheetId="21" hidden="1">#REF!</definedName>
    <definedName name="QtEq" localSheetId="39" hidden="1">#REF!</definedName>
    <definedName name="QtEq" localSheetId="15" hidden="1">#REF!</definedName>
    <definedName name="QtEq" localSheetId="31" hidden="1">#REF!</definedName>
    <definedName name="QtEq" localSheetId="28" hidden="1">#REF!</definedName>
    <definedName name="QtEq" hidden="1">#REF!</definedName>
    <definedName name="QtMo" localSheetId="2" hidden="1">#REF!</definedName>
    <definedName name="QtMo" localSheetId="3" hidden="1">#REF!</definedName>
    <definedName name="QtMo" localSheetId="11" hidden="1">#REF!</definedName>
    <definedName name="QtMo" localSheetId="9" hidden="1">#REF!</definedName>
    <definedName name="QtMo" localSheetId="10" hidden="1">#REF!</definedName>
    <definedName name="QtMo" localSheetId="8" hidden="1">#REF!</definedName>
    <definedName name="QtMo" localSheetId="5" hidden="1">#REF!</definedName>
    <definedName name="QtMo" localSheetId="6" hidden="1">#REF!</definedName>
    <definedName name="QtMo" localSheetId="30" hidden="1">#REF!</definedName>
    <definedName name="QtMo" localSheetId="7" hidden="1">#REF!</definedName>
    <definedName name="QtMo" localSheetId="34" hidden="1">#REF!</definedName>
    <definedName name="QtMo" localSheetId="44" hidden="1">#REF!</definedName>
    <definedName name="QtMo" localSheetId="43" hidden="1">#REF!</definedName>
    <definedName name="QtMo" localSheetId="42" hidden="1">#REF!</definedName>
    <definedName name="QtMo" localSheetId="21" hidden="1">#REF!</definedName>
    <definedName name="QtMo" localSheetId="39" hidden="1">#REF!</definedName>
    <definedName name="QtMo" localSheetId="15" hidden="1">#REF!</definedName>
    <definedName name="QtMo" localSheetId="31" hidden="1">#REF!</definedName>
    <definedName name="QtMo" localSheetId="28" hidden="1">#REF!</definedName>
    <definedName name="QtMo" hidden="1">#REF!</definedName>
    <definedName name="QtMp" localSheetId="2" hidden="1">#REF!</definedName>
    <definedName name="QtMp" localSheetId="3" hidden="1">#REF!</definedName>
    <definedName name="QtMp" localSheetId="11" hidden="1">#REF!</definedName>
    <definedName name="QtMp" localSheetId="9" hidden="1">#REF!</definedName>
    <definedName name="QtMp" localSheetId="10" hidden="1">#REF!</definedName>
    <definedName name="QtMp" localSheetId="8" hidden="1">#REF!</definedName>
    <definedName name="QtMp" localSheetId="5" hidden="1">#REF!</definedName>
    <definedName name="QtMp" localSheetId="6" hidden="1">#REF!</definedName>
    <definedName name="QtMp" localSheetId="30" hidden="1">#REF!</definedName>
    <definedName name="QtMp" localSheetId="7" hidden="1">#REF!</definedName>
    <definedName name="QtMp" localSheetId="34" hidden="1">#REF!</definedName>
    <definedName name="QtMp" localSheetId="44" hidden="1">#REF!</definedName>
    <definedName name="QtMp" localSheetId="43" hidden="1">#REF!</definedName>
    <definedName name="QtMp" localSheetId="42" hidden="1">#REF!</definedName>
    <definedName name="QtMp" localSheetId="21" hidden="1">#REF!</definedName>
    <definedName name="QtMp" localSheetId="39" hidden="1">#REF!</definedName>
    <definedName name="QtMp" localSheetId="15" hidden="1">#REF!</definedName>
    <definedName name="QtMp" localSheetId="31" hidden="1">#REF!</definedName>
    <definedName name="QtMp" localSheetId="28" hidden="1">#REF!</definedName>
    <definedName name="QtMp" hidden="1">#REF!</definedName>
    <definedName name="QtTr" localSheetId="2" hidden="1">#REF!</definedName>
    <definedName name="QtTr" localSheetId="3" hidden="1">#REF!</definedName>
    <definedName name="QtTr" localSheetId="11" hidden="1">#REF!</definedName>
    <definedName name="QtTr" localSheetId="9" hidden="1">#REF!</definedName>
    <definedName name="QtTr" localSheetId="10" hidden="1">#REF!</definedName>
    <definedName name="QtTr" localSheetId="8" hidden="1">#REF!</definedName>
    <definedName name="QtTr" localSheetId="5" hidden="1">#REF!</definedName>
    <definedName name="QtTr" localSheetId="6" hidden="1">#REF!</definedName>
    <definedName name="QtTr" localSheetId="30" hidden="1">#REF!</definedName>
    <definedName name="QtTr" localSheetId="7" hidden="1">#REF!</definedName>
    <definedName name="QtTr" localSheetId="34" hidden="1">#REF!</definedName>
    <definedName name="QtTr" localSheetId="44" hidden="1">#REF!</definedName>
    <definedName name="QtTr" localSheetId="43" hidden="1">#REF!</definedName>
    <definedName name="QtTr" localSheetId="42" hidden="1">#REF!</definedName>
    <definedName name="QtTr" localSheetId="21" hidden="1">#REF!</definedName>
    <definedName name="QtTr" localSheetId="39" hidden="1">#REF!</definedName>
    <definedName name="QtTr" localSheetId="15" hidden="1">#REF!</definedName>
    <definedName name="QtTr" localSheetId="31" hidden="1">#REF!</definedName>
    <definedName name="QtTr" localSheetId="28" hidden="1">#REF!</definedName>
    <definedName name="QtTr" hidden="1">#REF!</definedName>
    <definedName name="QUANT" localSheetId="11">#REF!</definedName>
    <definedName name="QUANT" localSheetId="7">#REF!</definedName>
    <definedName name="QUANT" localSheetId="21">#REF!</definedName>
    <definedName name="QUANT" localSheetId="15">#REF!</definedName>
    <definedName name="QUANT">#REF!</definedName>
    <definedName name="Quant." localSheetId="11">#REF!</definedName>
    <definedName name="Quant." localSheetId="7">#REF!</definedName>
    <definedName name="Quant." localSheetId="21">#REF!</definedName>
    <definedName name="Quant." localSheetId="15">#REF!</definedName>
    <definedName name="Quant.">#REF!</definedName>
    <definedName name="Quant.1" localSheetId="11">#REF!</definedName>
    <definedName name="Quant.1" localSheetId="7">#REF!</definedName>
    <definedName name="Quant.1" localSheetId="21">#REF!</definedName>
    <definedName name="Quant.1" localSheetId="15">#REF!</definedName>
    <definedName name="Quant.1">#REF!</definedName>
    <definedName name="QUANT_acumu" localSheetId="11">#REF!</definedName>
    <definedName name="QUANT_acumu" localSheetId="7">#REF!</definedName>
    <definedName name="QUANT_acumu" localSheetId="21">#REF!</definedName>
    <definedName name="QUANT_acumu" localSheetId="15">#REF!</definedName>
    <definedName name="QUANT_acumu">#REF!</definedName>
    <definedName name="QUANTIDADE" localSheetId="11">#REF!</definedName>
    <definedName name="QUANTIDADE" localSheetId="7">#REF!</definedName>
    <definedName name="QUANTIDADE" localSheetId="21">#REF!</definedName>
    <definedName name="QUANTIDADE" localSheetId="15">#REF!</definedName>
    <definedName name="QUANTIDADE">#REF!</definedName>
    <definedName name="quantidades" localSheetId="11">#REF!</definedName>
    <definedName name="quantidades" localSheetId="7">#REF!</definedName>
    <definedName name="quantidades" localSheetId="21">#REF!</definedName>
    <definedName name="quantidades" localSheetId="15">#REF!</definedName>
    <definedName name="quantidades">#REF!</definedName>
    <definedName name="quilometros" localSheetId="11">#REF!</definedName>
    <definedName name="quilometros" localSheetId="7">#REF!</definedName>
    <definedName name="quilometros" localSheetId="21">#REF!</definedName>
    <definedName name="quilometros" localSheetId="15">#REF!</definedName>
    <definedName name="quilometros">#REF!</definedName>
    <definedName name="rach">#N/A</definedName>
    <definedName name="Rachão">#N/A</definedName>
    <definedName name="Radier" localSheetId="11">#REF!</definedName>
    <definedName name="Radier" localSheetId="7">#REF!</definedName>
    <definedName name="Radier" localSheetId="21">#REF!</definedName>
    <definedName name="Radier" localSheetId="15">#REF!</definedName>
    <definedName name="Radier">#REF!</definedName>
    <definedName name="RBQ" localSheetId="11">'[16]SERVIÇOS digitado'!#REF!</definedName>
    <definedName name="RBQ" localSheetId="7">'[16]SERVIÇOS digitado'!#REF!</definedName>
    <definedName name="RBQ" localSheetId="15">'[16]SERVIÇOS digitado'!#REF!</definedName>
    <definedName name="RBQ">'[16]SERVIÇOS digitado'!#REF!</definedName>
    <definedName name="RBV">[89]Teor!$C$3:$C$7</definedName>
    <definedName name="RBV_25">[89]Teor!$C$3:$C$7</definedName>
    <definedName name="RBV_29">[89]Teor!$C$3:$C$7</definedName>
    <definedName name="RBV_31">[89]Teor!$C$3:$C$7</definedName>
    <definedName name="RBVV">'[42]Página 16'!$A$3:$A$7</definedName>
    <definedName name="rc.cerca" localSheetId="11">#REF!</definedName>
    <definedName name="rc.cerca" localSheetId="7">#REF!</definedName>
    <definedName name="rc.cerca" localSheetId="21">#REF!</definedName>
    <definedName name="rc.cerca" localSheetId="15">#REF!</definedName>
    <definedName name="rc.cerca">#REF!</definedName>
    <definedName name="RCC" localSheetId="11">'[16]SERVIÇOS digitado'!#REF!</definedName>
    <definedName name="RCC" localSheetId="7">'[16]SERVIÇOS digitado'!#REF!</definedName>
    <definedName name="RCC" localSheetId="21">'[16]SERVIÇOS digitado'!#REF!</definedName>
    <definedName name="RCC" localSheetId="15">'[16]SERVIÇOS digitado'!#REF!</definedName>
    <definedName name="RCC">'[16]SERVIÇOS digitado'!#REF!</definedName>
    <definedName name="RDM">"'file:///D:/Meus documentos/ANASTÁCIO/SERCEL/BR262990800.xls'#$SERVIÇOS.$#REF!$#REF!"</definedName>
    <definedName name="re">[90]DADOS!$B$8</definedName>
    <definedName name="rea" localSheetId="11">#REF!</definedName>
    <definedName name="rea" localSheetId="7">#REF!</definedName>
    <definedName name="rea" localSheetId="21">#REF!</definedName>
    <definedName name="rea" localSheetId="15">#REF!</definedName>
    <definedName name="rea">#REF!</definedName>
    <definedName name="REAJ" localSheetId="11">#REF!</definedName>
    <definedName name="REAJ" localSheetId="7">#REF!</definedName>
    <definedName name="REAJ" localSheetId="21">#REF!</definedName>
    <definedName name="REAJ" localSheetId="15">#REF!</definedName>
    <definedName name="REAJ">#REF!</definedName>
    <definedName name="Reaterro" localSheetId="11">#REF!</definedName>
    <definedName name="Reaterro" localSheetId="7">#REF!</definedName>
    <definedName name="Reaterro" localSheetId="21">#REF!</definedName>
    <definedName name="Reaterro" localSheetId="15">#REF!</definedName>
    <definedName name="Reaterro">#REF!</definedName>
    <definedName name="Reboco" localSheetId="11">#REF!</definedName>
    <definedName name="Reboco" localSheetId="7">#REF!</definedName>
    <definedName name="Reboco" localSheetId="21">#REF!</definedName>
    <definedName name="Reboco" localSheetId="15">#REF!</definedName>
    <definedName name="Reboco">#REF!</definedName>
    <definedName name="rec">#N/A</definedName>
    <definedName name="recc">#N/A</definedName>
    <definedName name="Recompo" localSheetId="11">[1]PLMUSEU!#REF!</definedName>
    <definedName name="Recompo" localSheetId="7">[1]PLMUSEU!#REF!</definedName>
    <definedName name="Recompo" localSheetId="15">[1]PLMUSEU!#REF!</definedName>
    <definedName name="Recompo">[1]PLMUSEU!#REF!</definedName>
    <definedName name="RECP" localSheetId="15">'[16]SERVIÇOS digitado'!#REF!</definedName>
    <definedName name="RECP">'[16]SERVIÇOS digitado'!#REF!</definedName>
    <definedName name="REDE_COLETORA_MAT" localSheetId="11">#REF!</definedName>
    <definedName name="REDE_COLETORA_MAT" localSheetId="7">#REF!</definedName>
    <definedName name="REDE_COLETORA_MAT" localSheetId="21">#REF!</definedName>
    <definedName name="REDE_COLETORA_MAT" localSheetId="15">#REF!</definedName>
    <definedName name="REDE_COLETORA_MAT">#REF!</definedName>
    <definedName name="REDE_COLETORA_MATERIAL">'[49]REDE COLETORA'!$H$67</definedName>
    <definedName name="REDE_COLETORA_SERV" localSheetId="11">#REF!</definedName>
    <definedName name="REDE_COLETORA_SERV" localSheetId="7">#REF!</definedName>
    <definedName name="REDE_COLETORA_SERV" localSheetId="21">#REF!</definedName>
    <definedName name="REDE_COLETORA_SERV" localSheetId="15">#REF!</definedName>
    <definedName name="REDE_COLETORA_SERV">#REF!</definedName>
    <definedName name="REDE_COLETORA_SERVIÇOS">'[49]REDE COLETORA'!$H$9</definedName>
    <definedName name="REFERENCIA.Descricao" localSheetId="11" hidden="1">IF(ISNUMBER(#REF!),OFFSET(INDIRECT('2003850'!ORÇAMENTO.BancoRef),#REF!-1,3,1),#REF!)</definedName>
    <definedName name="REFERENCIA.Descricao" localSheetId="7" hidden="1">IF(ISNUMBER(#REF!),OFFSET(INDIRECT('CPAV010 4016096'!ORÇAMENTO.BancoRef),#REF!-1,3,1),#REF!)</definedName>
    <definedName name="REFERENCIA.Descricao" localSheetId="15" hidden="1">IF(ISNUMBER(#REF!),OFFSET(INDIRECT('RESUMO MATERIAIS FINAL'!ORÇAMENTO.BancoRef),#REF!-1,3,1),#REF!)</definedName>
    <definedName name="REFERENCIA.Descricao" hidden="1">IF(ISNUMBER(#REF!),OFFSET(INDIRECT(ORÇAMENTO.BancoRef),#REF!-1,3,1),#REF!)</definedName>
    <definedName name="REFERENCIA.Desonerado" localSheetId="11" hidden="1">IF(ISNUMBER(#REF!),VALUE(OFFSET(INDIRECT('2003850'!ORÇAMENTO.BancoRef),#REF!-1,5,1)),0)</definedName>
    <definedName name="REFERENCIA.Desonerado" localSheetId="7" hidden="1">IF(ISNUMBER(#REF!),VALUE(OFFSET(INDIRECT('CPAV010 4016096'!ORÇAMENTO.BancoRef),#REF!-1,5,1)),0)</definedName>
    <definedName name="REFERENCIA.Desonerado" localSheetId="15" hidden="1">IF(ISNUMBER(#REF!),VALUE(OFFSET(INDIRECT('RESUMO MATERIAIS FINAL'!ORÇAMENTO.BancoRef),#REF!-1,5,1)),0)</definedName>
    <definedName name="REFERENCIA.Desonerado" hidden="1">IF(ISNUMBER(#REF!),VALUE(OFFSET(INDIRECT(ORÇAMENTO.BancoRef),#REF!-1,5,1)),0)</definedName>
    <definedName name="REFERENCIA.Unidade" localSheetId="11" hidden="1">IF(ISNUMBER(#REF!),OFFSET(INDIRECT('2003850'!ORÇAMENTO.BancoRef),#REF!-1,4,1),"-")</definedName>
    <definedName name="REFERENCIA.Unidade" localSheetId="7" hidden="1">IF(ISNUMBER(#REF!),OFFSET(INDIRECT('CPAV010 4016096'!ORÇAMENTO.BancoRef),#REF!-1,4,1),"-")</definedName>
    <definedName name="REFERENCIA.Unidade" localSheetId="15" hidden="1">IF(ISNUMBER(#REF!),OFFSET(INDIRECT('RESUMO MATERIAIS FINAL'!ORÇAMENTO.BancoRef),#REF!-1,4,1),"-")</definedName>
    <definedName name="REFERENCIA.Unidade" hidden="1">IF(ISNUMBER(#REF!),OFFSET(INDIRECT(ORÇAMENTO.BancoRef),#REF!-1,4,1),"-")</definedName>
    <definedName name="REG" localSheetId="11">#REF!</definedName>
    <definedName name="REG" localSheetId="7">#REF!</definedName>
    <definedName name="REG" localSheetId="21">#REF!</definedName>
    <definedName name="REG" localSheetId="15">#REF!</definedName>
    <definedName name="REG">#REF!</definedName>
    <definedName name="REG_25" localSheetId="11">#REF!</definedName>
    <definedName name="REG_25" localSheetId="7">#REF!</definedName>
    <definedName name="REG_25" localSheetId="21">#REF!</definedName>
    <definedName name="REG_25" localSheetId="15">#REF!</definedName>
    <definedName name="REG_25">#REF!</definedName>
    <definedName name="REG_SUB_LEITO" localSheetId="11">#REF!</definedName>
    <definedName name="REG_SUB_LEITO" localSheetId="7">#REF!</definedName>
    <definedName name="REG_SUB_LEITO" localSheetId="21">#REF!</definedName>
    <definedName name="REG_SUB_LEITO" localSheetId="15">#REF!</definedName>
    <definedName name="REG_SUB_LEITO">#REF!</definedName>
    <definedName name="REGULA" localSheetId="11">#REF!</definedName>
    <definedName name="REGULA" localSheetId="7">#REF!</definedName>
    <definedName name="REGULA" localSheetId="21">#REF!</definedName>
    <definedName name="REGULA" localSheetId="15">#REF!</definedName>
    <definedName name="REGULA">#REF!</definedName>
    <definedName name="REGULA_10" localSheetId="11">#REF!</definedName>
    <definedName name="REGULA_10" localSheetId="7">#REF!</definedName>
    <definedName name="REGULA_10" localSheetId="21">#REF!</definedName>
    <definedName name="REGULA_10" localSheetId="15">#REF!</definedName>
    <definedName name="REGULA_10">#REF!</definedName>
    <definedName name="REGULA_25" localSheetId="11">#REF!</definedName>
    <definedName name="REGULA_25" localSheetId="7">#REF!</definedName>
    <definedName name="REGULA_25" localSheetId="21">#REF!</definedName>
    <definedName name="REGULA_25" localSheetId="15">#REF!</definedName>
    <definedName name="REGULA_25">#REF!</definedName>
    <definedName name="REGULA_27" localSheetId="11">#REF!</definedName>
    <definedName name="REGULA_27" localSheetId="7">#REF!</definedName>
    <definedName name="REGULA_27" localSheetId="21">#REF!</definedName>
    <definedName name="REGULA_27" localSheetId="15">#REF!</definedName>
    <definedName name="REGULA_27">#REF!</definedName>
    <definedName name="REGULA_29" localSheetId="11">#REF!</definedName>
    <definedName name="REGULA_29" localSheetId="7">#REF!</definedName>
    <definedName name="REGULA_29" localSheetId="21">#REF!</definedName>
    <definedName name="REGULA_29" localSheetId="15">#REF!</definedName>
    <definedName name="REGULA_29">#REF!</definedName>
    <definedName name="REGULA_9" localSheetId="11">#REF!</definedName>
    <definedName name="REGULA_9" localSheetId="7">#REF!</definedName>
    <definedName name="REGULA_9" localSheetId="21">#REF!</definedName>
    <definedName name="REGULA_9" localSheetId="15">#REF!</definedName>
    <definedName name="REGULA_9">#REF!</definedName>
    <definedName name="REL" localSheetId="11" hidden="1">{#N/A,#N/A,TRUE,"Serviços"}</definedName>
    <definedName name="REL" localSheetId="9" hidden="1">{#N/A,#N/A,TRUE,"Serviços"}</definedName>
    <definedName name="REL" localSheetId="10" hidden="1">{#N/A,#N/A,TRUE,"Serviços"}</definedName>
    <definedName name="REL" localSheetId="8" hidden="1">{#N/A,#N/A,TRUE,"Serviços"}</definedName>
    <definedName name="REL" localSheetId="7" hidden="1">{#N/A,#N/A,TRUE,"Serviços"}</definedName>
    <definedName name="REL" localSheetId="34" hidden="1">{#N/A,#N/A,TRUE,"Serviços"}</definedName>
    <definedName name="REL" localSheetId="44" hidden="1">{#N/A,#N/A,TRUE,"Serviços"}</definedName>
    <definedName name="REL" localSheetId="43" hidden="1">{#N/A,#N/A,TRUE,"Serviços"}</definedName>
    <definedName name="REL" localSheetId="42" hidden="1">{#N/A,#N/A,TRUE,"Serviços"}</definedName>
    <definedName name="REL" localSheetId="21" hidden="1">{#N/A,#N/A,TRUE,"Serviços"}</definedName>
    <definedName name="REL" localSheetId="15" hidden="1">{#N/A,#N/A,TRUE,"Serviços"}</definedName>
    <definedName name="REL" hidden="1">{#N/A,#N/A,TRUE,"Serviços"}</definedName>
    <definedName name="Relat" localSheetId="2" hidden="1">#REF!</definedName>
    <definedName name="Relat" localSheetId="3" hidden="1">#REF!</definedName>
    <definedName name="Relat" localSheetId="11" hidden="1">#REF!</definedName>
    <definedName name="Relat" localSheetId="9" hidden="1">#REF!</definedName>
    <definedName name="Relat" localSheetId="10" hidden="1">#REF!</definedName>
    <definedName name="Relat" localSheetId="8" hidden="1">#REF!</definedName>
    <definedName name="Relat" localSheetId="5" hidden="1">#REF!</definedName>
    <definedName name="Relat" localSheetId="6" hidden="1">#REF!</definedName>
    <definedName name="Relat" localSheetId="30" hidden="1">#REF!</definedName>
    <definedName name="Relat" localSheetId="7" hidden="1">#REF!</definedName>
    <definedName name="Relat" localSheetId="34" hidden="1">#REF!</definedName>
    <definedName name="Relat" localSheetId="44" hidden="1">#REF!</definedName>
    <definedName name="Relat" localSheetId="43" hidden="1">#REF!</definedName>
    <definedName name="Relat" localSheetId="42" hidden="1">#REF!</definedName>
    <definedName name="Relat" localSheetId="21" hidden="1">#REF!</definedName>
    <definedName name="Relat" localSheetId="39" hidden="1">#REF!</definedName>
    <definedName name="Relat" localSheetId="15" hidden="1">#REF!</definedName>
    <definedName name="Relat" localSheetId="31" hidden="1">#REF!</definedName>
    <definedName name="Relat" localSheetId="28" hidden="1">#REF!</definedName>
    <definedName name="Relat" hidden="1">#REF!</definedName>
    <definedName name="RELATÓRIO_DOS_SERVIÇOS_EXECUTADOS" localSheetId="11">#REF!</definedName>
    <definedName name="RELATÓRIO_DOS_SERVIÇOS_EXECUTADOS" localSheetId="7">#REF!</definedName>
    <definedName name="RELATÓRIO_DOS_SERVIÇOS_EXECUTADOS" localSheetId="21">#REF!</definedName>
    <definedName name="RELATÓRIO_DOS_SERVIÇOS_EXECUTADOS" localSheetId="15">#REF!</definedName>
    <definedName name="RELATÓRIO_DOS_SERVIÇOS_EXECUTADOS">#REF!</definedName>
    <definedName name="remoc" localSheetId="11">#REF!</definedName>
    <definedName name="remoc" localSheetId="7">#REF!</definedName>
    <definedName name="remoc" localSheetId="21">#REF!</definedName>
    <definedName name="remoc" localSheetId="15">#REF!</definedName>
    <definedName name="remoc">#REF!</definedName>
    <definedName name="REMOÇÃO" localSheetId="11">#REF!</definedName>
    <definedName name="REMOÇÃO" localSheetId="7">#REF!</definedName>
    <definedName name="REMOÇÃO" localSheetId="21">#REF!</definedName>
    <definedName name="REMOÇÃO" localSheetId="15">#REF!</definedName>
    <definedName name="REMOÇÃO">#REF!</definedName>
    <definedName name="REMOÇÃO_PAV" localSheetId="11">#REF!</definedName>
    <definedName name="REMOÇÃO_PAV" localSheetId="7">#REF!</definedName>
    <definedName name="REMOÇÃO_PAV" localSheetId="21">#REF!</definedName>
    <definedName name="REMOÇÃO_PAV" localSheetId="15">#REF!</definedName>
    <definedName name="REMOÇÃO_PAV">#REF!</definedName>
    <definedName name="res">#N/A</definedName>
    <definedName name="RESP">'[91]ORÇAMENTO 01'!$D$6</definedName>
    <definedName name="RESUMO">#N/A</definedName>
    <definedName name="RESUMO_1">#N/A</definedName>
    <definedName name="RESUMO_10">#N/A</definedName>
    <definedName name="RESUMO_12">#N/A</definedName>
    <definedName name="RESUMO_13">#N/A</definedName>
    <definedName name="RESUMO_14">#N/A</definedName>
    <definedName name="RESUMO_2">#N/A</definedName>
    <definedName name="RESUMO_22">#N/A</definedName>
    <definedName name="RESUMO_25">#N/A</definedName>
    <definedName name="RESUMO_26">#N/A</definedName>
    <definedName name="RESUMO_27">#N/A</definedName>
    <definedName name="RESUMO_28">#N/A</definedName>
    <definedName name="RESUMO_29">#N/A</definedName>
    <definedName name="RESUMO_3">#N/A</definedName>
    <definedName name="RESUMO_30">#N/A</definedName>
    <definedName name="RESUMO_31">#N/A</definedName>
    <definedName name="RESUMO_32">#N/A</definedName>
    <definedName name="RESUMO_33">#N/A</definedName>
    <definedName name="RESUMO_34">#N/A</definedName>
    <definedName name="RESUMO_35">#N/A</definedName>
    <definedName name="RESUMO_36">#N/A</definedName>
    <definedName name="RESUMO_37">#N/A</definedName>
    <definedName name="RESUMO_38">#N/A</definedName>
    <definedName name="RESUMO_4">#N/A</definedName>
    <definedName name="RESUMO_5">#N/A</definedName>
    <definedName name="RESUMO_6">#N/A</definedName>
    <definedName name="RESUMO_7">#N/A</definedName>
    <definedName name="RESUMO_8">#N/A</definedName>
    <definedName name="RESUMO_9">#N/A</definedName>
    <definedName name="Resumo_dos_Materiais_Atividades">'[60]Res. dos Materias - Atividade'!$C$4:$F$479</definedName>
    <definedName name="resumo3" localSheetId="11" hidden="1">{#N/A,#N/A,FALSE,"MO (2)"}</definedName>
    <definedName name="resumo3" localSheetId="9" hidden="1">{#N/A,#N/A,FALSE,"MO (2)"}</definedName>
    <definedName name="resumo3" localSheetId="10" hidden="1">{#N/A,#N/A,FALSE,"MO (2)"}</definedName>
    <definedName name="resumo3" localSheetId="8" hidden="1">{#N/A,#N/A,FALSE,"MO (2)"}</definedName>
    <definedName name="resumo3" localSheetId="7" hidden="1">{#N/A,#N/A,FALSE,"MO (2)"}</definedName>
    <definedName name="resumo3" localSheetId="34" hidden="1">{#N/A,#N/A,FALSE,"MO (2)"}</definedName>
    <definedName name="resumo3" localSheetId="44" hidden="1">{#N/A,#N/A,FALSE,"MO (2)"}</definedName>
    <definedName name="resumo3" localSheetId="43" hidden="1">{#N/A,#N/A,FALSE,"MO (2)"}</definedName>
    <definedName name="resumo3" localSheetId="42" hidden="1">{#N/A,#N/A,FALSE,"MO (2)"}</definedName>
    <definedName name="resumo3" localSheetId="21" hidden="1">{#N/A,#N/A,FALSE,"MO (2)"}</definedName>
    <definedName name="resumo3" localSheetId="17" hidden="1">{#N/A,#N/A,FALSE,"MO (2)"}</definedName>
    <definedName name="resumo3" localSheetId="1" hidden="1">{#N/A,#N/A,FALSE,"MO (2)"}</definedName>
    <definedName name="resumo3" localSheetId="16" hidden="1">{#N/A,#N/A,FALSE,"MO (2)"}</definedName>
    <definedName name="resumo3" localSheetId="26" hidden="1">{#N/A,#N/A,FALSE,"MO (2)"}</definedName>
    <definedName name="resumo3" localSheetId="13" hidden="1">{#N/A,#N/A,FALSE,"MO (2)"}</definedName>
    <definedName name="resumo3" localSheetId="15" hidden="1">{#N/A,#N/A,FALSE,"MO (2)"}</definedName>
    <definedName name="resumo3" localSheetId="33" hidden="1">{#N/A,#N/A,FALSE,"MO (2)"}</definedName>
    <definedName name="resumo3" hidden="1">{#N/A,#N/A,FALSE,"MO (2)"}</definedName>
    <definedName name="resumo3_1" localSheetId="11" hidden="1">{#N/A,#N/A,FALSE,"MO (2)"}</definedName>
    <definedName name="resumo3_1" localSheetId="9" hidden="1">{#N/A,#N/A,FALSE,"MO (2)"}</definedName>
    <definedName name="resumo3_1" localSheetId="10" hidden="1">{#N/A,#N/A,FALSE,"MO (2)"}</definedName>
    <definedName name="resumo3_1" localSheetId="8" hidden="1">{#N/A,#N/A,FALSE,"MO (2)"}</definedName>
    <definedName name="resumo3_1" localSheetId="7" hidden="1">{#N/A,#N/A,FALSE,"MO (2)"}</definedName>
    <definedName name="resumo3_1" localSheetId="34" hidden="1">{#N/A,#N/A,FALSE,"MO (2)"}</definedName>
    <definedName name="resumo3_1" localSheetId="44" hidden="1">{#N/A,#N/A,FALSE,"MO (2)"}</definedName>
    <definedName name="resumo3_1" localSheetId="43" hidden="1">{#N/A,#N/A,FALSE,"MO (2)"}</definedName>
    <definedName name="resumo3_1" localSheetId="42" hidden="1">{#N/A,#N/A,FALSE,"MO (2)"}</definedName>
    <definedName name="resumo3_1" localSheetId="21" hidden="1">{#N/A,#N/A,FALSE,"MO (2)"}</definedName>
    <definedName name="resumo3_1" localSheetId="17" hidden="1">{#N/A,#N/A,FALSE,"MO (2)"}</definedName>
    <definedName name="resumo3_1" localSheetId="1" hidden="1">{#N/A,#N/A,FALSE,"MO (2)"}</definedName>
    <definedName name="resumo3_1" localSheetId="16" hidden="1">{#N/A,#N/A,FALSE,"MO (2)"}</definedName>
    <definedName name="resumo3_1" localSheetId="26" hidden="1">{#N/A,#N/A,FALSE,"MO (2)"}</definedName>
    <definedName name="resumo3_1" localSheetId="13" hidden="1">{#N/A,#N/A,FALSE,"MO (2)"}</definedName>
    <definedName name="resumo3_1" localSheetId="15" hidden="1">{#N/A,#N/A,FALSE,"MO (2)"}</definedName>
    <definedName name="resumo3_1" localSheetId="33" hidden="1">{#N/A,#N/A,FALSE,"MO (2)"}</definedName>
    <definedName name="resumo3_1" hidden="1">{#N/A,#N/A,FALSE,"MO (2)"}</definedName>
    <definedName name="resumou" localSheetId="11" hidden="1">{#N/A,#N/A,TRUE,"Plan1"}</definedName>
    <definedName name="resumou" localSheetId="9" hidden="1">{#N/A,#N/A,TRUE,"Plan1"}</definedName>
    <definedName name="resumou" localSheetId="10" hidden="1">{#N/A,#N/A,TRUE,"Plan1"}</definedName>
    <definedName name="resumou" localSheetId="8" hidden="1">{#N/A,#N/A,TRUE,"Plan1"}</definedName>
    <definedName name="resumou" localSheetId="7" hidden="1">{#N/A,#N/A,TRUE,"Plan1"}</definedName>
    <definedName name="resumou" localSheetId="34" hidden="1">{#N/A,#N/A,TRUE,"Plan1"}</definedName>
    <definedName name="resumou" localSheetId="44" hidden="1">{#N/A,#N/A,TRUE,"Plan1"}</definedName>
    <definedName name="resumou" localSheetId="43" hidden="1">{#N/A,#N/A,TRUE,"Plan1"}</definedName>
    <definedName name="resumou" localSheetId="42" hidden="1">{#N/A,#N/A,TRUE,"Plan1"}</definedName>
    <definedName name="resumou" localSheetId="21" hidden="1">{#N/A,#N/A,TRUE,"Plan1"}</definedName>
    <definedName name="resumou" localSheetId="15" hidden="1">{#N/A,#N/A,TRUE,"Plan1"}</definedName>
    <definedName name="resumou" hidden="1">{#N/A,#N/A,TRUE,"Plan1"}</definedName>
    <definedName name="REV" localSheetId="11">#REF!</definedName>
    <definedName name="REV" localSheetId="7">#REF!</definedName>
    <definedName name="REV" localSheetId="21">#REF!</definedName>
    <definedName name="REV" localSheetId="15">#REF!</definedName>
    <definedName name="REV">#REF!</definedName>
    <definedName name="RL1C" localSheetId="11">#REF!</definedName>
    <definedName name="RL1C" localSheetId="7">#REF!</definedName>
    <definedName name="RL1C" localSheetId="21">#REF!</definedName>
    <definedName name="RL1C" localSheetId="15">#REF!</definedName>
    <definedName name="RL1C">#REF!</definedName>
    <definedName name="RM">"$#REF!.$E$31"</definedName>
    <definedName name="RM1C" localSheetId="21">'[16]SERVIÇOS digitado'!#REF!</definedName>
    <definedName name="RM1C">'[16]SERVIÇOS digitado'!#REF!</definedName>
    <definedName name="RM1CW">"$#REF!.$G$14"</definedName>
    <definedName name="RM1CWA">"$#REF!.$G$13"</definedName>
    <definedName name="RMA" localSheetId="21">'[27]PRO-08'!#REF!</definedName>
    <definedName name="RMA">'[27]PRO-08'!#REF!</definedName>
    <definedName name="RMA_10" localSheetId="21">'[27]PRO-08'!#REF!</definedName>
    <definedName name="RMA_10">'[27]PRO-08'!#REF!</definedName>
    <definedName name="RMA_25" localSheetId="21">'[27]PRO-08'!#REF!</definedName>
    <definedName name="RMA_25">'[27]PRO-08'!#REF!</definedName>
    <definedName name="RMA_27" localSheetId="21">'[27]PRO-08'!#REF!</definedName>
    <definedName name="RMA_27">'[27]PRO-08'!#REF!</definedName>
    <definedName name="RMA_29" localSheetId="21">'[27]PRO-08'!#REF!</definedName>
    <definedName name="RMA_29">'[27]PRO-08'!#REF!</definedName>
    <definedName name="RMA_9">'[27]PRO-08'!#REF!</definedName>
    <definedName name="RMAW">"$#REF!.$E$30"</definedName>
    <definedName name="RMAWA">"$#REF!.$E$29"</definedName>
    <definedName name="RMCC">"'file:///D:/Meus documentos/ANASTÁCIO/SERCEL/BR262990800.xls'#$SERVIÇOS.$#REF!$#REF!"</definedName>
    <definedName name="RMCCW">"$#REF!.$J$33"</definedName>
    <definedName name="RMCCWA">"$#REF!.$J$32"</definedName>
    <definedName name="RMTOTAL">"$#REF!.$G$12"</definedName>
    <definedName name="RMW">"$#REF!.$E$33"</definedName>
    <definedName name="RMWA">"$#REF!.$E$32"</definedName>
    <definedName name="RMZ">"'file:///D:/Meus documentos/ANASTÁCIO/SERCEL/BR262990800.xls'#$SERVIÇOS.$#REF!$#REF!"</definedName>
    <definedName name="RMZW">"$#REF!.$J$30"</definedName>
    <definedName name="RMZWA">"$#REF!.$J$29"</definedName>
    <definedName name="ROB">'[92]Mat Asf'!$C$36</definedName>
    <definedName name="ROBERTO">'[92]Mat Asf'!$C$37</definedName>
    <definedName name="rod" localSheetId="11">#REF!</definedName>
    <definedName name="rod" localSheetId="7">#REF!</definedName>
    <definedName name="rod" localSheetId="21">#REF!</definedName>
    <definedName name="rod" localSheetId="15">#REF!</definedName>
    <definedName name="rod">#REF!</definedName>
    <definedName name="Rodapé" localSheetId="11">#REF!</definedName>
    <definedName name="Rodapé" localSheetId="7">#REF!</definedName>
    <definedName name="Rodapé" localSheetId="21">#REF!</definedName>
    <definedName name="Rodapé" localSheetId="15">#REF!</definedName>
    <definedName name="Rodapé">#REF!</definedName>
    <definedName name="rodo" localSheetId="11">#REF!</definedName>
    <definedName name="rodo" localSheetId="7">#REF!</definedName>
    <definedName name="rodo" localSheetId="21">#REF!</definedName>
    <definedName name="rodo" localSheetId="15">#REF!</definedName>
    <definedName name="rodo">#REF!</definedName>
    <definedName name="RODO1" localSheetId="11">#REF!</definedName>
    <definedName name="RODO1" localSheetId="7">#REF!</definedName>
    <definedName name="RODO1" localSheetId="21">#REF!</definedName>
    <definedName name="RODO1" localSheetId="15">#REF!</definedName>
    <definedName name="RODO1">#REF!</definedName>
    <definedName name="RODO2" localSheetId="11">#REF!</definedName>
    <definedName name="RODO2" localSheetId="7">#REF!</definedName>
    <definedName name="RODO2" localSheetId="21">#REF!</definedName>
    <definedName name="RODO2" localSheetId="15">#REF!</definedName>
    <definedName name="RODO2">#REF!</definedName>
    <definedName name="RODOA" localSheetId="11">#REF!</definedName>
    <definedName name="RODOA" localSheetId="7">#REF!</definedName>
    <definedName name="RODOA" localSheetId="21">#REF!</definedName>
    <definedName name="RODOA" localSheetId="15">#REF!</definedName>
    <definedName name="RODOA">#REF!</definedName>
    <definedName name="RODOA1" localSheetId="11">#REF!</definedName>
    <definedName name="RODOA1" localSheetId="7">#REF!</definedName>
    <definedName name="RODOA1" localSheetId="21">#REF!</definedName>
    <definedName name="RODOA1" localSheetId="15">#REF!</definedName>
    <definedName name="RODOA1">#REF!</definedName>
    <definedName name="rodov" localSheetId="11">#REF!</definedName>
    <definedName name="rodov" localSheetId="7">#REF!</definedName>
    <definedName name="rodov" localSheetId="21">#REF!</definedName>
    <definedName name="rodov" localSheetId="15">#REF!</definedName>
    <definedName name="rodov">#REF!</definedName>
    <definedName name="rodovia" localSheetId="11">#REF!</definedName>
    <definedName name="rodovia" localSheetId="7">#REF!</definedName>
    <definedName name="rodovia" localSheetId="21">#REF!</definedName>
    <definedName name="rodovia" localSheetId="15">#REF!</definedName>
    <definedName name="rodovia">#REF!</definedName>
    <definedName name="Rodovia___................" localSheetId="11">#REF!</definedName>
    <definedName name="Rodovia___................" localSheetId="7">#REF!</definedName>
    <definedName name="Rodovia___................" localSheetId="21">#REF!</definedName>
    <definedName name="Rodovia___................" localSheetId="15">#REF!</definedName>
    <definedName name="Rodovia___................">#REF!</definedName>
    <definedName name="RODOVIA1">'[34]DADOS DE ENTRADA CONCORRÊNCIA'!$B$15</definedName>
    <definedName name="RODOVIA2">'[34]DADOS DE ENTRADA CONCORRÊNCIA'!$B$22</definedName>
    <definedName name="Rodoviário">'[93]Serviços Rodoviários'!$A$3:$E$144</definedName>
    <definedName name="Rotas" localSheetId="11">#REF!</definedName>
    <definedName name="Rotas" localSheetId="7">#REF!</definedName>
    <definedName name="Rotas" localSheetId="21">#REF!</definedName>
    <definedName name="Rotas" localSheetId="15">#REF!</definedName>
    <definedName name="Rotas">#REF!</definedName>
    <definedName name="RP">[44]SERVIÇOS!$G$12</definedName>
    <definedName name="RP_13">[44]SERVIÇOS!$G$12</definedName>
    <definedName name="RP_39">[44]SERVIÇOS!$G$12</definedName>
    <definedName name="RP_6">[44]SERVIÇOS!$G$12</definedName>
    <definedName name="RPA" localSheetId="21">'[16]SERVIÇOS digitado'!#REF!</definedName>
    <definedName name="RPA">'[16]SERVIÇOS digitado'!#REF!</definedName>
    <definedName name="RPL" localSheetId="21">'[16]SERVIÇOS digitado'!#REF!</definedName>
    <definedName name="RPL">'[16]SERVIÇOS digitado'!#REF!</definedName>
    <definedName name="RPM">[94]SERVIÇOS!$G$12</definedName>
    <definedName name="RPT" localSheetId="21">'[16]SERVIÇOS digitado'!#REF!</definedName>
    <definedName name="RPT">'[16]SERVIÇOS digitado'!#REF!</definedName>
    <definedName name="RPW">"$#REF!.$K$36"</definedName>
    <definedName name="RPWA">"$#REF!.$K$35"</definedName>
    <definedName name="RPZ">"'file:///D:/Meus documentos/ANASTÁCIO/SERCEL/BR262990800.xls'#$SERVIÇOS.$#REF!$#REF!"</definedName>
    <definedName name="rr" localSheetId="11" hidden="1">{#N/A,#N/A,TRUE,"Serviços"}</definedName>
    <definedName name="rr" localSheetId="9" hidden="1">{#N/A,#N/A,TRUE,"Serviços"}</definedName>
    <definedName name="rr" localSheetId="10" hidden="1">{#N/A,#N/A,TRUE,"Serviços"}</definedName>
    <definedName name="rr" localSheetId="8" hidden="1">{#N/A,#N/A,TRUE,"Serviços"}</definedName>
    <definedName name="rr" localSheetId="7" hidden="1">{#N/A,#N/A,TRUE,"Serviços"}</definedName>
    <definedName name="rr" localSheetId="34" hidden="1">{#N/A,#N/A,TRUE,"Serviços"}</definedName>
    <definedName name="rr" localSheetId="44" hidden="1">{#N/A,#N/A,TRUE,"Serviços"}</definedName>
    <definedName name="rr" localSheetId="43" hidden="1">{#N/A,#N/A,TRUE,"Serviços"}</definedName>
    <definedName name="rr" localSheetId="42" hidden="1">{#N/A,#N/A,TRUE,"Serviços"}</definedName>
    <definedName name="rr" localSheetId="21" hidden="1">{#N/A,#N/A,TRUE,"Serviços"}</definedName>
    <definedName name="rr" localSheetId="15" hidden="1">{#N/A,#N/A,TRUE,"Serviços"}</definedName>
    <definedName name="rr" hidden="1">{#N/A,#N/A,TRUE,"Serviços"}</definedName>
    <definedName name="rr.2c_pint" localSheetId="11">#REF!</definedName>
    <definedName name="rr.2c_pint" localSheetId="7">#REF!</definedName>
    <definedName name="rr.2c_pint" localSheetId="21">#REF!</definedName>
    <definedName name="rr.2c_pint" localSheetId="15">#REF!</definedName>
    <definedName name="rr.2c_pint">#REF!</definedName>
    <definedName name="RR_2C" localSheetId="11">#REF!</definedName>
    <definedName name="RR_2C" localSheetId="7">#REF!</definedName>
    <definedName name="RR_2C" localSheetId="21">#REF!</definedName>
    <definedName name="RR_2C" localSheetId="15">#REF!</definedName>
    <definedName name="RR_2C">#REF!</definedName>
    <definedName name="RR1C" localSheetId="11">#REF!</definedName>
    <definedName name="RR1C" localSheetId="7">#REF!</definedName>
    <definedName name="RR1C" localSheetId="21">#REF!</definedName>
    <definedName name="RR1C" localSheetId="15">#REF!</definedName>
    <definedName name="RR1C">#REF!</definedName>
    <definedName name="RR1CW">"$#REF!.$H$14"</definedName>
    <definedName name="RR1CWA">"$#REF!.$H$13"</definedName>
    <definedName name="RR2C" localSheetId="11">[13]DADOS!$C$32</definedName>
    <definedName name="RR2C" localSheetId="7">[13]DADOS!$C$32</definedName>
    <definedName name="RR2C">[13]DADOS!$C$32</definedName>
    <definedName name="RRD" localSheetId="11">#REF!</definedName>
    <definedName name="RRD" localSheetId="7">#REF!</definedName>
    <definedName name="RRD" localSheetId="21">#REF!</definedName>
    <definedName name="RRD" localSheetId="15">#REF!</definedName>
    <definedName name="RRD">#REF!</definedName>
    <definedName name="rrff" localSheetId="11" hidden="1">{#N/A,#N/A,TRUE,"Serviços"}</definedName>
    <definedName name="rrff" localSheetId="9" hidden="1">{#N/A,#N/A,TRUE,"Serviços"}</definedName>
    <definedName name="rrff" localSheetId="10" hidden="1">{#N/A,#N/A,TRUE,"Serviços"}</definedName>
    <definedName name="rrff" localSheetId="8" hidden="1">{#N/A,#N/A,TRUE,"Serviços"}</definedName>
    <definedName name="rrff" localSheetId="7" hidden="1">{#N/A,#N/A,TRUE,"Serviços"}</definedName>
    <definedName name="rrff" localSheetId="34" hidden="1">{#N/A,#N/A,TRUE,"Serviços"}</definedName>
    <definedName name="rrff" localSheetId="44" hidden="1">{#N/A,#N/A,TRUE,"Serviços"}</definedName>
    <definedName name="rrff" localSheetId="43" hidden="1">{#N/A,#N/A,TRUE,"Serviços"}</definedName>
    <definedName name="rrff" localSheetId="42" hidden="1">{#N/A,#N/A,TRUE,"Serviços"}</definedName>
    <definedName name="rrff" localSheetId="21" hidden="1">{#N/A,#N/A,TRUE,"Serviços"}</definedName>
    <definedName name="rrff" localSheetId="15" hidden="1">{#N/A,#N/A,TRUE,"Serviços"}</definedName>
    <definedName name="rrff" hidden="1">{#N/A,#N/A,TRUE,"Serviços"}</definedName>
    <definedName name="RRMBF">"'file:///D:/Meus documentos/ANASTÁCIO/SERCEL/BR262990800.xls'#$SERVIÇOS.$#REF!$#REF!"</definedName>
    <definedName name="RRMBUQ">"$#REF!.$H$32"</definedName>
    <definedName name="RRMBUQW">"$#REF!.$H$34"</definedName>
    <definedName name="RRMBUQWA">"$#REF!.$H$33"</definedName>
    <definedName name="RRP" localSheetId="21">'[16]SERVIÇOS digitado'!#REF!</definedName>
    <definedName name="RRP">'[16]SERVIÇOS digitado'!#REF!</definedName>
    <definedName name="RRQ" localSheetId="21">'[16]SERVIÇOS digitado'!#REF!</definedName>
    <definedName name="RRQ">'[16]SERVIÇOS digitado'!#REF!</definedName>
    <definedName name="RRTOTAL">"$#REF!.$H$12"</definedName>
    <definedName name="RS" localSheetId="11">#REF!</definedName>
    <definedName name="RS" localSheetId="7">#REF!</definedName>
    <definedName name="RS" localSheetId="21">#REF!</definedName>
    <definedName name="RS" localSheetId="15">#REF!</definedName>
    <definedName name="RS">#REF!</definedName>
    <definedName name="RS_25" localSheetId="11">#REF!</definedName>
    <definedName name="RS_25" localSheetId="7">#REF!</definedName>
    <definedName name="RS_25" localSheetId="21">#REF!</definedName>
    <definedName name="RS_25" localSheetId="15">#REF!</definedName>
    <definedName name="RS_25">#REF!</definedName>
    <definedName name="rteg4">[90]eq!$A$2:$D$42</definedName>
    <definedName name="RUA" localSheetId="21">[3]RELATÓRIO!#REF!</definedName>
    <definedName name="RUA">[3]RELATÓRIO!#REF!</definedName>
    <definedName name="rz">[44]SERVIÇOS!$G$37</definedName>
    <definedName name="rz_13">[44]SERVIÇOS!$G$37</definedName>
    <definedName name="rz_39">[44]SERVIÇOS!$G$37</definedName>
    <definedName name="rz_6">[44]SERVIÇOS!$G$37</definedName>
    <definedName name="s">[95]Serviços!$A$3:$F$1403</definedName>
    <definedName name="SADERA" localSheetId="11" hidden="1">{#N/A,#N/A,FALSE,"MO (2)"}</definedName>
    <definedName name="SADERA" localSheetId="9" hidden="1">{#N/A,#N/A,FALSE,"MO (2)"}</definedName>
    <definedName name="SADERA" localSheetId="10" hidden="1">{#N/A,#N/A,FALSE,"MO (2)"}</definedName>
    <definedName name="SADERA" localSheetId="8" hidden="1">{#N/A,#N/A,FALSE,"MO (2)"}</definedName>
    <definedName name="SADERA" localSheetId="7" hidden="1">{#N/A,#N/A,FALSE,"MO (2)"}</definedName>
    <definedName name="SADERA" localSheetId="34" hidden="1">{#N/A,#N/A,FALSE,"MO (2)"}</definedName>
    <definedName name="SADERA" localSheetId="44" hidden="1">{#N/A,#N/A,FALSE,"MO (2)"}</definedName>
    <definedName name="SADERA" localSheetId="43" hidden="1">{#N/A,#N/A,FALSE,"MO (2)"}</definedName>
    <definedName name="SADERA" localSheetId="42" hidden="1">{#N/A,#N/A,FALSE,"MO (2)"}</definedName>
    <definedName name="SADERA" localSheetId="21" hidden="1">{#N/A,#N/A,FALSE,"MO (2)"}</definedName>
    <definedName name="SADERA" localSheetId="17" hidden="1">{#N/A,#N/A,FALSE,"MO (2)"}</definedName>
    <definedName name="SADERA" localSheetId="1" hidden="1">{#N/A,#N/A,FALSE,"MO (2)"}</definedName>
    <definedName name="SADERA" localSheetId="16" hidden="1">{#N/A,#N/A,FALSE,"MO (2)"}</definedName>
    <definedName name="SADERA" localSheetId="26" hidden="1">{#N/A,#N/A,FALSE,"MO (2)"}</definedName>
    <definedName name="SADERA" localSheetId="13" hidden="1">{#N/A,#N/A,FALSE,"MO (2)"}</definedName>
    <definedName name="SADERA" localSheetId="15" hidden="1">{#N/A,#N/A,FALSE,"MO (2)"}</definedName>
    <definedName name="SADERA" localSheetId="33" hidden="1">{#N/A,#N/A,FALSE,"MO (2)"}</definedName>
    <definedName name="SADERA" hidden="1">{#N/A,#N/A,FALSE,"MO (2)"}</definedName>
    <definedName name="SADERA_1" localSheetId="11" hidden="1">{#N/A,#N/A,FALSE,"MO (2)"}</definedName>
    <definedName name="SADERA_1" localSheetId="9" hidden="1">{#N/A,#N/A,FALSE,"MO (2)"}</definedName>
    <definedName name="SADERA_1" localSheetId="10" hidden="1">{#N/A,#N/A,FALSE,"MO (2)"}</definedName>
    <definedName name="SADERA_1" localSheetId="8" hidden="1">{#N/A,#N/A,FALSE,"MO (2)"}</definedName>
    <definedName name="SADERA_1" localSheetId="7" hidden="1">{#N/A,#N/A,FALSE,"MO (2)"}</definedName>
    <definedName name="SADERA_1" localSheetId="34" hidden="1">{#N/A,#N/A,FALSE,"MO (2)"}</definedName>
    <definedName name="SADERA_1" localSheetId="44" hidden="1">{#N/A,#N/A,FALSE,"MO (2)"}</definedName>
    <definedName name="SADERA_1" localSheetId="43" hidden="1">{#N/A,#N/A,FALSE,"MO (2)"}</definedName>
    <definedName name="SADERA_1" localSheetId="42" hidden="1">{#N/A,#N/A,FALSE,"MO (2)"}</definedName>
    <definedName name="SADERA_1" localSheetId="21" hidden="1">{#N/A,#N/A,FALSE,"MO (2)"}</definedName>
    <definedName name="SADERA_1" localSheetId="17" hidden="1">{#N/A,#N/A,FALSE,"MO (2)"}</definedName>
    <definedName name="SADERA_1" localSheetId="1" hidden="1">{#N/A,#N/A,FALSE,"MO (2)"}</definedName>
    <definedName name="SADERA_1" localSheetId="16" hidden="1">{#N/A,#N/A,FALSE,"MO (2)"}</definedName>
    <definedName name="SADERA_1" localSheetId="26" hidden="1">{#N/A,#N/A,FALSE,"MO (2)"}</definedName>
    <definedName name="SADERA_1" localSheetId="13" hidden="1">{#N/A,#N/A,FALSE,"MO (2)"}</definedName>
    <definedName name="SADERA_1" localSheetId="15" hidden="1">{#N/A,#N/A,FALSE,"MO (2)"}</definedName>
    <definedName name="SADERA_1" localSheetId="33" hidden="1">{#N/A,#N/A,FALSE,"MO (2)"}</definedName>
    <definedName name="SADERA_1" hidden="1">{#N/A,#N/A,FALSE,"MO (2)"}</definedName>
    <definedName name="saderadesa" localSheetId="11" hidden="1">{#N/A,#N/A,FALSE,"MO (2)"}</definedName>
    <definedName name="saderadesa" localSheetId="9" hidden="1">{#N/A,#N/A,FALSE,"MO (2)"}</definedName>
    <definedName name="saderadesa" localSheetId="10" hidden="1">{#N/A,#N/A,FALSE,"MO (2)"}</definedName>
    <definedName name="saderadesa" localSheetId="8" hidden="1">{#N/A,#N/A,FALSE,"MO (2)"}</definedName>
    <definedName name="saderadesa" localSheetId="7" hidden="1">{#N/A,#N/A,FALSE,"MO (2)"}</definedName>
    <definedName name="saderadesa" localSheetId="34" hidden="1">{#N/A,#N/A,FALSE,"MO (2)"}</definedName>
    <definedName name="saderadesa" localSheetId="44" hidden="1">{#N/A,#N/A,FALSE,"MO (2)"}</definedName>
    <definedName name="saderadesa" localSheetId="43" hidden="1">{#N/A,#N/A,FALSE,"MO (2)"}</definedName>
    <definedName name="saderadesa" localSheetId="42" hidden="1">{#N/A,#N/A,FALSE,"MO (2)"}</definedName>
    <definedName name="saderadesa" localSheetId="21" hidden="1">{#N/A,#N/A,FALSE,"MO (2)"}</definedName>
    <definedName name="saderadesa" localSheetId="17" hidden="1">{#N/A,#N/A,FALSE,"MO (2)"}</definedName>
    <definedName name="saderadesa" localSheetId="1" hidden="1">{#N/A,#N/A,FALSE,"MO (2)"}</definedName>
    <definedName name="saderadesa" localSheetId="16" hidden="1">{#N/A,#N/A,FALSE,"MO (2)"}</definedName>
    <definedName name="saderadesa" localSheetId="26" hidden="1">{#N/A,#N/A,FALSE,"MO (2)"}</definedName>
    <definedName name="saderadesa" localSheetId="13" hidden="1">{#N/A,#N/A,FALSE,"MO (2)"}</definedName>
    <definedName name="saderadesa" localSheetId="15" hidden="1">{#N/A,#N/A,FALSE,"MO (2)"}</definedName>
    <definedName name="saderadesa" localSheetId="33" hidden="1">{#N/A,#N/A,FALSE,"MO (2)"}</definedName>
    <definedName name="saderadesa" hidden="1">{#N/A,#N/A,FALSE,"MO (2)"}</definedName>
    <definedName name="saderadesa_1" localSheetId="11" hidden="1">{#N/A,#N/A,FALSE,"MO (2)"}</definedName>
    <definedName name="saderadesa_1" localSheetId="9" hidden="1">{#N/A,#N/A,FALSE,"MO (2)"}</definedName>
    <definedName name="saderadesa_1" localSheetId="10" hidden="1">{#N/A,#N/A,FALSE,"MO (2)"}</definedName>
    <definedName name="saderadesa_1" localSheetId="8" hidden="1">{#N/A,#N/A,FALSE,"MO (2)"}</definedName>
    <definedName name="saderadesa_1" localSheetId="7" hidden="1">{#N/A,#N/A,FALSE,"MO (2)"}</definedName>
    <definedName name="saderadesa_1" localSheetId="34" hidden="1">{#N/A,#N/A,FALSE,"MO (2)"}</definedName>
    <definedName name="saderadesa_1" localSheetId="44" hidden="1">{#N/A,#N/A,FALSE,"MO (2)"}</definedName>
    <definedName name="saderadesa_1" localSheetId="43" hidden="1">{#N/A,#N/A,FALSE,"MO (2)"}</definedName>
    <definedName name="saderadesa_1" localSheetId="42" hidden="1">{#N/A,#N/A,FALSE,"MO (2)"}</definedName>
    <definedName name="saderadesa_1" localSheetId="21" hidden="1">{#N/A,#N/A,FALSE,"MO (2)"}</definedName>
    <definedName name="saderadesa_1" localSheetId="17" hidden="1">{#N/A,#N/A,FALSE,"MO (2)"}</definedName>
    <definedName name="saderadesa_1" localSheetId="1" hidden="1">{#N/A,#N/A,FALSE,"MO (2)"}</definedName>
    <definedName name="saderadesa_1" localSheetId="16" hidden="1">{#N/A,#N/A,FALSE,"MO (2)"}</definedName>
    <definedName name="saderadesa_1" localSheetId="26" hidden="1">{#N/A,#N/A,FALSE,"MO (2)"}</definedName>
    <definedName name="saderadesa_1" localSheetId="13" hidden="1">{#N/A,#N/A,FALSE,"MO (2)"}</definedName>
    <definedName name="saderadesa_1" localSheetId="15" hidden="1">{#N/A,#N/A,FALSE,"MO (2)"}</definedName>
    <definedName name="saderadesa_1" localSheetId="33" hidden="1">{#N/A,#N/A,FALSE,"MO (2)"}</definedName>
    <definedName name="saderadesa_1" hidden="1">{#N/A,#N/A,FALSE,"MO (2)"}</definedName>
    <definedName name="saderasa" localSheetId="11" hidden="1">{#N/A,#N/A,FALSE,"MO (2)"}</definedName>
    <definedName name="saderasa" localSheetId="9" hidden="1">{#N/A,#N/A,FALSE,"MO (2)"}</definedName>
    <definedName name="saderasa" localSheetId="10" hidden="1">{#N/A,#N/A,FALSE,"MO (2)"}</definedName>
    <definedName name="saderasa" localSheetId="8" hidden="1">{#N/A,#N/A,FALSE,"MO (2)"}</definedName>
    <definedName name="saderasa" localSheetId="7" hidden="1">{#N/A,#N/A,FALSE,"MO (2)"}</definedName>
    <definedName name="saderasa" localSheetId="34" hidden="1">{#N/A,#N/A,FALSE,"MO (2)"}</definedName>
    <definedName name="saderasa" localSheetId="44" hidden="1">{#N/A,#N/A,FALSE,"MO (2)"}</definedName>
    <definedName name="saderasa" localSheetId="43" hidden="1">{#N/A,#N/A,FALSE,"MO (2)"}</definedName>
    <definedName name="saderasa" localSheetId="42" hidden="1">{#N/A,#N/A,FALSE,"MO (2)"}</definedName>
    <definedName name="saderasa" localSheetId="21" hidden="1">{#N/A,#N/A,FALSE,"MO (2)"}</definedName>
    <definedName name="saderasa" localSheetId="17" hidden="1">{#N/A,#N/A,FALSE,"MO (2)"}</definedName>
    <definedName name="saderasa" localSheetId="1" hidden="1">{#N/A,#N/A,FALSE,"MO (2)"}</definedName>
    <definedName name="saderasa" localSheetId="16" hidden="1">{#N/A,#N/A,FALSE,"MO (2)"}</definedName>
    <definedName name="saderasa" localSheetId="26" hidden="1">{#N/A,#N/A,FALSE,"MO (2)"}</definedName>
    <definedName name="saderasa" localSheetId="13" hidden="1">{#N/A,#N/A,FALSE,"MO (2)"}</definedName>
    <definedName name="saderasa" localSheetId="15" hidden="1">{#N/A,#N/A,FALSE,"MO (2)"}</definedName>
    <definedName name="saderasa" localSheetId="33" hidden="1">{#N/A,#N/A,FALSE,"MO (2)"}</definedName>
    <definedName name="saderasa" hidden="1">{#N/A,#N/A,FALSE,"MO (2)"}</definedName>
    <definedName name="saderasa_1" localSheetId="11" hidden="1">{#N/A,#N/A,FALSE,"MO (2)"}</definedName>
    <definedName name="saderasa_1" localSheetId="9" hidden="1">{#N/A,#N/A,FALSE,"MO (2)"}</definedName>
    <definedName name="saderasa_1" localSheetId="10" hidden="1">{#N/A,#N/A,FALSE,"MO (2)"}</definedName>
    <definedName name="saderasa_1" localSheetId="8" hidden="1">{#N/A,#N/A,FALSE,"MO (2)"}</definedName>
    <definedName name="saderasa_1" localSheetId="7" hidden="1">{#N/A,#N/A,FALSE,"MO (2)"}</definedName>
    <definedName name="saderasa_1" localSheetId="34" hidden="1">{#N/A,#N/A,FALSE,"MO (2)"}</definedName>
    <definedName name="saderasa_1" localSheetId="44" hidden="1">{#N/A,#N/A,FALSE,"MO (2)"}</definedName>
    <definedName name="saderasa_1" localSheetId="43" hidden="1">{#N/A,#N/A,FALSE,"MO (2)"}</definedName>
    <definedName name="saderasa_1" localSheetId="42" hidden="1">{#N/A,#N/A,FALSE,"MO (2)"}</definedName>
    <definedName name="saderasa_1" localSheetId="21" hidden="1">{#N/A,#N/A,FALSE,"MO (2)"}</definedName>
    <definedName name="saderasa_1" localSheetId="17" hidden="1">{#N/A,#N/A,FALSE,"MO (2)"}</definedName>
    <definedName name="saderasa_1" localSheetId="1" hidden="1">{#N/A,#N/A,FALSE,"MO (2)"}</definedName>
    <definedName name="saderasa_1" localSheetId="16" hidden="1">{#N/A,#N/A,FALSE,"MO (2)"}</definedName>
    <definedName name="saderasa_1" localSheetId="26" hidden="1">{#N/A,#N/A,FALSE,"MO (2)"}</definedName>
    <definedName name="saderasa_1" localSheetId="13" hidden="1">{#N/A,#N/A,FALSE,"MO (2)"}</definedName>
    <definedName name="saderasa_1" localSheetId="15" hidden="1">{#N/A,#N/A,FALSE,"MO (2)"}</definedName>
    <definedName name="saderasa_1" localSheetId="33" hidden="1">{#N/A,#N/A,FALSE,"MO (2)"}</definedName>
    <definedName name="saderasa_1" hidden="1">{#N/A,#N/A,FALSE,"MO (2)"}</definedName>
    <definedName name="saderefe" localSheetId="11" hidden="1">{#N/A,#N/A,FALSE,"MO (2)"}</definedName>
    <definedName name="saderefe" localSheetId="9" hidden="1">{#N/A,#N/A,FALSE,"MO (2)"}</definedName>
    <definedName name="saderefe" localSheetId="10" hidden="1">{#N/A,#N/A,FALSE,"MO (2)"}</definedName>
    <definedName name="saderefe" localSheetId="8" hidden="1">{#N/A,#N/A,FALSE,"MO (2)"}</definedName>
    <definedName name="saderefe" localSheetId="7" hidden="1">{#N/A,#N/A,FALSE,"MO (2)"}</definedName>
    <definedName name="saderefe" localSheetId="34" hidden="1">{#N/A,#N/A,FALSE,"MO (2)"}</definedName>
    <definedName name="saderefe" localSheetId="44" hidden="1">{#N/A,#N/A,FALSE,"MO (2)"}</definedName>
    <definedName name="saderefe" localSheetId="43" hidden="1">{#N/A,#N/A,FALSE,"MO (2)"}</definedName>
    <definedName name="saderefe" localSheetId="42" hidden="1">{#N/A,#N/A,FALSE,"MO (2)"}</definedName>
    <definedName name="saderefe" localSheetId="21" hidden="1">{#N/A,#N/A,FALSE,"MO (2)"}</definedName>
    <definedName name="saderefe" localSheetId="17" hidden="1">{#N/A,#N/A,FALSE,"MO (2)"}</definedName>
    <definedName name="saderefe" localSheetId="1" hidden="1">{#N/A,#N/A,FALSE,"MO (2)"}</definedName>
    <definedName name="saderefe" localSheetId="16" hidden="1">{#N/A,#N/A,FALSE,"MO (2)"}</definedName>
    <definedName name="saderefe" localSheetId="26" hidden="1">{#N/A,#N/A,FALSE,"MO (2)"}</definedName>
    <definedName name="saderefe" localSheetId="13" hidden="1">{#N/A,#N/A,FALSE,"MO (2)"}</definedName>
    <definedName name="saderefe" localSheetId="15" hidden="1">{#N/A,#N/A,FALSE,"MO (2)"}</definedName>
    <definedName name="saderefe" localSheetId="33" hidden="1">{#N/A,#N/A,FALSE,"MO (2)"}</definedName>
    <definedName name="saderefe" hidden="1">{#N/A,#N/A,FALSE,"MO (2)"}</definedName>
    <definedName name="saderefe_1" localSheetId="11" hidden="1">{#N/A,#N/A,FALSE,"MO (2)"}</definedName>
    <definedName name="saderefe_1" localSheetId="9" hidden="1">{#N/A,#N/A,FALSE,"MO (2)"}</definedName>
    <definedName name="saderefe_1" localSheetId="10" hidden="1">{#N/A,#N/A,FALSE,"MO (2)"}</definedName>
    <definedName name="saderefe_1" localSheetId="8" hidden="1">{#N/A,#N/A,FALSE,"MO (2)"}</definedName>
    <definedName name="saderefe_1" localSheetId="7" hidden="1">{#N/A,#N/A,FALSE,"MO (2)"}</definedName>
    <definedName name="saderefe_1" localSheetId="34" hidden="1">{#N/A,#N/A,FALSE,"MO (2)"}</definedName>
    <definedName name="saderefe_1" localSheetId="44" hidden="1">{#N/A,#N/A,FALSE,"MO (2)"}</definedName>
    <definedName name="saderefe_1" localSheetId="43" hidden="1">{#N/A,#N/A,FALSE,"MO (2)"}</definedName>
    <definedName name="saderefe_1" localSheetId="42" hidden="1">{#N/A,#N/A,FALSE,"MO (2)"}</definedName>
    <definedName name="saderefe_1" localSheetId="21" hidden="1">{#N/A,#N/A,FALSE,"MO (2)"}</definedName>
    <definedName name="saderefe_1" localSheetId="17" hidden="1">{#N/A,#N/A,FALSE,"MO (2)"}</definedName>
    <definedName name="saderefe_1" localSheetId="1" hidden="1">{#N/A,#N/A,FALSE,"MO (2)"}</definedName>
    <definedName name="saderefe_1" localSheetId="16" hidden="1">{#N/A,#N/A,FALSE,"MO (2)"}</definedName>
    <definedName name="saderefe_1" localSheetId="26" hidden="1">{#N/A,#N/A,FALSE,"MO (2)"}</definedName>
    <definedName name="saderefe_1" localSheetId="13" hidden="1">{#N/A,#N/A,FALSE,"MO (2)"}</definedName>
    <definedName name="saderefe_1" localSheetId="15" hidden="1">{#N/A,#N/A,FALSE,"MO (2)"}</definedName>
    <definedName name="saderefe_1" localSheetId="33" hidden="1">{#N/A,#N/A,FALSE,"MO (2)"}</definedName>
    <definedName name="saderefe_1" hidden="1">{#N/A,#N/A,FALSE,"MO (2)"}</definedName>
    <definedName name="salario">[3]RELATÓRIO!$H$3</definedName>
    <definedName name="SALÁRIOMINIMO" localSheetId="11">#REF!</definedName>
    <definedName name="SALÁRIOMINIMO" localSheetId="7">#REF!</definedName>
    <definedName name="SALÁRIOMINIMO" localSheetId="21">#REF!</definedName>
    <definedName name="SALÁRIOMINIMO" localSheetId="15">#REF!</definedName>
    <definedName name="SALÁRIOMINIMO">#REF!</definedName>
    <definedName name="salete" localSheetId="11" hidden="1">{#N/A,#N/A,FALSE,"MO (2)"}</definedName>
    <definedName name="salete" localSheetId="9" hidden="1">{#N/A,#N/A,FALSE,"MO (2)"}</definedName>
    <definedName name="salete" localSheetId="10" hidden="1">{#N/A,#N/A,FALSE,"MO (2)"}</definedName>
    <definedName name="salete" localSheetId="8" hidden="1">{#N/A,#N/A,FALSE,"MO (2)"}</definedName>
    <definedName name="salete" localSheetId="7" hidden="1">{#N/A,#N/A,FALSE,"MO (2)"}</definedName>
    <definedName name="salete" localSheetId="34" hidden="1">{#N/A,#N/A,FALSE,"MO (2)"}</definedName>
    <definedName name="salete" localSheetId="44" hidden="1">{#N/A,#N/A,FALSE,"MO (2)"}</definedName>
    <definedName name="salete" localSheetId="43" hidden="1">{#N/A,#N/A,FALSE,"MO (2)"}</definedName>
    <definedName name="salete" localSheetId="42" hidden="1">{#N/A,#N/A,FALSE,"MO (2)"}</definedName>
    <definedName name="salete" localSheetId="21" hidden="1">{#N/A,#N/A,FALSE,"MO (2)"}</definedName>
    <definedName name="salete" localSheetId="17" hidden="1">{#N/A,#N/A,FALSE,"MO (2)"}</definedName>
    <definedName name="salete" localSheetId="1" hidden="1">{#N/A,#N/A,FALSE,"MO (2)"}</definedName>
    <definedName name="salete" localSheetId="16" hidden="1">{#N/A,#N/A,FALSE,"MO (2)"}</definedName>
    <definedName name="salete" localSheetId="26" hidden="1">{#N/A,#N/A,FALSE,"MO (2)"}</definedName>
    <definedName name="salete" localSheetId="13" hidden="1">{#N/A,#N/A,FALSE,"MO (2)"}</definedName>
    <definedName name="salete" localSheetId="15" hidden="1">{#N/A,#N/A,FALSE,"MO (2)"}</definedName>
    <definedName name="salete" localSheetId="33" hidden="1">{#N/A,#N/A,FALSE,"MO (2)"}</definedName>
    <definedName name="salete" hidden="1">{#N/A,#N/A,FALSE,"MO (2)"}</definedName>
    <definedName name="salete.com" localSheetId="11" hidden="1">{#N/A,#N/A,FALSE,"MO (2)"}</definedName>
    <definedName name="salete.com" localSheetId="9" hidden="1">{#N/A,#N/A,FALSE,"MO (2)"}</definedName>
    <definedName name="salete.com" localSheetId="10" hidden="1">{#N/A,#N/A,FALSE,"MO (2)"}</definedName>
    <definedName name="salete.com" localSheetId="8" hidden="1">{#N/A,#N/A,FALSE,"MO (2)"}</definedName>
    <definedName name="salete.com" localSheetId="7" hidden="1">{#N/A,#N/A,FALSE,"MO (2)"}</definedName>
    <definedName name="salete.com" localSheetId="34" hidden="1">{#N/A,#N/A,FALSE,"MO (2)"}</definedName>
    <definedName name="salete.com" localSheetId="44" hidden="1">{#N/A,#N/A,FALSE,"MO (2)"}</definedName>
    <definedName name="salete.com" localSheetId="43" hidden="1">{#N/A,#N/A,FALSE,"MO (2)"}</definedName>
    <definedName name="salete.com" localSheetId="42" hidden="1">{#N/A,#N/A,FALSE,"MO (2)"}</definedName>
    <definedName name="salete.com" localSheetId="21" hidden="1">{#N/A,#N/A,FALSE,"MO (2)"}</definedName>
    <definedName name="salete.com" localSheetId="17" hidden="1">{#N/A,#N/A,FALSE,"MO (2)"}</definedName>
    <definedName name="salete.com" localSheetId="1" hidden="1">{#N/A,#N/A,FALSE,"MO (2)"}</definedName>
    <definedName name="salete.com" localSheetId="16" hidden="1">{#N/A,#N/A,FALSE,"MO (2)"}</definedName>
    <definedName name="salete.com" localSheetId="26" hidden="1">{#N/A,#N/A,FALSE,"MO (2)"}</definedName>
    <definedName name="salete.com" localSheetId="13" hidden="1">{#N/A,#N/A,FALSE,"MO (2)"}</definedName>
    <definedName name="salete.com" localSheetId="15" hidden="1">{#N/A,#N/A,FALSE,"MO (2)"}</definedName>
    <definedName name="salete.com" localSheetId="33" hidden="1">{#N/A,#N/A,FALSE,"MO (2)"}</definedName>
    <definedName name="salete.com" hidden="1">{#N/A,#N/A,FALSE,"MO (2)"}</definedName>
    <definedName name="salete.com_1" localSheetId="11" hidden="1">{#N/A,#N/A,FALSE,"MO (2)"}</definedName>
    <definedName name="salete.com_1" localSheetId="9" hidden="1">{#N/A,#N/A,FALSE,"MO (2)"}</definedName>
    <definedName name="salete.com_1" localSheetId="10" hidden="1">{#N/A,#N/A,FALSE,"MO (2)"}</definedName>
    <definedName name="salete.com_1" localSheetId="8" hidden="1">{#N/A,#N/A,FALSE,"MO (2)"}</definedName>
    <definedName name="salete.com_1" localSheetId="7" hidden="1">{#N/A,#N/A,FALSE,"MO (2)"}</definedName>
    <definedName name="salete.com_1" localSheetId="34" hidden="1">{#N/A,#N/A,FALSE,"MO (2)"}</definedName>
    <definedName name="salete.com_1" localSheetId="44" hidden="1">{#N/A,#N/A,FALSE,"MO (2)"}</definedName>
    <definedName name="salete.com_1" localSheetId="43" hidden="1">{#N/A,#N/A,FALSE,"MO (2)"}</definedName>
    <definedName name="salete.com_1" localSheetId="42" hidden="1">{#N/A,#N/A,FALSE,"MO (2)"}</definedName>
    <definedName name="salete.com_1" localSheetId="21" hidden="1">{#N/A,#N/A,FALSE,"MO (2)"}</definedName>
    <definedName name="salete.com_1" localSheetId="17" hidden="1">{#N/A,#N/A,FALSE,"MO (2)"}</definedName>
    <definedName name="salete.com_1" localSheetId="1" hidden="1">{#N/A,#N/A,FALSE,"MO (2)"}</definedName>
    <definedName name="salete.com_1" localSheetId="16" hidden="1">{#N/A,#N/A,FALSE,"MO (2)"}</definedName>
    <definedName name="salete.com_1" localSheetId="26" hidden="1">{#N/A,#N/A,FALSE,"MO (2)"}</definedName>
    <definedName name="salete.com_1" localSheetId="13" hidden="1">{#N/A,#N/A,FALSE,"MO (2)"}</definedName>
    <definedName name="salete.com_1" localSheetId="15" hidden="1">{#N/A,#N/A,FALSE,"MO (2)"}</definedName>
    <definedName name="salete.com_1" localSheetId="33" hidden="1">{#N/A,#N/A,FALSE,"MO (2)"}</definedName>
    <definedName name="salete.com_1" hidden="1">{#N/A,#N/A,FALSE,"MO (2)"}</definedName>
    <definedName name="salete_1" localSheetId="11" hidden="1">{#N/A,#N/A,FALSE,"MO (2)"}</definedName>
    <definedName name="salete_1" localSheetId="9" hidden="1">{#N/A,#N/A,FALSE,"MO (2)"}</definedName>
    <definedName name="salete_1" localSheetId="10" hidden="1">{#N/A,#N/A,FALSE,"MO (2)"}</definedName>
    <definedName name="salete_1" localSheetId="8" hidden="1">{#N/A,#N/A,FALSE,"MO (2)"}</definedName>
    <definedName name="salete_1" localSheetId="7" hidden="1">{#N/A,#N/A,FALSE,"MO (2)"}</definedName>
    <definedName name="salete_1" localSheetId="34" hidden="1">{#N/A,#N/A,FALSE,"MO (2)"}</definedName>
    <definedName name="salete_1" localSheetId="44" hidden="1">{#N/A,#N/A,FALSE,"MO (2)"}</definedName>
    <definedName name="salete_1" localSheetId="43" hidden="1">{#N/A,#N/A,FALSE,"MO (2)"}</definedName>
    <definedName name="salete_1" localSheetId="42" hidden="1">{#N/A,#N/A,FALSE,"MO (2)"}</definedName>
    <definedName name="salete_1" localSheetId="21" hidden="1">{#N/A,#N/A,FALSE,"MO (2)"}</definedName>
    <definedName name="salete_1" localSheetId="17" hidden="1">{#N/A,#N/A,FALSE,"MO (2)"}</definedName>
    <definedName name="salete_1" localSheetId="1" hidden="1">{#N/A,#N/A,FALSE,"MO (2)"}</definedName>
    <definedName name="salete_1" localSheetId="16" hidden="1">{#N/A,#N/A,FALSE,"MO (2)"}</definedName>
    <definedName name="salete_1" localSheetId="26" hidden="1">{#N/A,#N/A,FALSE,"MO (2)"}</definedName>
    <definedName name="salete_1" localSheetId="13" hidden="1">{#N/A,#N/A,FALSE,"MO (2)"}</definedName>
    <definedName name="salete_1" localSheetId="15" hidden="1">{#N/A,#N/A,FALSE,"MO (2)"}</definedName>
    <definedName name="salete_1" localSheetId="33" hidden="1">{#N/A,#N/A,FALSE,"MO (2)"}</definedName>
    <definedName name="salete_1" hidden="1">{#N/A,#N/A,FALSE,"MO (2)"}</definedName>
    <definedName name="salete333" localSheetId="11" hidden="1">{#N/A,#N/A,FALSE,"MO (2)"}</definedName>
    <definedName name="salete333" localSheetId="9" hidden="1">{#N/A,#N/A,FALSE,"MO (2)"}</definedName>
    <definedName name="salete333" localSheetId="10" hidden="1">{#N/A,#N/A,FALSE,"MO (2)"}</definedName>
    <definedName name="salete333" localSheetId="8" hidden="1">{#N/A,#N/A,FALSE,"MO (2)"}</definedName>
    <definedName name="salete333" localSheetId="7" hidden="1">{#N/A,#N/A,FALSE,"MO (2)"}</definedName>
    <definedName name="salete333" localSheetId="34" hidden="1">{#N/A,#N/A,FALSE,"MO (2)"}</definedName>
    <definedName name="salete333" localSheetId="44" hidden="1">{#N/A,#N/A,FALSE,"MO (2)"}</definedName>
    <definedName name="salete333" localSheetId="43" hidden="1">{#N/A,#N/A,FALSE,"MO (2)"}</definedName>
    <definedName name="salete333" localSheetId="42" hidden="1">{#N/A,#N/A,FALSE,"MO (2)"}</definedName>
    <definedName name="salete333" localSheetId="21" hidden="1">{#N/A,#N/A,FALSE,"MO (2)"}</definedName>
    <definedName name="salete333" localSheetId="17" hidden="1">{#N/A,#N/A,FALSE,"MO (2)"}</definedName>
    <definedName name="salete333" localSheetId="1" hidden="1">{#N/A,#N/A,FALSE,"MO (2)"}</definedName>
    <definedName name="salete333" localSheetId="16" hidden="1">{#N/A,#N/A,FALSE,"MO (2)"}</definedName>
    <definedName name="salete333" localSheetId="26" hidden="1">{#N/A,#N/A,FALSE,"MO (2)"}</definedName>
    <definedName name="salete333" localSheetId="13" hidden="1">{#N/A,#N/A,FALSE,"MO (2)"}</definedName>
    <definedName name="salete333" localSheetId="15" hidden="1">{#N/A,#N/A,FALSE,"MO (2)"}</definedName>
    <definedName name="salete333" localSheetId="33" hidden="1">{#N/A,#N/A,FALSE,"MO (2)"}</definedName>
    <definedName name="salete333" hidden="1">{#N/A,#N/A,FALSE,"MO (2)"}</definedName>
    <definedName name="salete333_1" localSheetId="11" hidden="1">{#N/A,#N/A,FALSE,"MO (2)"}</definedName>
    <definedName name="salete333_1" localSheetId="9" hidden="1">{#N/A,#N/A,FALSE,"MO (2)"}</definedName>
    <definedName name="salete333_1" localSheetId="10" hidden="1">{#N/A,#N/A,FALSE,"MO (2)"}</definedName>
    <definedName name="salete333_1" localSheetId="8" hidden="1">{#N/A,#N/A,FALSE,"MO (2)"}</definedName>
    <definedName name="salete333_1" localSheetId="7" hidden="1">{#N/A,#N/A,FALSE,"MO (2)"}</definedName>
    <definedName name="salete333_1" localSheetId="34" hidden="1">{#N/A,#N/A,FALSE,"MO (2)"}</definedName>
    <definedName name="salete333_1" localSheetId="44" hidden="1">{#N/A,#N/A,FALSE,"MO (2)"}</definedName>
    <definedName name="salete333_1" localSheetId="43" hidden="1">{#N/A,#N/A,FALSE,"MO (2)"}</definedName>
    <definedName name="salete333_1" localSheetId="42" hidden="1">{#N/A,#N/A,FALSE,"MO (2)"}</definedName>
    <definedName name="salete333_1" localSheetId="21" hidden="1">{#N/A,#N/A,FALSE,"MO (2)"}</definedName>
    <definedName name="salete333_1" localSheetId="17" hidden="1">{#N/A,#N/A,FALSE,"MO (2)"}</definedName>
    <definedName name="salete333_1" localSheetId="1" hidden="1">{#N/A,#N/A,FALSE,"MO (2)"}</definedName>
    <definedName name="salete333_1" localSheetId="16" hidden="1">{#N/A,#N/A,FALSE,"MO (2)"}</definedName>
    <definedName name="salete333_1" localSheetId="26" hidden="1">{#N/A,#N/A,FALSE,"MO (2)"}</definedName>
    <definedName name="salete333_1" localSheetId="13" hidden="1">{#N/A,#N/A,FALSE,"MO (2)"}</definedName>
    <definedName name="salete333_1" localSheetId="15" hidden="1">{#N/A,#N/A,FALSE,"MO (2)"}</definedName>
    <definedName name="salete333_1" localSheetId="33" hidden="1">{#N/A,#N/A,FALSE,"MO (2)"}</definedName>
    <definedName name="salete333_1" hidden="1">{#N/A,#N/A,FALSE,"MO (2)"}</definedName>
    <definedName name="SASA" localSheetId="11" hidden="1">{#N/A,#N/A,FALSE,"MO (2)"}</definedName>
    <definedName name="SASA" localSheetId="9" hidden="1">{#N/A,#N/A,FALSE,"MO (2)"}</definedName>
    <definedName name="SASA" localSheetId="10" hidden="1">{#N/A,#N/A,FALSE,"MO (2)"}</definedName>
    <definedName name="SASA" localSheetId="8" hidden="1">{#N/A,#N/A,FALSE,"MO (2)"}</definedName>
    <definedName name="SASA" localSheetId="7" hidden="1">{#N/A,#N/A,FALSE,"MO (2)"}</definedName>
    <definedName name="SASA" localSheetId="34" hidden="1">{#N/A,#N/A,FALSE,"MO (2)"}</definedName>
    <definedName name="SASA" localSheetId="44" hidden="1">{#N/A,#N/A,FALSE,"MO (2)"}</definedName>
    <definedName name="SASA" localSheetId="43" hidden="1">{#N/A,#N/A,FALSE,"MO (2)"}</definedName>
    <definedName name="SASA" localSheetId="42" hidden="1">{#N/A,#N/A,FALSE,"MO (2)"}</definedName>
    <definedName name="SASA" localSheetId="21" hidden="1">{#N/A,#N/A,FALSE,"MO (2)"}</definedName>
    <definedName name="SASA" localSheetId="17" hidden="1">{#N/A,#N/A,FALSE,"MO (2)"}</definedName>
    <definedName name="SASA" localSheetId="1" hidden="1">{#N/A,#N/A,FALSE,"MO (2)"}</definedName>
    <definedName name="SASA" localSheetId="16" hidden="1">{#N/A,#N/A,FALSE,"MO (2)"}</definedName>
    <definedName name="SASA" localSheetId="26" hidden="1">{#N/A,#N/A,FALSE,"MO (2)"}</definedName>
    <definedName name="SASA" localSheetId="13" hidden="1">{#N/A,#N/A,FALSE,"MO (2)"}</definedName>
    <definedName name="SASA" localSheetId="15" hidden="1">{#N/A,#N/A,FALSE,"MO (2)"}</definedName>
    <definedName name="SASA" localSheetId="33" hidden="1">{#N/A,#N/A,FALSE,"MO (2)"}</definedName>
    <definedName name="SASA" hidden="1">{#N/A,#N/A,FALSE,"MO (2)"}</definedName>
    <definedName name="sasa.com" localSheetId="11" hidden="1">{#N/A,#N/A,FALSE,"MO (2)"}</definedName>
    <definedName name="sasa.com" localSheetId="9" hidden="1">{#N/A,#N/A,FALSE,"MO (2)"}</definedName>
    <definedName name="sasa.com" localSheetId="10" hidden="1">{#N/A,#N/A,FALSE,"MO (2)"}</definedName>
    <definedName name="sasa.com" localSheetId="8" hidden="1">{#N/A,#N/A,FALSE,"MO (2)"}</definedName>
    <definedName name="sasa.com" localSheetId="7" hidden="1">{#N/A,#N/A,FALSE,"MO (2)"}</definedName>
    <definedName name="sasa.com" localSheetId="34" hidden="1">{#N/A,#N/A,FALSE,"MO (2)"}</definedName>
    <definedName name="sasa.com" localSheetId="44" hidden="1">{#N/A,#N/A,FALSE,"MO (2)"}</definedName>
    <definedName name="sasa.com" localSheetId="43" hidden="1">{#N/A,#N/A,FALSE,"MO (2)"}</definedName>
    <definedName name="sasa.com" localSheetId="42" hidden="1">{#N/A,#N/A,FALSE,"MO (2)"}</definedName>
    <definedName name="sasa.com" localSheetId="21" hidden="1">{#N/A,#N/A,FALSE,"MO (2)"}</definedName>
    <definedName name="sasa.com" localSheetId="17" hidden="1">{#N/A,#N/A,FALSE,"MO (2)"}</definedName>
    <definedName name="sasa.com" localSheetId="1" hidden="1">{#N/A,#N/A,FALSE,"MO (2)"}</definedName>
    <definedName name="sasa.com" localSheetId="16" hidden="1">{#N/A,#N/A,FALSE,"MO (2)"}</definedName>
    <definedName name="sasa.com" localSheetId="26" hidden="1">{#N/A,#N/A,FALSE,"MO (2)"}</definedName>
    <definedName name="sasa.com" localSheetId="13" hidden="1">{#N/A,#N/A,FALSE,"MO (2)"}</definedName>
    <definedName name="sasa.com" localSheetId="15" hidden="1">{#N/A,#N/A,FALSE,"MO (2)"}</definedName>
    <definedName name="sasa.com" localSheetId="33" hidden="1">{#N/A,#N/A,FALSE,"MO (2)"}</definedName>
    <definedName name="sasa.com" hidden="1">{#N/A,#N/A,FALSE,"MO (2)"}</definedName>
    <definedName name="sasa.com_1" localSheetId="11" hidden="1">{#N/A,#N/A,FALSE,"MO (2)"}</definedName>
    <definedName name="sasa.com_1" localSheetId="9" hidden="1">{#N/A,#N/A,FALSE,"MO (2)"}</definedName>
    <definedName name="sasa.com_1" localSheetId="10" hidden="1">{#N/A,#N/A,FALSE,"MO (2)"}</definedName>
    <definedName name="sasa.com_1" localSheetId="8" hidden="1">{#N/A,#N/A,FALSE,"MO (2)"}</definedName>
    <definedName name="sasa.com_1" localSheetId="7" hidden="1">{#N/A,#N/A,FALSE,"MO (2)"}</definedName>
    <definedName name="sasa.com_1" localSheetId="34" hidden="1">{#N/A,#N/A,FALSE,"MO (2)"}</definedName>
    <definedName name="sasa.com_1" localSheetId="44" hidden="1">{#N/A,#N/A,FALSE,"MO (2)"}</definedName>
    <definedName name="sasa.com_1" localSheetId="43" hidden="1">{#N/A,#N/A,FALSE,"MO (2)"}</definedName>
    <definedName name="sasa.com_1" localSheetId="42" hidden="1">{#N/A,#N/A,FALSE,"MO (2)"}</definedName>
    <definedName name="sasa.com_1" localSheetId="21" hidden="1">{#N/A,#N/A,FALSE,"MO (2)"}</definedName>
    <definedName name="sasa.com_1" localSheetId="17" hidden="1">{#N/A,#N/A,FALSE,"MO (2)"}</definedName>
    <definedName name="sasa.com_1" localSheetId="1" hidden="1">{#N/A,#N/A,FALSE,"MO (2)"}</definedName>
    <definedName name="sasa.com_1" localSheetId="16" hidden="1">{#N/A,#N/A,FALSE,"MO (2)"}</definedName>
    <definedName name="sasa.com_1" localSheetId="26" hidden="1">{#N/A,#N/A,FALSE,"MO (2)"}</definedName>
    <definedName name="sasa.com_1" localSheetId="13" hidden="1">{#N/A,#N/A,FALSE,"MO (2)"}</definedName>
    <definedName name="sasa.com_1" localSheetId="15" hidden="1">{#N/A,#N/A,FALSE,"MO (2)"}</definedName>
    <definedName name="sasa.com_1" localSheetId="33" hidden="1">{#N/A,#N/A,FALSE,"MO (2)"}</definedName>
    <definedName name="sasa.com_1" hidden="1">{#N/A,#N/A,FALSE,"MO (2)"}</definedName>
    <definedName name="SASA_1" localSheetId="11" hidden="1">{#N/A,#N/A,FALSE,"MO (2)"}</definedName>
    <definedName name="SASA_1" localSheetId="9" hidden="1">{#N/A,#N/A,FALSE,"MO (2)"}</definedName>
    <definedName name="SASA_1" localSheetId="10" hidden="1">{#N/A,#N/A,FALSE,"MO (2)"}</definedName>
    <definedName name="SASA_1" localSheetId="8" hidden="1">{#N/A,#N/A,FALSE,"MO (2)"}</definedName>
    <definedName name="SASA_1" localSheetId="7" hidden="1">{#N/A,#N/A,FALSE,"MO (2)"}</definedName>
    <definedName name="SASA_1" localSheetId="34" hidden="1">{#N/A,#N/A,FALSE,"MO (2)"}</definedName>
    <definedName name="SASA_1" localSheetId="44" hidden="1">{#N/A,#N/A,FALSE,"MO (2)"}</definedName>
    <definedName name="SASA_1" localSheetId="43" hidden="1">{#N/A,#N/A,FALSE,"MO (2)"}</definedName>
    <definedName name="SASA_1" localSheetId="42" hidden="1">{#N/A,#N/A,FALSE,"MO (2)"}</definedName>
    <definedName name="SASA_1" localSheetId="21" hidden="1">{#N/A,#N/A,FALSE,"MO (2)"}</definedName>
    <definedName name="SASA_1" localSheetId="17" hidden="1">{#N/A,#N/A,FALSE,"MO (2)"}</definedName>
    <definedName name="SASA_1" localSheetId="1" hidden="1">{#N/A,#N/A,FALSE,"MO (2)"}</definedName>
    <definedName name="SASA_1" localSheetId="16" hidden="1">{#N/A,#N/A,FALSE,"MO (2)"}</definedName>
    <definedName name="SASA_1" localSheetId="26" hidden="1">{#N/A,#N/A,FALSE,"MO (2)"}</definedName>
    <definedName name="SASA_1" localSheetId="13" hidden="1">{#N/A,#N/A,FALSE,"MO (2)"}</definedName>
    <definedName name="SASA_1" localSheetId="15" hidden="1">{#N/A,#N/A,FALSE,"MO (2)"}</definedName>
    <definedName name="SASA_1" localSheetId="33" hidden="1">{#N/A,#N/A,FALSE,"MO (2)"}</definedName>
    <definedName name="SASA_1" hidden="1">{#N/A,#N/A,FALSE,"MO (2)"}</definedName>
    <definedName name="sasaasa" localSheetId="11" hidden="1">{#N/A,#N/A,FALSE,"MO (2)"}</definedName>
    <definedName name="sasaasa" localSheetId="9" hidden="1">{#N/A,#N/A,FALSE,"MO (2)"}</definedName>
    <definedName name="sasaasa" localSheetId="10" hidden="1">{#N/A,#N/A,FALSE,"MO (2)"}</definedName>
    <definedName name="sasaasa" localSheetId="8" hidden="1">{#N/A,#N/A,FALSE,"MO (2)"}</definedName>
    <definedName name="sasaasa" localSheetId="7" hidden="1">{#N/A,#N/A,FALSE,"MO (2)"}</definedName>
    <definedName name="sasaasa" localSheetId="34" hidden="1">{#N/A,#N/A,FALSE,"MO (2)"}</definedName>
    <definedName name="sasaasa" localSheetId="44" hidden="1">{#N/A,#N/A,FALSE,"MO (2)"}</definedName>
    <definedName name="sasaasa" localSheetId="43" hidden="1">{#N/A,#N/A,FALSE,"MO (2)"}</definedName>
    <definedName name="sasaasa" localSheetId="42" hidden="1">{#N/A,#N/A,FALSE,"MO (2)"}</definedName>
    <definedName name="sasaasa" localSheetId="21" hidden="1">{#N/A,#N/A,FALSE,"MO (2)"}</definedName>
    <definedName name="sasaasa" localSheetId="17" hidden="1">{#N/A,#N/A,FALSE,"MO (2)"}</definedName>
    <definedName name="sasaasa" localSheetId="1" hidden="1">{#N/A,#N/A,FALSE,"MO (2)"}</definedName>
    <definedName name="sasaasa" localSheetId="16" hidden="1">{#N/A,#N/A,FALSE,"MO (2)"}</definedName>
    <definedName name="sasaasa" localSheetId="26" hidden="1">{#N/A,#N/A,FALSE,"MO (2)"}</definedName>
    <definedName name="sasaasa" localSheetId="13" hidden="1">{#N/A,#N/A,FALSE,"MO (2)"}</definedName>
    <definedName name="sasaasa" localSheetId="15" hidden="1">{#N/A,#N/A,FALSE,"MO (2)"}</definedName>
    <definedName name="sasaasa" localSheetId="33" hidden="1">{#N/A,#N/A,FALSE,"MO (2)"}</definedName>
    <definedName name="sasaasa" hidden="1">{#N/A,#N/A,FALSE,"MO (2)"}</definedName>
    <definedName name="sasaasa_1" localSheetId="11" hidden="1">{#N/A,#N/A,FALSE,"MO (2)"}</definedName>
    <definedName name="sasaasa_1" localSheetId="9" hidden="1">{#N/A,#N/A,FALSE,"MO (2)"}</definedName>
    <definedName name="sasaasa_1" localSheetId="10" hidden="1">{#N/A,#N/A,FALSE,"MO (2)"}</definedName>
    <definedName name="sasaasa_1" localSheetId="8" hidden="1">{#N/A,#N/A,FALSE,"MO (2)"}</definedName>
    <definedName name="sasaasa_1" localSheetId="7" hidden="1">{#N/A,#N/A,FALSE,"MO (2)"}</definedName>
    <definedName name="sasaasa_1" localSheetId="34" hidden="1">{#N/A,#N/A,FALSE,"MO (2)"}</definedName>
    <definedName name="sasaasa_1" localSheetId="44" hidden="1">{#N/A,#N/A,FALSE,"MO (2)"}</definedName>
    <definedName name="sasaasa_1" localSheetId="43" hidden="1">{#N/A,#N/A,FALSE,"MO (2)"}</definedName>
    <definedName name="sasaasa_1" localSheetId="42" hidden="1">{#N/A,#N/A,FALSE,"MO (2)"}</definedName>
    <definedName name="sasaasa_1" localSheetId="21" hidden="1">{#N/A,#N/A,FALSE,"MO (2)"}</definedName>
    <definedName name="sasaasa_1" localSheetId="17" hidden="1">{#N/A,#N/A,FALSE,"MO (2)"}</definedName>
    <definedName name="sasaasa_1" localSheetId="1" hidden="1">{#N/A,#N/A,FALSE,"MO (2)"}</definedName>
    <definedName name="sasaasa_1" localSheetId="16" hidden="1">{#N/A,#N/A,FALSE,"MO (2)"}</definedName>
    <definedName name="sasaasa_1" localSheetId="26" hidden="1">{#N/A,#N/A,FALSE,"MO (2)"}</definedName>
    <definedName name="sasaasa_1" localSheetId="13" hidden="1">{#N/A,#N/A,FALSE,"MO (2)"}</definedName>
    <definedName name="sasaasa_1" localSheetId="15" hidden="1">{#N/A,#N/A,FALSE,"MO (2)"}</definedName>
    <definedName name="sasaasa_1" localSheetId="33" hidden="1">{#N/A,#N/A,FALSE,"MO (2)"}</definedName>
    <definedName name="sasaasa_1" hidden="1">{#N/A,#N/A,FALSE,"MO (2)"}</definedName>
    <definedName name="sasadasas" localSheetId="11" hidden="1">{#N/A,#N/A,FALSE,"MO (2)"}</definedName>
    <definedName name="sasadasas" localSheetId="9" hidden="1">{#N/A,#N/A,FALSE,"MO (2)"}</definedName>
    <definedName name="sasadasas" localSheetId="10" hidden="1">{#N/A,#N/A,FALSE,"MO (2)"}</definedName>
    <definedName name="sasadasas" localSheetId="8" hidden="1">{#N/A,#N/A,FALSE,"MO (2)"}</definedName>
    <definedName name="sasadasas" localSheetId="7" hidden="1">{#N/A,#N/A,FALSE,"MO (2)"}</definedName>
    <definedName name="sasadasas" localSheetId="34" hidden="1">{#N/A,#N/A,FALSE,"MO (2)"}</definedName>
    <definedName name="sasadasas" localSheetId="44" hidden="1">{#N/A,#N/A,FALSE,"MO (2)"}</definedName>
    <definedName name="sasadasas" localSheetId="43" hidden="1">{#N/A,#N/A,FALSE,"MO (2)"}</definedName>
    <definedName name="sasadasas" localSheetId="42" hidden="1">{#N/A,#N/A,FALSE,"MO (2)"}</definedName>
    <definedName name="sasadasas" localSheetId="21" hidden="1">{#N/A,#N/A,FALSE,"MO (2)"}</definedName>
    <definedName name="sasadasas" localSheetId="17" hidden="1">{#N/A,#N/A,FALSE,"MO (2)"}</definedName>
    <definedName name="sasadasas" localSheetId="1" hidden="1">{#N/A,#N/A,FALSE,"MO (2)"}</definedName>
    <definedName name="sasadasas" localSheetId="16" hidden="1">{#N/A,#N/A,FALSE,"MO (2)"}</definedName>
    <definedName name="sasadasas" localSheetId="26" hidden="1">{#N/A,#N/A,FALSE,"MO (2)"}</definedName>
    <definedName name="sasadasas" localSheetId="13" hidden="1">{#N/A,#N/A,FALSE,"MO (2)"}</definedName>
    <definedName name="sasadasas" localSheetId="15" hidden="1">{#N/A,#N/A,FALSE,"MO (2)"}</definedName>
    <definedName name="sasadasas" localSheetId="33" hidden="1">{#N/A,#N/A,FALSE,"MO (2)"}</definedName>
    <definedName name="sasadasas" hidden="1">{#N/A,#N/A,FALSE,"MO (2)"}</definedName>
    <definedName name="sasadasas_1" localSheetId="11" hidden="1">{#N/A,#N/A,FALSE,"MO (2)"}</definedName>
    <definedName name="sasadasas_1" localSheetId="9" hidden="1">{#N/A,#N/A,FALSE,"MO (2)"}</definedName>
    <definedName name="sasadasas_1" localSheetId="10" hidden="1">{#N/A,#N/A,FALSE,"MO (2)"}</definedName>
    <definedName name="sasadasas_1" localSheetId="8" hidden="1">{#N/A,#N/A,FALSE,"MO (2)"}</definedName>
    <definedName name="sasadasas_1" localSheetId="7" hidden="1">{#N/A,#N/A,FALSE,"MO (2)"}</definedName>
    <definedName name="sasadasas_1" localSheetId="34" hidden="1">{#N/A,#N/A,FALSE,"MO (2)"}</definedName>
    <definedName name="sasadasas_1" localSheetId="44" hidden="1">{#N/A,#N/A,FALSE,"MO (2)"}</definedName>
    <definedName name="sasadasas_1" localSheetId="43" hidden="1">{#N/A,#N/A,FALSE,"MO (2)"}</definedName>
    <definedName name="sasadasas_1" localSheetId="42" hidden="1">{#N/A,#N/A,FALSE,"MO (2)"}</definedName>
    <definedName name="sasadasas_1" localSheetId="21" hidden="1">{#N/A,#N/A,FALSE,"MO (2)"}</definedName>
    <definedName name="sasadasas_1" localSheetId="17" hidden="1">{#N/A,#N/A,FALSE,"MO (2)"}</definedName>
    <definedName name="sasadasas_1" localSheetId="1" hidden="1">{#N/A,#N/A,FALSE,"MO (2)"}</definedName>
    <definedName name="sasadasas_1" localSheetId="16" hidden="1">{#N/A,#N/A,FALSE,"MO (2)"}</definedName>
    <definedName name="sasadasas_1" localSheetId="26" hidden="1">{#N/A,#N/A,FALSE,"MO (2)"}</definedName>
    <definedName name="sasadasas_1" localSheetId="13" hidden="1">{#N/A,#N/A,FALSE,"MO (2)"}</definedName>
    <definedName name="sasadasas_1" localSheetId="15" hidden="1">{#N/A,#N/A,FALSE,"MO (2)"}</definedName>
    <definedName name="sasadasas_1" localSheetId="33" hidden="1">{#N/A,#N/A,FALSE,"MO (2)"}</definedName>
    <definedName name="sasadasas_1" hidden="1">{#N/A,#N/A,FALSE,"MO (2)"}</definedName>
    <definedName name="sasadefadesa" localSheetId="11" hidden="1">{#N/A,#N/A,FALSE,"MO (2)"}</definedName>
    <definedName name="sasadefadesa" localSheetId="9" hidden="1">{#N/A,#N/A,FALSE,"MO (2)"}</definedName>
    <definedName name="sasadefadesa" localSheetId="10" hidden="1">{#N/A,#N/A,FALSE,"MO (2)"}</definedName>
    <definedName name="sasadefadesa" localSheetId="8" hidden="1">{#N/A,#N/A,FALSE,"MO (2)"}</definedName>
    <definedName name="sasadefadesa" localSheetId="7" hidden="1">{#N/A,#N/A,FALSE,"MO (2)"}</definedName>
    <definedName name="sasadefadesa" localSheetId="34" hidden="1">{#N/A,#N/A,FALSE,"MO (2)"}</definedName>
    <definedName name="sasadefadesa" localSheetId="44" hidden="1">{#N/A,#N/A,FALSE,"MO (2)"}</definedName>
    <definedName name="sasadefadesa" localSheetId="43" hidden="1">{#N/A,#N/A,FALSE,"MO (2)"}</definedName>
    <definedName name="sasadefadesa" localSheetId="42" hidden="1">{#N/A,#N/A,FALSE,"MO (2)"}</definedName>
    <definedName name="sasadefadesa" localSheetId="21" hidden="1">{#N/A,#N/A,FALSE,"MO (2)"}</definedName>
    <definedName name="sasadefadesa" localSheetId="17" hidden="1">{#N/A,#N/A,FALSE,"MO (2)"}</definedName>
    <definedName name="sasadefadesa" localSheetId="1" hidden="1">{#N/A,#N/A,FALSE,"MO (2)"}</definedName>
    <definedName name="sasadefadesa" localSheetId="16" hidden="1">{#N/A,#N/A,FALSE,"MO (2)"}</definedName>
    <definedName name="sasadefadesa" localSheetId="26" hidden="1">{#N/A,#N/A,FALSE,"MO (2)"}</definedName>
    <definedName name="sasadefadesa" localSheetId="13" hidden="1">{#N/A,#N/A,FALSE,"MO (2)"}</definedName>
    <definedName name="sasadefadesa" localSheetId="15" hidden="1">{#N/A,#N/A,FALSE,"MO (2)"}</definedName>
    <definedName name="sasadefadesa" localSheetId="33" hidden="1">{#N/A,#N/A,FALSE,"MO (2)"}</definedName>
    <definedName name="sasadefadesa" hidden="1">{#N/A,#N/A,FALSE,"MO (2)"}</definedName>
    <definedName name="sasadefadesa_1" localSheetId="11" hidden="1">{#N/A,#N/A,FALSE,"MO (2)"}</definedName>
    <definedName name="sasadefadesa_1" localSheetId="9" hidden="1">{#N/A,#N/A,FALSE,"MO (2)"}</definedName>
    <definedName name="sasadefadesa_1" localSheetId="10" hidden="1">{#N/A,#N/A,FALSE,"MO (2)"}</definedName>
    <definedName name="sasadefadesa_1" localSheetId="8" hidden="1">{#N/A,#N/A,FALSE,"MO (2)"}</definedName>
    <definedName name="sasadefadesa_1" localSheetId="7" hidden="1">{#N/A,#N/A,FALSE,"MO (2)"}</definedName>
    <definedName name="sasadefadesa_1" localSheetId="34" hidden="1">{#N/A,#N/A,FALSE,"MO (2)"}</definedName>
    <definedName name="sasadefadesa_1" localSheetId="44" hidden="1">{#N/A,#N/A,FALSE,"MO (2)"}</definedName>
    <definedName name="sasadefadesa_1" localSheetId="43" hidden="1">{#N/A,#N/A,FALSE,"MO (2)"}</definedName>
    <definedName name="sasadefadesa_1" localSheetId="42" hidden="1">{#N/A,#N/A,FALSE,"MO (2)"}</definedName>
    <definedName name="sasadefadesa_1" localSheetId="21" hidden="1">{#N/A,#N/A,FALSE,"MO (2)"}</definedName>
    <definedName name="sasadefadesa_1" localSheetId="17" hidden="1">{#N/A,#N/A,FALSE,"MO (2)"}</definedName>
    <definedName name="sasadefadesa_1" localSheetId="1" hidden="1">{#N/A,#N/A,FALSE,"MO (2)"}</definedName>
    <definedName name="sasadefadesa_1" localSheetId="16" hidden="1">{#N/A,#N/A,FALSE,"MO (2)"}</definedName>
    <definedName name="sasadefadesa_1" localSheetId="26" hidden="1">{#N/A,#N/A,FALSE,"MO (2)"}</definedName>
    <definedName name="sasadefadesa_1" localSheetId="13" hidden="1">{#N/A,#N/A,FALSE,"MO (2)"}</definedName>
    <definedName name="sasadefadesa_1" localSheetId="15" hidden="1">{#N/A,#N/A,FALSE,"MO (2)"}</definedName>
    <definedName name="sasadefadesa_1" localSheetId="33" hidden="1">{#N/A,#N/A,FALSE,"MO (2)"}</definedName>
    <definedName name="sasadefadesa_1" hidden="1">{#N/A,#N/A,FALSE,"MO (2)"}</definedName>
    <definedName name="SASASA" localSheetId="11" hidden="1">{#N/A,#N/A,FALSE,"MO (2)"}</definedName>
    <definedName name="SASASA" localSheetId="9" hidden="1">{#N/A,#N/A,FALSE,"MO (2)"}</definedName>
    <definedName name="SASASA" localSheetId="10" hidden="1">{#N/A,#N/A,FALSE,"MO (2)"}</definedName>
    <definedName name="SASASA" localSheetId="8" hidden="1">{#N/A,#N/A,FALSE,"MO (2)"}</definedName>
    <definedName name="SASASA" localSheetId="7" hidden="1">{#N/A,#N/A,FALSE,"MO (2)"}</definedName>
    <definedName name="SASASA" localSheetId="34" hidden="1">{#N/A,#N/A,FALSE,"MO (2)"}</definedName>
    <definedName name="SASASA" localSheetId="44" hidden="1">{#N/A,#N/A,FALSE,"MO (2)"}</definedName>
    <definedName name="SASASA" localSheetId="43" hidden="1">{#N/A,#N/A,FALSE,"MO (2)"}</definedName>
    <definedName name="SASASA" localSheetId="42" hidden="1">{#N/A,#N/A,FALSE,"MO (2)"}</definedName>
    <definedName name="SASASA" localSheetId="21" hidden="1">{#N/A,#N/A,FALSE,"MO (2)"}</definedName>
    <definedName name="SASASA" localSheetId="15" hidden="1">{#N/A,#N/A,FALSE,"MO (2)"}</definedName>
    <definedName name="SASASA" hidden="1">{#N/A,#N/A,FALSE,"MO (2)"}</definedName>
    <definedName name="sat" localSheetId="11">#REF!</definedName>
    <definedName name="sat" localSheetId="7">#REF!</definedName>
    <definedName name="sat" localSheetId="21">#REF!</definedName>
    <definedName name="sat" localSheetId="15">#REF!</definedName>
    <definedName name="sat">#REF!</definedName>
    <definedName name="saux" localSheetId="11">#REF!</definedName>
    <definedName name="saux" localSheetId="7">#REF!</definedName>
    <definedName name="saux" localSheetId="21">#REF!</definedName>
    <definedName name="saux" localSheetId="15">#REF!</definedName>
    <definedName name="saux">#REF!</definedName>
    <definedName name="SB" localSheetId="11">#REF!</definedName>
    <definedName name="SB" localSheetId="7">#REF!</definedName>
    <definedName name="SB" localSheetId="21">#REF!</definedName>
    <definedName name="SB" localSheetId="15">#REF!</definedName>
    <definedName name="SB">#REF!</definedName>
    <definedName name="sbg" localSheetId="11">#REF!</definedName>
    <definedName name="sbg" localSheetId="7">#REF!</definedName>
    <definedName name="sbg" localSheetId="21">#REF!</definedName>
    <definedName name="sbg" localSheetId="15">#REF!</definedName>
    <definedName name="sbg">#REF!</definedName>
    <definedName name="sbg_25" localSheetId="11">#REF!</definedName>
    <definedName name="sbg_25" localSheetId="7">#REF!</definedName>
    <definedName name="sbg_25" localSheetId="21">#REF!</definedName>
    <definedName name="sbg_25" localSheetId="15">#REF!</definedName>
    <definedName name="sbg_25">#REF!</definedName>
    <definedName name="SBRP">"'file:///D:/Meus documentos/ANASTÁCIO/SERCEL/BR262990800.xls'#$SERVIÇOS.$#REF!$#REF!"</definedName>
    <definedName name="SBTC" localSheetId="11">#REF!</definedName>
    <definedName name="SBTC" localSheetId="7">#REF!</definedName>
    <definedName name="SBTC" localSheetId="21">#REF!</definedName>
    <definedName name="SBTC" localSheetId="15">#REF!</definedName>
    <definedName name="SBTC">#REF!</definedName>
    <definedName name="SBTC_25" localSheetId="11">#REF!</definedName>
    <definedName name="SBTC_25" localSheetId="7">#REF!</definedName>
    <definedName name="SBTC_25" localSheetId="21">#REF!</definedName>
    <definedName name="SBTC_25" localSheetId="15">#REF!</definedName>
    <definedName name="SBTC_25">#REF!</definedName>
    <definedName name="SCB">[44]SERVIÇOS!$G$55</definedName>
    <definedName name="SCB_13">[44]SERVIÇOS!$G$55</definedName>
    <definedName name="SCB_39">[44]SERVIÇOS!$G$55</definedName>
    <definedName name="SCB_6">[44]SERVIÇOS!$G$55</definedName>
    <definedName name="scon" localSheetId="11">#REF!</definedName>
    <definedName name="scon" localSheetId="7">#REF!</definedName>
    <definedName name="scon" localSheetId="21">#REF!</definedName>
    <definedName name="scon" localSheetId="15">#REF!</definedName>
    <definedName name="scon">#REF!</definedName>
    <definedName name="se">[96]Serviços!$A$3:$F$1403</definedName>
    <definedName name="SEG" localSheetId="11">#REF!</definedName>
    <definedName name="SEG" localSheetId="7">#REF!</definedName>
    <definedName name="SEG" localSheetId="21">#REF!</definedName>
    <definedName name="SEG" localSheetId="15">#REF!</definedName>
    <definedName name="SEG">#REF!</definedName>
    <definedName name="segm">[97]dados!$B$5</definedName>
    <definedName name="segment" localSheetId="11">#REF!</definedName>
    <definedName name="segment" localSheetId="7">#REF!</definedName>
    <definedName name="segment" localSheetId="21">#REF!</definedName>
    <definedName name="segment" localSheetId="15">#REF!</definedName>
    <definedName name="segment">#REF!</definedName>
    <definedName name="SEGMENTO">'[34]DADOS DE ENTRADA CONCORRÊNCIA'!$B$19</definedName>
    <definedName name="SELO" localSheetId="21">'[55]QUADRO 04 - PLANILHAS PREÇOS'!#REF!</definedName>
    <definedName name="SELO">'[55]QUADRO 04 - PLANILHAS PREÇOS'!#REF!</definedName>
    <definedName name="SELOA" localSheetId="21">'[55]QUADRO 04 - PLANILHAS PREÇOS'!#REF!</definedName>
    <definedName name="SELOA">'[55]QUADRO 04 - PLANILHAS PREÇOS'!#REF!</definedName>
    <definedName name="sencount" hidden="1">1</definedName>
    <definedName name="SerP">[98]Serviços!$A$3:$F$1403</definedName>
    <definedName name="SERR">[99]Serviços!$A$3:$F$1403</definedName>
    <definedName name="serv">[98]Serviços!$A$3:$F$1403</definedName>
    <definedName name="Serv_prev" localSheetId="11">#REF!</definedName>
    <definedName name="Serv_prev" localSheetId="7">#REF!</definedName>
    <definedName name="Serv_prev" localSheetId="21">#REF!</definedName>
    <definedName name="Serv_prev" localSheetId="15">#REF!</definedName>
    <definedName name="Serv_prev">#REF!</definedName>
    <definedName name="servDNER">'[20]1ExecuçServiços'!$A$9:$H$1081</definedName>
    <definedName name="servi">[98]Serviços!$A$3:$F$1403</definedName>
    <definedName name="Serviço" localSheetId="11">#REF!</definedName>
    <definedName name="Serviço" localSheetId="7">#REF!</definedName>
    <definedName name="Serviço" localSheetId="21">#REF!</definedName>
    <definedName name="Serviço" localSheetId="15">#REF!</definedName>
    <definedName name="Serviço">#REF!</definedName>
    <definedName name="serviço1" localSheetId="11">#REF!</definedName>
    <definedName name="serviço1" localSheetId="7">#REF!</definedName>
    <definedName name="serviço1" localSheetId="21">#REF!</definedName>
    <definedName name="serviço1" localSheetId="15">#REF!</definedName>
    <definedName name="serviço1">#REF!</definedName>
    <definedName name="ServiçoD">[98]Serviços!$A$3:$F$1403</definedName>
    <definedName name="Serviços" localSheetId="11">#REF!</definedName>
    <definedName name="Serviços" localSheetId="7">#REF!</definedName>
    <definedName name="Serviços" localSheetId="21">#REF!</definedName>
    <definedName name="Serviços" localSheetId="15">#REF!</definedName>
    <definedName name="Serviços">#REF!</definedName>
    <definedName name="Serviços_3">[100]Serviços!$A$3:$AF$1403</definedName>
    <definedName name="Serviços_36">[100]Serviços!$A$3:$AF$1403</definedName>
    <definedName name="SET" localSheetId="11">#REF!</definedName>
    <definedName name="SET" localSheetId="7">#REF!</definedName>
    <definedName name="SET" localSheetId="21">#REF!</definedName>
    <definedName name="SET" localSheetId="15">#REF!</definedName>
    <definedName name="SET">#REF!</definedName>
    <definedName name="SETEMBRO" localSheetId="11" hidden="1">{#N/A,#N/A,TRUE,"Serviços"}</definedName>
    <definedName name="SETEMBRO" localSheetId="9" hidden="1">{#N/A,#N/A,TRUE,"Serviços"}</definedName>
    <definedName name="SETEMBRO" localSheetId="10" hidden="1">{#N/A,#N/A,TRUE,"Serviços"}</definedName>
    <definedName name="SETEMBRO" localSheetId="8" hidden="1">{#N/A,#N/A,TRUE,"Serviços"}</definedName>
    <definedName name="SETEMBRO" localSheetId="7" hidden="1">{#N/A,#N/A,TRUE,"Serviços"}</definedName>
    <definedName name="SETEMBRO" localSheetId="34" hidden="1">{#N/A,#N/A,TRUE,"Serviços"}</definedName>
    <definedName name="SETEMBRO" localSheetId="44" hidden="1">{#N/A,#N/A,TRUE,"Serviços"}</definedName>
    <definedName name="SETEMBRO" localSheetId="43" hidden="1">{#N/A,#N/A,TRUE,"Serviços"}</definedName>
    <definedName name="SETEMBRO" localSheetId="42" hidden="1">{#N/A,#N/A,TRUE,"Serviços"}</definedName>
    <definedName name="SETEMBRO" localSheetId="21" hidden="1">{#N/A,#N/A,TRUE,"Serviços"}</definedName>
    <definedName name="SETEMBRO" localSheetId="15" hidden="1">{#N/A,#N/A,TRUE,"Serviços"}</definedName>
    <definedName name="SETEMBRO" hidden="1">{#N/A,#N/A,TRUE,"Serviços"}</definedName>
    <definedName name="SEV.CON" localSheetId="11">#REF!</definedName>
    <definedName name="SEV.CON" localSheetId="7">#REF!</definedName>
    <definedName name="SEV.CON" localSheetId="21">#REF!</definedName>
    <definedName name="SEV.CON" localSheetId="15">#REF!</definedName>
    <definedName name="SEV.CON">#REF!</definedName>
    <definedName name="SEV.EM" localSheetId="11">#REF!</definedName>
    <definedName name="SEV.EM" localSheetId="7">#REF!</definedName>
    <definedName name="SEV.EM" localSheetId="21">#REF!</definedName>
    <definedName name="SEV.EM" localSheetId="15">#REF!</definedName>
    <definedName name="SEV.EM">#REF!</definedName>
    <definedName name="sfsfsfs" localSheetId="11" hidden="1">{#N/A,#N/A,FALSE,"MO (2)"}</definedName>
    <definedName name="sfsfsfs" localSheetId="9" hidden="1">{#N/A,#N/A,FALSE,"MO (2)"}</definedName>
    <definedName name="sfsfsfs" localSheetId="10" hidden="1">{#N/A,#N/A,FALSE,"MO (2)"}</definedName>
    <definedName name="sfsfsfs" localSheetId="8" hidden="1">{#N/A,#N/A,FALSE,"MO (2)"}</definedName>
    <definedName name="sfsfsfs" localSheetId="7" hidden="1">{#N/A,#N/A,FALSE,"MO (2)"}</definedName>
    <definedName name="sfsfsfs" localSheetId="34" hidden="1">{#N/A,#N/A,FALSE,"MO (2)"}</definedName>
    <definedName name="sfsfsfs" localSheetId="44" hidden="1">{#N/A,#N/A,FALSE,"MO (2)"}</definedName>
    <definedName name="sfsfsfs" localSheetId="43" hidden="1">{#N/A,#N/A,FALSE,"MO (2)"}</definedName>
    <definedName name="sfsfsfs" localSheetId="42" hidden="1">{#N/A,#N/A,FALSE,"MO (2)"}</definedName>
    <definedName name="sfsfsfs" localSheetId="21" hidden="1">{#N/A,#N/A,FALSE,"MO (2)"}</definedName>
    <definedName name="sfsfsfs" localSheetId="15" hidden="1">{#N/A,#N/A,FALSE,"MO (2)"}</definedName>
    <definedName name="sfsfsfs" localSheetId="33" hidden="1">{#N/A,#N/A,FALSE,"MO (2)"}</definedName>
    <definedName name="sfsfsfs" hidden="1">{#N/A,#N/A,FALSE,"MO (2)"}</definedName>
    <definedName name="SG_01_01" localSheetId="11">#REF!</definedName>
    <definedName name="SG_01_01" localSheetId="7">#REF!</definedName>
    <definedName name="SG_01_01" localSheetId="21">#REF!</definedName>
    <definedName name="SG_01_01" localSheetId="15">#REF!</definedName>
    <definedName name="SG_01_01">#REF!</definedName>
    <definedName name="SG_01_02" localSheetId="11">#REF!</definedName>
    <definedName name="SG_01_02" localSheetId="7">#REF!</definedName>
    <definedName name="SG_01_02" localSheetId="21">#REF!</definedName>
    <definedName name="SG_01_02" localSheetId="15">#REF!</definedName>
    <definedName name="SG_01_02">#REF!</definedName>
    <definedName name="SG_01_03" localSheetId="11">#REF!</definedName>
    <definedName name="SG_01_03" localSheetId="7">#REF!</definedName>
    <definedName name="SG_01_03" localSheetId="21">#REF!</definedName>
    <definedName name="SG_01_03" localSheetId="15">#REF!</definedName>
    <definedName name="SG_01_03">#REF!</definedName>
    <definedName name="SG_01_04" localSheetId="11">#REF!</definedName>
    <definedName name="SG_01_04" localSheetId="7">#REF!</definedName>
    <definedName name="SG_01_04" localSheetId="21">#REF!</definedName>
    <definedName name="SG_01_04" localSheetId="15">#REF!</definedName>
    <definedName name="SG_01_04">#REF!</definedName>
    <definedName name="SG_01_05" localSheetId="11">#REF!</definedName>
    <definedName name="SG_01_05" localSheetId="7">#REF!</definedName>
    <definedName name="SG_01_05" localSheetId="21">#REF!</definedName>
    <definedName name="SG_01_05" localSheetId="15">#REF!</definedName>
    <definedName name="SG_01_05">#REF!</definedName>
    <definedName name="SG_01_06" localSheetId="11">#REF!</definedName>
    <definedName name="SG_01_06" localSheetId="7">#REF!</definedName>
    <definedName name="SG_01_06" localSheetId="21">#REF!</definedName>
    <definedName name="SG_01_06" localSheetId="15">#REF!</definedName>
    <definedName name="SG_01_06">#REF!</definedName>
    <definedName name="SG_01_07" localSheetId="11">#REF!</definedName>
    <definedName name="SG_01_07" localSheetId="7">#REF!</definedName>
    <definedName name="SG_01_07" localSheetId="21">#REF!</definedName>
    <definedName name="SG_01_07" localSheetId="15">#REF!</definedName>
    <definedName name="SG_01_07">#REF!</definedName>
    <definedName name="SG_01_08" localSheetId="11">#REF!</definedName>
    <definedName name="SG_01_08" localSheetId="7">#REF!</definedName>
    <definedName name="SG_01_08" localSheetId="21">#REF!</definedName>
    <definedName name="SG_01_08" localSheetId="15">#REF!</definedName>
    <definedName name="SG_01_08">#REF!</definedName>
    <definedName name="SG_01_09" localSheetId="11">#REF!</definedName>
    <definedName name="SG_01_09" localSheetId="7">#REF!</definedName>
    <definedName name="SG_01_09" localSheetId="21">#REF!</definedName>
    <definedName name="SG_01_09" localSheetId="15">#REF!</definedName>
    <definedName name="SG_01_09">#REF!</definedName>
    <definedName name="SG_01_10" localSheetId="11">#REF!</definedName>
    <definedName name="SG_01_10" localSheetId="7">#REF!</definedName>
    <definedName name="SG_01_10" localSheetId="21">#REF!</definedName>
    <definedName name="SG_01_10" localSheetId="15">#REF!</definedName>
    <definedName name="SG_01_10">#REF!</definedName>
    <definedName name="SG_01_11" localSheetId="11">#REF!</definedName>
    <definedName name="SG_01_11" localSheetId="7">#REF!</definedName>
    <definedName name="SG_01_11" localSheetId="21">#REF!</definedName>
    <definedName name="SG_01_11" localSheetId="15">#REF!</definedName>
    <definedName name="SG_01_11">#REF!</definedName>
    <definedName name="SG_01_12" localSheetId="11">#REF!</definedName>
    <definedName name="SG_01_12" localSheetId="7">#REF!</definedName>
    <definedName name="SG_01_12" localSheetId="21">#REF!</definedName>
    <definedName name="SG_01_12" localSheetId="15">#REF!</definedName>
    <definedName name="SG_01_12">#REF!</definedName>
    <definedName name="SG_01_13" localSheetId="11">#REF!</definedName>
    <definedName name="SG_01_13" localSheetId="7">#REF!</definedName>
    <definedName name="SG_01_13" localSheetId="21">#REF!</definedName>
    <definedName name="SG_01_13" localSheetId="15">#REF!</definedName>
    <definedName name="SG_01_13">#REF!</definedName>
    <definedName name="SG_01_14" localSheetId="11">#REF!</definedName>
    <definedName name="SG_01_14" localSheetId="7">#REF!</definedName>
    <definedName name="SG_01_14" localSheetId="21">#REF!</definedName>
    <definedName name="SG_01_14" localSheetId="15">#REF!</definedName>
    <definedName name="SG_01_14">#REF!</definedName>
    <definedName name="SG_01_15" localSheetId="11">#REF!</definedName>
    <definedName name="SG_01_15" localSheetId="7">#REF!</definedName>
    <definedName name="SG_01_15" localSheetId="21">#REF!</definedName>
    <definedName name="SG_01_15" localSheetId="15">#REF!</definedName>
    <definedName name="SG_01_15">#REF!</definedName>
    <definedName name="SG_01_16" localSheetId="11">#REF!</definedName>
    <definedName name="SG_01_16" localSheetId="7">#REF!</definedName>
    <definedName name="SG_01_16" localSheetId="21">#REF!</definedName>
    <definedName name="SG_01_16" localSheetId="15">#REF!</definedName>
    <definedName name="SG_01_16">#REF!</definedName>
    <definedName name="SG_01_17" localSheetId="11">#REF!</definedName>
    <definedName name="SG_01_17" localSheetId="7">#REF!</definedName>
    <definedName name="SG_01_17" localSheetId="21">#REF!</definedName>
    <definedName name="SG_01_17" localSheetId="15">#REF!</definedName>
    <definedName name="SG_01_17">#REF!</definedName>
    <definedName name="SG_01_18" localSheetId="11">#REF!</definedName>
    <definedName name="SG_01_18" localSheetId="7">#REF!</definedName>
    <definedName name="SG_01_18" localSheetId="21">#REF!</definedName>
    <definedName name="SG_01_18" localSheetId="15">#REF!</definedName>
    <definedName name="SG_01_18">#REF!</definedName>
    <definedName name="SG_01_19" localSheetId="11">#REF!</definedName>
    <definedName name="SG_01_19" localSheetId="7">#REF!</definedName>
    <definedName name="SG_01_19" localSheetId="21">#REF!</definedName>
    <definedName name="SG_01_19" localSheetId="15">#REF!</definedName>
    <definedName name="SG_01_19">#REF!</definedName>
    <definedName name="SG_01_20" localSheetId="11">#REF!</definedName>
    <definedName name="SG_01_20" localSheetId="7">#REF!</definedName>
    <definedName name="SG_01_20" localSheetId="21">#REF!</definedName>
    <definedName name="SG_01_20" localSheetId="15">#REF!</definedName>
    <definedName name="SG_01_20">#REF!</definedName>
    <definedName name="SG_01_21" localSheetId="11">#REF!</definedName>
    <definedName name="SG_01_21" localSheetId="7">#REF!</definedName>
    <definedName name="SG_01_21" localSheetId="21">#REF!</definedName>
    <definedName name="SG_01_21" localSheetId="15">#REF!</definedName>
    <definedName name="SG_01_21">#REF!</definedName>
    <definedName name="SG_01_22" localSheetId="11">#REF!</definedName>
    <definedName name="SG_01_22" localSheetId="7">#REF!</definedName>
    <definedName name="SG_01_22" localSheetId="21">#REF!</definedName>
    <definedName name="SG_01_22" localSheetId="15">#REF!</definedName>
    <definedName name="SG_01_22">#REF!</definedName>
    <definedName name="SG_01_23" localSheetId="11">#REF!</definedName>
    <definedName name="SG_01_23" localSheetId="7">#REF!</definedName>
    <definedName name="SG_01_23" localSheetId="21">#REF!</definedName>
    <definedName name="SG_01_23" localSheetId="15">#REF!</definedName>
    <definedName name="SG_01_23">#REF!</definedName>
    <definedName name="SG_01_24" localSheetId="11">#REF!</definedName>
    <definedName name="SG_01_24" localSheetId="7">#REF!</definedName>
    <definedName name="SG_01_24" localSheetId="21">#REF!</definedName>
    <definedName name="SG_01_24" localSheetId="15">#REF!</definedName>
    <definedName name="SG_01_24">#REF!</definedName>
    <definedName name="SG_01_25" localSheetId="11">#REF!</definedName>
    <definedName name="SG_01_25" localSheetId="7">#REF!</definedName>
    <definedName name="SG_01_25" localSheetId="21">#REF!</definedName>
    <definedName name="SG_01_25" localSheetId="15">#REF!</definedName>
    <definedName name="SG_01_25">#REF!</definedName>
    <definedName name="SG_02_01" localSheetId="11">#REF!</definedName>
    <definedName name="SG_02_01" localSheetId="7">#REF!</definedName>
    <definedName name="SG_02_01" localSheetId="21">#REF!</definedName>
    <definedName name="SG_02_01" localSheetId="15">#REF!</definedName>
    <definedName name="SG_02_01">#REF!</definedName>
    <definedName name="SG_02_02" localSheetId="11">#REF!</definedName>
    <definedName name="SG_02_02" localSheetId="7">#REF!</definedName>
    <definedName name="SG_02_02" localSheetId="21">#REF!</definedName>
    <definedName name="SG_02_02" localSheetId="15">#REF!</definedName>
    <definedName name="SG_02_02">#REF!</definedName>
    <definedName name="SG_02_03" localSheetId="11">#REF!</definedName>
    <definedName name="SG_02_03" localSheetId="7">#REF!</definedName>
    <definedName name="SG_02_03" localSheetId="21">#REF!</definedName>
    <definedName name="SG_02_03" localSheetId="15">#REF!</definedName>
    <definedName name="SG_02_03">#REF!</definedName>
    <definedName name="SG_02_04" localSheetId="11">#REF!</definedName>
    <definedName name="SG_02_04" localSheetId="7">#REF!</definedName>
    <definedName name="SG_02_04" localSheetId="21">#REF!</definedName>
    <definedName name="SG_02_04" localSheetId="15">#REF!</definedName>
    <definedName name="SG_02_04">#REF!</definedName>
    <definedName name="SG_02_05" localSheetId="11">#REF!</definedName>
    <definedName name="SG_02_05" localSheetId="7">#REF!</definedName>
    <definedName name="SG_02_05" localSheetId="21">#REF!</definedName>
    <definedName name="SG_02_05" localSheetId="15">#REF!</definedName>
    <definedName name="SG_02_05">#REF!</definedName>
    <definedName name="SG_02_06" localSheetId="11">#REF!</definedName>
    <definedName name="SG_02_06" localSheetId="7">#REF!</definedName>
    <definedName name="SG_02_06" localSheetId="21">#REF!</definedName>
    <definedName name="SG_02_06" localSheetId="15">#REF!</definedName>
    <definedName name="SG_02_06">#REF!</definedName>
    <definedName name="SG_02_07" localSheetId="11">#REF!</definedName>
    <definedName name="SG_02_07" localSheetId="7">#REF!</definedName>
    <definedName name="SG_02_07" localSheetId="21">#REF!</definedName>
    <definedName name="SG_02_07" localSheetId="15">#REF!</definedName>
    <definedName name="SG_02_07">#REF!</definedName>
    <definedName name="SG_02_08" localSheetId="11">#REF!</definedName>
    <definedName name="SG_02_08" localSheetId="7">#REF!</definedName>
    <definedName name="SG_02_08" localSheetId="21">#REF!</definedName>
    <definedName name="SG_02_08" localSheetId="15">#REF!</definedName>
    <definedName name="SG_02_08">#REF!</definedName>
    <definedName name="SG_02_09" localSheetId="11">#REF!</definedName>
    <definedName name="SG_02_09" localSheetId="7">#REF!</definedName>
    <definedName name="SG_02_09" localSheetId="21">#REF!</definedName>
    <definedName name="SG_02_09" localSheetId="15">#REF!</definedName>
    <definedName name="SG_02_09">#REF!</definedName>
    <definedName name="SG_02_10" localSheetId="11">#REF!</definedName>
    <definedName name="SG_02_10" localSheetId="7">#REF!</definedName>
    <definedName name="SG_02_10" localSheetId="21">#REF!</definedName>
    <definedName name="SG_02_10" localSheetId="15">#REF!</definedName>
    <definedName name="SG_02_10">#REF!</definedName>
    <definedName name="SG_02_11" localSheetId="11">#REF!</definedName>
    <definedName name="SG_02_11" localSheetId="7">#REF!</definedName>
    <definedName name="SG_02_11" localSheetId="21">#REF!</definedName>
    <definedName name="SG_02_11" localSheetId="15">#REF!</definedName>
    <definedName name="SG_02_11">#REF!</definedName>
    <definedName name="SG_02_12" localSheetId="11">#REF!</definedName>
    <definedName name="SG_02_12" localSheetId="7">#REF!</definedName>
    <definedName name="SG_02_12" localSheetId="21">#REF!</definedName>
    <definedName name="SG_02_12" localSheetId="15">#REF!</definedName>
    <definedName name="SG_02_12">#REF!</definedName>
    <definedName name="SG_02_13" localSheetId="11">#REF!</definedName>
    <definedName name="SG_02_13" localSheetId="7">#REF!</definedName>
    <definedName name="SG_02_13" localSheetId="21">#REF!</definedName>
    <definedName name="SG_02_13" localSheetId="15">#REF!</definedName>
    <definedName name="SG_02_13">#REF!</definedName>
    <definedName name="SG_02_14" localSheetId="11">#REF!</definedName>
    <definedName name="SG_02_14" localSheetId="7">#REF!</definedName>
    <definedName name="SG_02_14" localSheetId="21">#REF!</definedName>
    <definedName name="SG_02_14" localSheetId="15">#REF!</definedName>
    <definedName name="SG_02_14">#REF!</definedName>
    <definedName name="SG_02_15" localSheetId="11">#REF!</definedName>
    <definedName name="SG_02_15" localSheetId="7">#REF!</definedName>
    <definedName name="SG_02_15" localSheetId="21">#REF!</definedName>
    <definedName name="SG_02_15" localSheetId="15">#REF!</definedName>
    <definedName name="SG_02_15">#REF!</definedName>
    <definedName name="SG_02_16" localSheetId="11">#REF!</definedName>
    <definedName name="SG_02_16" localSheetId="7">#REF!</definedName>
    <definedName name="SG_02_16" localSheetId="21">#REF!</definedName>
    <definedName name="SG_02_16" localSheetId="15">#REF!</definedName>
    <definedName name="SG_02_16">#REF!</definedName>
    <definedName name="SG_02_17" localSheetId="11">#REF!</definedName>
    <definedName name="SG_02_17" localSheetId="7">#REF!</definedName>
    <definedName name="SG_02_17" localSheetId="21">#REF!</definedName>
    <definedName name="SG_02_17" localSheetId="15">#REF!</definedName>
    <definedName name="SG_02_17">#REF!</definedName>
    <definedName name="SG_02_18" localSheetId="11">#REF!</definedName>
    <definedName name="SG_02_18" localSheetId="7">#REF!</definedName>
    <definedName name="SG_02_18" localSheetId="21">#REF!</definedName>
    <definedName name="SG_02_18" localSheetId="15">#REF!</definedName>
    <definedName name="SG_02_18">#REF!</definedName>
    <definedName name="SG_02_19" localSheetId="11">#REF!</definedName>
    <definedName name="SG_02_19" localSheetId="7">#REF!</definedName>
    <definedName name="SG_02_19" localSheetId="21">#REF!</definedName>
    <definedName name="SG_02_19" localSheetId="15">#REF!</definedName>
    <definedName name="SG_02_19">#REF!</definedName>
    <definedName name="SG_02_20" localSheetId="11">#REF!</definedName>
    <definedName name="SG_02_20" localSheetId="7">#REF!</definedName>
    <definedName name="SG_02_20" localSheetId="21">#REF!</definedName>
    <definedName name="SG_02_20" localSheetId="15">#REF!</definedName>
    <definedName name="SG_02_20">#REF!</definedName>
    <definedName name="SG_02_21" localSheetId="11">#REF!</definedName>
    <definedName name="SG_02_21" localSheetId="7">#REF!</definedName>
    <definedName name="SG_02_21" localSheetId="21">#REF!</definedName>
    <definedName name="SG_02_21" localSheetId="15">#REF!</definedName>
    <definedName name="SG_02_21">#REF!</definedName>
    <definedName name="SG_02_22" localSheetId="11">#REF!</definedName>
    <definedName name="SG_02_22" localSheetId="7">#REF!</definedName>
    <definedName name="SG_02_22" localSheetId="21">#REF!</definedName>
    <definedName name="SG_02_22" localSheetId="15">#REF!</definedName>
    <definedName name="SG_02_22">#REF!</definedName>
    <definedName name="SG_02_23" localSheetId="11">#REF!</definedName>
    <definedName name="SG_02_23" localSheetId="7">#REF!</definedName>
    <definedName name="SG_02_23" localSheetId="21">#REF!</definedName>
    <definedName name="SG_02_23" localSheetId="15">#REF!</definedName>
    <definedName name="SG_02_23">#REF!</definedName>
    <definedName name="SG_02_24" localSheetId="11">#REF!</definedName>
    <definedName name="SG_02_24" localSheetId="7">#REF!</definedName>
    <definedName name="SG_02_24" localSheetId="21">#REF!</definedName>
    <definedName name="SG_02_24" localSheetId="15">#REF!</definedName>
    <definedName name="SG_02_24">#REF!</definedName>
    <definedName name="SG_02_25" localSheetId="11">#REF!</definedName>
    <definedName name="SG_02_25" localSheetId="7">#REF!</definedName>
    <definedName name="SG_02_25" localSheetId="21">#REF!</definedName>
    <definedName name="SG_02_25" localSheetId="15">#REF!</definedName>
    <definedName name="SG_02_25">#REF!</definedName>
    <definedName name="SG_03_01" localSheetId="11">#REF!</definedName>
    <definedName name="SG_03_01" localSheetId="7">#REF!</definedName>
    <definedName name="SG_03_01" localSheetId="21">#REF!</definedName>
    <definedName name="SG_03_01" localSheetId="15">#REF!</definedName>
    <definedName name="SG_03_01">#REF!</definedName>
    <definedName name="SG_03_02" localSheetId="11">#REF!</definedName>
    <definedName name="SG_03_02" localSheetId="7">#REF!</definedName>
    <definedName name="SG_03_02" localSheetId="21">#REF!</definedName>
    <definedName name="SG_03_02" localSheetId="15">#REF!</definedName>
    <definedName name="SG_03_02">#REF!</definedName>
    <definedName name="SG_03_03" localSheetId="11">#REF!</definedName>
    <definedName name="SG_03_03" localSheetId="7">#REF!</definedName>
    <definedName name="SG_03_03" localSheetId="21">#REF!</definedName>
    <definedName name="SG_03_03" localSheetId="15">#REF!</definedName>
    <definedName name="SG_03_03">#REF!</definedName>
    <definedName name="SG_03_04" localSheetId="11">#REF!</definedName>
    <definedName name="SG_03_04" localSheetId="7">#REF!</definedName>
    <definedName name="SG_03_04" localSheetId="21">#REF!</definedName>
    <definedName name="SG_03_04" localSheetId="15">#REF!</definedName>
    <definedName name="SG_03_04">#REF!</definedName>
    <definedName name="SG_03_05" localSheetId="11">#REF!</definedName>
    <definedName name="SG_03_05" localSheetId="7">#REF!</definedName>
    <definedName name="SG_03_05" localSheetId="21">#REF!</definedName>
    <definedName name="SG_03_05" localSheetId="15">#REF!</definedName>
    <definedName name="SG_03_05">#REF!</definedName>
    <definedName name="SG_03_06" localSheetId="11">#REF!</definedName>
    <definedName name="SG_03_06" localSheetId="7">#REF!</definedName>
    <definedName name="SG_03_06" localSheetId="21">#REF!</definedName>
    <definedName name="SG_03_06" localSheetId="15">#REF!</definedName>
    <definedName name="SG_03_06">#REF!</definedName>
    <definedName name="SG_03_07" localSheetId="11">#REF!</definedName>
    <definedName name="SG_03_07" localSheetId="7">#REF!</definedName>
    <definedName name="SG_03_07" localSheetId="21">#REF!</definedName>
    <definedName name="SG_03_07" localSheetId="15">#REF!</definedName>
    <definedName name="SG_03_07">#REF!</definedName>
    <definedName name="SG_03_08" localSheetId="11">#REF!</definedName>
    <definedName name="SG_03_08" localSheetId="7">#REF!</definedName>
    <definedName name="SG_03_08" localSheetId="21">#REF!</definedName>
    <definedName name="SG_03_08" localSheetId="15">#REF!</definedName>
    <definedName name="SG_03_08">#REF!</definedName>
    <definedName name="SG_03_09" localSheetId="11">#REF!</definedName>
    <definedName name="SG_03_09" localSheetId="7">#REF!</definedName>
    <definedName name="SG_03_09" localSheetId="21">#REF!</definedName>
    <definedName name="SG_03_09" localSheetId="15">#REF!</definedName>
    <definedName name="SG_03_09">#REF!</definedName>
    <definedName name="SG_03_10" localSheetId="11">#REF!</definedName>
    <definedName name="SG_03_10" localSheetId="7">#REF!</definedName>
    <definedName name="SG_03_10" localSheetId="21">#REF!</definedName>
    <definedName name="SG_03_10" localSheetId="15">#REF!</definedName>
    <definedName name="SG_03_10">#REF!</definedName>
    <definedName name="SG_03_11" localSheetId="11">#REF!</definedName>
    <definedName name="SG_03_11" localSheetId="7">#REF!</definedName>
    <definedName name="SG_03_11" localSheetId="21">#REF!</definedName>
    <definedName name="SG_03_11" localSheetId="15">#REF!</definedName>
    <definedName name="SG_03_11">#REF!</definedName>
    <definedName name="SG_03_12" localSheetId="11">#REF!</definedName>
    <definedName name="SG_03_12" localSheetId="7">#REF!</definedName>
    <definedName name="SG_03_12" localSheetId="21">#REF!</definedName>
    <definedName name="SG_03_12" localSheetId="15">#REF!</definedName>
    <definedName name="SG_03_12">#REF!</definedName>
    <definedName name="SG_03_13" localSheetId="11">#REF!</definedName>
    <definedName name="SG_03_13" localSheetId="7">#REF!</definedName>
    <definedName name="SG_03_13" localSheetId="21">#REF!</definedName>
    <definedName name="SG_03_13" localSheetId="15">#REF!</definedName>
    <definedName name="SG_03_13">#REF!</definedName>
    <definedName name="SG_03_14" localSheetId="11">#REF!</definedName>
    <definedName name="SG_03_14" localSheetId="7">#REF!</definedName>
    <definedName name="SG_03_14" localSheetId="21">#REF!</definedName>
    <definedName name="SG_03_14" localSheetId="15">#REF!</definedName>
    <definedName name="SG_03_14">#REF!</definedName>
    <definedName name="SG_03_15" localSheetId="11">#REF!</definedName>
    <definedName name="SG_03_15" localSheetId="7">#REF!</definedName>
    <definedName name="SG_03_15" localSheetId="21">#REF!</definedName>
    <definedName name="SG_03_15" localSheetId="15">#REF!</definedName>
    <definedName name="SG_03_15">#REF!</definedName>
    <definedName name="SG_03_16" localSheetId="11">#REF!</definedName>
    <definedName name="SG_03_16" localSheetId="7">#REF!</definedName>
    <definedName name="SG_03_16" localSheetId="21">#REF!</definedName>
    <definedName name="SG_03_16" localSheetId="15">#REF!</definedName>
    <definedName name="SG_03_16">#REF!</definedName>
    <definedName name="SG_03_17" localSheetId="11">#REF!</definedName>
    <definedName name="SG_03_17" localSheetId="7">#REF!</definedName>
    <definedName name="SG_03_17" localSheetId="21">#REF!</definedName>
    <definedName name="SG_03_17" localSheetId="15">#REF!</definedName>
    <definedName name="SG_03_17">#REF!</definedName>
    <definedName name="SG_03_18" localSheetId="11">#REF!</definedName>
    <definedName name="SG_03_18" localSheetId="7">#REF!</definedName>
    <definedName name="SG_03_18" localSheetId="21">#REF!</definedName>
    <definedName name="SG_03_18" localSheetId="15">#REF!</definedName>
    <definedName name="SG_03_18">#REF!</definedName>
    <definedName name="SG_03_19" localSheetId="11">#REF!</definedName>
    <definedName name="SG_03_19" localSheetId="7">#REF!</definedName>
    <definedName name="SG_03_19" localSheetId="21">#REF!</definedName>
    <definedName name="SG_03_19" localSheetId="15">#REF!</definedName>
    <definedName name="SG_03_19">#REF!</definedName>
    <definedName name="SG_03_20" localSheetId="11">#REF!</definedName>
    <definedName name="SG_03_20" localSheetId="7">#REF!</definedName>
    <definedName name="SG_03_20" localSheetId="21">#REF!</definedName>
    <definedName name="SG_03_20" localSheetId="15">#REF!</definedName>
    <definedName name="SG_03_20">#REF!</definedName>
    <definedName name="SG_03_21" localSheetId="11">#REF!</definedName>
    <definedName name="SG_03_21" localSheetId="7">#REF!</definedName>
    <definedName name="SG_03_21" localSheetId="21">#REF!</definedName>
    <definedName name="SG_03_21" localSheetId="15">#REF!</definedName>
    <definedName name="SG_03_21">#REF!</definedName>
    <definedName name="SG_03_22" localSheetId="11">#REF!</definedName>
    <definedName name="SG_03_22" localSheetId="7">#REF!</definedName>
    <definedName name="SG_03_22" localSheetId="21">#REF!</definedName>
    <definedName name="SG_03_22" localSheetId="15">#REF!</definedName>
    <definedName name="SG_03_22">#REF!</definedName>
    <definedName name="SG_03_23" localSheetId="11">#REF!</definedName>
    <definedName name="SG_03_23" localSheetId="7">#REF!</definedName>
    <definedName name="SG_03_23" localSheetId="21">#REF!</definedName>
    <definedName name="SG_03_23" localSheetId="15">#REF!</definedName>
    <definedName name="SG_03_23">#REF!</definedName>
    <definedName name="SG_03_24" localSheetId="11">#REF!</definedName>
    <definedName name="SG_03_24" localSheetId="7">#REF!</definedName>
    <definedName name="SG_03_24" localSheetId="21">#REF!</definedName>
    <definedName name="SG_03_24" localSheetId="15">#REF!</definedName>
    <definedName name="SG_03_24">#REF!</definedName>
    <definedName name="SG_03_25" localSheetId="11">#REF!</definedName>
    <definedName name="SG_03_25" localSheetId="7">#REF!</definedName>
    <definedName name="SG_03_25" localSheetId="21">#REF!</definedName>
    <definedName name="SG_03_25" localSheetId="15">#REF!</definedName>
    <definedName name="SG_03_25">#REF!</definedName>
    <definedName name="SG_04_01" localSheetId="11">#REF!</definedName>
    <definedName name="SG_04_01" localSheetId="7">#REF!</definedName>
    <definedName name="SG_04_01" localSheetId="21">#REF!</definedName>
    <definedName name="SG_04_01" localSheetId="15">#REF!</definedName>
    <definedName name="SG_04_01">#REF!</definedName>
    <definedName name="SG_04_02" localSheetId="11">#REF!</definedName>
    <definedName name="SG_04_02" localSheetId="7">#REF!</definedName>
    <definedName name="SG_04_02" localSheetId="21">#REF!</definedName>
    <definedName name="SG_04_02" localSheetId="15">#REF!</definedName>
    <definedName name="SG_04_02">#REF!</definedName>
    <definedName name="SG_04_03" localSheetId="11">#REF!</definedName>
    <definedName name="SG_04_03" localSheetId="7">#REF!</definedName>
    <definedName name="SG_04_03" localSheetId="21">#REF!</definedName>
    <definedName name="SG_04_03" localSheetId="15">#REF!</definedName>
    <definedName name="SG_04_03">#REF!</definedName>
    <definedName name="SG_04_04" localSheetId="11">#REF!</definedName>
    <definedName name="SG_04_04" localSheetId="7">#REF!</definedName>
    <definedName name="SG_04_04" localSheetId="21">#REF!</definedName>
    <definedName name="SG_04_04" localSheetId="15">#REF!</definedName>
    <definedName name="SG_04_04">#REF!</definedName>
    <definedName name="SG_04_05" localSheetId="11">#REF!</definedName>
    <definedName name="SG_04_05" localSheetId="7">#REF!</definedName>
    <definedName name="SG_04_05" localSheetId="21">#REF!</definedName>
    <definedName name="SG_04_05" localSheetId="15">#REF!</definedName>
    <definedName name="SG_04_05">#REF!</definedName>
    <definedName name="SG_04_06" localSheetId="11">#REF!</definedName>
    <definedName name="SG_04_06" localSheetId="7">#REF!</definedName>
    <definedName name="SG_04_06" localSheetId="21">#REF!</definedName>
    <definedName name="SG_04_06" localSheetId="15">#REF!</definedName>
    <definedName name="SG_04_06">#REF!</definedName>
    <definedName name="SG_04_07" localSheetId="11">#REF!</definedName>
    <definedName name="SG_04_07" localSheetId="7">#REF!</definedName>
    <definedName name="SG_04_07" localSheetId="21">#REF!</definedName>
    <definedName name="SG_04_07" localSheetId="15">#REF!</definedName>
    <definedName name="SG_04_07">#REF!</definedName>
    <definedName name="SG_04_08" localSheetId="11">#REF!</definedName>
    <definedName name="SG_04_08" localSheetId="7">#REF!</definedName>
    <definedName name="SG_04_08" localSheetId="21">#REF!</definedName>
    <definedName name="SG_04_08" localSheetId="15">#REF!</definedName>
    <definedName name="SG_04_08">#REF!</definedName>
    <definedName name="SG_04_09" localSheetId="11">#REF!</definedName>
    <definedName name="SG_04_09" localSheetId="7">#REF!</definedName>
    <definedName name="SG_04_09" localSheetId="21">#REF!</definedName>
    <definedName name="SG_04_09" localSheetId="15">#REF!</definedName>
    <definedName name="SG_04_09">#REF!</definedName>
    <definedName name="SG_04_10" localSheetId="11">#REF!</definedName>
    <definedName name="SG_04_10" localSheetId="7">#REF!</definedName>
    <definedName name="SG_04_10" localSheetId="21">#REF!</definedName>
    <definedName name="SG_04_10" localSheetId="15">#REF!</definedName>
    <definedName name="SG_04_10">#REF!</definedName>
    <definedName name="SG_04_11" localSheetId="11">#REF!</definedName>
    <definedName name="SG_04_11" localSheetId="7">#REF!</definedName>
    <definedName name="SG_04_11" localSheetId="21">#REF!</definedName>
    <definedName name="SG_04_11" localSheetId="15">#REF!</definedName>
    <definedName name="SG_04_11">#REF!</definedName>
    <definedName name="SG_04_12" localSheetId="11">#REF!</definedName>
    <definedName name="SG_04_12" localSheetId="7">#REF!</definedName>
    <definedName name="SG_04_12" localSheetId="21">#REF!</definedName>
    <definedName name="SG_04_12" localSheetId="15">#REF!</definedName>
    <definedName name="SG_04_12">#REF!</definedName>
    <definedName name="SG_04_13" localSheetId="11">#REF!</definedName>
    <definedName name="SG_04_13" localSheetId="7">#REF!</definedName>
    <definedName name="SG_04_13" localSheetId="21">#REF!</definedName>
    <definedName name="SG_04_13" localSheetId="15">#REF!</definedName>
    <definedName name="SG_04_13">#REF!</definedName>
    <definedName name="SG_04_14" localSheetId="11">#REF!</definedName>
    <definedName name="SG_04_14" localSheetId="7">#REF!</definedName>
    <definedName name="SG_04_14" localSheetId="21">#REF!</definedName>
    <definedName name="SG_04_14" localSheetId="15">#REF!</definedName>
    <definedName name="SG_04_14">#REF!</definedName>
    <definedName name="SG_04_15" localSheetId="11">#REF!</definedName>
    <definedName name="SG_04_15" localSheetId="7">#REF!</definedName>
    <definedName name="SG_04_15" localSheetId="21">#REF!</definedName>
    <definedName name="SG_04_15" localSheetId="15">#REF!</definedName>
    <definedName name="SG_04_15">#REF!</definedName>
    <definedName name="SG_04_16" localSheetId="11">#REF!</definedName>
    <definedName name="SG_04_16" localSheetId="7">#REF!</definedName>
    <definedName name="SG_04_16" localSheetId="21">#REF!</definedName>
    <definedName name="SG_04_16" localSheetId="15">#REF!</definedName>
    <definedName name="SG_04_16">#REF!</definedName>
    <definedName name="SG_04_17" localSheetId="11">#REF!</definedName>
    <definedName name="SG_04_17" localSheetId="7">#REF!</definedName>
    <definedName name="SG_04_17" localSheetId="21">#REF!</definedName>
    <definedName name="SG_04_17" localSheetId="15">#REF!</definedName>
    <definedName name="SG_04_17">#REF!</definedName>
    <definedName name="SG_04_18" localSheetId="11">#REF!</definedName>
    <definedName name="SG_04_18" localSheetId="7">#REF!</definedName>
    <definedName name="SG_04_18" localSheetId="21">#REF!</definedName>
    <definedName name="SG_04_18" localSheetId="15">#REF!</definedName>
    <definedName name="SG_04_18">#REF!</definedName>
    <definedName name="SG_04_19" localSheetId="11">#REF!</definedName>
    <definedName name="SG_04_19" localSheetId="7">#REF!</definedName>
    <definedName name="SG_04_19" localSheetId="21">#REF!</definedName>
    <definedName name="SG_04_19" localSheetId="15">#REF!</definedName>
    <definedName name="SG_04_19">#REF!</definedName>
    <definedName name="SG_04_20" localSheetId="11">#REF!</definedName>
    <definedName name="SG_04_20" localSheetId="7">#REF!</definedName>
    <definedName name="SG_04_20" localSheetId="21">#REF!</definedName>
    <definedName name="SG_04_20" localSheetId="15">#REF!</definedName>
    <definedName name="SG_04_20">#REF!</definedName>
    <definedName name="SG_04_21" localSheetId="11">#REF!</definedName>
    <definedName name="SG_04_21" localSheetId="7">#REF!</definedName>
    <definedName name="SG_04_21" localSheetId="21">#REF!</definedName>
    <definedName name="SG_04_21" localSheetId="15">#REF!</definedName>
    <definedName name="SG_04_21">#REF!</definedName>
    <definedName name="SG_04_22" localSheetId="11">#REF!</definedName>
    <definedName name="SG_04_22" localSheetId="7">#REF!</definedName>
    <definedName name="SG_04_22" localSheetId="21">#REF!</definedName>
    <definedName name="SG_04_22" localSheetId="15">#REF!</definedName>
    <definedName name="SG_04_22">#REF!</definedName>
    <definedName name="SG_04_23" localSheetId="11">#REF!</definedName>
    <definedName name="SG_04_23" localSheetId="7">#REF!</definedName>
    <definedName name="SG_04_23" localSheetId="21">#REF!</definedName>
    <definedName name="SG_04_23" localSheetId="15">#REF!</definedName>
    <definedName name="SG_04_23">#REF!</definedName>
    <definedName name="SG_04_24" localSheetId="11">#REF!</definedName>
    <definedName name="SG_04_24" localSheetId="7">#REF!</definedName>
    <definedName name="SG_04_24" localSheetId="21">#REF!</definedName>
    <definedName name="SG_04_24" localSheetId="15">#REF!</definedName>
    <definedName name="SG_04_24">#REF!</definedName>
    <definedName name="SG_04_25" localSheetId="11">#REF!</definedName>
    <definedName name="SG_04_25" localSheetId="7">#REF!</definedName>
    <definedName name="SG_04_25" localSheetId="21">#REF!</definedName>
    <definedName name="SG_04_25" localSheetId="15">#REF!</definedName>
    <definedName name="SG_04_25">#REF!</definedName>
    <definedName name="SG_05_01" localSheetId="11">#REF!</definedName>
    <definedName name="SG_05_01" localSheetId="7">#REF!</definedName>
    <definedName name="SG_05_01" localSheetId="21">#REF!</definedName>
    <definedName name="SG_05_01" localSheetId="15">#REF!</definedName>
    <definedName name="SG_05_01">#REF!</definedName>
    <definedName name="SG_05_02" localSheetId="11">#REF!</definedName>
    <definedName name="SG_05_02" localSheetId="7">#REF!</definedName>
    <definedName name="SG_05_02" localSheetId="21">#REF!</definedName>
    <definedName name="SG_05_02" localSheetId="15">#REF!</definedName>
    <definedName name="SG_05_02">#REF!</definedName>
    <definedName name="SG_05_03" localSheetId="11">#REF!</definedName>
    <definedName name="SG_05_03" localSheetId="7">#REF!</definedName>
    <definedName name="SG_05_03" localSheetId="21">#REF!</definedName>
    <definedName name="SG_05_03" localSheetId="15">#REF!</definedName>
    <definedName name="SG_05_03">#REF!</definedName>
    <definedName name="SG_05_04" localSheetId="11">#REF!</definedName>
    <definedName name="SG_05_04" localSheetId="7">#REF!</definedName>
    <definedName name="SG_05_04" localSheetId="21">#REF!</definedName>
    <definedName name="SG_05_04" localSheetId="15">#REF!</definedName>
    <definedName name="SG_05_04">#REF!</definedName>
    <definedName name="SG_05_05" localSheetId="11">#REF!</definedName>
    <definedName name="SG_05_05" localSheetId="7">#REF!</definedName>
    <definedName name="SG_05_05" localSheetId="21">#REF!</definedName>
    <definedName name="SG_05_05" localSheetId="15">#REF!</definedName>
    <definedName name="SG_05_05">#REF!</definedName>
    <definedName name="SG_05_06" localSheetId="11">#REF!</definedName>
    <definedName name="SG_05_06" localSheetId="7">#REF!</definedName>
    <definedName name="SG_05_06" localSheetId="21">#REF!</definedName>
    <definedName name="SG_05_06" localSheetId="15">#REF!</definedName>
    <definedName name="SG_05_06">#REF!</definedName>
    <definedName name="SG_05_07" localSheetId="11">#REF!</definedName>
    <definedName name="SG_05_07" localSheetId="7">#REF!</definedName>
    <definedName name="SG_05_07" localSheetId="21">#REF!</definedName>
    <definedName name="SG_05_07" localSheetId="15">#REF!</definedName>
    <definedName name="SG_05_07">#REF!</definedName>
    <definedName name="SG_05_08" localSheetId="11">#REF!</definedName>
    <definedName name="SG_05_08" localSheetId="7">#REF!</definedName>
    <definedName name="SG_05_08" localSheetId="21">#REF!</definedName>
    <definedName name="SG_05_08" localSheetId="15">#REF!</definedName>
    <definedName name="SG_05_08">#REF!</definedName>
    <definedName name="SG_05_09" localSheetId="11">#REF!</definedName>
    <definedName name="SG_05_09" localSheetId="7">#REF!</definedName>
    <definedName name="SG_05_09" localSheetId="21">#REF!</definedName>
    <definedName name="SG_05_09" localSheetId="15">#REF!</definedName>
    <definedName name="SG_05_09">#REF!</definedName>
    <definedName name="SG_05_10" localSheetId="11">#REF!</definedName>
    <definedName name="SG_05_10" localSheetId="7">#REF!</definedName>
    <definedName name="SG_05_10" localSheetId="21">#REF!</definedName>
    <definedName name="SG_05_10" localSheetId="15">#REF!</definedName>
    <definedName name="SG_05_10">#REF!</definedName>
    <definedName name="SG_05_11" localSheetId="11">#REF!</definedName>
    <definedName name="SG_05_11" localSheetId="7">#REF!</definedName>
    <definedName name="SG_05_11" localSheetId="21">#REF!</definedName>
    <definedName name="SG_05_11" localSheetId="15">#REF!</definedName>
    <definedName name="SG_05_11">#REF!</definedName>
    <definedName name="SG_05_12" localSheetId="11">#REF!</definedName>
    <definedName name="SG_05_12" localSheetId="7">#REF!</definedName>
    <definedName name="SG_05_12" localSheetId="21">#REF!</definedName>
    <definedName name="SG_05_12" localSheetId="15">#REF!</definedName>
    <definedName name="SG_05_12">#REF!</definedName>
    <definedName name="SG_05_13" localSheetId="11">#REF!</definedName>
    <definedName name="SG_05_13" localSheetId="7">#REF!</definedName>
    <definedName name="SG_05_13" localSheetId="21">#REF!</definedName>
    <definedName name="SG_05_13" localSheetId="15">#REF!</definedName>
    <definedName name="SG_05_13">#REF!</definedName>
    <definedName name="SG_05_14" localSheetId="11">#REF!</definedName>
    <definedName name="SG_05_14" localSheetId="7">#REF!</definedName>
    <definedName name="SG_05_14" localSheetId="21">#REF!</definedName>
    <definedName name="SG_05_14" localSheetId="15">#REF!</definedName>
    <definedName name="SG_05_14">#REF!</definedName>
    <definedName name="SG_05_15" localSheetId="11">#REF!</definedName>
    <definedName name="SG_05_15" localSheetId="7">#REF!</definedName>
    <definedName name="SG_05_15" localSheetId="21">#REF!</definedName>
    <definedName name="SG_05_15" localSheetId="15">#REF!</definedName>
    <definedName name="SG_05_15">#REF!</definedName>
    <definedName name="SG_05_16" localSheetId="11">#REF!</definedName>
    <definedName name="SG_05_16" localSheetId="7">#REF!</definedName>
    <definedName name="SG_05_16" localSheetId="21">#REF!</definedName>
    <definedName name="SG_05_16" localSheetId="15">#REF!</definedName>
    <definedName name="SG_05_16">#REF!</definedName>
    <definedName name="SG_05_17" localSheetId="11">#REF!</definedName>
    <definedName name="SG_05_17" localSheetId="7">#REF!</definedName>
    <definedName name="SG_05_17" localSheetId="21">#REF!</definedName>
    <definedName name="SG_05_17" localSheetId="15">#REF!</definedName>
    <definedName name="SG_05_17">#REF!</definedName>
    <definedName name="SG_05_18" localSheetId="11">#REF!</definedName>
    <definedName name="SG_05_18" localSheetId="7">#REF!</definedName>
    <definedName name="SG_05_18" localSheetId="21">#REF!</definedName>
    <definedName name="SG_05_18" localSheetId="15">#REF!</definedName>
    <definedName name="SG_05_18">#REF!</definedName>
    <definedName name="SG_05_19" localSheetId="11">#REF!</definedName>
    <definedName name="SG_05_19" localSheetId="7">#REF!</definedName>
    <definedName name="SG_05_19" localSheetId="21">#REF!</definedName>
    <definedName name="SG_05_19" localSheetId="15">#REF!</definedName>
    <definedName name="SG_05_19">#REF!</definedName>
    <definedName name="SG_05_20" localSheetId="11">#REF!</definedName>
    <definedName name="SG_05_20" localSheetId="7">#REF!</definedName>
    <definedName name="SG_05_20" localSheetId="21">#REF!</definedName>
    <definedName name="SG_05_20" localSheetId="15">#REF!</definedName>
    <definedName name="SG_05_20">#REF!</definedName>
    <definedName name="SG_05_21" localSheetId="11">#REF!</definedName>
    <definedName name="SG_05_21" localSheetId="7">#REF!</definedName>
    <definedName name="SG_05_21" localSheetId="21">#REF!</definedName>
    <definedName name="SG_05_21" localSheetId="15">#REF!</definedName>
    <definedName name="SG_05_21">#REF!</definedName>
    <definedName name="SG_05_22" localSheetId="11">#REF!</definedName>
    <definedName name="SG_05_22" localSheetId="7">#REF!</definedName>
    <definedName name="SG_05_22" localSheetId="21">#REF!</definedName>
    <definedName name="SG_05_22" localSheetId="15">#REF!</definedName>
    <definedName name="SG_05_22">#REF!</definedName>
    <definedName name="SG_05_23" localSheetId="11">#REF!</definedName>
    <definedName name="SG_05_23" localSheetId="7">#REF!</definedName>
    <definedName name="SG_05_23" localSheetId="21">#REF!</definedName>
    <definedName name="SG_05_23" localSheetId="15">#REF!</definedName>
    <definedName name="SG_05_23">#REF!</definedName>
    <definedName name="SG_05_24" localSheetId="11">#REF!</definedName>
    <definedName name="SG_05_24" localSheetId="7">#REF!</definedName>
    <definedName name="SG_05_24" localSheetId="21">#REF!</definedName>
    <definedName name="SG_05_24" localSheetId="15">#REF!</definedName>
    <definedName name="SG_05_24">#REF!</definedName>
    <definedName name="SG_05_25" localSheetId="11">#REF!</definedName>
    <definedName name="SG_05_25" localSheetId="7">#REF!</definedName>
    <definedName name="SG_05_25" localSheetId="21">#REF!</definedName>
    <definedName name="SG_05_25" localSheetId="15">#REF!</definedName>
    <definedName name="SG_05_25">#REF!</definedName>
    <definedName name="SG_06_01" localSheetId="11">#REF!</definedName>
    <definedName name="SG_06_01" localSheetId="7">#REF!</definedName>
    <definedName name="SG_06_01" localSheetId="21">#REF!</definedName>
    <definedName name="SG_06_01" localSheetId="15">#REF!</definedName>
    <definedName name="SG_06_01">#REF!</definedName>
    <definedName name="SG_06_02" localSheetId="11">#REF!</definedName>
    <definedName name="SG_06_02" localSheetId="7">#REF!</definedName>
    <definedName name="SG_06_02" localSheetId="21">#REF!</definedName>
    <definedName name="SG_06_02" localSheetId="15">#REF!</definedName>
    <definedName name="SG_06_02">#REF!</definedName>
    <definedName name="SG_06_03" localSheetId="11">#REF!</definedName>
    <definedName name="SG_06_03" localSheetId="7">#REF!</definedName>
    <definedName name="SG_06_03" localSheetId="21">#REF!</definedName>
    <definedName name="SG_06_03" localSheetId="15">#REF!</definedName>
    <definedName name="SG_06_03">#REF!</definedName>
    <definedName name="SG_06_04" localSheetId="11">#REF!</definedName>
    <definedName name="SG_06_04" localSheetId="7">#REF!</definedName>
    <definedName name="SG_06_04" localSheetId="21">#REF!</definedName>
    <definedName name="SG_06_04" localSheetId="15">#REF!</definedName>
    <definedName name="SG_06_04">#REF!</definedName>
    <definedName name="SG_06_05" localSheetId="11">#REF!</definedName>
    <definedName name="SG_06_05" localSheetId="7">#REF!</definedName>
    <definedName name="SG_06_05" localSheetId="21">#REF!</definedName>
    <definedName name="SG_06_05" localSheetId="15">#REF!</definedName>
    <definedName name="SG_06_05">#REF!</definedName>
    <definedName name="SG_06_06" localSheetId="11">#REF!</definedName>
    <definedName name="SG_06_06" localSheetId="7">#REF!</definedName>
    <definedName name="SG_06_06" localSheetId="21">#REF!</definedName>
    <definedName name="SG_06_06" localSheetId="15">#REF!</definedName>
    <definedName name="SG_06_06">#REF!</definedName>
    <definedName name="SG_06_07" localSheetId="11">#REF!</definedName>
    <definedName name="SG_06_07" localSheetId="7">#REF!</definedName>
    <definedName name="SG_06_07" localSheetId="21">#REF!</definedName>
    <definedName name="SG_06_07" localSheetId="15">#REF!</definedName>
    <definedName name="SG_06_07">#REF!</definedName>
    <definedName name="SG_06_08" localSheetId="11">#REF!</definedName>
    <definedName name="SG_06_08" localSheetId="7">#REF!</definedName>
    <definedName name="SG_06_08" localSheetId="21">#REF!</definedName>
    <definedName name="SG_06_08" localSheetId="15">#REF!</definedName>
    <definedName name="SG_06_08">#REF!</definedName>
    <definedName name="SG_06_09" localSheetId="11">#REF!</definedName>
    <definedName name="SG_06_09" localSheetId="7">#REF!</definedName>
    <definedName name="SG_06_09" localSheetId="21">#REF!</definedName>
    <definedName name="SG_06_09" localSheetId="15">#REF!</definedName>
    <definedName name="SG_06_09">#REF!</definedName>
    <definedName name="SG_06_10" localSheetId="11">#REF!</definedName>
    <definedName name="SG_06_10" localSheetId="7">#REF!</definedName>
    <definedName name="SG_06_10" localSheetId="21">#REF!</definedName>
    <definedName name="SG_06_10" localSheetId="15">#REF!</definedName>
    <definedName name="SG_06_10">#REF!</definedName>
    <definedName name="SG_06_11" localSheetId="11">#REF!</definedName>
    <definedName name="SG_06_11" localSheetId="7">#REF!</definedName>
    <definedName name="SG_06_11" localSheetId="21">#REF!</definedName>
    <definedName name="SG_06_11" localSheetId="15">#REF!</definedName>
    <definedName name="SG_06_11">#REF!</definedName>
    <definedName name="SG_06_12" localSheetId="11">#REF!</definedName>
    <definedName name="SG_06_12" localSheetId="7">#REF!</definedName>
    <definedName name="SG_06_12" localSheetId="21">#REF!</definedName>
    <definedName name="SG_06_12" localSheetId="15">#REF!</definedName>
    <definedName name="SG_06_12">#REF!</definedName>
    <definedName name="SG_06_13" localSheetId="11">#REF!</definedName>
    <definedName name="SG_06_13" localSheetId="7">#REF!</definedName>
    <definedName name="SG_06_13" localSheetId="21">#REF!</definedName>
    <definedName name="SG_06_13" localSheetId="15">#REF!</definedName>
    <definedName name="SG_06_13">#REF!</definedName>
    <definedName name="SG_06_14" localSheetId="11">#REF!</definedName>
    <definedName name="SG_06_14" localSheetId="7">#REF!</definedName>
    <definedName name="SG_06_14" localSheetId="21">#REF!</definedName>
    <definedName name="SG_06_14" localSheetId="15">#REF!</definedName>
    <definedName name="SG_06_14">#REF!</definedName>
    <definedName name="SG_06_15" localSheetId="11">#REF!</definedName>
    <definedName name="SG_06_15" localSheetId="7">#REF!</definedName>
    <definedName name="SG_06_15" localSheetId="21">#REF!</definedName>
    <definedName name="SG_06_15" localSheetId="15">#REF!</definedName>
    <definedName name="SG_06_15">#REF!</definedName>
    <definedName name="SG_06_16" localSheetId="11">#REF!</definedName>
    <definedName name="SG_06_16" localSheetId="7">#REF!</definedName>
    <definedName name="SG_06_16" localSheetId="21">#REF!</definedName>
    <definedName name="SG_06_16" localSheetId="15">#REF!</definedName>
    <definedName name="SG_06_16">#REF!</definedName>
    <definedName name="SG_06_17" localSheetId="11">#REF!</definedName>
    <definedName name="SG_06_17" localSheetId="7">#REF!</definedName>
    <definedName name="SG_06_17" localSheetId="21">#REF!</definedName>
    <definedName name="SG_06_17" localSheetId="15">#REF!</definedName>
    <definedName name="SG_06_17">#REF!</definedName>
    <definedName name="SG_06_18" localSheetId="11">#REF!</definedName>
    <definedName name="SG_06_18" localSheetId="7">#REF!</definedName>
    <definedName name="SG_06_18" localSheetId="21">#REF!</definedName>
    <definedName name="SG_06_18" localSheetId="15">#REF!</definedName>
    <definedName name="SG_06_18">#REF!</definedName>
    <definedName name="SG_06_19" localSheetId="11">#REF!</definedName>
    <definedName name="SG_06_19" localSheetId="7">#REF!</definedName>
    <definedName name="SG_06_19" localSheetId="21">#REF!</definedName>
    <definedName name="SG_06_19" localSheetId="15">#REF!</definedName>
    <definedName name="SG_06_19">#REF!</definedName>
    <definedName name="SG_06_20" localSheetId="11">#REF!</definedName>
    <definedName name="SG_06_20" localSheetId="7">#REF!</definedName>
    <definedName name="SG_06_20" localSheetId="21">#REF!</definedName>
    <definedName name="SG_06_20" localSheetId="15">#REF!</definedName>
    <definedName name="SG_06_20">#REF!</definedName>
    <definedName name="SG_06_21" localSheetId="11">#REF!</definedName>
    <definedName name="SG_06_21" localSheetId="7">#REF!</definedName>
    <definedName name="SG_06_21" localSheetId="21">#REF!</definedName>
    <definedName name="SG_06_21" localSheetId="15">#REF!</definedName>
    <definedName name="SG_06_21">#REF!</definedName>
    <definedName name="SG_06_22" localSheetId="11">#REF!</definedName>
    <definedName name="SG_06_22" localSheetId="7">#REF!</definedName>
    <definedName name="SG_06_22" localSheetId="21">#REF!</definedName>
    <definedName name="SG_06_22" localSheetId="15">#REF!</definedName>
    <definedName name="SG_06_22">#REF!</definedName>
    <definedName name="SG_06_23" localSheetId="11">#REF!</definedName>
    <definedName name="SG_06_23" localSheetId="7">#REF!</definedName>
    <definedName name="SG_06_23" localSheetId="21">#REF!</definedName>
    <definedName name="SG_06_23" localSheetId="15">#REF!</definedName>
    <definedName name="SG_06_23">#REF!</definedName>
    <definedName name="SG_06_24" localSheetId="11">#REF!</definedName>
    <definedName name="SG_06_24" localSheetId="7">#REF!</definedName>
    <definedName name="SG_06_24" localSheetId="21">#REF!</definedName>
    <definedName name="SG_06_24" localSheetId="15">#REF!</definedName>
    <definedName name="SG_06_24">#REF!</definedName>
    <definedName name="SG_06_25" localSheetId="11">#REF!</definedName>
    <definedName name="SG_06_25" localSheetId="7">#REF!</definedName>
    <definedName name="SG_06_25" localSheetId="21">#REF!</definedName>
    <definedName name="SG_06_25" localSheetId="15">#REF!</definedName>
    <definedName name="SG_06_25">#REF!</definedName>
    <definedName name="SG_07_01" localSheetId="11">#REF!</definedName>
    <definedName name="SG_07_01" localSheetId="7">#REF!</definedName>
    <definedName name="SG_07_01" localSheetId="21">#REF!</definedName>
    <definedName name="SG_07_01" localSheetId="15">#REF!</definedName>
    <definedName name="SG_07_01">#REF!</definedName>
    <definedName name="SG_07_02" localSheetId="11">#REF!</definedName>
    <definedName name="SG_07_02" localSheetId="7">#REF!</definedName>
    <definedName name="SG_07_02" localSheetId="21">#REF!</definedName>
    <definedName name="SG_07_02" localSheetId="15">#REF!</definedName>
    <definedName name="SG_07_02">#REF!</definedName>
    <definedName name="SG_07_03" localSheetId="11">#REF!</definedName>
    <definedName name="SG_07_03" localSheetId="7">#REF!</definedName>
    <definedName name="SG_07_03" localSheetId="21">#REF!</definedName>
    <definedName name="SG_07_03" localSheetId="15">#REF!</definedName>
    <definedName name="SG_07_03">#REF!</definedName>
    <definedName name="SG_07_04" localSheetId="11">#REF!</definedName>
    <definedName name="SG_07_04" localSheetId="7">#REF!</definedName>
    <definedName name="SG_07_04" localSheetId="21">#REF!</definedName>
    <definedName name="SG_07_04" localSheetId="15">#REF!</definedName>
    <definedName name="SG_07_04">#REF!</definedName>
    <definedName name="SG_07_05" localSheetId="11">#REF!</definedName>
    <definedName name="SG_07_05" localSheetId="7">#REF!</definedName>
    <definedName name="SG_07_05" localSheetId="21">#REF!</definedName>
    <definedName name="SG_07_05" localSheetId="15">#REF!</definedName>
    <definedName name="SG_07_05">#REF!</definedName>
    <definedName name="SG_07_06" localSheetId="11">#REF!</definedName>
    <definedName name="SG_07_06" localSheetId="7">#REF!</definedName>
    <definedName name="SG_07_06" localSheetId="21">#REF!</definedName>
    <definedName name="SG_07_06" localSheetId="15">#REF!</definedName>
    <definedName name="SG_07_06">#REF!</definedName>
    <definedName name="SG_07_07" localSheetId="11">#REF!</definedName>
    <definedName name="SG_07_07" localSheetId="7">#REF!</definedName>
    <definedName name="SG_07_07" localSheetId="21">#REF!</definedName>
    <definedName name="SG_07_07" localSheetId="15">#REF!</definedName>
    <definedName name="SG_07_07">#REF!</definedName>
    <definedName name="SG_07_08" localSheetId="11">#REF!</definedName>
    <definedName name="SG_07_08" localSheetId="7">#REF!</definedName>
    <definedName name="SG_07_08" localSheetId="21">#REF!</definedName>
    <definedName name="SG_07_08" localSheetId="15">#REF!</definedName>
    <definedName name="SG_07_08">#REF!</definedName>
    <definedName name="SG_07_09" localSheetId="11">#REF!</definedName>
    <definedName name="SG_07_09" localSheetId="7">#REF!</definedName>
    <definedName name="SG_07_09" localSheetId="21">#REF!</definedName>
    <definedName name="SG_07_09" localSheetId="15">#REF!</definedName>
    <definedName name="SG_07_09">#REF!</definedName>
    <definedName name="SG_07_10" localSheetId="11">#REF!</definedName>
    <definedName name="SG_07_10" localSheetId="7">#REF!</definedName>
    <definedName name="SG_07_10" localSheetId="21">#REF!</definedName>
    <definedName name="SG_07_10" localSheetId="15">#REF!</definedName>
    <definedName name="SG_07_10">#REF!</definedName>
    <definedName name="SG_07_11" localSheetId="11">#REF!</definedName>
    <definedName name="SG_07_11" localSheetId="7">#REF!</definedName>
    <definedName name="SG_07_11" localSheetId="21">#REF!</definedName>
    <definedName name="SG_07_11" localSheetId="15">#REF!</definedName>
    <definedName name="SG_07_11">#REF!</definedName>
    <definedName name="SG_07_12" localSheetId="11">#REF!</definedName>
    <definedName name="SG_07_12" localSheetId="7">#REF!</definedName>
    <definedName name="SG_07_12" localSheetId="21">#REF!</definedName>
    <definedName name="SG_07_12" localSheetId="15">#REF!</definedName>
    <definedName name="SG_07_12">#REF!</definedName>
    <definedName name="SG_07_13" localSheetId="11">#REF!</definedName>
    <definedName name="SG_07_13" localSheetId="7">#REF!</definedName>
    <definedName name="SG_07_13" localSheetId="21">#REF!</definedName>
    <definedName name="SG_07_13" localSheetId="15">#REF!</definedName>
    <definedName name="SG_07_13">#REF!</definedName>
    <definedName name="SG_07_14" localSheetId="11">#REF!</definedName>
    <definedName name="SG_07_14" localSheetId="7">#REF!</definedName>
    <definedName name="SG_07_14" localSheetId="21">#REF!</definedName>
    <definedName name="SG_07_14" localSheetId="15">#REF!</definedName>
    <definedName name="SG_07_14">#REF!</definedName>
    <definedName name="SG_07_15" localSheetId="11">#REF!</definedName>
    <definedName name="SG_07_15" localSheetId="7">#REF!</definedName>
    <definedName name="SG_07_15" localSheetId="21">#REF!</definedName>
    <definedName name="SG_07_15" localSheetId="15">#REF!</definedName>
    <definedName name="SG_07_15">#REF!</definedName>
    <definedName name="SG_07_16" localSheetId="11">#REF!</definedName>
    <definedName name="SG_07_16" localSheetId="7">#REF!</definedName>
    <definedName name="SG_07_16" localSheetId="21">#REF!</definedName>
    <definedName name="SG_07_16" localSheetId="15">#REF!</definedName>
    <definedName name="SG_07_16">#REF!</definedName>
    <definedName name="SG_07_17" localSheetId="11">#REF!</definedName>
    <definedName name="SG_07_17" localSheetId="7">#REF!</definedName>
    <definedName name="SG_07_17" localSheetId="21">#REF!</definedName>
    <definedName name="SG_07_17" localSheetId="15">#REF!</definedName>
    <definedName name="SG_07_17">#REF!</definedName>
    <definedName name="SG_07_18" localSheetId="11">#REF!</definedName>
    <definedName name="SG_07_18" localSheetId="7">#REF!</definedName>
    <definedName name="SG_07_18" localSheetId="21">#REF!</definedName>
    <definedName name="SG_07_18" localSheetId="15">#REF!</definedName>
    <definedName name="SG_07_18">#REF!</definedName>
    <definedName name="SG_07_19" localSheetId="11">#REF!</definedName>
    <definedName name="SG_07_19" localSheetId="7">#REF!</definedName>
    <definedName name="SG_07_19" localSheetId="21">#REF!</definedName>
    <definedName name="SG_07_19" localSheetId="15">#REF!</definedName>
    <definedName name="SG_07_19">#REF!</definedName>
    <definedName name="SG_07_20" localSheetId="11">#REF!</definedName>
    <definedName name="SG_07_20" localSheetId="7">#REF!</definedName>
    <definedName name="SG_07_20" localSheetId="21">#REF!</definedName>
    <definedName name="SG_07_20" localSheetId="15">#REF!</definedName>
    <definedName name="SG_07_20">#REF!</definedName>
    <definedName name="SG_07_21" localSheetId="11">#REF!</definedName>
    <definedName name="SG_07_21" localSheetId="7">#REF!</definedName>
    <definedName name="SG_07_21" localSheetId="21">#REF!</definedName>
    <definedName name="SG_07_21" localSheetId="15">#REF!</definedName>
    <definedName name="SG_07_21">#REF!</definedName>
    <definedName name="SG_07_22" localSheetId="11">#REF!</definedName>
    <definedName name="SG_07_22" localSheetId="7">#REF!</definedName>
    <definedName name="SG_07_22" localSheetId="21">#REF!</definedName>
    <definedName name="SG_07_22" localSheetId="15">#REF!</definedName>
    <definedName name="SG_07_22">#REF!</definedName>
    <definedName name="SG_07_23" localSheetId="11">#REF!</definedName>
    <definedName name="SG_07_23" localSheetId="7">#REF!</definedName>
    <definedName name="SG_07_23" localSheetId="21">#REF!</definedName>
    <definedName name="SG_07_23" localSheetId="15">#REF!</definedName>
    <definedName name="SG_07_23">#REF!</definedName>
    <definedName name="SG_07_24" localSheetId="11">#REF!</definedName>
    <definedName name="SG_07_24" localSheetId="7">#REF!</definedName>
    <definedName name="SG_07_24" localSheetId="21">#REF!</definedName>
    <definedName name="SG_07_24" localSheetId="15">#REF!</definedName>
    <definedName name="SG_07_24">#REF!</definedName>
    <definedName name="SG_07_25" localSheetId="11">#REF!</definedName>
    <definedName name="SG_07_25" localSheetId="7">#REF!</definedName>
    <definedName name="SG_07_25" localSheetId="21">#REF!</definedName>
    <definedName name="SG_07_25" localSheetId="15">#REF!</definedName>
    <definedName name="SG_07_25">#REF!</definedName>
    <definedName name="SG_08_01" localSheetId="11">#REF!</definedName>
    <definedName name="SG_08_01" localSheetId="7">#REF!</definedName>
    <definedName name="SG_08_01" localSheetId="21">#REF!</definedName>
    <definedName name="SG_08_01" localSheetId="15">#REF!</definedName>
    <definedName name="SG_08_01">#REF!</definedName>
    <definedName name="SG_08_02" localSheetId="11">#REF!</definedName>
    <definedName name="SG_08_02" localSheetId="7">#REF!</definedName>
    <definedName name="SG_08_02" localSheetId="21">#REF!</definedName>
    <definedName name="SG_08_02" localSheetId="15">#REF!</definedName>
    <definedName name="SG_08_02">#REF!</definedName>
    <definedName name="SG_08_03" localSheetId="11">#REF!</definedName>
    <definedName name="SG_08_03" localSheetId="7">#REF!</definedName>
    <definedName name="SG_08_03" localSheetId="21">#REF!</definedName>
    <definedName name="SG_08_03" localSheetId="15">#REF!</definedName>
    <definedName name="SG_08_03">#REF!</definedName>
    <definedName name="SG_08_04" localSheetId="11">#REF!</definedName>
    <definedName name="SG_08_04" localSheetId="7">#REF!</definedName>
    <definedName name="SG_08_04" localSheetId="21">#REF!</definedName>
    <definedName name="SG_08_04" localSheetId="15">#REF!</definedName>
    <definedName name="SG_08_04">#REF!</definedName>
    <definedName name="SG_08_05" localSheetId="11">#REF!</definedName>
    <definedName name="SG_08_05" localSheetId="7">#REF!</definedName>
    <definedName name="SG_08_05" localSheetId="21">#REF!</definedName>
    <definedName name="SG_08_05" localSheetId="15">#REF!</definedName>
    <definedName name="SG_08_05">#REF!</definedName>
    <definedName name="SG_08_06" localSheetId="11">#REF!</definedName>
    <definedName name="SG_08_06" localSheetId="7">#REF!</definedName>
    <definedName name="SG_08_06" localSheetId="21">#REF!</definedName>
    <definedName name="SG_08_06" localSheetId="15">#REF!</definedName>
    <definedName name="SG_08_06">#REF!</definedName>
    <definedName name="SG_08_07" localSheetId="11">#REF!</definedName>
    <definedName name="SG_08_07" localSheetId="7">#REF!</definedName>
    <definedName name="SG_08_07" localSheetId="21">#REF!</definedName>
    <definedName name="SG_08_07" localSheetId="15">#REF!</definedName>
    <definedName name="SG_08_07">#REF!</definedName>
    <definedName name="SG_08_08" localSheetId="11">#REF!</definedName>
    <definedName name="SG_08_08" localSheetId="7">#REF!</definedName>
    <definedName name="SG_08_08" localSheetId="21">#REF!</definedName>
    <definedName name="SG_08_08" localSheetId="15">#REF!</definedName>
    <definedName name="SG_08_08">#REF!</definedName>
    <definedName name="SG_08_09" localSheetId="11">#REF!</definedName>
    <definedName name="SG_08_09" localSheetId="7">#REF!</definedName>
    <definedName name="SG_08_09" localSheetId="21">#REF!</definedName>
    <definedName name="SG_08_09" localSheetId="15">#REF!</definedName>
    <definedName name="SG_08_09">#REF!</definedName>
    <definedName name="SG_08_10" localSheetId="11">#REF!</definedName>
    <definedName name="SG_08_10" localSheetId="7">#REF!</definedName>
    <definedName name="SG_08_10" localSheetId="21">#REF!</definedName>
    <definedName name="SG_08_10" localSheetId="15">#REF!</definedName>
    <definedName name="SG_08_10">#REF!</definedName>
    <definedName name="SG_08_11" localSheetId="11">#REF!</definedName>
    <definedName name="SG_08_11" localSheetId="7">#REF!</definedName>
    <definedName name="SG_08_11" localSheetId="21">#REF!</definedName>
    <definedName name="SG_08_11" localSheetId="15">#REF!</definedName>
    <definedName name="SG_08_11">#REF!</definedName>
    <definedName name="SG_08_12" localSheetId="11">#REF!</definedName>
    <definedName name="SG_08_12" localSheetId="7">#REF!</definedName>
    <definedName name="SG_08_12" localSheetId="21">#REF!</definedName>
    <definedName name="SG_08_12" localSheetId="15">#REF!</definedName>
    <definedName name="SG_08_12">#REF!</definedName>
    <definedName name="SG_08_13" localSheetId="11">#REF!</definedName>
    <definedName name="SG_08_13" localSheetId="7">#REF!</definedName>
    <definedName name="SG_08_13" localSheetId="21">#REF!</definedName>
    <definedName name="SG_08_13" localSheetId="15">#REF!</definedName>
    <definedName name="SG_08_13">#REF!</definedName>
    <definedName name="SG_08_14" localSheetId="11">#REF!</definedName>
    <definedName name="SG_08_14" localSheetId="7">#REF!</definedName>
    <definedName name="SG_08_14" localSheetId="21">#REF!</definedName>
    <definedName name="SG_08_14" localSheetId="15">#REF!</definedName>
    <definedName name="SG_08_14">#REF!</definedName>
    <definedName name="SG_08_15" localSheetId="11">#REF!</definedName>
    <definedName name="SG_08_15" localSheetId="7">#REF!</definedName>
    <definedName name="SG_08_15" localSheetId="21">#REF!</definedName>
    <definedName name="SG_08_15" localSheetId="15">#REF!</definedName>
    <definedName name="SG_08_15">#REF!</definedName>
    <definedName name="SG_08_16" localSheetId="11">#REF!</definedName>
    <definedName name="SG_08_16" localSheetId="7">#REF!</definedName>
    <definedName name="SG_08_16" localSheetId="21">#REF!</definedName>
    <definedName name="SG_08_16" localSheetId="15">#REF!</definedName>
    <definedName name="SG_08_16">#REF!</definedName>
    <definedName name="SG_08_17" localSheetId="11">#REF!</definedName>
    <definedName name="SG_08_17" localSheetId="7">#REF!</definedName>
    <definedName name="SG_08_17" localSheetId="21">#REF!</definedName>
    <definedName name="SG_08_17" localSheetId="15">#REF!</definedName>
    <definedName name="SG_08_17">#REF!</definedName>
    <definedName name="SG_08_18" localSheetId="11">#REF!</definedName>
    <definedName name="SG_08_18" localSheetId="7">#REF!</definedName>
    <definedName name="SG_08_18" localSheetId="21">#REF!</definedName>
    <definedName name="SG_08_18" localSheetId="15">#REF!</definedName>
    <definedName name="SG_08_18">#REF!</definedName>
    <definedName name="SG_08_19" localSheetId="11">#REF!</definedName>
    <definedName name="SG_08_19" localSheetId="7">#REF!</definedName>
    <definedName name="SG_08_19" localSheetId="21">#REF!</definedName>
    <definedName name="SG_08_19" localSheetId="15">#REF!</definedName>
    <definedName name="SG_08_19">#REF!</definedName>
    <definedName name="SG_08_20" localSheetId="11">#REF!</definedName>
    <definedName name="SG_08_20" localSheetId="7">#REF!</definedName>
    <definedName name="SG_08_20" localSheetId="21">#REF!</definedName>
    <definedName name="SG_08_20" localSheetId="15">#REF!</definedName>
    <definedName name="SG_08_20">#REF!</definedName>
    <definedName name="SG_08_21" localSheetId="11">#REF!</definedName>
    <definedName name="SG_08_21" localSheetId="7">#REF!</definedName>
    <definedName name="SG_08_21" localSheetId="21">#REF!</definedName>
    <definedName name="SG_08_21" localSheetId="15">#REF!</definedName>
    <definedName name="SG_08_21">#REF!</definedName>
    <definedName name="SG_08_22" localSheetId="11">#REF!</definedName>
    <definedName name="SG_08_22" localSheetId="7">#REF!</definedName>
    <definedName name="SG_08_22" localSheetId="21">#REF!</definedName>
    <definedName name="SG_08_22" localSheetId="15">#REF!</definedName>
    <definedName name="SG_08_22">#REF!</definedName>
    <definedName name="SG_08_23" localSheetId="11">#REF!</definedName>
    <definedName name="SG_08_23" localSheetId="7">#REF!</definedName>
    <definedName name="SG_08_23" localSheetId="21">#REF!</definedName>
    <definedName name="SG_08_23" localSheetId="15">#REF!</definedName>
    <definedName name="SG_08_23">#REF!</definedName>
    <definedName name="SG_08_24" localSheetId="11">#REF!</definedName>
    <definedName name="SG_08_24" localSheetId="7">#REF!</definedName>
    <definedName name="SG_08_24" localSheetId="21">#REF!</definedName>
    <definedName name="SG_08_24" localSheetId="15">#REF!</definedName>
    <definedName name="SG_08_24">#REF!</definedName>
    <definedName name="SG_08_25" localSheetId="11">#REF!</definedName>
    <definedName name="SG_08_25" localSheetId="7">#REF!</definedName>
    <definedName name="SG_08_25" localSheetId="21">#REF!</definedName>
    <definedName name="SG_08_25" localSheetId="15">#REF!</definedName>
    <definedName name="SG_08_25">#REF!</definedName>
    <definedName name="SG_09_01" localSheetId="11">#REF!</definedName>
    <definedName name="SG_09_01" localSheetId="7">#REF!</definedName>
    <definedName name="SG_09_01" localSheetId="21">#REF!</definedName>
    <definedName name="SG_09_01" localSheetId="15">#REF!</definedName>
    <definedName name="SG_09_01">#REF!</definedName>
    <definedName name="SG_09_02" localSheetId="11">#REF!</definedName>
    <definedName name="SG_09_02" localSheetId="7">#REF!</definedName>
    <definedName name="SG_09_02" localSheetId="21">#REF!</definedName>
    <definedName name="SG_09_02" localSheetId="15">#REF!</definedName>
    <definedName name="SG_09_02">#REF!</definedName>
    <definedName name="SG_09_03" localSheetId="11">#REF!</definedName>
    <definedName name="SG_09_03" localSheetId="7">#REF!</definedName>
    <definedName name="SG_09_03" localSheetId="21">#REF!</definedName>
    <definedName name="SG_09_03" localSheetId="15">#REF!</definedName>
    <definedName name="SG_09_03">#REF!</definedName>
    <definedName name="SG_09_04" localSheetId="11">#REF!</definedName>
    <definedName name="SG_09_04" localSheetId="7">#REF!</definedName>
    <definedName name="SG_09_04" localSheetId="21">#REF!</definedName>
    <definedName name="SG_09_04" localSheetId="15">#REF!</definedName>
    <definedName name="SG_09_04">#REF!</definedName>
    <definedName name="SG_09_05" localSheetId="11">#REF!</definedName>
    <definedName name="SG_09_05" localSheetId="7">#REF!</definedName>
    <definedName name="SG_09_05" localSheetId="21">#REF!</definedName>
    <definedName name="SG_09_05" localSheetId="15">#REF!</definedName>
    <definedName name="SG_09_05">#REF!</definedName>
    <definedName name="SG_09_06" localSheetId="11">#REF!</definedName>
    <definedName name="SG_09_06" localSheetId="7">#REF!</definedName>
    <definedName name="SG_09_06" localSheetId="21">#REF!</definedName>
    <definedName name="SG_09_06" localSheetId="15">#REF!</definedName>
    <definedName name="SG_09_06">#REF!</definedName>
    <definedName name="SG_09_07" localSheetId="11">#REF!</definedName>
    <definedName name="SG_09_07" localSheetId="7">#REF!</definedName>
    <definedName name="SG_09_07" localSheetId="21">#REF!</definedName>
    <definedName name="SG_09_07" localSheetId="15">#REF!</definedName>
    <definedName name="SG_09_07">#REF!</definedName>
    <definedName name="SG_09_08" localSheetId="11">#REF!</definedName>
    <definedName name="SG_09_08" localSheetId="7">#REF!</definedName>
    <definedName name="SG_09_08" localSheetId="21">#REF!</definedName>
    <definedName name="SG_09_08" localSheetId="15">#REF!</definedName>
    <definedName name="SG_09_08">#REF!</definedName>
    <definedName name="SG_09_09" localSheetId="11">#REF!</definedName>
    <definedName name="SG_09_09" localSheetId="7">#REF!</definedName>
    <definedName name="SG_09_09" localSheetId="21">#REF!</definedName>
    <definedName name="SG_09_09" localSheetId="15">#REF!</definedName>
    <definedName name="SG_09_09">#REF!</definedName>
    <definedName name="SG_09_10" localSheetId="11">#REF!</definedName>
    <definedName name="SG_09_10" localSheetId="7">#REF!</definedName>
    <definedName name="SG_09_10" localSheetId="21">#REF!</definedName>
    <definedName name="SG_09_10" localSheetId="15">#REF!</definedName>
    <definedName name="SG_09_10">#REF!</definedName>
    <definedName name="SG_09_11" localSheetId="11">#REF!</definedName>
    <definedName name="SG_09_11" localSheetId="7">#REF!</definedName>
    <definedName name="SG_09_11" localSheetId="21">#REF!</definedName>
    <definedName name="SG_09_11" localSheetId="15">#REF!</definedName>
    <definedName name="SG_09_11">#REF!</definedName>
    <definedName name="SG_09_12" localSheetId="11">#REF!</definedName>
    <definedName name="SG_09_12" localSheetId="7">#REF!</definedName>
    <definedName name="SG_09_12" localSheetId="21">#REF!</definedName>
    <definedName name="SG_09_12" localSheetId="15">#REF!</definedName>
    <definedName name="SG_09_12">#REF!</definedName>
    <definedName name="SG_09_13" localSheetId="11">#REF!</definedName>
    <definedName name="SG_09_13" localSheetId="7">#REF!</definedName>
    <definedName name="SG_09_13" localSheetId="21">#REF!</definedName>
    <definedName name="SG_09_13" localSheetId="15">#REF!</definedName>
    <definedName name="SG_09_13">#REF!</definedName>
    <definedName name="SG_09_14" localSheetId="11">#REF!</definedName>
    <definedName name="SG_09_14" localSheetId="7">#REF!</definedName>
    <definedName name="SG_09_14" localSheetId="21">#REF!</definedName>
    <definedName name="SG_09_14" localSheetId="15">#REF!</definedName>
    <definedName name="SG_09_14">#REF!</definedName>
    <definedName name="SG_09_15" localSheetId="11">#REF!</definedName>
    <definedName name="SG_09_15" localSheetId="7">#REF!</definedName>
    <definedName name="SG_09_15" localSheetId="21">#REF!</definedName>
    <definedName name="SG_09_15" localSheetId="15">#REF!</definedName>
    <definedName name="SG_09_15">#REF!</definedName>
    <definedName name="SG_09_16" localSheetId="11">#REF!</definedName>
    <definedName name="SG_09_16" localSheetId="7">#REF!</definedName>
    <definedName name="SG_09_16" localSheetId="21">#REF!</definedName>
    <definedName name="SG_09_16" localSheetId="15">#REF!</definedName>
    <definedName name="SG_09_16">#REF!</definedName>
    <definedName name="SG_09_17" localSheetId="11">#REF!</definedName>
    <definedName name="SG_09_17" localSheetId="7">#REF!</definedName>
    <definedName name="SG_09_17" localSheetId="21">#REF!</definedName>
    <definedName name="SG_09_17" localSheetId="15">#REF!</definedName>
    <definedName name="SG_09_17">#REF!</definedName>
    <definedName name="SG_09_18" localSheetId="11">#REF!</definedName>
    <definedName name="SG_09_18" localSheetId="7">#REF!</definedName>
    <definedName name="SG_09_18" localSheetId="21">#REF!</definedName>
    <definedName name="SG_09_18" localSheetId="15">#REF!</definedName>
    <definedName name="SG_09_18">#REF!</definedName>
    <definedName name="SG_09_19" localSheetId="11">#REF!</definedName>
    <definedName name="SG_09_19" localSheetId="7">#REF!</definedName>
    <definedName name="SG_09_19" localSheetId="21">#REF!</definedName>
    <definedName name="SG_09_19" localSheetId="15">#REF!</definedName>
    <definedName name="SG_09_19">#REF!</definedName>
    <definedName name="SG_09_20" localSheetId="11">#REF!</definedName>
    <definedName name="SG_09_20" localSheetId="7">#REF!</definedName>
    <definedName name="SG_09_20" localSheetId="21">#REF!</definedName>
    <definedName name="SG_09_20" localSheetId="15">#REF!</definedName>
    <definedName name="SG_09_20">#REF!</definedName>
    <definedName name="SG_09_21" localSheetId="11">#REF!</definedName>
    <definedName name="SG_09_21" localSheetId="7">#REF!</definedName>
    <definedName name="SG_09_21" localSheetId="21">#REF!</definedName>
    <definedName name="SG_09_21" localSheetId="15">#REF!</definedName>
    <definedName name="SG_09_21">#REF!</definedName>
    <definedName name="SG_09_22" localSheetId="11">#REF!</definedName>
    <definedName name="SG_09_22" localSheetId="7">#REF!</definedName>
    <definedName name="SG_09_22" localSheetId="21">#REF!</definedName>
    <definedName name="SG_09_22" localSheetId="15">#REF!</definedName>
    <definedName name="SG_09_22">#REF!</definedName>
    <definedName name="SG_09_23" localSheetId="11">#REF!</definedName>
    <definedName name="SG_09_23" localSheetId="7">#REF!</definedName>
    <definedName name="SG_09_23" localSheetId="21">#REF!</definedName>
    <definedName name="SG_09_23" localSheetId="15">#REF!</definedName>
    <definedName name="SG_09_23">#REF!</definedName>
    <definedName name="SG_09_24" localSheetId="11">#REF!</definedName>
    <definedName name="SG_09_24" localSheetId="7">#REF!</definedName>
    <definedName name="SG_09_24" localSheetId="21">#REF!</definedName>
    <definedName name="SG_09_24" localSheetId="15">#REF!</definedName>
    <definedName name="SG_09_24">#REF!</definedName>
    <definedName name="SG_09_25" localSheetId="11">#REF!</definedName>
    <definedName name="SG_09_25" localSheetId="7">#REF!</definedName>
    <definedName name="SG_09_25" localSheetId="21">#REF!</definedName>
    <definedName name="SG_09_25" localSheetId="15">#REF!</definedName>
    <definedName name="SG_09_25">#REF!</definedName>
    <definedName name="SG_10_01" localSheetId="11">#REF!</definedName>
    <definedName name="SG_10_01" localSheetId="7">#REF!</definedName>
    <definedName name="SG_10_01" localSheetId="21">#REF!</definedName>
    <definedName name="SG_10_01" localSheetId="15">#REF!</definedName>
    <definedName name="SG_10_01">#REF!</definedName>
    <definedName name="SG_10_02" localSheetId="11">#REF!</definedName>
    <definedName name="SG_10_02" localSheetId="7">#REF!</definedName>
    <definedName name="SG_10_02" localSheetId="21">#REF!</definedName>
    <definedName name="SG_10_02" localSheetId="15">#REF!</definedName>
    <definedName name="SG_10_02">#REF!</definedName>
    <definedName name="SG_10_03" localSheetId="11">#REF!</definedName>
    <definedName name="SG_10_03" localSheetId="7">#REF!</definedName>
    <definedName name="SG_10_03" localSheetId="21">#REF!</definedName>
    <definedName name="SG_10_03" localSheetId="15">#REF!</definedName>
    <definedName name="SG_10_03">#REF!</definedName>
    <definedName name="SG_10_04" localSheetId="11">#REF!</definedName>
    <definedName name="SG_10_04" localSheetId="7">#REF!</definedName>
    <definedName name="SG_10_04" localSheetId="21">#REF!</definedName>
    <definedName name="SG_10_04" localSheetId="15">#REF!</definedName>
    <definedName name="SG_10_04">#REF!</definedName>
    <definedName name="SG_10_05" localSheetId="11">#REF!</definedName>
    <definedName name="SG_10_05" localSheetId="7">#REF!</definedName>
    <definedName name="SG_10_05" localSheetId="21">#REF!</definedName>
    <definedName name="SG_10_05" localSheetId="15">#REF!</definedName>
    <definedName name="SG_10_05">#REF!</definedName>
    <definedName name="SG_10_06" localSheetId="11">#REF!</definedName>
    <definedName name="SG_10_06" localSheetId="7">#REF!</definedName>
    <definedName name="SG_10_06" localSheetId="21">#REF!</definedName>
    <definedName name="SG_10_06" localSheetId="15">#REF!</definedName>
    <definedName name="SG_10_06">#REF!</definedName>
    <definedName name="SG_10_07" localSheetId="11">#REF!</definedName>
    <definedName name="SG_10_07" localSheetId="7">#REF!</definedName>
    <definedName name="SG_10_07" localSheetId="21">#REF!</definedName>
    <definedName name="SG_10_07" localSheetId="15">#REF!</definedName>
    <definedName name="SG_10_07">#REF!</definedName>
    <definedName name="SG_10_08" localSheetId="11">#REF!</definedName>
    <definedName name="SG_10_08" localSheetId="7">#REF!</definedName>
    <definedName name="SG_10_08" localSheetId="21">#REF!</definedName>
    <definedName name="SG_10_08" localSheetId="15">#REF!</definedName>
    <definedName name="SG_10_08">#REF!</definedName>
    <definedName name="SG_10_09" localSheetId="11">#REF!</definedName>
    <definedName name="SG_10_09" localSheetId="7">#REF!</definedName>
    <definedName name="SG_10_09" localSheetId="21">#REF!</definedName>
    <definedName name="SG_10_09" localSheetId="15">#REF!</definedName>
    <definedName name="SG_10_09">#REF!</definedName>
    <definedName name="SG_10_10" localSheetId="11">#REF!</definedName>
    <definedName name="SG_10_10" localSheetId="7">#REF!</definedName>
    <definedName name="SG_10_10" localSheetId="21">#REF!</definedName>
    <definedName name="SG_10_10" localSheetId="15">#REF!</definedName>
    <definedName name="SG_10_10">#REF!</definedName>
    <definedName name="SG_10_11" localSheetId="11">#REF!</definedName>
    <definedName name="SG_10_11" localSheetId="7">#REF!</definedName>
    <definedName name="SG_10_11" localSheetId="21">#REF!</definedName>
    <definedName name="SG_10_11" localSheetId="15">#REF!</definedName>
    <definedName name="SG_10_11">#REF!</definedName>
    <definedName name="SG_10_12" localSheetId="11">#REF!</definedName>
    <definedName name="SG_10_12" localSheetId="7">#REF!</definedName>
    <definedName name="SG_10_12" localSheetId="21">#REF!</definedName>
    <definedName name="SG_10_12" localSheetId="15">#REF!</definedName>
    <definedName name="SG_10_12">#REF!</definedName>
    <definedName name="SG_10_13" localSheetId="11">#REF!</definedName>
    <definedName name="SG_10_13" localSheetId="7">#REF!</definedName>
    <definedName name="SG_10_13" localSheetId="21">#REF!</definedName>
    <definedName name="SG_10_13" localSheetId="15">#REF!</definedName>
    <definedName name="SG_10_13">#REF!</definedName>
    <definedName name="SG_10_14" localSheetId="11">#REF!</definedName>
    <definedName name="SG_10_14" localSheetId="7">#REF!</definedName>
    <definedName name="SG_10_14" localSheetId="21">#REF!</definedName>
    <definedName name="SG_10_14" localSheetId="15">#REF!</definedName>
    <definedName name="SG_10_14">#REF!</definedName>
    <definedName name="SG_10_15" localSheetId="11">#REF!</definedName>
    <definedName name="SG_10_15" localSheetId="7">#REF!</definedName>
    <definedName name="SG_10_15" localSheetId="21">#REF!</definedName>
    <definedName name="SG_10_15" localSheetId="15">#REF!</definedName>
    <definedName name="SG_10_15">#REF!</definedName>
    <definedName name="SG_10_16" localSheetId="11">#REF!</definedName>
    <definedName name="SG_10_16" localSheetId="7">#REF!</definedName>
    <definedName name="SG_10_16" localSheetId="21">#REF!</definedName>
    <definedName name="SG_10_16" localSheetId="15">#REF!</definedName>
    <definedName name="SG_10_16">#REF!</definedName>
    <definedName name="SG_10_17" localSheetId="11">#REF!</definedName>
    <definedName name="SG_10_17" localSheetId="7">#REF!</definedName>
    <definedName name="SG_10_17" localSheetId="21">#REF!</definedName>
    <definedName name="SG_10_17" localSheetId="15">#REF!</definedName>
    <definedName name="SG_10_17">#REF!</definedName>
    <definedName name="SG_10_18" localSheetId="11">#REF!</definedName>
    <definedName name="SG_10_18" localSheetId="7">#REF!</definedName>
    <definedName name="SG_10_18" localSheetId="21">#REF!</definedName>
    <definedName name="SG_10_18" localSheetId="15">#REF!</definedName>
    <definedName name="SG_10_18">#REF!</definedName>
    <definedName name="SG_10_19" localSheetId="11">#REF!</definedName>
    <definedName name="SG_10_19" localSheetId="7">#REF!</definedName>
    <definedName name="SG_10_19" localSheetId="21">#REF!</definedName>
    <definedName name="SG_10_19" localSheetId="15">#REF!</definedName>
    <definedName name="SG_10_19">#REF!</definedName>
    <definedName name="SG_10_20" localSheetId="11">#REF!</definedName>
    <definedName name="SG_10_20" localSheetId="7">#REF!</definedName>
    <definedName name="SG_10_20" localSheetId="21">#REF!</definedName>
    <definedName name="SG_10_20" localSheetId="15">#REF!</definedName>
    <definedName name="SG_10_20">#REF!</definedName>
    <definedName name="SG_10_21" localSheetId="11">#REF!</definedName>
    <definedName name="SG_10_21" localSheetId="7">#REF!</definedName>
    <definedName name="SG_10_21" localSheetId="21">#REF!</definedName>
    <definedName name="SG_10_21" localSheetId="15">#REF!</definedName>
    <definedName name="SG_10_21">#REF!</definedName>
    <definedName name="SG_10_22" localSheetId="11">#REF!</definedName>
    <definedName name="SG_10_22" localSheetId="7">#REF!</definedName>
    <definedName name="SG_10_22" localSheetId="21">#REF!</definedName>
    <definedName name="SG_10_22" localSheetId="15">#REF!</definedName>
    <definedName name="SG_10_22">#REF!</definedName>
    <definedName name="SG_10_23" localSheetId="11">#REF!</definedName>
    <definedName name="SG_10_23" localSheetId="7">#REF!</definedName>
    <definedName name="SG_10_23" localSheetId="21">#REF!</definedName>
    <definedName name="SG_10_23" localSheetId="15">#REF!</definedName>
    <definedName name="SG_10_23">#REF!</definedName>
    <definedName name="SG_10_24" localSheetId="11">#REF!</definedName>
    <definedName name="SG_10_24" localSheetId="7">#REF!</definedName>
    <definedName name="SG_10_24" localSheetId="21">#REF!</definedName>
    <definedName name="SG_10_24" localSheetId="15">#REF!</definedName>
    <definedName name="SG_10_24">#REF!</definedName>
    <definedName name="SG_10_25" localSheetId="11">#REF!</definedName>
    <definedName name="SG_10_25" localSheetId="7">#REF!</definedName>
    <definedName name="SG_10_25" localSheetId="21">#REF!</definedName>
    <definedName name="SG_10_25" localSheetId="15">#REF!</definedName>
    <definedName name="SG_10_25">#REF!</definedName>
    <definedName name="SG_11_01" localSheetId="11">#REF!</definedName>
    <definedName name="SG_11_01" localSheetId="7">#REF!</definedName>
    <definedName name="SG_11_01" localSheetId="21">#REF!</definedName>
    <definedName name="SG_11_01" localSheetId="15">#REF!</definedName>
    <definedName name="SG_11_01">#REF!</definedName>
    <definedName name="SG_11_02" localSheetId="11">#REF!</definedName>
    <definedName name="SG_11_02" localSheetId="7">#REF!</definedName>
    <definedName name="SG_11_02" localSheetId="21">#REF!</definedName>
    <definedName name="SG_11_02" localSheetId="15">#REF!</definedName>
    <definedName name="SG_11_02">#REF!</definedName>
    <definedName name="SG_11_03" localSheetId="11">#REF!</definedName>
    <definedName name="SG_11_03" localSheetId="7">#REF!</definedName>
    <definedName name="SG_11_03" localSheetId="21">#REF!</definedName>
    <definedName name="SG_11_03" localSheetId="15">#REF!</definedName>
    <definedName name="SG_11_03">#REF!</definedName>
    <definedName name="SG_11_04" localSheetId="11">#REF!</definedName>
    <definedName name="SG_11_04" localSheetId="7">#REF!</definedName>
    <definedName name="SG_11_04" localSheetId="21">#REF!</definedName>
    <definedName name="SG_11_04" localSheetId="15">#REF!</definedName>
    <definedName name="SG_11_04">#REF!</definedName>
    <definedName name="SG_11_05" localSheetId="11">#REF!</definedName>
    <definedName name="SG_11_05" localSheetId="7">#REF!</definedName>
    <definedName name="SG_11_05" localSheetId="21">#REF!</definedName>
    <definedName name="SG_11_05" localSheetId="15">#REF!</definedName>
    <definedName name="SG_11_05">#REF!</definedName>
    <definedName name="SG_11_06" localSheetId="11">#REF!</definedName>
    <definedName name="SG_11_06" localSheetId="7">#REF!</definedName>
    <definedName name="SG_11_06" localSheetId="21">#REF!</definedName>
    <definedName name="SG_11_06" localSheetId="15">#REF!</definedName>
    <definedName name="SG_11_06">#REF!</definedName>
    <definedName name="SG_11_07" localSheetId="11">#REF!</definedName>
    <definedName name="SG_11_07" localSheetId="7">#REF!</definedName>
    <definedName name="SG_11_07" localSheetId="21">#REF!</definedName>
    <definedName name="SG_11_07" localSheetId="15">#REF!</definedName>
    <definedName name="SG_11_07">#REF!</definedName>
    <definedName name="SG_11_08" localSheetId="11">#REF!</definedName>
    <definedName name="SG_11_08" localSheetId="7">#REF!</definedName>
    <definedName name="SG_11_08" localSheetId="21">#REF!</definedName>
    <definedName name="SG_11_08" localSheetId="15">#REF!</definedName>
    <definedName name="SG_11_08">#REF!</definedName>
    <definedName name="SG_11_09" localSheetId="11">#REF!</definedName>
    <definedName name="SG_11_09" localSheetId="7">#REF!</definedName>
    <definedName name="SG_11_09" localSheetId="21">#REF!</definedName>
    <definedName name="SG_11_09" localSheetId="15">#REF!</definedName>
    <definedName name="SG_11_09">#REF!</definedName>
    <definedName name="SG_11_10" localSheetId="11">#REF!</definedName>
    <definedName name="SG_11_10" localSheetId="7">#REF!</definedName>
    <definedName name="SG_11_10" localSheetId="21">#REF!</definedName>
    <definedName name="SG_11_10" localSheetId="15">#REF!</definedName>
    <definedName name="SG_11_10">#REF!</definedName>
    <definedName name="SG_11_11" localSheetId="11">#REF!</definedName>
    <definedName name="SG_11_11" localSheetId="7">#REF!</definedName>
    <definedName name="SG_11_11" localSheetId="21">#REF!</definedName>
    <definedName name="SG_11_11" localSheetId="15">#REF!</definedName>
    <definedName name="SG_11_11">#REF!</definedName>
    <definedName name="SG_11_12" localSheetId="11">#REF!</definedName>
    <definedName name="SG_11_12" localSheetId="7">#REF!</definedName>
    <definedName name="SG_11_12" localSheetId="21">#REF!</definedName>
    <definedName name="SG_11_12" localSheetId="15">#REF!</definedName>
    <definedName name="SG_11_12">#REF!</definedName>
    <definedName name="SG_11_13" localSheetId="11">#REF!</definedName>
    <definedName name="SG_11_13" localSheetId="7">#REF!</definedName>
    <definedName name="SG_11_13" localSheetId="21">#REF!</definedName>
    <definedName name="SG_11_13" localSheetId="15">#REF!</definedName>
    <definedName name="SG_11_13">#REF!</definedName>
    <definedName name="SG_11_14" localSheetId="11">#REF!</definedName>
    <definedName name="SG_11_14" localSheetId="7">#REF!</definedName>
    <definedName name="SG_11_14" localSheetId="21">#REF!</definedName>
    <definedName name="SG_11_14" localSheetId="15">#REF!</definedName>
    <definedName name="SG_11_14">#REF!</definedName>
    <definedName name="SG_11_15" localSheetId="11">#REF!</definedName>
    <definedName name="SG_11_15" localSheetId="7">#REF!</definedName>
    <definedName name="SG_11_15" localSheetId="21">#REF!</definedName>
    <definedName name="SG_11_15" localSheetId="15">#REF!</definedName>
    <definedName name="SG_11_15">#REF!</definedName>
    <definedName name="SG_11_16" localSheetId="11">#REF!</definedName>
    <definedName name="SG_11_16" localSheetId="7">#REF!</definedName>
    <definedName name="SG_11_16" localSheetId="21">#REF!</definedName>
    <definedName name="SG_11_16" localSheetId="15">#REF!</definedName>
    <definedName name="SG_11_16">#REF!</definedName>
    <definedName name="SG_11_17" localSheetId="11">#REF!</definedName>
    <definedName name="SG_11_17" localSheetId="7">#REF!</definedName>
    <definedName name="SG_11_17" localSheetId="21">#REF!</definedName>
    <definedName name="SG_11_17" localSheetId="15">#REF!</definedName>
    <definedName name="SG_11_17">#REF!</definedName>
    <definedName name="SG_11_18" localSheetId="11">#REF!</definedName>
    <definedName name="SG_11_18" localSheetId="7">#REF!</definedName>
    <definedName name="SG_11_18" localSheetId="21">#REF!</definedName>
    <definedName name="SG_11_18" localSheetId="15">#REF!</definedName>
    <definedName name="SG_11_18">#REF!</definedName>
    <definedName name="SG_11_19" localSheetId="11">#REF!</definedName>
    <definedName name="SG_11_19" localSheetId="7">#REF!</definedName>
    <definedName name="SG_11_19" localSheetId="21">#REF!</definedName>
    <definedName name="SG_11_19" localSheetId="15">#REF!</definedName>
    <definedName name="SG_11_19">#REF!</definedName>
    <definedName name="SG_11_20" localSheetId="11">#REF!</definedName>
    <definedName name="SG_11_20" localSheetId="7">#REF!</definedName>
    <definedName name="SG_11_20" localSheetId="21">#REF!</definedName>
    <definedName name="SG_11_20" localSheetId="15">#REF!</definedName>
    <definedName name="SG_11_20">#REF!</definedName>
    <definedName name="SG_11_21" localSheetId="11">#REF!</definedName>
    <definedName name="SG_11_21" localSheetId="7">#REF!</definedName>
    <definedName name="SG_11_21" localSheetId="21">#REF!</definedName>
    <definedName name="SG_11_21" localSheetId="15">#REF!</definedName>
    <definedName name="SG_11_21">#REF!</definedName>
    <definedName name="SG_11_22" localSheetId="11">#REF!</definedName>
    <definedName name="SG_11_22" localSheetId="7">#REF!</definedName>
    <definedName name="SG_11_22" localSheetId="21">#REF!</definedName>
    <definedName name="SG_11_22" localSheetId="15">#REF!</definedName>
    <definedName name="SG_11_22">#REF!</definedName>
    <definedName name="SG_11_23" localSheetId="11">#REF!</definedName>
    <definedName name="SG_11_23" localSheetId="7">#REF!</definedName>
    <definedName name="SG_11_23" localSheetId="21">#REF!</definedName>
    <definedName name="SG_11_23" localSheetId="15">#REF!</definedName>
    <definedName name="SG_11_23">#REF!</definedName>
    <definedName name="SG_11_24" localSheetId="11">#REF!</definedName>
    <definedName name="SG_11_24" localSheetId="7">#REF!</definedName>
    <definedName name="SG_11_24" localSheetId="21">#REF!</definedName>
    <definedName name="SG_11_24" localSheetId="15">#REF!</definedName>
    <definedName name="SG_11_24">#REF!</definedName>
    <definedName name="SG_11_25" localSheetId="11">#REF!</definedName>
    <definedName name="SG_11_25" localSheetId="7">#REF!</definedName>
    <definedName name="SG_11_25" localSheetId="21">#REF!</definedName>
    <definedName name="SG_11_25" localSheetId="15">#REF!</definedName>
    <definedName name="SG_11_25">#REF!</definedName>
    <definedName name="SG_12_01" localSheetId="11">#REF!</definedName>
    <definedName name="SG_12_01" localSheetId="7">#REF!</definedName>
    <definedName name="SG_12_01" localSheetId="21">#REF!</definedName>
    <definedName name="SG_12_01" localSheetId="15">#REF!</definedName>
    <definedName name="SG_12_01">#REF!</definedName>
    <definedName name="SG_12_02" localSheetId="11">#REF!</definedName>
    <definedName name="SG_12_02" localSheetId="7">#REF!</definedName>
    <definedName name="SG_12_02" localSheetId="21">#REF!</definedName>
    <definedName name="SG_12_02" localSheetId="15">#REF!</definedName>
    <definedName name="SG_12_02">#REF!</definedName>
    <definedName name="SG_12_03" localSheetId="11">#REF!</definedName>
    <definedName name="SG_12_03" localSheetId="7">#REF!</definedName>
    <definedName name="SG_12_03" localSheetId="21">#REF!</definedName>
    <definedName name="SG_12_03" localSheetId="15">#REF!</definedName>
    <definedName name="SG_12_03">#REF!</definedName>
    <definedName name="SG_12_04" localSheetId="11">#REF!</definedName>
    <definedName name="SG_12_04" localSheetId="7">#REF!</definedName>
    <definedName name="SG_12_04" localSheetId="21">#REF!</definedName>
    <definedName name="SG_12_04" localSheetId="15">#REF!</definedName>
    <definedName name="SG_12_04">#REF!</definedName>
    <definedName name="SG_12_05" localSheetId="11">#REF!</definedName>
    <definedName name="SG_12_05" localSheetId="7">#REF!</definedName>
    <definedName name="SG_12_05" localSheetId="21">#REF!</definedName>
    <definedName name="SG_12_05" localSheetId="15">#REF!</definedName>
    <definedName name="SG_12_05">#REF!</definedName>
    <definedName name="SG_12_06" localSheetId="11">#REF!</definedName>
    <definedName name="SG_12_06" localSheetId="7">#REF!</definedName>
    <definedName name="SG_12_06" localSheetId="21">#REF!</definedName>
    <definedName name="SG_12_06" localSheetId="15">#REF!</definedName>
    <definedName name="SG_12_06">#REF!</definedName>
    <definedName name="SG_12_07" localSheetId="11">#REF!</definedName>
    <definedName name="SG_12_07" localSheetId="7">#REF!</definedName>
    <definedName name="SG_12_07" localSheetId="21">#REF!</definedName>
    <definedName name="SG_12_07" localSheetId="15">#REF!</definedName>
    <definedName name="SG_12_07">#REF!</definedName>
    <definedName name="SG_12_08" localSheetId="11">#REF!</definedName>
    <definedName name="SG_12_08" localSheetId="7">#REF!</definedName>
    <definedName name="SG_12_08" localSheetId="21">#REF!</definedName>
    <definedName name="SG_12_08" localSheetId="15">#REF!</definedName>
    <definedName name="SG_12_08">#REF!</definedName>
    <definedName name="SG_12_09" localSheetId="11">#REF!</definedName>
    <definedName name="SG_12_09" localSheetId="7">#REF!</definedName>
    <definedName name="SG_12_09" localSheetId="21">#REF!</definedName>
    <definedName name="SG_12_09" localSheetId="15">#REF!</definedName>
    <definedName name="SG_12_09">#REF!</definedName>
    <definedName name="SG_12_10" localSheetId="11">#REF!</definedName>
    <definedName name="SG_12_10" localSheetId="7">#REF!</definedName>
    <definedName name="SG_12_10" localSheetId="21">#REF!</definedName>
    <definedName name="SG_12_10" localSheetId="15">#REF!</definedName>
    <definedName name="SG_12_10">#REF!</definedName>
    <definedName name="SG_12_11" localSheetId="11">#REF!</definedName>
    <definedName name="SG_12_11" localSheetId="7">#REF!</definedName>
    <definedName name="SG_12_11" localSheetId="21">#REF!</definedName>
    <definedName name="SG_12_11" localSheetId="15">#REF!</definedName>
    <definedName name="SG_12_11">#REF!</definedName>
    <definedName name="SG_12_12" localSheetId="11">#REF!</definedName>
    <definedName name="SG_12_12" localSheetId="7">#REF!</definedName>
    <definedName name="SG_12_12" localSheetId="21">#REF!</definedName>
    <definedName name="SG_12_12" localSheetId="15">#REF!</definedName>
    <definedName name="SG_12_12">#REF!</definedName>
    <definedName name="SG_12_13" localSheetId="11">#REF!</definedName>
    <definedName name="SG_12_13" localSheetId="7">#REF!</definedName>
    <definedName name="SG_12_13" localSheetId="21">#REF!</definedName>
    <definedName name="SG_12_13" localSheetId="15">#REF!</definedName>
    <definedName name="SG_12_13">#REF!</definedName>
    <definedName name="SG_12_14" localSheetId="11">#REF!</definedName>
    <definedName name="SG_12_14" localSheetId="7">#REF!</definedName>
    <definedName name="SG_12_14" localSheetId="21">#REF!</definedName>
    <definedName name="SG_12_14" localSheetId="15">#REF!</definedName>
    <definedName name="SG_12_14">#REF!</definedName>
    <definedName name="SG_12_15" localSheetId="11">#REF!</definedName>
    <definedName name="SG_12_15" localSheetId="7">#REF!</definedName>
    <definedName name="SG_12_15" localSheetId="21">#REF!</definedName>
    <definedName name="SG_12_15" localSheetId="15">#REF!</definedName>
    <definedName name="SG_12_15">#REF!</definedName>
    <definedName name="SG_12_16" localSheetId="11">#REF!</definedName>
    <definedName name="SG_12_16" localSheetId="7">#REF!</definedName>
    <definedName name="SG_12_16" localSheetId="21">#REF!</definedName>
    <definedName name="SG_12_16" localSheetId="15">#REF!</definedName>
    <definedName name="SG_12_16">#REF!</definedName>
    <definedName name="SG_12_17" localSheetId="11">#REF!</definedName>
    <definedName name="SG_12_17" localSheetId="7">#REF!</definedName>
    <definedName name="SG_12_17" localSheetId="21">#REF!</definedName>
    <definedName name="SG_12_17" localSheetId="15">#REF!</definedName>
    <definedName name="SG_12_17">#REF!</definedName>
    <definedName name="SG_12_18" localSheetId="11">#REF!</definedName>
    <definedName name="SG_12_18" localSheetId="7">#REF!</definedName>
    <definedName name="SG_12_18" localSheetId="21">#REF!</definedName>
    <definedName name="SG_12_18" localSheetId="15">#REF!</definedName>
    <definedName name="SG_12_18">#REF!</definedName>
    <definedName name="SG_12_19" localSheetId="11">#REF!</definedName>
    <definedName name="SG_12_19" localSheetId="7">#REF!</definedName>
    <definedName name="SG_12_19" localSheetId="21">#REF!</definedName>
    <definedName name="SG_12_19" localSheetId="15">#REF!</definedName>
    <definedName name="SG_12_19">#REF!</definedName>
    <definedName name="SG_12_20" localSheetId="11">#REF!</definedName>
    <definedName name="SG_12_20" localSheetId="7">#REF!</definedName>
    <definedName name="SG_12_20" localSheetId="21">#REF!</definedName>
    <definedName name="SG_12_20" localSheetId="15">#REF!</definedName>
    <definedName name="SG_12_20">#REF!</definedName>
    <definedName name="SG_12_21" localSheetId="11">#REF!</definedName>
    <definedName name="SG_12_21" localSheetId="7">#REF!</definedName>
    <definedName name="SG_12_21" localSheetId="21">#REF!</definedName>
    <definedName name="SG_12_21" localSheetId="15">#REF!</definedName>
    <definedName name="SG_12_21">#REF!</definedName>
    <definedName name="SG_12_22" localSheetId="11">#REF!</definedName>
    <definedName name="SG_12_22" localSheetId="7">#REF!</definedName>
    <definedName name="SG_12_22" localSheetId="21">#REF!</definedName>
    <definedName name="SG_12_22" localSheetId="15">#REF!</definedName>
    <definedName name="SG_12_22">#REF!</definedName>
    <definedName name="SG_12_23" localSheetId="11">#REF!</definedName>
    <definedName name="SG_12_23" localSheetId="7">#REF!</definedName>
    <definedName name="SG_12_23" localSheetId="21">#REF!</definedName>
    <definedName name="SG_12_23" localSheetId="15">#REF!</definedName>
    <definedName name="SG_12_23">#REF!</definedName>
    <definedName name="SG_12_24" localSheetId="11">#REF!</definedName>
    <definedName name="SG_12_24" localSheetId="7">#REF!</definedName>
    <definedName name="SG_12_24" localSheetId="21">#REF!</definedName>
    <definedName name="SG_12_24" localSheetId="15">#REF!</definedName>
    <definedName name="SG_12_24">#REF!</definedName>
    <definedName name="SG_12_25" localSheetId="11">#REF!</definedName>
    <definedName name="SG_12_25" localSheetId="7">#REF!</definedName>
    <definedName name="SG_12_25" localSheetId="21">#REF!</definedName>
    <definedName name="SG_12_25" localSheetId="15">#REF!</definedName>
    <definedName name="SG_12_25">#REF!</definedName>
    <definedName name="SG_13_01" localSheetId="11">#REF!</definedName>
    <definedName name="SG_13_01" localSheetId="7">#REF!</definedName>
    <definedName name="SG_13_01" localSheetId="21">#REF!</definedName>
    <definedName name="SG_13_01" localSheetId="15">#REF!</definedName>
    <definedName name="SG_13_01">#REF!</definedName>
    <definedName name="SG_13_02" localSheetId="11">#REF!</definedName>
    <definedName name="SG_13_02" localSheetId="7">#REF!</definedName>
    <definedName name="SG_13_02" localSheetId="21">#REF!</definedName>
    <definedName name="SG_13_02" localSheetId="15">#REF!</definedName>
    <definedName name="SG_13_02">#REF!</definedName>
    <definedName name="SG_13_03" localSheetId="11">#REF!</definedName>
    <definedName name="SG_13_03" localSheetId="7">#REF!</definedName>
    <definedName name="SG_13_03" localSheetId="21">#REF!</definedName>
    <definedName name="SG_13_03" localSheetId="15">#REF!</definedName>
    <definedName name="SG_13_03">#REF!</definedName>
    <definedName name="SG_13_04" localSheetId="11">#REF!</definedName>
    <definedName name="SG_13_04" localSheetId="7">#REF!</definedName>
    <definedName name="SG_13_04" localSheetId="21">#REF!</definedName>
    <definedName name="SG_13_04" localSheetId="15">#REF!</definedName>
    <definedName name="SG_13_04">#REF!</definedName>
    <definedName name="SG_13_05" localSheetId="11">#REF!</definedName>
    <definedName name="SG_13_05" localSheetId="7">#REF!</definedName>
    <definedName name="SG_13_05" localSheetId="21">#REF!</definedName>
    <definedName name="SG_13_05" localSheetId="15">#REF!</definedName>
    <definedName name="SG_13_05">#REF!</definedName>
    <definedName name="SG_13_06" localSheetId="11">#REF!</definedName>
    <definedName name="SG_13_06" localSheetId="7">#REF!</definedName>
    <definedName name="SG_13_06" localSheetId="21">#REF!</definedName>
    <definedName name="SG_13_06" localSheetId="15">#REF!</definedName>
    <definedName name="SG_13_06">#REF!</definedName>
    <definedName name="SG_13_07" localSheetId="11">#REF!</definedName>
    <definedName name="SG_13_07" localSheetId="7">#REF!</definedName>
    <definedName name="SG_13_07" localSheetId="21">#REF!</definedName>
    <definedName name="SG_13_07" localSheetId="15">#REF!</definedName>
    <definedName name="SG_13_07">#REF!</definedName>
    <definedName name="SG_13_08" localSheetId="11">#REF!</definedName>
    <definedName name="SG_13_08" localSheetId="7">#REF!</definedName>
    <definedName name="SG_13_08" localSheetId="21">#REF!</definedName>
    <definedName name="SG_13_08" localSheetId="15">#REF!</definedName>
    <definedName name="SG_13_08">#REF!</definedName>
    <definedName name="SG_13_09" localSheetId="11">#REF!</definedName>
    <definedName name="SG_13_09" localSheetId="7">#REF!</definedName>
    <definedName name="SG_13_09" localSheetId="21">#REF!</definedName>
    <definedName name="SG_13_09" localSheetId="15">#REF!</definedName>
    <definedName name="SG_13_09">#REF!</definedName>
    <definedName name="SG_13_10" localSheetId="11">#REF!</definedName>
    <definedName name="SG_13_10" localSheetId="7">#REF!</definedName>
    <definedName name="SG_13_10" localSheetId="21">#REF!</definedName>
    <definedName name="SG_13_10" localSheetId="15">#REF!</definedName>
    <definedName name="SG_13_10">#REF!</definedName>
    <definedName name="SG_13_11" localSheetId="11">#REF!</definedName>
    <definedName name="SG_13_11" localSheetId="7">#REF!</definedName>
    <definedName name="SG_13_11" localSheetId="21">#REF!</definedName>
    <definedName name="SG_13_11" localSheetId="15">#REF!</definedName>
    <definedName name="SG_13_11">#REF!</definedName>
    <definedName name="SG_13_12" localSheetId="11">#REF!</definedName>
    <definedName name="SG_13_12" localSheetId="7">#REF!</definedName>
    <definedName name="SG_13_12" localSheetId="21">#REF!</definedName>
    <definedName name="SG_13_12" localSheetId="15">#REF!</definedName>
    <definedName name="SG_13_12">#REF!</definedName>
    <definedName name="SG_13_13" localSheetId="11">#REF!</definedName>
    <definedName name="SG_13_13" localSheetId="7">#REF!</definedName>
    <definedName name="SG_13_13" localSheetId="21">#REF!</definedName>
    <definedName name="SG_13_13" localSheetId="15">#REF!</definedName>
    <definedName name="SG_13_13">#REF!</definedName>
    <definedName name="SG_13_14" localSheetId="11">#REF!</definedName>
    <definedName name="SG_13_14" localSheetId="7">#REF!</definedName>
    <definedName name="SG_13_14" localSheetId="21">#REF!</definedName>
    <definedName name="SG_13_14" localSheetId="15">#REF!</definedName>
    <definedName name="SG_13_14">#REF!</definedName>
    <definedName name="SG_13_15" localSheetId="11">#REF!</definedName>
    <definedName name="SG_13_15" localSheetId="7">#REF!</definedName>
    <definedName name="SG_13_15" localSheetId="21">#REF!</definedName>
    <definedName name="SG_13_15" localSheetId="15">#REF!</definedName>
    <definedName name="SG_13_15">#REF!</definedName>
    <definedName name="SG_13_16" localSheetId="11">#REF!</definedName>
    <definedName name="SG_13_16" localSheetId="7">#REF!</definedName>
    <definedName name="SG_13_16" localSheetId="21">#REF!</definedName>
    <definedName name="SG_13_16" localSheetId="15">#REF!</definedName>
    <definedName name="SG_13_16">#REF!</definedName>
    <definedName name="SG_13_17" localSheetId="11">#REF!</definedName>
    <definedName name="SG_13_17" localSheetId="7">#REF!</definedName>
    <definedName name="SG_13_17" localSheetId="21">#REF!</definedName>
    <definedName name="SG_13_17" localSheetId="15">#REF!</definedName>
    <definedName name="SG_13_17">#REF!</definedName>
    <definedName name="SG_13_18" localSheetId="11">#REF!</definedName>
    <definedName name="SG_13_18" localSheetId="7">#REF!</definedName>
    <definedName name="SG_13_18" localSheetId="21">#REF!</definedName>
    <definedName name="SG_13_18" localSheetId="15">#REF!</definedName>
    <definedName name="SG_13_18">#REF!</definedName>
    <definedName name="SG_13_19" localSheetId="11">#REF!</definedName>
    <definedName name="SG_13_19" localSheetId="7">#REF!</definedName>
    <definedName name="SG_13_19" localSheetId="21">#REF!</definedName>
    <definedName name="SG_13_19" localSheetId="15">#REF!</definedName>
    <definedName name="SG_13_19">#REF!</definedName>
    <definedName name="SG_13_20" localSheetId="11">#REF!</definedName>
    <definedName name="SG_13_20" localSheetId="7">#REF!</definedName>
    <definedName name="SG_13_20" localSheetId="21">#REF!</definedName>
    <definedName name="SG_13_20" localSheetId="15">#REF!</definedName>
    <definedName name="SG_13_20">#REF!</definedName>
    <definedName name="SG_13_21" localSheetId="11">#REF!</definedName>
    <definedName name="SG_13_21" localSheetId="7">#REF!</definedName>
    <definedName name="SG_13_21" localSheetId="21">#REF!</definedName>
    <definedName name="SG_13_21" localSheetId="15">#REF!</definedName>
    <definedName name="SG_13_21">#REF!</definedName>
    <definedName name="SG_13_22" localSheetId="11">#REF!</definedName>
    <definedName name="SG_13_22" localSheetId="7">#REF!</definedName>
    <definedName name="SG_13_22" localSheetId="21">#REF!</definedName>
    <definedName name="SG_13_22" localSheetId="15">#REF!</definedName>
    <definedName name="SG_13_22">#REF!</definedName>
    <definedName name="SG_13_23" localSheetId="11">#REF!</definedName>
    <definedName name="SG_13_23" localSheetId="7">#REF!</definedName>
    <definedName name="SG_13_23" localSheetId="21">#REF!</definedName>
    <definedName name="SG_13_23" localSheetId="15">#REF!</definedName>
    <definedName name="SG_13_23">#REF!</definedName>
    <definedName name="SG_13_24" localSheetId="11">#REF!</definedName>
    <definedName name="SG_13_24" localSheetId="7">#REF!</definedName>
    <definedName name="SG_13_24" localSheetId="21">#REF!</definedName>
    <definedName name="SG_13_24" localSheetId="15">#REF!</definedName>
    <definedName name="SG_13_24">#REF!</definedName>
    <definedName name="SG_13_25" localSheetId="11">#REF!</definedName>
    <definedName name="SG_13_25" localSheetId="7">#REF!</definedName>
    <definedName name="SG_13_25" localSheetId="21">#REF!</definedName>
    <definedName name="SG_13_25" localSheetId="15">#REF!</definedName>
    <definedName name="SG_13_25">#REF!</definedName>
    <definedName name="SG_14_01" localSheetId="11">#REF!</definedName>
    <definedName name="SG_14_01" localSheetId="7">#REF!</definedName>
    <definedName name="SG_14_01" localSheetId="21">#REF!</definedName>
    <definedName name="SG_14_01" localSheetId="15">#REF!</definedName>
    <definedName name="SG_14_01">#REF!</definedName>
    <definedName name="SG_14_02" localSheetId="11">#REF!</definedName>
    <definedName name="SG_14_02" localSheetId="7">#REF!</definedName>
    <definedName name="SG_14_02" localSheetId="21">#REF!</definedName>
    <definedName name="SG_14_02" localSheetId="15">#REF!</definedName>
    <definedName name="SG_14_02">#REF!</definedName>
    <definedName name="SG_14_03" localSheetId="11">#REF!</definedName>
    <definedName name="SG_14_03" localSheetId="7">#REF!</definedName>
    <definedName name="SG_14_03" localSheetId="21">#REF!</definedName>
    <definedName name="SG_14_03" localSheetId="15">#REF!</definedName>
    <definedName name="SG_14_03">#REF!</definedName>
    <definedName name="SG_14_04" localSheetId="11">#REF!</definedName>
    <definedName name="SG_14_04" localSheetId="7">#REF!</definedName>
    <definedName name="SG_14_04" localSheetId="21">#REF!</definedName>
    <definedName name="SG_14_04" localSheetId="15">#REF!</definedName>
    <definedName name="SG_14_04">#REF!</definedName>
    <definedName name="SG_14_05" localSheetId="11">#REF!</definedName>
    <definedName name="SG_14_05" localSheetId="7">#REF!</definedName>
    <definedName name="SG_14_05" localSheetId="21">#REF!</definedName>
    <definedName name="SG_14_05" localSheetId="15">#REF!</definedName>
    <definedName name="SG_14_05">#REF!</definedName>
    <definedName name="SG_14_06" localSheetId="11">#REF!</definedName>
    <definedName name="SG_14_06" localSheetId="7">#REF!</definedName>
    <definedName name="SG_14_06" localSheetId="21">#REF!</definedName>
    <definedName name="SG_14_06" localSheetId="15">#REF!</definedName>
    <definedName name="SG_14_06">#REF!</definedName>
    <definedName name="SG_14_07" localSheetId="11">#REF!</definedName>
    <definedName name="SG_14_07" localSheetId="7">#REF!</definedName>
    <definedName name="SG_14_07" localSheetId="21">#REF!</definedName>
    <definedName name="SG_14_07" localSheetId="15">#REF!</definedName>
    <definedName name="SG_14_07">#REF!</definedName>
    <definedName name="SG_14_08" localSheetId="11">#REF!</definedName>
    <definedName name="SG_14_08" localSheetId="7">#REF!</definedName>
    <definedName name="SG_14_08" localSheetId="21">#REF!</definedName>
    <definedName name="SG_14_08" localSheetId="15">#REF!</definedName>
    <definedName name="SG_14_08">#REF!</definedName>
    <definedName name="SG_14_09" localSheetId="11">#REF!</definedName>
    <definedName name="SG_14_09" localSheetId="7">#REF!</definedName>
    <definedName name="SG_14_09" localSheetId="21">#REF!</definedName>
    <definedName name="SG_14_09" localSheetId="15">#REF!</definedName>
    <definedName name="SG_14_09">#REF!</definedName>
    <definedName name="SG_14_10" localSheetId="11">#REF!</definedName>
    <definedName name="SG_14_10" localSheetId="7">#REF!</definedName>
    <definedName name="SG_14_10" localSheetId="21">#REF!</definedName>
    <definedName name="SG_14_10" localSheetId="15">#REF!</definedName>
    <definedName name="SG_14_10">#REF!</definedName>
    <definedName name="SG_14_11" localSheetId="11">#REF!</definedName>
    <definedName name="SG_14_11" localSheetId="7">#REF!</definedName>
    <definedName name="SG_14_11" localSheetId="21">#REF!</definedName>
    <definedName name="SG_14_11" localSheetId="15">#REF!</definedName>
    <definedName name="SG_14_11">#REF!</definedName>
    <definedName name="SG_14_12" localSheetId="11">#REF!</definedName>
    <definedName name="SG_14_12" localSheetId="7">#REF!</definedName>
    <definedName name="SG_14_12" localSheetId="21">#REF!</definedName>
    <definedName name="SG_14_12" localSheetId="15">#REF!</definedName>
    <definedName name="SG_14_12">#REF!</definedName>
    <definedName name="SG_14_13" localSheetId="11">#REF!</definedName>
    <definedName name="SG_14_13" localSheetId="7">#REF!</definedName>
    <definedName name="SG_14_13" localSheetId="21">#REF!</definedName>
    <definedName name="SG_14_13" localSheetId="15">#REF!</definedName>
    <definedName name="SG_14_13">#REF!</definedName>
    <definedName name="SG_14_14" localSheetId="11">#REF!</definedName>
    <definedName name="SG_14_14" localSheetId="7">#REF!</definedName>
    <definedName name="SG_14_14" localSheetId="21">#REF!</definedName>
    <definedName name="SG_14_14" localSheetId="15">#REF!</definedName>
    <definedName name="SG_14_14">#REF!</definedName>
    <definedName name="SG_14_15" localSheetId="11">#REF!</definedName>
    <definedName name="SG_14_15" localSheetId="7">#REF!</definedName>
    <definedName name="SG_14_15" localSheetId="21">#REF!</definedName>
    <definedName name="SG_14_15" localSheetId="15">#REF!</definedName>
    <definedName name="SG_14_15">#REF!</definedName>
    <definedName name="SG_14_16" localSheetId="11">#REF!</definedName>
    <definedName name="SG_14_16" localSheetId="7">#REF!</definedName>
    <definedName name="SG_14_16" localSheetId="21">#REF!</definedName>
    <definedName name="SG_14_16" localSheetId="15">#REF!</definedName>
    <definedName name="SG_14_16">#REF!</definedName>
    <definedName name="SG_14_17" localSheetId="11">#REF!</definedName>
    <definedName name="SG_14_17" localSheetId="7">#REF!</definedName>
    <definedName name="SG_14_17" localSheetId="21">#REF!</definedName>
    <definedName name="SG_14_17" localSheetId="15">#REF!</definedName>
    <definedName name="SG_14_17">#REF!</definedName>
    <definedName name="SG_14_18" localSheetId="11">#REF!</definedName>
    <definedName name="SG_14_18" localSheetId="7">#REF!</definedName>
    <definedName name="SG_14_18" localSheetId="21">#REF!</definedName>
    <definedName name="SG_14_18" localSheetId="15">#REF!</definedName>
    <definedName name="SG_14_18">#REF!</definedName>
    <definedName name="SG_14_19" localSheetId="11">#REF!</definedName>
    <definedName name="SG_14_19" localSheetId="7">#REF!</definedName>
    <definedName name="SG_14_19" localSheetId="21">#REF!</definedName>
    <definedName name="SG_14_19" localSheetId="15">#REF!</definedName>
    <definedName name="SG_14_19">#REF!</definedName>
    <definedName name="SG_14_20" localSheetId="11">#REF!</definedName>
    <definedName name="SG_14_20" localSheetId="7">#REF!</definedName>
    <definedName name="SG_14_20" localSheetId="21">#REF!</definedName>
    <definedName name="SG_14_20" localSheetId="15">#REF!</definedName>
    <definedName name="SG_14_20">#REF!</definedName>
    <definedName name="SG_14_21" localSheetId="11">#REF!</definedName>
    <definedName name="SG_14_21" localSheetId="7">#REF!</definedName>
    <definedName name="SG_14_21" localSheetId="21">#REF!</definedName>
    <definedName name="SG_14_21" localSheetId="15">#REF!</definedName>
    <definedName name="SG_14_21">#REF!</definedName>
    <definedName name="SG_14_22" localSheetId="11">#REF!</definedName>
    <definedName name="SG_14_22" localSheetId="7">#REF!</definedName>
    <definedName name="SG_14_22" localSheetId="21">#REF!</definedName>
    <definedName name="SG_14_22" localSheetId="15">#REF!</definedName>
    <definedName name="SG_14_22">#REF!</definedName>
    <definedName name="SG_14_23" localSheetId="11">#REF!</definedName>
    <definedName name="SG_14_23" localSheetId="7">#REF!</definedName>
    <definedName name="SG_14_23" localSheetId="21">#REF!</definedName>
    <definedName name="SG_14_23" localSheetId="15">#REF!</definedName>
    <definedName name="SG_14_23">#REF!</definedName>
    <definedName name="SG_14_24" localSheetId="11">#REF!</definedName>
    <definedName name="SG_14_24" localSheetId="7">#REF!</definedName>
    <definedName name="SG_14_24" localSheetId="21">#REF!</definedName>
    <definedName name="SG_14_24" localSheetId="15">#REF!</definedName>
    <definedName name="SG_14_24">#REF!</definedName>
    <definedName name="SG_14_25" localSheetId="11">#REF!</definedName>
    <definedName name="SG_14_25" localSheetId="7">#REF!</definedName>
    <definedName name="SG_14_25" localSheetId="21">#REF!</definedName>
    <definedName name="SG_14_25" localSheetId="15">#REF!</definedName>
    <definedName name="SG_14_25">#REF!</definedName>
    <definedName name="SG_15_01" localSheetId="11">#REF!</definedName>
    <definedName name="SG_15_01" localSheetId="7">#REF!</definedName>
    <definedName name="SG_15_01" localSheetId="21">#REF!</definedName>
    <definedName name="SG_15_01" localSheetId="15">#REF!</definedName>
    <definedName name="SG_15_01">#REF!</definedName>
    <definedName name="SG_15_02" localSheetId="11">#REF!</definedName>
    <definedName name="SG_15_02" localSheetId="7">#REF!</definedName>
    <definedName name="SG_15_02" localSheetId="21">#REF!</definedName>
    <definedName name="SG_15_02" localSheetId="15">#REF!</definedName>
    <definedName name="SG_15_02">#REF!</definedName>
    <definedName name="SG_15_03" localSheetId="11">#REF!</definedName>
    <definedName name="SG_15_03" localSheetId="7">#REF!</definedName>
    <definedName name="SG_15_03" localSheetId="21">#REF!</definedName>
    <definedName name="SG_15_03" localSheetId="15">#REF!</definedName>
    <definedName name="SG_15_03">#REF!</definedName>
    <definedName name="SG_15_04" localSheetId="11">#REF!</definedName>
    <definedName name="SG_15_04" localSheetId="7">#REF!</definedName>
    <definedName name="SG_15_04" localSheetId="21">#REF!</definedName>
    <definedName name="SG_15_04" localSheetId="15">#REF!</definedName>
    <definedName name="SG_15_04">#REF!</definedName>
    <definedName name="SG_15_05" localSheetId="11">#REF!</definedName>
    <definedName name="SG_15_05" localSheetId="7">#REF!</definedName>
    <definedName name="SG_15_05" localSheetId="21">#REF!</definedName>
    <definedName name="SG_15_05" localSheetId="15">#REF!</definedName>
    <definedName name="SG_15_05">#REF!</definedName>
    <definedName name="SG_15_06" localSheetId="11">#REF!</definedName>
    <definedName name="SG_15_06" localSheetId="7">#REF!</definedName>
    <definedName name="SG_15_06" localSheetId="21">#REF!</definedName>
    <definedName name="SG_15_06" localSheetId="15">#REF!</definedName>
    <definedName name="SG_15_06">#REF!</definedName>
    <definedName name="SG_15_07" localSheetId="11">#REF!</definedName>
    <definedName name="SG_15_07" localSheetId="7">#REF!</definedName>
    <definedName name="SG_15_07" localSheetId="21">#REF!</definedName>
    <definedName name="SG_15_07" localSheetId="15">#REF!</definedName>
    <definedName name="SG_15_07">#REF!</definedName>
    <definedName name="SG_15_08" localSheetId="11">#REF!</definedName>
    <definedName name="SG_15_08" localSheetId="7">#REF!</definedName>
    <definedName name="SG_15_08" localSheetId="21">#REF!</definedName>
    <definedName name="SG_15_08" localSheetId="15">#REF!</definedName>
    <definedName name="SG_15_08">#REF!</definedName>
    <definedName name="SG_15_09" localSheetId="11">#REF!</definedName>
    <definedName name="SG_15_09" localSheetId="7">#REF!</definedName>
    <definedName name="SG_15_09" localSheetId="21">#REF!</definedName>
    <definedName name="SG_15_09" localSheetId="15">#REF!</definedName>
    <definedName name="SG_15_09">#REF!</definedName>
    <definedName name="SG_15_10" localSheetId="11">#REF!</definedName>
    <definedName name="SG_15_10" localSheetId="7">#REF!</definedName>
    <definedName name="SG_15_10" localSheetId="21">#REF!</definedName>
    <definedName name="SG_15_10" localSheetId="15">#REF!</definedName>
    <definedName name="SG_15_10">#REF!</definedName>
    <definedName name="SG_15_11" localSheetId="11">#REF!</definedName>
    <definedName name="SG_15_11" localSheetId="7">#REF!</definedName>
    <definedName name="SG_15_11" localSheetId="21">#REF!</definedName>
    <definedName name="SG_15_11" localSheetId="15">#REF!</definedName>
    <definedName name="SG_15_11">#REF!</definedName>
    <definedName name="SG_15_12" localSheetId="11">#REF!</definedName>
    <definedName name="SG_15_12" localSheetId="7">#REF!</definedName>
    <definedName name="SG_15_12" localSheetId="21">#REF!</definedName>
    <definedName name="SG_15_12" localSheetId="15">#REF!</definedName>
    <definedName name="SG_15_12">#REF!</definedName>
    <definedName name="SG_15_13" localSheetId="11">#REF!</definedName>
    <definedName name="SG_15_13" localSheetId="7">#REF!</definedName>
    <definedName name="SG_15_13" localSheetId="21">#REF!</definedName>
    <definedName name="SG_15_13" localSheetId="15">#REF!</definedName>
    <definedName name="SG_15_13">#REF!</definedName>
    <definedName name="SG_15_14" localSheetId="11">#REF!</definedName>
    <definedName name="SG_15_14" localSheetId="7">#REF!</definedName>
    <definedName name="SG_15_14" localSheetId="21">#REF!</definedName>
    <definedName name="SG_15_14" localSheetId="15">#REF!</definedName>
    <definedName name="SG_15_14">#REF!</definedName>
    <definedName name="SG_15_15" localSheetId="11">#REF!</definedName>
    <definedName name="SG_15_15" localSheetId="7">#REF!</definedName>
    <definedName name="SG_15_15" localSheetId="21">#REF!</definedName>
    <definedName name="SG_15_15" localSheetId="15">#REF!</definedName>
    <definedName name="SG_15_15">#REF!</definedName>
    <definedName name="SG_15_16" localSheetId="11">#REF!</definedName>
    <definedName name="SG_15_16" localSheetId="7">#REF!</definedName>
    <definedName name="SG_15_16" localSheetId="21">#REF!</definedName>
    <definedName name="SG_15_16" localSheetId="15">#REF!</definedName>
    <definedName name="SG_15_16">#REF!</definedName>
    <definedName name="SG_15_17" localSheetId="11">#REF!</definedName>
    <definedName name="SG_15_17" localSheetId="7">#REF!</definedName>
    <definedName name="SG_15_17" localSheetId="21">#REF!</definedName>
    <definedName name="SG_15_17" localSheetId="15">#REF!</definedName>
    <definedName name="SG_15_17">#REF!</definedName>
    <definedName name="SG_15_18" localSheetId="11">#REF!</definedName>
    <definedName name="SG_15_18" localSheetId="7">#REF!</definedName>
    <definedName name="SG_15_18" localSheetId="21">#REF!</definedName>
    <definedName name="SG_15_18" localSheetId="15">#REF!</definedName>
    <definedName name="SG_15_18">#REF!</definedName>
    <definedName name="SG_15_19" localSheetId="11">#REF!</definedName>
    <definedName name="SG_15_19" localSheetId="7">#REF!</definedName>
    <definedName name="SG_15_19" localSheetId="21">#REF!</definedName>
    <definedName name="SG_15_19" localSheetId="15">#REF!</definedName>
    <definedName name="SG_15_19">#REF!</definedName>
    <definedName name="SG_15_20" localSheetId="11">#REF!</definedName>
    <definedName name="SG_15_20" localSheetId="7">#REF!</definedName>
    <definedName name="SG_15_20" localSheetId="21">#REF!</definedName>
    <definedName name="SG_15_20" localSheetId="15">#REF!</definedName>
    <definedName name="SG_15_20">#REF!</definedName>
    <definedName name="SG_15_21" localSheetId="11">#REF!</definedName>
    <definedName name="SG_15_21" localSheetId="7">#REF!</definedName>
    <definedName name="SG_15_21" localSheetId="21">#REF!</definedName>
    <definedName name="SG_15_21" localSheetId="15">#REF!</definedName>
    <definedName name="SG_15_21">#REF!</definedName>
    <definedName name="SG_15_22" localSheetId="11">#REF!</definedName>
    <definedName name="SG_15_22" localSheetId="7">#REF!</definedName>
    <definedName name="SG_15_22" localSheetId="21">#REF!</definedName>
    <definedName name="SG_15_22" localSheetId="15">#REF!</definedName>
    <definedName name="SG_15_22">#REF!</definedName>
    <definedName name="SG_15_23" localSheetId="11">#REF!</definedName>
    <definedName name="SG_15_23" localSheetId="7">#REF!</definedName>
    <definedName name="SG_15_23" localSheetId="21">#REF!</definedName>
    <definedName name="SG_15_23" localSheetId="15">#REF!</definedName>
    <definedName name="SG_15_23">#REF!</definedName>
    <definedName name="SG_15_24" localSheetId="11">#REF!</definedName>
    <definedName name="SG_15_24" localSheetId="7">#REF!</definedName>
    <definedName name="SG_15_24" localSheetId="21">#REF!</definedName>
    <definedName name="SG_15_24" localSheetId="15">#REF!</definedName>
    <definedName name="SG_15_24">#REF!</definedName>
    <definedName name="SG_15_25" localSheetId="11">#REF!</definedName>
    <definedName name="SG_15_25" localSheetId="7">#REF!</definedName>
    <definedName name="SG_15_25" localSheetId="21">#REF!</definedName>
    <definedName name="SG_15_25" localSheetId="15">#REF!</definedName>
    <definedName name="SG_15_25">#REF!</definedName>
    <definedName name="SG_16_01" localSheetId="11">#REF!</definedName>
    <definedName name="SG_16_01" localSheetId="7">#REF!</definedName>
    <definedName name="SG_16_01" localSheetId="21">#REF!</definedName>
    <definedName name="SG_16_01" localSheetId="15">#REF!</definedName>
    <definedName name="SG_16_01">#REF!</definedName>
    <definedName name="SG_16_02" localSheetId="11">#REF!</definedName>
    <definedName name="SG_16_02" localSheetId="7">#REF!</definedName>
    <definedName name="SG_16_02" localSheetId="21">#REF!</definedName>
    <definedName name="SG_16_02" localSheetId="15">#REF!</definedName>
    <definedName name="SG_16_02">#REF!</definedName>
    <definedName name="SG_16_03" localSheetId="11">#REF!</definedName>
    <definedName name="SG_16_03" localSheetId="7">#REF!</definedName>
    <definedName name="SG_16_03" localSheetId="21">#REF!</definedName>
    <definedName name="SG_16_03" localSheetId="15">#REF!</definedName>
    <definedName name="SG_16_03">#REF!</definedName>
    <definedName name="SG_16_04" localSheetId="11">#REF!</definedName>
    <definedName name="SG_16_04" localSheetId="7">#REF!</definedName>
    <definedName name="SG_16_04" localSheetId="21">#REF!</definedName>
    <definedName name="SG_16_04" localSheetId="15">#REF!</definedName>
    <definedName name="SG_16_04">#REF!</definedName>
    <definedName name="SG_16_05" localSheetId="11">#REF!</definedName>
    <definedName name="SG_16_05" localSheetId="7">#REF!</definedName>
    <definedName name="SG_16_05" localSheetId="21">#REF!</definedName>
    <definedName name="SG_16_05" localSheetId="15">#REF!</definedName>
    <definedName name="SG_16_05">#REF!</definedName>
    <definedName name="SG_16_06" localSheetId="11">#REF!</definedName>
    <definedName name="SG_16_06" localSheetId="7">#REF!</definedName>
    <definedName name="SG_16_06" localSheetId="21">#REF!</definedName>
    <definedName name="SG_16_06" localSheetId="15">#REF!</definedName>
    <definedName name="SG_16_06">#REF!</definedName>
    <definedName name="SG_16_07" localSheetId="11">#REF!</definedName>
    <definedName name="SG_16_07" localSheetId="7">#REF!</definedName>
    <definedName name="SG_16_07" localSheetId="21">#REF!</definedName>
    <definedName name="SG_16_07" localSheetId="15">#REF!</definedName>
    <definedName name="SG_16_07">#REF!</definedName>
    <definedName name="SG_16_08" localSheetId="11">#REF!</definedName>
    <definedName name="SG_16_08" localSheetId="7">#REF!</definedName>
    <definedName name="SG_16_08" localSheetId="21">#REF!</definedName>
    <definedName name="SG_16_08" localSheetId="15">#REF!</definedName>
    <definedName name="SG_16_08">#REF!</definedName>
    <definedName name="SG_16_09" localSheetId="11">#REF!</definedName>
    <definedName name="SG_16_09" localSheetId="7">#REF!</definedName>
    <definedName name="SG_16_09" localSheetId="21">#REF!</definedName>
    <definedName name="SG_16_09" localSheetId="15">#REF!</definedName>
    <definedName name="SG_16_09">#REF!</definedName>
    <definedName name="SG_16_10" localSheetId="11">#REF!</definedName>
    <definedName name="SG_16_10" localSheetId="7">#REF!</definedName>
    <definedName name="SG_16_10" localSheetId="21">#REF!</definedName>
    <definedName name="SG_16_10" localSheetId="15">#REF!</definedName>
    <definedName name="SG_16_10">#REF!</definedName>
    <definedName name="SG_16_11" localSheetId="11">#REF!</definedName>
    <definedName name="SG_16_11" localSheetId="7">#REF!</definedName>
    <definedName name="SG_16_11" localSheetId="21">#REF!</definedName>
    <definedName name="SG_16_11" localSheetId="15">#REF!</definedName>
    <definedName name="SG_16_11">#REF!</definedName>
    <definedName name="SG_16_12" localSheetId="11">#REF!</definedName>
    <definedName name="SG_16_12" localSheetId="7">#REF!</definedName>
    <definedName name="SG_16_12" localSheetId="21">#REF!</definedName>
    <definedName name="SG_16_12" localSheetId="15">#REF!</definedName>
    <definedName name="SG_16_12">#REF!</definedName>
    <definedName name="SG_16_13" localSheetId="11">#REF!</definedName>
    <definedName name="SG_16_13" localSheetId="7">#REF!</definedName>
    <definedName name="SG_16_13" localSheetId="21">#REF!</definedName>
    <definedName name="SG_16_13" localSheetId="15">#REF!</definedName>
    <definedName name="SG_16_13">#REF!</definedName>
    <definedName name="SG_16_14" localSheetId="11">#REF!</definedName>
    <definedName name="SG_16_14" localSheetId="7">#REF!</definedName>
    <definedName name="SG_16_14" localSheetId="21">#REF!</definedName>
    <definedName name="SG_16_14" localSheetId="15">#REF!</definedName>
    <definedName name="SG_16_14">#REF!</definedName>
    <definedName name="SG_16_15" localSheetId="11">#REF!</definedName>
    <definedName name="SG_16_15" localSheetId="7">#REF!</definedName>
    <definedName name="SG_16_15" localSheetId="21">#REF!</definedName>
    <definedName name="SG_16_15" localSheetId="15">#REF!</definedName>
    <definedName name="SG_16_15">#REF!</definedName>
    <definedName name="SG_16_16" localSheetId="11">#REF!</definedName>
    <definedName name="SG_16_16" localSheetId="7">#REF!</definedName>
    <definedName name="SG_16_16" localSheetId="21">#REF!</definedName>
    <definedName name="SG_16_16" localSheetId="15">#REF!</definedName>
    <definedName name="SG_16_16">#REF!</definedName>
    <definedName name="SG_16_17" localSheetId="11">#REF!</definedName>
    <definedName name="SG_16_17" localSheetId="7">#REF!</definedName>
    <definedName name="SG_16_17" localSheetId="21">#REF!</definedName>
    <definedName name="SG_16_17" localSheetId="15">#REF!</definedName>
    <definedName name="SG_16_17">#REF!</definedName>
    <definedName name="SG_16_18" localSheetId="11">#REF!</definedName>
    <definedName name="SG_16_18" localSheetId="7">#REF!</definedName>
    <definedName name="SG_16_18" localSheetId="21">#REF!</definedName>
    <definedName name="SG_16_18" localSheetId="15">#REF!</definedName>
    <definedName name="SG_16_18">#REF!</definedName>
    <definedName name="SG_16_19" localSheetId="11">#REF!</definedName>
    <definedName name="SG_16_19" localSheetId="7">#REF!</definedName>
    <definedName name="SG_16_19" localSheetId="21">#REF!</definedName>
    <definedName name="SG_16_19" localSheetId="15">#REF!</definedName>
    <definedName name="SG_16_19">#REF!</definedName>
    <definedName name="SG_16_20" localSheetId="11">#REF!</definedName>
    <definedName name="SG_16_20" localSheetId="7">#REF!</definedName>
    <definedName name="SG_16_20" localSheetId="21">#REF!</definedName>
    <definedName name="SG_16_20" localSheetId="15">#REF!</definedName>
    <definedName name="SG_16_20">#REF!</definedName>
    <definedName name="SG_16_21" localSheetId="11">#REF!</definedName>
    <definedName name="SG_16_21" localSheetId="7">#REF!</definedName>
    <definedName name="SG_16_21" localSheetId="21">#REF!</definedName>
    <definedName name="SG_16_21" localSheetId="15">#REF!</definedName>
    <definedName name="SG_16_21">#REF!</definedName>
    <definedName name="SG_16_22" localSheetId="11">#REF!</definedName>
    <definedName name="SG_16_22" localSheetId="7">#REF!</definedName>
    <definedName name="SG_16_22" localSheetId="21">#REF!</definedName>
    <definedName name="SG_16_22" localSheetId="15">#REF!</definedName>
    <definedName name="SG_16_22">#REF!</definedName>
    <definedName name="SG_16_23" localSheetId="11">#REF!</definedName>
    <definedName name="SG_16_23" localSheetId="7">#REF!</definedName>
    <definedName name="SG_16_23" localSheetId="21">#REF!</definedName>
    <definedName name="SG_16_23" localSheetId="15">#REF!</definedName>
    <definedName name="SG_16_23">#REF!</definedName>
    <definedName name="SG_16_24" localSheetId="11">#REF!</definedName>
    <definedName name="SG_16_24" localSheetId="7">#REF!</definedName>
    <definedName name="SG_16_24" localSheetId="21">#REF!</definedName>
    <definedName name="SG_16_24" localSheetId="15">#REF!</definedName>
    <definedName name="SG_16_24">#REF!</definedName>
    <definedName name="SG_16_25" localSheetId="11">#REF!</definedName>
    <definedName name="SG_16_25" localSheetId="7">#REF!</definedName>
    <definedName name="SG_16_25" localSheetId="21">#REF!</definedName>
    <definedName name="SG_16_25" localSheetId="15">#REF!</definedName>
    <definedName name="SG_16_25">#REF!</definedName>
    <definedName name="SG_17_01" localSheetId="11">#REF!</definedName>
    <definedName name="SG_17_01" localSheetId="7">#REF!</definedName>
    <definedName name="SG_17_01" localSheetId="21">#REF!</definedName>
    <definedName name="SG_17_01" localSheetId="15">#REF!</definedName>
    <definedName name="SG_17_01">#REF!</definedName>
    <definedName name="SG_17_02" localSheetId="11">#REF!</definedName>
    <definedName name="SG_17_02" localSheetId="7">#REF!</definedName>
    <definedName name="SG_17_02" localSheetId="21">#REF!</definedName>
    <definedName name="SG_17_02" localSheetId="15">#REF!</definedName>
    <definedName name="SG_17_02">#REF!</definedName>
    <definedName name="SG_17_03" localSheetId="11">#REF!</definedName>
    <definedName name="SG_17_03" localSheetId="7">#REF!</definedName>
    <definedName name="SG_17_03" localSheetId="21">#REF!</definedName>
    <definedName name="SG_17_03" localSheetId="15">#REF!</definedName>
    <definedName name="SG_17_03">#REF!</definedName>
    <definedName name="SG_17_04" localSheetId="11">#REF!</definedName>
    <definedName name="SG_17_04" localSheetId="7">#REF!</definedName>
    <definedName name="SG_17_04" localSheetId="21">#REF!</definedName>
    <definedName name="SG_17_04" localSheetId="15">#REF!</definedName>
    <definedName name="SG_17_04">#REF!</definedName>
    <definedName name="SG_17_05" localSheetId="11">#REF!</definedName>
    <definedName name="SG_17_05" localSheetId="7">#REF!</definedName>
    <definedName name="SG_17_05" localSheetId="21">#REF!</definedName>
    <definedName name="SG_17_05" localSheetId="15">#REF!</definedName>
    <definedName name="SG_17_05">#REF!</definedName>
    <definedName name="SG_17_06" localSheetId="11">#REF!</definedName>
    <definedName name="SG_17_06" localSheetId="7">#REF!</definedName>
    <definedName name="SG_17_06" localSheetId="21">#REF!</definedName>
    <definedName name="SG_17_06" localSheetId="15">#REF!</definedName>
    <definedName name="SG_17_06">#REF!</definedName>
    <definedName name="SG_17_07" localSheetId="11">#REF!</definedName>
    <definedName name="SG_17_07" localSheetId="7">#REF!</definedName>
    <definedName name="SG_17_07" localSheetId="21">#REF!</definedName>
    <definedName name="SG_17_07" localSheetId="15">#REF!</definedName>
    <definedName name="SG_17_07">#REF!</definedName>
    <definedName name="SG_17_08" localSheetId="11">#REF!</definedName>
    <definedName name="SG_17_08" localSheetId="7">#REF!</definedName>
    <definedName name="SG_17_08" localSheetId="21">#REF!</definedName>
    <definedName name="SG_17_08" localSheetId="15">#REF!</definedName>
    <definedName name="SG_17_08">#REF!</definedName>
    <definedName name="SG_17_09" localSheetId="11">#REF!</definedName>
    <definedName name="SG_17_09" localSheetId="7">#REF!</definedName>
    <definedName name="SG_17_09" localSheetId="21">#REF!</definedName>
    <definedName name="SG_17_09" localSheetId="15">#REF!</definedName>
    <definedName name="SG_17_09">#REF!</definedName>
    <definedName name="SG_17_10" localSheetId="11">#REF!</definedName>
    <definedName name="SG_17_10" localSheetId="7">#REF!</definedName>
    <definedName name="SG_17_10" localSheetId="21">#REF!</definedName>
    <definedName name="SG_17_10" localSheetId="15">#REF!</definedName>
    <definedName name="SG_17_10">#REF!</definedName>
    <definedName name="SG_17_11" localSheetId="11">#REF!</definedName>
    <definedName name="SG_17_11" localSheetId="7">#REF!</definedName>
    <definedName name="SG_17_11" localSheetId="21">#REF!</definedName>
    <definedName name="SG_17_11" localSheetId="15">#REF!</definedName>
    <definedName name="SG_17_11">#REF!</definedName>
    <definedName name="SG_17_12" localSheetId="11">#REF!</definedName>
    <definedName name="SG_17_12" localSheetId="7">#REF!</definedName>
    <definedName name="SG_17_12" localSheetId="21">#REF!</definedName>
    <definedName name="SG_17_12" localSheetId="15">#REF!</definedName>
    <definedName name="SG_17_12">#REF!</definedName>
    <definedName name="SG_17_13" localSheetId="11">#REF!</definedName>
    <definedName name="SG_17_13" localSheetId="7">#REF!</definedName>
    <definedName name="SG_17_13" localSheetId="21">#REF!</definedName>
    <definedName name="SG_17_13" localSheetId="15">#REF!</definedName>
    <definedName name="SG_17_13">#REF!</definedName>
    <definedName name="SG_17_14" localSheetId="11">#REF!</definedName>
    <definedName name="SG_17_14" localSheetId="7">#REF!</definedName>
    <definedName name="SG_17_14" localSheetId="21">#REF!</definedName>
    <definedName name="SG_17_14" localSheetId="15">#REF!</definedName>
    <definedName name="SG_17_14">#REF!</definedName>
    <definedName name="SG_17_15" localSheetId="11">#REF!</definedName>
    <definedName name="SG_17_15" localSheetId="7">#REF!</definedName>
    <definedName name="SG_17_15" localSheetId="21">#REF!</definedName>
    <definedName name="SG_17_15" localSheetId="15">#REF!</definedName>
    <definedName name="SG_17_15">#REF!</definedName>
    <definedName name="SG_17_16" localSheetId="11">#REF!</definedName>
    <definedName name="SG_17_16" localSheetId="7">#REF!</definedName>
    <definedName name="SG_17_16" localSheetId="21">#REF!</definedName>
    <definedName name="SG_17_16" localSheetId="15">#REF!</definedName>
    <definedName name="SG_17_16">#REF!</definedName>
    <definedName name="SG_17_17" localSheetId="11">#REF!</definedName>
    <definedName name="SG_17_17" localSheetId="7">#REF!</definedName>
    <definedName name="SG_17_17" localSheetId="21">#REF!</definedName>
    <definedName name="SG_17_17" localSheetId="15">#REF!</definedName>
    <definedName name="SG_17_17">#REF!</definedName>
    <definedName name="SG_17_18" localSheetId="11">#REF!</definedName>
    <definedName name="SG_17_18" localSheetId="7">#REF!</definedName>
    <definedName name="SG_17_18" localSheetId="21">#REF!</definedName>
    <definedName name="SG_17_18" localSheetId="15">#REF!</definedName>
    <definedName name="SG_17_18">#REF!</definedName>
    <definedName name="SG_17_19" localSheetId="11">#REF!</definedName>
    <definedName name="SG_17_19" localSheetId="7">#REF!</definedName>
    <definedName name="SG_17_19" localSheetId="21">#REF!</definedName>
    <definedName name="SG_17_19" localSheetId="15">#REF!</definedName>
    <definedName name="SG_17_19">#REF!</definedName>
    <definedName name="SG_17_20" localSheetId="11">#REF!</definedName>
    <definedName name="SG_17_20" localSheetId="7">#REF!</definedName>
    <definedName name="SG_17_20" localSheetId="21">#REF!</definedName>
    <definedName name="SG_17_20" localSheetId="15">#REF!</definedName>
    <definedName name="SG_17_20">#REF!</definedName>
    <definedName name="SG_17_21" localSheetId="11">#REF!</definedName>
    <definedName name="SG_17_21" localSheetId="7">#REF!</definedName>
    <definedName name="SG_17_21" localSheetId="21">#REF!</definedName>
    <definedName name="SG_17_21" localSheetId="15">#REF!</definedName>
    <definedName name="SG_17_21">#REF!</definedName>
    <definedName name="SG_17_22" localSheetId="11">#REF!</definedName>
    <definedName name="SG_17_22" localSheetId="7">#REF!</definedName>
    <definedName name="SG_17_22" localSheetId="21">#REF!</definedName>
    <definedName name="SG_17_22" localSheetId="15">#REF!</definedName>
    <definedName name="SG_17_22">#REF!</definedName>
    <definedName name="SG_17_23" localSheetId="11">#REF!</definedName>
    <definedName name="SG_17_23" localSheetId="7">#REF!</definedName>
    <definedName name="SG_17_23" localSheetId="21">#REF!</definedName>
    <definedName name="SG_17_23" localSheetId="15">#REF!</definedName>
    <definedName name="SG_17_23">#REF!</definedName>
    <definedName name="SG_17_24" localSheetId="11">#REF!</definedName>
    <definedName name="SG_17_24" localSheetId="7">#REF!</definedName>
    <definedName name="SG_17_24" localSheetId="21">#REF!</definedName>
    <definedName name="SG_17_24" localSheetId="15">#REF!</definedName>
    <definedName name="SG_17_24">#REF!</definedName>
    <definedName name="SG_17_25" localSheetId="11">#REF!</definedName>
    <definedName name="SG_17_25" localSheetId="7">#REF!</definedName>
    <definedName name="SG_17_25" localSheetId="21">#REF!</definedName>
    <definedName name="SG_17_25" localSheetId="15">#REF!</definedName>
    <definedName name="SG_17_25">#REF!</definedName>
    <definedName name="SG_18_01" localSheetId="11">#REF!</definedName>
    <definedName name="SG_18_01" localSheetId="7">#REF!</definedName>
    <definedName name="SG_18_01" localSheetId="21">#REF!</definedName>
    <definedName name="SG_18_01" localSheetId="15">#REF!</definedName>
    <definedName name="SG_18_01">#REF!</definedName>
    <definedName name="SG_18_02" localSheetId="11">#REF!</definedName>
    <definedName name="SG_18_02" localSheetId="7">#REF!</definedName>
    <definedName name="SG_18_02" localSheetId="21">#REF!</definedName>
    <definedName name="SG_18_02" localSheetId="15">#REF!</definedName>
    <definedName name="SG_18_02">#REF!</definedName>
    <definedName name="SG_18_03" localSheetId="11">#REF!</definedName>
    <definedName name="SG_18_03" localSheetId="7">#REF!</definedName>
    <definedName name="SG_18_03" localSheetId="21">#REF!</definedName>
    <definedName name="SG_18_03" localSheetId="15">#REF!</definedName>
    <definedName name="SG_18_03">#REF!</definedName>
    <definedName name="SG_18_04" localSheetId="11">#REF!</definedName>
    <definedName name="SG_18_04" localSheetId="7">#REF!</definedName>
    <definedName name="SG_18_04" localSheetId="21">#REF!</definedName>
    <definedName name="SG_18_04" localSheetId="15">#REF!</definedName>
    <definedName name="SG_18_04">#REF!</definedName>
    <definedName name="SG_18_05" localSheetId="11">#REF!</definedName>
    <definedName name="SG_18_05" localSheetId="7">#REF!</definedName>
    <definedName name="SG_18_05" localSheetId="21">#REF!</definedName>
    <definedName name="SG_18_05" localSheetId="15">#REF!</definedName>
    <definedName name="SG_18_05">#REF!</definedName>
    <definedName name="SG_18_06" localSheetId="11">#REF!</definedName>
    <definedName name="SG_18_06" localSheetId="7">#REF!</definedName>
    <definedName name="SG_18_06" localSheetId="21">#REF!</definedName>
    <definedName name="SG_18_06" localSheetId="15">#REF!</definedName>
    <definedName name="SG_18_06">#REF!</definedName>
    <definedName name="SG_18_07" localSheetId="11">#REF!</definedName>
    <definedName name="SG_18_07" localSheetId="7">#REF!</definedName>
    <definedName name="SG_18_07" localSheetId="21">#REF!</definedName>
    <definedName name="SG_18_07" localSheetId="15">#REF!</definedName>
    <definedName name="SG_18_07">#REF!</definedName>
    <definedName name="SG_18_08" localSheetId="11">#REF!</definedName>
    <definedName name="SG_18_08" localSheetId="7">#REF!</definedName>
    <definedName name="SG_18_08" localSheetId="21">#REF!</definedName>
    <definedName name="SG_18_08" localSheetId="15">#REF!</definedName>
    <definedName name="SG_18_08">#REF!</definedName>
    <definedName name="SG_18_09" localSheetId="11">#REF!</definedName>
    <definedName name="SG_18_09" localSheetId="7">#REF!</definedName>
    <definedName name="SG_18_09" localSheetId="21">#REF!</definedName>
    <definedName name="SG_18_09" localSheetId="15">#REF!</definedName>
    <definedName name="SG_18_09">#REF!</definedName>
    <definedName name="SG_18_10" localSheetId="11">#REF!</definedName>
    <definedName name="SG_18_10" localSheetId="7">#REF!</definedName>
    <definedName name="SG_18_10" localSheetId="21">#REF!</definedName>
    <definedName name="SG_18_10" localSheetId="15">#REF!</definedName>
    <definedName name="SG_18_10">#REF!</definedName>
    <definedName name="SG_18_11" localSheetId="11">#REF!</definedName>
    <definedName name="SG_18_11" localSheetId="7">#REF!</definedName>
    <definedName name="SG_18_11" localSheetId="21">#REF!</definedName>
    <definedName name="SG_18_11" localSheetId="15">#REF!</definedName>
    <definedName name="SG_18_11">#REF!</definedName>
    <definedName name="SG_18_12" localSheetId="11">#REF!</definedName>
    <definedName name="SG_18_12" localSheetId="7">#REF!</definedName>
    <definedName name="SG_18_12" localSheetId="21">#REF!</definedName>
    <definedName name="SG_18_12" localSheetId="15">#REF!</definedName>
    <definedName name="SG_18_12">#REF!</definedName>
    <definedName name="SG_18_13" localSheetId="11">#REF!</definedName>
    <definedName name="SG_18_13" localSheetId="7">#REF!</definedName>
    <definedName name="SG_18_13" localSheetId="21">#REF!</definedName>
    <definedName name="SG_18_13" localSheetId="15">#REF!</definedName>
    <definedName name="SG_18_13">#REF!</definedName>
    <definedName name="SG_18_14" localSheetId="11">#REF!</definedName>
    <definedName name="SG_18_14" localSheetId="7">#REF!</definedName>
    <definedName name="SG_18_14" localSheetId="21">#REF!</definedName>
    <definedName name="SG_18_14" localSheetId="15">#REF!</definedName>
    <definedName name="SG_18_14">#REF!</definedName>
    <definedName name="SG_18_15" localSheetId="11">#REF!</definedName>
    <definedName name="SG_18_15" localSheetId="7">#REF!</definedName>
    <definedName name="SG_18_15" localSheetId="21">#REF!</definedName>
    <definedName name="SG_18_15" localSheetId="15">#REF!</definedName>
    <definedName name="SG_18_15">#REF!</definedName>
    <definedName name="SG_18_16" localSheetId="11">#REF!</definedName>
    <definedName name="SG_18_16" localSheetId="7">#REF!</definedName>
    <definedName name="SG_18_16" localSheetId="21">#REF!</definedName>
    <definedName name="SG_18_16" localSheetId="15">#REF!</definedName>
    <definedName name="SG_18_16">#REF!</definedName>
    <definedName name="SG_18_17" localSheetId="11">#REF!</definedName>
    <definedName name="SG_18_17" localSheetId="7">#REF!</definedName>
    <definedName name="SG_18_17" localSheetId="21">#REF!</definedName>
    <definedName name="SG_18_17" localSheetId="15">#REF!</definedName>
    <definedName name="SG_18_17">#REF!</definedName>
    <definedName name="SG_18_18" localSheetId="11">#REF!</definedName>
    <definedName name="SG_18_18" localSheetId="7">#REF!</definedName>
    <definedName name="SG_18_18" localSheetId="21">#REF!</definedName>
    <definedName name="SG_18_18" localSheetId="15">#REF!</definedName>
    <definedName name="SG_18_18">#REF!</definedName>
    <definedName name="SG_18_19" localSheetId="11">#REF!</definedName>
    <definedName name="SG_18_19" localSheetId="7">#REF!</definedName>
    <definedName name="SG_18_19" localSheetId="21">#REF!</definedName>
    <definedName name="SG_18_19" localSheetId="15">#REF!</definedName>
    <definedName name="SG_18_19">#REF!</definedName>
    <definedName name="SG_18_20" localSheetId="11">#REF!</definedName>
    <definedName name="SG_18_20" localSheetId="7">#REF!</definedName>
    <definedName name="SG_18_20" localSheetId="21">#REF!</definedName>
    <definedName name="SG_18_20" localSheetId="15">#REF!</definedName>
    <definedName name="SG_18_20">#REF!</definedName>
    <definedName name="SG_18_21" localSheetId="11">#REF!</definedName>
    <definedName name="SG_18_21" localSheetId="7">#REF!</definedName>
    <definedName name="SG_18_21" localSheetId="21">#REF!</definedName>
    <definedName name="SG_18_21" localSheetId="15">#REF!</definedName>
    <definedName name="SG_18_21">#REF!</definedName>
    <definedName name="SG_18_22" localSheetId="11">#REF!</definedName>
    <definedName name="SG_18_22" localSheetId="7">#REF!</definedName>
    <definedName name="SG_18_22" localSheetId="21">#REF!</definedName>
    <definedName name="SG_18_22" localSheetId="15">#REF!</definedName>
    <definedName name="SG_18_22">#REF!</definedName>
    <definedName name="SG_18_23" localSheetId="11">#REF!</definedName>
    <definedName name="SG_18_23" localSheetId="7">#REF!</definedName>
    <definedName name="SG_18_23" localSheetId="21">#REF!</definedName>
    <definedName name="SG_18_23" localSheetId="15">#REF!</definedName>
    <definedName name="SG_18_23">#REF!</definedName>
    <definedName name="SG_18_24" localSheetId="11">#REF!</definedName>
    <definedName name="SG_18_24" localSheetId="7">#REF!</definedName>
    <definedName name="SG_18_24" localSheetId="21">#REF!</definedName>
    <definedName name="SG_18_24" localSheetId="15">#REF!</definedName>
    <definedName name="SG_18_24">#REF!</definedName>
    <definedName name="SG_18_25" localSheetId="11">#REF!</definedName>
    <definedName name="SG_18_25" localSheetId="7">#REF!</definedName>
    <definedName name="SG_18_25" localSheetId="21">#REF!</definedName>
    <definedName name="SG_18_25" localSheetId="15">#REF!</definedName>
    <definedName name="SG_18_25">#REF!</definedName>
    <definedName name="SG_19_01" localSheetId="11">#REF!</definedName>
    <definedName name="SG_19_01" localSheetId="7">#REF!</definedName>
    <definedName name="SG_19_01" localSheetId="21">#REF!</definedName>
    <definedName name="SG_19_01" localSheetId="15">#REF!</definedName>
    <definedName name="SG_19_01">#REF!</definedName>
    <definedName name="SG_19_02" localSheetId="11">#REF!</definedName>
    <definedName name="SG_19_02" localSheetId="7">#REF!</definedName>
    <definedName name="SG_19_02" localSheetId="21">#REF!</definedName>
    <definedName name="SG_19_02" localSheetId="15">#REF!</definedName>
    <definedName name="SG_19_02">#REF!</definedName>
    <definedName name="SG_19_03" localSheetId="11">#REF!</definedName>
    <definedName name="SG_19_03" localSheetId="7">#REF!</definedName>
    <definedName name="SG_19_03" localSheetId="21">#REF!</definedName>
    <definedName name="SG_19_03" localSheetId="15">#REF!</definedName>
    <definedName name="SG_19_03">#REF!</definedName>
    <definedName name="SG_19_04" localSheetId="11">#REF!</definedName>
    <definedName name="SG_19_04" localSheetId="7">#REF!</definedName>
    <definedName name="SG_19_04" localSheetId="21">#REF!</definedName>
    <definedName name="SG_19_04" localSheetId="15">#REF!</definedName>
    <definedName name="SG_19_04">#REF!</definedName>
    <definedName name="SG_19_05" localSheetId="11">#REF!</definedName>
    <definedName name="SG_19_05" localSheetId="7">#REF!</definedName>
    <definedName name="SG_19_05" localSheetId="21">#REF!</definedName>
    <definedName name="SG_19_05" localSheetId="15">#REF!</definedName>
    <definedName name="SG_19_05">#REF!</definedName>
    <definedName name="SG_19_06" localSheetId="11">#REF!</definedName>
    <definedName name="SG_19_06" localSheetId="7">#REF!</definedName>
    <definedName name="SG_19_06" localSheetId="21">#REF!</definedName>
    <definedName name="SG_19_06" localSheetId="15">#REF!</definedName>
    <definedName name="SG_19_06">#REF!</definedName>
    <definedName name="SG_19_07" localSheetId="11">#REF!</definedName>
    <definedName name="SG_19_07" localSheetId="7">#REF!</definedName>
    <definedName name="SG_19_07" localSheetId="21">#REF!</definedName>
    <definedName name="SG_19_07" localSheetId="15">#REF!</definedName>
    <definedName name="SG_19_07">#REF!</definedName>
    <definedName name="SG_19_08" localSheetId="11">#REF!</definedName>
    <definedName name="SG_19_08" localSheetId="7">#REF!</definedName>
    <definedName name="SG_19_08" localSheetId="21">#REF!</definedName>
    <definedName name="SG_19_08" localSheetId="15">#REF!</definedName>
    <definedName name="SG_19_08">#REF!</definedName>
    <definedName name="SG_19_09" localSheetId="11">#REF!</definedName>
    <definedName name="SG_19_09" localSheetId="7">#REF!</definedName>
    <definedName name="SG_19_09" localSheetId="21">#REF!</definedName>
    <definedName name="SG_19_09" localSheetId="15">#REF!</definedName>
    <definedName name="SG_19_09">#REF!</definedName>
    <definedName name="SG_19_10" localSheetId="11">#REF!</definedName>
    <definedName name="SG_19_10" localSheetId="7">#REF!</definedName>
    <definedName name="SG_19_10" localSheetId="21">#REF!</definedName>
    <definedName name="SG_19_10" localSheetId="15">#REF!</definedName>
    <definedName name="SG_19_10">#REF!</definedName>
    <definedName name="SG_19_11" localSheetId="11">#REF!</definedName>
    <definedName name="SG_19_11" localSheetId="7">#REF!</definedName>
    <definedName name="SG_19_11" localSheetId="21">#REF!</definedName>
    <definedName name="SG_19_11" localSheetId="15">#REF!</definedName>
    <definedName name="SG_19_11">#REF!</definedName>
    <definedName name="SG_19_12" localSheetId="11">#REF!</definedName>
    <definedName name="SG_19_12" localSheetId="7">#REF!</definedName>
    <definedName name="SG_19_12" localSheetId="21">#REF!</definedName>
    <definedName name="SG_19_12" localSheetId="15">#REF!</definedName>
    <definedName name="SG_19_12">#REF!</definedName>
    <definedName name="SG_19_13" localSheetId="11">#REF!</definedName>
    <definedName name="SG_19_13" localSheetId="7">#REF!</definedName>
    <definedName name="SG_19_13" localSheetId="21">#REF!</definedName>
    <definedName name="SG_19_13" localSheetId="15">#REF!</definedName>
    <definedName name="SG_19_13">#REF!</definedName>
    <definedName name="SG_19_14" localSheetId="11">#REF!</definedName>
    <definedName name="SG_19_14" localSheetId="7">#REF!</definedName>
    <definedName name="SG_19_14" localSheetId="21">#REF!</definedName>
    <definedName name="SG_19_14" localSheetId="15">#REF!</definedName>
    <definedName name="SG_19_14">#REF!</definedName>
    <definedName name="SG_19_15" localSheetId="11">#REF!</definedName>
    <definedName name="SG_19_15" localSheetId="7">#REF!</definedName>
    <definedName name="SG_19_15" localSheetId="21">#REF!</definedName>
    <definedName name="SG_19_15" localSheetId="15">#REF!</definedName>
    <definedName name="SG_19_15">#REF!</definedName>
    <definedName name="SG_19_16" localSheetId="11">#REF!</definedName>
    <definedName name="SG_19_16" localSheetId="7">#REF!</definedName>
    <definedName name="SG_19_16" localSheetId="21">#REF!</definedName>
    <definedName name="SG_19_16" localSheetId="15">#REF!</definedName>
    <definedName name="SG_19_16">#REF!</definedName>
    <definedName name="SG_19_17" localSheetId="11">#REF!</definedName>
    <definedName name="SG_19_17" localSheetId="7">#REF!</definedName>
    <definedName name="SG_19_17" localSheetId="21">#REF!</definedName>
    <definedName name="SG_19_17" localSheetId="15">#REF!</definedName>
    <definedName name="SG_19_17">#REF!</definedName>
    <definedName name="SG_19_18" localSheetId="11">#REF!</definedName>
    <definedName name="SG_19_18" localSheetId="7">#REF!</definedName>
    <definedName name="SG_19_18" localSheetId="21">#REF!</definedName>
    <definedName name="SG_19_18" localSheetId="15">#REF!</definedName>
    <definedName name="SG_19_18">#REF!</definedName>
    <definedName name="SG_19_19" localSheetId="11">#REF!</definedName>
    <definedName name="SG_19_19" localSheetId="7">#REF!</definedName>
    <definedName name="SG_19_19" localSheetId="21">#REF!</definedName>
    <definedName name="SG_19_19" localSheetId="15">#REF!</definedName>
    <definedName name="SG_19_19">#REF!</definedName>
    <definedName name="SG_19_20" localSheetId="11">#REF!</definedName>
    <definedName name="SG_19_20" localSheetId="7">#REF!</definedName>
    <definedName name="SG_19_20" localSheetId="21">#REF!</definedName>
    <definedName name="SG_19_20" localSheetId="15">#REF!</definedName>
    <definedName name="SG_19_20">#REF!</definedName>
    <definedName name="SG_19_21" localSheetId="11">#REF!</definedName>
    <definedName name="SG_19_21" localSheetId="7">#REF!</definedName>
    <definedName name="SG_19_21" localSheetId="21">#REF!</definedName>
    <definedName name="SG_19_21" localSheetId="15">#REF!</definedName>
    <definedName name="SG_19_21">#REF!</definedName>
    <definedName name="SG_19_22" localSheetId="11">#REF!</definedName>
    <definedName name="SG_19_22" localSheetId="7">#REF!</definedName>
    <definedName name="SG_19_22" localSheetId="21">#REF!</definedName>
    <definedName name="SG_19_22" localSheetId="15">#REF!</definedName>
    <definedName name="SG_19_22">#REF!</definedName>
    <definedName name="SG_19_23" localSheetId="11">#REF!</definedName>
    <definedName name="SG_19_23" localSheetId="7">#REF!</definedName>
    <definedName name="SG_19_23" localSheetId="21">#REF!</definedName>
    <definedName name="SG_19_23" localSheetId="15">#REF!</definedName>
    <definedName name="SG_19_23">#REF!</definedName>
    <definedName name="SG_19_24" localSheetId="11">#REF!</definedName>
    <definedName name="SG_19_24" localSheetId="7">#REF!</definedName>
    <definedName name="SG_19_24" localSheetId="21">#REF!</definedName>
    <definedName name="SG_19_24" localSheetId="15">#REF!</definedName>
    <definedName name="SG_19_24">#REF!</definedName>
    <definedName name="SG_19_25" localSheetId="11">#REF!</definedName>
    <definedName name="SG_19_25" localSheetId="7">#REF!</definedName>
    <definedName name="SG_19_25" localSheetId="21">#REF!</definedName>
    <definedName name="SG_19_25" localSheetId="15">#REF!</definedName>
    <definedName name="SG_19_25">#REF!</definedName>
    <definedName name="SG_20_01" localSheetId="11">#REF!</definedName>
    <definedName name="SG_20_01" localSheetId="7">#REF!</definedName>
    <definedName name="SG_20_01" localSheetId="21">#REF!</definedName>
    <definedName name="SG_20_01" localSheetId="15">#REF!</definedName>
    <definedName name="SG_20_01">#REF!</definedName>
    <definedName name="SG_20_02" localSheetId="11">#REF!</definedName>
    <definedName name="SG_20_02" localSheetId="7">#REF!</definedName>
    <definedName name="SG_20_02" localSheetId="21">#REF!</definedName>
    <definedName name="SG_20_02" localSheetId="15">#REF!</definedName>
    <definedName name="SG_20_02">#REF!</definedName>
    <definedName name="SG_20_03" localSheetId="11">#REF!</definedName>
    <definedName name="SG_20_03" localSheetId="7">#REF!</definedName>
    <definedName name="SG_20_03" localSheetId="21">#REF!</definedName>
    <definedName name="SG_20_03" localSheetId="15">#REF!</definedName>
    <definedName name="SG_20_03">#REF!</definedName>
    <definedName name="SG_20_04" localSheetId="11">#REF!</definedName>
    <definedName name="SG_20_04" localSheetId="7">#REF!</definedName>
    <definedName name="SG_20_04" localSheetId="21">#REF!</definedName>
    <definedName name="SG_20_04" localSheetId="15">#REF!</definedName>
    <definedName name="SG_20_04">#REF!</definedName>
    <definedName name="SG_20_05" localSheetId="11">#REF!</definedName>
    <definedName name="SG_20_05" localSheetId="7">#REF!</definedName>
    <definedName name="SG_20_05" localSheetId="21">#REF!</definedName>
    <definedName name="SG_20_05" localSheetId="15">#REF!</definedName>
    <definedName name="SG_20_05">#REF!</definedName>
    <definedName name="SG_20_06" localSheetId="11">#REF!</definedName>
    <definedName name="SG_20_06" localSheetId="7">#REF!</definedName>
    <definedName name="SG_20_06" localSheetId="21">#REF!</definedName>
    <definedName name="SG_20_06" localSheetId="15">#REF!</definedName>
    <definedName name="SG_20_06">#REF!</definedName>
    <definedName name="SG_20_07" localSheetId="11">#REF!</definedName>
    <definedName name="SG_20_07" localSheetId="7">#REF!</definedName>
    <definedName name="SG_20_07" localSheetId="21">#REF!</definedName>
    <definedName name="SG_20_07" localSheetId="15">#REF!</definedName>
    <definedName name="SG_20_07">#REF!</definedName>
    <definedName name="SG_20_08" localSheetId="11">#REF!</definedName>
    <definedName name="SG_20_08" localSheetId="7">#REF!</definedName>
    <definedName name="SG_20_08" localSheetId="21">#REF!</definedName>
    <definedName name="SG_20_08" localSheetId="15">#REF!</definedName>
    <definedName name="SG_20_08">#REF!</definedName>
    <definedName name="SG_20_09" localSheetId="11">#REF!</definedName>
    <definedName name="SG_20_09" localSheetId="7">#REF!</definedName>
    <definedName name="SG_20_09" localSheetId="21">#REF!</definedName>
    <definedName name="SG_20_09" localSheetId="15">#REF!</definedName>
    <definedName name="SG_20_09">#REF!</definedName>
    <definedName name="SG_20_10" localSheetId="11">#REF!</definedName>
    <definedName name="SG_20_10" localSheetId="7">#REF!</definedName>
    <definedName name="SG_20_10" localSheetId="21">#REF!</definedName>
    <definedName name="SG_20_10" localSheetId="15">#REF!</definedName>
    <definedName name="SG_20_10">#REF!</definedName>
    <definedName name="SG_20_11" localSheetId="11">#REF!</definedName>
    <definedName name="SG_20_11" localSheetId="7">#REF!</definedName>
    <definedName name="SG_20_11" localSheetId="21">#REF!</definedName>
    <definedName name="SG_20_11" localSheetId="15">#REF!</definedName>
    <definedName name="SG_20_11">#REF!</definedName>
    <definedName name="SG_20_12" localSheetId="11">#REF!</definedName>
    <definedName name="SG_20_12" localSheetId="7">#REF!</definedName>
    <definedName name="SG_20_12" localSheetId="21">#REF!</definedName>
    <definedName name="SG_20_12" localSheetId="15">#REF!</definedName>
    <definedName name="SG_20_12">#REF!</definedName>
    <definedName name="SG_20_13" localSheetId="11">#REF!</definedName>
    <definedName name="SG_20_13" localSheetId="7">#REF!</definedName>
    <definedName name="SG_20_13" localSheetId="21">#REF!</definedName>
    <definedName name="SG_20_13" localSheetId="15">#REF!</definedName>
    <definedName name="SG_20_13">#REF!</definedName>
    <definedName name="SG_20_14" localSheetId="11">#REF!</definedName>
    <definedName name="SG_20_14" localSheetId="7">#REF!</definedName>
    <definedName name="SG_20_14" localSheetId="21">#REF!</definedName>
    <definedName name="SG_20_14" localSheetId="15">#REF!</definedName>
    <definedName name="SG_20_14">#REF!</definedName>
    <definedName name="SG_20_15" localSheetId="11">#REF!</definedName>
    <definedName name="SG_20_15" localSheetId="7">#REF!</definedName>
    <definedName name="SG_20_15" localSheetId="21">#REF!</definedName>
    <definedName name="SG_20_15" localSheetId="15">#REF!</definedName>
    <definedName name="SG_20_15">#REF!</definedName>
    <definedName name="SG_20_16" localSheetId="11">#REF!</definedName>
    <definedName name="SG_20_16" localSheetId="7">#REF!</definedName>
    <definedName name="SG_20_16" localSheetId="21">#REF!</definedName>
    <definedName name="SG_20_16" localSheetId="15">#REF!</definedName>
    <definedName name="SG_20_16">#REF!</definedName>
    <definedName name="SG_20_17" localSheetId="11">#REF!</definedName>
    <definedName name="SG_20_17" localSheetId="7">#REF!</definedName>
    <definedName name="SG_20_17" localSheetId="21">#REF!</definedName>
    <definedName name="SG_20_17" localSheetId="15">#REF!</definedName>
    <definedName name="SG_20_17">#REF!</definedName>
    <definedName name="SG_20_18" localSheetId="11">#REF!</definedName>
    <definedName name="SG_20_18" localSheetId="7">#REF!</definedName>
    <definedName name="SG_20_18" localSheetId="21">#REF!</definedName>
    <definedName name="SG_20_18" localSheetId="15">#REF!</definedName>
    <definedName name="SG_20_18">#REF!</definedName>
    <definedName name="SG_20_19" localSheetId="11">#REF!</definedName>
    <definedName name="SG_20_19" localSheetId="7">#REF!</definedName>
    <definedName name="SG_20_19" localSheetId="21">#REF!</definedName>
    <definedName name="SG_20_19" localSheetId="15">#REF!</definedName>
    <definedName name="SG_20_19">#REF!</definedName>
    <definedName name="SG_20_20" localSheetId="11">#REF!</definedName>
    <definedName name="SG_20_20" localSheetId="7">#REF!</definedName>
    <definedName name="SG_20_20" localSheetId="21">#REF!</definedName>
    <definedName name="SG_20_20" localSheetId="15">#REF!</definedName>
    <definedName name="SG_20_20">#REF!</definedName>
    <definedName name="SG_20_21" localSheetId="11">#REF!</definedName>
    <definedName name="SG_20_21" localSheetId="7">#REF!</definedName>
    <definedName name="SG_20_21" localSheetId="21">#REF!</definedName>
    <definedName name="SG_20_21" localSheetId="15">#REF!</definedName>
    <definedName name="SG_20_21">#REF!</definedName>
    <definedName name="SG_20_22" localSheetId="11">#REF!</definedName>
    <definedName name="SG_20_22" localSheetId="7">#REF!</definedName>
    <definedName name="SG_20_22" localSheetId="21">#REF!</definedName>
    <definedName name="SG_20_22" localSheetId="15">#REF!</definedName>
    <definedName name="SG_20_22">#REF!</definedName>
    <definedName name="SG_20_23" localSheetId="11">#REF!</definedName>
    <definedName name="SG_20_23" localSheetId="7">#REF!</definedName>
    <definedName name="SG_20_23" localSheetId="21">#REF!</definedName>
    <definedName name="SG_20_23" localSheetId="15">#REF!</definedName>
    <definedName name="SG_20_23">#REF!</definedName>
    <definedName name="SG_20_24" localSheetId="11">#REF!</definedName>
    <definedName name="SG_20_24" localSheetId="7">#REF!</definedName>
    <definedName name="SG_20_24" localSheetId="21">#REF!</definedName>
    <definedName name="SG_20_24" localSheetId="15">#REF!</definedName>
    <definedName name="SG_20_24">#REF!</definedName>
    <definedName name="SG_20_25" localSheetId="11">#REF!</definedName>
    <definedName name="SG_20_25" localSheetId="7">#REF!</definedName>
    <definedName name="SG_20_25" localSheetId="21">#REF!</definedName>
    <definedName name="SG_20_25" localSheetId="15">#REF!</definedName>
    <definedName name="SG_20_25">#REF!</definedName>
    <definedName name="SG_21_01" localSheetId="11">#REF!</definedName>
    <definedName name="SG_21_01" localSheetId="7">#REF!</definedName>
    <definedName name="SG_21_01" localSheetId="21">#REF!</definedName>
    <definedName name="SG_21_01" localSheetId="15">#REF!</definedName>
    <definedName name="SG_21_01">#REF!</definedName>
    <definedName name="SG_21_02" localSheetId="11">#REF!</definedName>
    <definedName name="SG_21_02" localSheetId="7">#REF!</definedName>
    <definedName name="SG_21_02" localSheetId="21">#REF!</definedName>
    <definedName name="SG_21_02" localSheetId="15">#REF!</definedName>
    <definedName name="SG_21_02">#REF!</definedName>
    <definedName name="SG_21_03" localSheetId="11">#REF!</definedName>
    <definedName name="SG_21_03" localSheetId="7">#REF!</definedName>
    <definedName name="SG_21_03" localSheetId="21">#REF!</definedName>
    <definedName name="SG_21_03" localSheetId="15">#REF!</definedName>
    <definedName name="SG_21_03">#REF!</definedName>
    <definedName name="SG_21_04" localSheetId="11">#REF!</definedName>
    <definedName name="SG_21_04" localSheetId="7">#REF!</definedName>
    <definedName name="SG_21_04" localSheetId="21">#REF!</definedName>
    <definedName name="SG_21_04" localSheetId="15">#REF!</definedName>
    <definedName name="SG_21_04">#REF!</definedName>
    <definedName name="SG_21_05" localSheetId="11">#REF!</definedName>
    <definedName name="SG_21_05" localSheetId="7">#REF!</definedName>
    <definedName name="SG_21_05" localSheetId="21">#REF!</definedName>
    <definedName name="SG_21_05" localSheetId="15">#REF!</definedName>
    <definedName name="SG_21_05">#REF!</definedName>
    <definedName name="SG_21_06" localSheetId="11">#REF!</definedName>
    <definedName name="SG_21_06" localSheetId="7">#REF!</definedName>
    <definedName name="SG_21_06" localSheetId="21">#REF!</definedName>
    <definedName name="SG_21_06" localSheetId="15">#REF!</definedName>
    <definedName name="SG_21_06">#REF!</definedName>
    <definedName name="SG_21_07" localSheetId="11">#REF!</definedName>
    <definedName name="SG_21_07" localSheetId="7">#REF!</definedName>
    <definedName name="SG_21_07" localSheetId="21">#REF!</definedName>
    <definedName name="SG_21_07" localSheetId="15">#REF!</definedName>
    <definedName name="SG_21_07">#REF!</definedName>
    <definedName name="SG_21_08" localSheetId="11">#REF!</definedName>
    <definedName name="SG_21_08" localSheetId="7">#REF!</definedName>
    <definedName name="SG_21_08" localSheetId="21">#REF!</definedName>
    <definedName name="SG_21_08" localSheetId="15">#REF!</definedName>
    <definedName name="SG_21_08">#REF!</definedName>
    <definedName name="SG_21_09" localSheetId="11">#REF!</definedName>
    <definedName name="SG_21_09" localSheetId="7">#REF!</definedName>
    <definedName name="SG_21_09" localSheetId="21">#REF!</definedName>
    <definedName name="SG_21_09" localSheetId="15">#REF!</definedName>
    <definedName name="SG_21_09">#REF!</definedName>
    <definedName name="SG_21_10" localSheetId="11">#REF!</definedName>
    <definedName name="SG_21_10" localSheetId="7">#REF!</definedName>
    <definedName name="SG_21_10" localSheetId="21">#REF!</definedName>
    <definedName name="SG_21_10" localSheetId="15">#REF!</definedName>
    <definedName name="SG_21_10">#REF!</definedName>
    <definedName name="SG_21_11" localSheetId="11">#REF!</definedName>
    <definedName name="SG_21_11" localSheetId="7">#REF!</definedName>
    <definedName name="SG_21_11" localSheetId="21">#REF!</definedName>
    <definedName name="SG_21_11" localSheetId="15">#REF!</definedName>
    <definedName name="SG_21_11">#REF!</definedName>
    <definedName name="SG_21_12" localSheetId="11">#REF!</definedName>
    <definedName name="SG_21_12" localSheetId="7">#REF!</definedName>
    <definedName name="SG_21_12" localSheetId="21">#REF!</definedName>
    <definedName name="SG_21_12" localSheetId="15">#REF!</definedName>
    <definedName name="SG_21_12">#REF!</definedName>
    <definedName name="SG_21_13" localSheetId="11">#REF!</definedName>
    <definedName name="SG_21_13" localSheetId="7">#REF!</definedName>
    <definedName name="SG_21_13" localSheetId="21">#REF!</definedName>
    <definedName name="SG_21_13" localSheetId="15">#REF!</definedName>
    <definedName name="SG_21_13">#REF!</definedName>
    <definedName name="SG_21_14" localSheetId="11">#REF!</definedName>
    <definedName name="SG_21_14" localSheetId="7">#REF!</definedName>
    <definedName name="SG_21_14" localSheetId="21">#REF!</definedName>
    <definedName name="SG_21_14" localSheetId="15">#REF!</definedName>
    <definedName name="SG_21_14">#REF!</definedName>
    <definedName name="SG_21_15" localSheetId="11">#REF!</definedName>
    <definedName name="SG_21_15" localSheetId="7">#REF!</definedName>
    <definedName name="SG_21_15" localSheetId="21">#REF!</definedName>
    <definedName name="SG_21_15" localSheetId="15">#REF!</definedName>
    <definedName name="SG_21_15">#REF!</definedName>
    <definedName name="SG_21_16" localSheetId="11">#REF!</definedName>
    <definedName name="SG_21_16" localSheetId="7">#REF!</definedName>
    <definedName name="SG_21_16" localSheetId="21">#REF!</definedName>
    <definedName name="SG_21_16" localSheetId="15">#REF!</definedName>
    <definedName name="SG_21_16">#REF!</definedName>
    <definedName name="SG_21_17" localSheetId="11">#REF!</definedName>
    <definedName name="SG_21_17" localSheetId="7">#REF!</definedName>
    <definedName name="SG_21_17" localSheetId="21">#REF!</definedName>
    <definedName name="SG_21_17" localSheetId="15">#REF!</definedName>
    <definedName name="SG_21_17">#REF!</definedName>
    <definedName name="SG_21_18" localSheetId="11">#REF!</definedName>
    <definedName name="SG_21_18" localSheetId="7">#REF!</definedName>
    <definedName name="SG_21_18" localSheetId="21">#REF!</definedName>
    <definedName name="SG_21_18" localSheetId="15">#REF!</definedName>
    <definedName name="SG_21_18">#REF!</definedName>
    <definedName name="SG_21_19" localSheetId="11">#REF!</definedName>
    <definedName name="SG_21_19" localSheetId="7">#REF!</definedName>
    <definedName name="SG_21_19" localSheetId="21">#REF!</definedName>
    <definedName name="SG_21_19" localSheetId="15">#REF!</definedName>
    <definedName name="SG_21_19">#REF!</definedName>
    <definedName name="SG_21_20" localSheetId="11">#REF!</definedName>
    <definedName name="SG_21_20" localSheetId="7">#REF!</definedName>
    <definedName name="SG_21_20" localSheetId="21">#REF!</definedName>
    <definedName name="SG_21_20" localSheetId="15">#REF!</definedName>
    <definedName name="SG_21_20">#REF!</definedName>
    <definedName name="SG_21_21" localSheetId="11">#REF!</definedName>
    <definedName name="SG_21_21" localSheetId="7">#REF!</definedName>
    <definedName name="SG_21_21" localSheetId="21">#REF!</definedName>
    <definedName name="SG_21_21" localSheetId="15">#REF!</definedName>
    <definedName name="SG_21_21">#REF!</definedName>
    <definedName name="SG_21_22" localSheetId="11">#REF!</definedName>
    <definedName name="SG_21_22" localSheetId="7">#REF!</definedName>
    <definedName name="SG_21_22" localSheetId="21">#REF!</definedName>
    <definedName name="SG_21_22" localSheetId="15">#REF!</definedName>
    <definedName name="SG_21_22">#REF!</definedName>
    <definedName name="SG_21_23" localSheetId="11">#REF!</definedName>
    <definedName name="SG_21_23" localSheetId="7">#REF!</definedName>
    <definedName name="SG_21_23" localSheetId="21">#REF!</definedName>
    <definedName name="SG_21_23" localSheetId="15">#REF!</definedName>
    <definedName name="SG_21_23">#REF!</definedName>
    <definedName name="SG_21_24" localSheetId="11">#REF!</definedName>
    <definedName name="SG_21_24" localSheetId="7">#REF!</definedName>
    <definedName name="SG_21_24" localSheetId="21">#REF!</definedName>
    <definedName name="SG_21_24" localSheetId="15">#REF!</definedName>
    <definedName name="SG_21_24">#REF!</definedName>
    <definedName name="SG_21_25" localSheetId="11">#REF!</definedName>
    <definedName name="SG_21_25" localSheetId="7">#REF!</definedName>
    <definedName name="SG_21_25" localSheetId="21">#REF!</definedName>
    <definedName name="SG_21_25" localSheetId="15">#REF!</definedName>
    <definedName name="SG_21_25">#REF!</definedName>
    <definedName name="SG_22_01" localSheetId="11">#REF!</definedName>
    <definedName name="SG_22_01" localSheetId="7">#REF!</definedName>
    <definedName name="SG_22_01" localSheetId="21">#REF!</definedName>
    <definedName name="SG_22_01" localSheetId="15">#REF!</definedName>
    <definedName name="SG_22_01">#REF!</definedName>
    <definedName name="SG_22_02" localSheetId="11">#REF!</definedName>
    <definedName name="SG_22_02" localSheetId="7">#REF!</definedName>
    <definedName name="SG_22_02" localSheetId="21">#REF!</definedName>
    <definedName name="SG_22_02" localSheetId="15">#REF!</definedName>
    <definedName name="SG_22_02">#REF!</definedName>
    <definedName name="SG_22_03" localSheetId="11">#REF!</definedName>
    <definedName name="SG_22_03" localSheetId="7">#REF!</definedName>
    <definedName name="SG_22_03" localSheetId="21">#REF!</definedName>
    <definedName name="SG_22_03" localSheetId="15">#REF!</definedName>
    <definedName name="SG_22_03">#REF!</definedName>
    <definedName name="SG_22_04" localSheetId="11">#REF!</definedName>
    <definedName name="SG_22_04" localSheetId="7">#REF!</definedName>
    <definedName name="SG_22_04" localSheetId="21">#REF!</definedName>
    <definedName name="SG_22_04" localSheetId="15">#REF!</definedName>
    <definedName name="SG_22_04">#REF!</definedName>
    <definedName name="SG_22_05" localSheetId="11">#REF!</definedName>
    <definedName name="SG_22_05" localSheetId="7">#REF!</definedName>
    <definedName name="SG_22_05" localSheetId="21">#REF!</definedName>
    <definedName name="SG_22_05" localSheetId="15">#REF!</definedName>
    <definedName name="SG_22_05">#REF!</definedName>
    <definedName name="SG_22_06" localSheetId="11">#REF!</definedName>
    <definedName name="SG_22_06" localSheetId="7">#REF!</definedName>
    <definedName name="SG_22_06" localSheetId="21">#REF!</definedName>
    <definedName name="SG_22_06" localSheetId="15">#REF!</definedName>
    <definedName name="SG_22_06">#REF!</definedName>
    <definedName name="SG_22_07" localSheetId="11">#REF!</definedName>
    <definedName name="SG_22_07" localSheetId="7">#REF!</definedName>
    <definedName name="SG_22_07" localSheetId="21">#REF!</definedName>
    <definedName name="SG_22_07" localSheetId="15">#REF!</definedName>
    <definedName name="SG_22_07">#REF!</definedName>
    <definedName name="SG_22_08" localSheetId="11">#REF!</definedName>
    <definedName name="SG_22_08" localSheetId="7">#REF!</definedName>
    <definedName name="SG_22_08" localSheetId="21">#REF!</definedName>
    <definedName name="SG_22_08" localSheetId="15">#REF!</definedName>
    <definedName name="SG_22_08">#REF!</definedName>
    <definedName name="SG_22_09" localSheetId="11">#REF!</definedName>
    <definedName name="SG_22_09" localSheetId="7">#REF!</definedName>
    <definedName name="SG_22_09" localSheetId="21">#REF!</definedName>
    <definedName name="SG_22_09" localSheetId="15">#REF!</definedName>
    <definedName name="SG_22_09">#REF!</definedName>
    <definedName name="SG_22_10" localSheetId="11">#REF!</definedName>
    <definedName name="SG_22_10" localSheetId="7">#REF!</definedName>
    <definedName name="SG_22_10" localSheetId="21">#REF!</definedName>
    <definedName name="SG_22_10" localSheetId="15">#REF!</definedName>
    <definedName name="SG_22_10">#REF!</definedName>
    <definedName name="SG_22_11" localSheetId="11">#REF!</definedName>
    <definedName name="SG_22_11" localSheetId="7">#REF!</definedName>
    <definedName name="SG_22_11" localSheetId="21">#REF!</definedName>
    <definedName name="SG_22_11" localSheetId="15">#REF!</definedName>
    <definedName name="SG_22_11">#REF!</definedName>
    <definedName name="SG_22_12" localSheetId="11">#REF!</definedName>
    <definedName name="SG_22_12" localSheetId="7">#REF!</definedName>
    <definedName name="SG_22_12" localSheetId="21">#REF!</definedName>
    <definedName name="SG_22_12" localSheetId="15">#REF!</definedName>
    <definedName name="SG_22_12">#REF!</definedName>
    <definedName name="SG_22_13" localSheetId="11">#REF!</definedName>
    <definedName name="SG_22_13" localSheetId="7">#REF!</definedName>
    <definedName name="SG_22_13" localSheetId="21">#REF!</definedName>
    <definedName name="SG_22_13" localSheetId="15">#REF!</definedName>
    <definedName name="SG_22_13">#REF!</definedName>
    <definedName name="SG_22_14" localSheetId="11">#REF!</definedName>
    <definedName name="SG_22_14" localSheetId="7">#REF!</definedName>
    <definedName name="SG_22_14" localSheetId="21">#REF!</definedName>
    <definedName name="SG_22_14" localSheetId="15">#REF!</definedName>
    <definedName name="SG_22_14">#REF!</definedName>
    <definedName name="SG_22_15" localSheetId="11">#REF!</definedName>
    <definedName name="SG_22_15" localSheetId="7">#REF!</definedName>
    <definedName name="SG_22_15" localSheetId="21">#REF!</definedName>
    <definedName name="SG_22_15" localSheetId="15">#REF!</definedName>
    <definedName name="SG_22_15">#REF!</definedName>
    <definedName name="SG_22_16" localSheetId="11">#REF!</definedName>
    <definedName name="SG_22_16" localSheetId="7">#REF!</definedName>
    <definedName name="SG_22_16" localSheetId="21">#REF!</definedName>
    <definedName name="SG_22_16" localSheetId="15">#REF!</definedName>
    <definedName name="SG_22_16">#REF!</definedName>
    <definedName name="SG_22_17" localSheetId="11">#REF!</definedName>
    <definedName name="SG_22_17" localSheetId="7">#REF!</definedName>
    <definedName name="SG_22_17" localSheetId="21">#REF!</definedName>
    <definedName name="SG_22_17" localSheetId="15">#REF!</definedName>
    <definedName name="SG_22_17">#REF!</definedName>
    <definedName name="SG_22_18" localSheetId="11">#REF!</definedName>
    <definedName name="SG_22_18" localSheetId="7">#REF!</definedName>
    <definedName name="SG_22_18" localSheetId="21">#REF!</definedName>
    <definedName name="SG_22_18" localSheetId="15">#REF!</definedName>
    <definedName name="SG_22_18">#REF!</definedName>
    <definedName name="SG_22_19" localSheetId="11">#REF!</definedName>
    <definedName name="SG_22_19" localSheetId="7">#REF!</definedName>
    <definedName name="SG_22_19" localSheetId="21">#REF!</definedName>
    <definedName name="SG_22_19" localSheetId="15">#REF!</definedName>
    <definedName name="SG_22_19">#REF!</definedName>
    <definedName name="SG_22_20" localSheetId="11">#REF!</definedName>
    <definedName name="SG_22_20" localSheetId="7">#REF!</definedName>
    <definedName name="SG_22_20" localSheetId="21">#REF!</definedName>
    <definedName name="SG_22_20" localSheetId="15">#REF!</definedName>
    <definedName name="SG_22_20">#REF!</definedName>
    <definedName name="SG_22_21" localSheetId="11">#REF!</definedName>
    <definedName name="SG_22_21" localSheetId="7">#REF!</definedName>
    <definedName name="SG_22_21" localSheetId="21">#REF!</definedName>
    <definedName name="SG_22_21" localSheetId="15">#REF!</definedName>
    <definedName name="SG_22_21">#REF!</definedName>
    <definedName name="SG_22_22" localSheetId="11">#REF!</definedName>
    <definedName name="SG_22_22" localSheetId="7">#REF!</definedName>
    <definedName name="SG_22_22" localSheetId="21">#REF!</definedName>
    <definedName name="SG_22_22" localSheetId="15">#REF!</definedName>
    <definedName name="SG_22_22">#REF!</definedName>
    <definedName name="SG_22_23" localSheetId="11">#REF!</definedName>
    <definedName name="SG_22_23" localSheetId="7">#REF!</definedName>
    <definedName name="SG_22_23" localSheetId="21">#REF!</definedName>
    <definedName name="SG_22_23" localSheetId="15">#REF!</definedName>
    <definedName name="SG_22_23">#REF!</definedName>
    <definedName name="SG_22_24" localSheetId="11">#REF!</definedName>
    <definedName name="SG_22_24" localSheetId="7">#REF!</definedName>
    <definedName name="SG_22_24" localSheetId="21">#REF!</definedName>
    <definedName name="SG_22_24" localSheetId="15">#REF!</definedName>
    <definedName name="SG_22_24">#REF!</definedName>
    <definedName name="SG_22_25" localSheetId="11">#REF!</definedName>
    <definedName name="SG_22_25" localSheetId="7">#REF!</definedName>
    <definedName name="SG_22_25" localSheetId="21">#REF!</definedName>
    <definedName name="SG_22_25" localSheetId="15">#REF!</definedName>
    <definedName name="SG_22_25">#REF!</definedName>
    <definedName name="SG_23_01" localSheetId="11">#REF!</definedName>
    <definedName name="SG_23_01" localSheetId="7">#REF!</definedName>
    <definedName name="SG_23_01" localSheetId="21">#REF!</definedName>
    <definedName name="SG_23_01" localSheetId="15">#REF!</definedName>
    <definedName name="SG_23_01">#REF!</definedName>
    <definedName name="SG_23_02" localSheetId="11">#REF!</definedName>
    <definedName name="SG_23_02" localSheetId="7">#REF!</definedName>
    <definedName name="SG_23_02" localSheetId="21">#REF!</definedName>
    <definedName name="SG_23_02" localSheetId="15">#REF!</definedName>
    <definedName name="SG_23_02">#REF!</definedName>
    <definedName name="SG_23_03" localSheetId="11">#REF!</definedName>
    <definedName name="SG_23_03" localSheetId="7">#REF!</definedName>
    <definedName name="SG_23_03" localSheetId="21">#REF!</definedName>
    <definedName name="SG_23_03" localSheetId="15">#REF!</definedName>
    <definedName name="SG_23_03">#REF!</definedName>
    <definedName name="SG_23_04" localSheetId="11">#REF!</definedName>
    <definedName name="SG_23_04" localSheetId="7">#REF!</definedName>
    <definedName name="SG_23_04" localSheetId="21">#REF!</definedName>
    <definedName name="SG_23_04" localSheetId="15">#REF!</definedName>
    <definedName name="SG_23_04">#REF!</definedName>
    <definedName name="SG_23_05" localSheetId="11">#REF!</definedName>
    <definedName name="SG_23_05" localSheetId="7">#REF!</definedName>
    <definedName name="SG_23_05" localSheetId="21">#REF!</definedName>
    <definedName name="SG_23_05" localSheetId="15">#REF!</definedName>
    <definedName name="SG_23_05">#REF!</definedName>
    <definedName name="SG_23_06" localSheetId="11">#REF!</definedName>
    <definedName name="SG_23_06" localSheetId="7">#REF!</definedName>
    <definedName name="SG_23_06" localSheetId="21">#REF!</definedName>
    <definedName name="SG_23_06" localSheetId="15">#REF!</definedName>
    <definedName name="SG_23_06">#REF!</definedName>
    <definedName name="SG_23_07" localSheetId="11">#REF!</definedName>
    <definedName name="SG_23_07" localSheetId="7">#REF!</definedName>
    <definedName name="SG_23_07" localSheetId="21">#REF!</definedName>
    <definedName name="SG_23_07" localSheetId="15">#REF!</definedName>
    <definedName name="SG_23_07">#REF!</definedName>
    <definedName name="SG_23_08" localSheetId="11">#REF!</definedName>
    <definedName name="SG_23_08" localSheetId="7">#REF!</definedName>
    <definedName name="SG_23_08" localSheetId="21">#REF!</definedName>
    <definedName name="SG_23_08" localSheetId="15">#REF!</definedName>
    <definedName name="SG_23_08">#REF!</definedName>
    <definedName name="SG_23_09" localSheetId="11">#REF!</definedName>
    <definedName name="SG_23_09" localSheetId="7">#REF!</definedName>
    <definedName name="SG_23_09" localSheetId="21">#REF!</definedName>
    <definedName name="SG_23_09" localSheetId="15">#REF!</definedName>
    <definedName name="SG_23_09">#REF!</definedName>
    <definedName name="SG_23_10" localSheetId="11">#REF!</definedName>
    <definedName name="SG_23_10" localSheetId="7">#REF!</definedName>
    <definedName name="SG_23_10" localSheetId="21">#REF!</definedName>
    <definedName name="SG_23_10" localSheetId="15">#REF!</definedName>
    <definedName name="SG_23_10">#REF!</definedName>
    <definedName name="SG_23_11" localSheetId="11">#REF!</definedName>
    <definedName name="SG_23_11" localSheetId="7">#REF!</definedName>
    <definedName name="SG_23_11" localSheetId="21">#REF!</definedName>
    <definedName name="SG_23_11" localSheetId="15">#REF!</definedName>
    <definedName name="SG_23_11">#REF!</definedName>
    <definedName name="SG_23_12" localSheetId="11">#REF!</definedName>
    <definedName name="SG_23_12" localSheetId="7">#REF!</definedName>
    <definedName name="SG_23_12" localSheetId="21">#REF!</definedName>
    <definedName name="SG_23_12" localSheetId="15">#REF!</definedName>
    <definedName name="SG_23_12">#REF!</definedName>
    <definedName name="SG_23_13" localSheetId="11">#REF!</definedName>
    <definedName name="SG_23_13" localSheetId="7">#REF!</definedName>
    <definedName name="SG_23_13" localSheetId="21">#REF!</definedName>
    <definedName name="SG_23_13" localSheetId="15">#REF!</definedName>
    <definedName name="SG_23_13">#REF!</definedName>
    <definedName name="SG_23_14" localSheetId="11">#REF!</definedName>
    <definedName name="SG_23_14" localSheetId="7">#REF!</definedName>
    <definedName name="SG_23_14" localSheetId="21">#REF!</definedName>
    <definedName name="SG_23_14" localSheetId="15">#REF!</definedName>
    <definedName name="SG_23_14">#REF!</definedName>
    <definedName name="SG_23_15" localSheetId="11">#REF!</definedName>
    <definedName name="SG_23_15" localSheetId="7">#REF!</definedName>
    <definedName name="SG_23_15" localSheetId="21">#REF!</definedName>
    <definedName name="SG_23_15" localSheetId="15">#REF!</definedName>
    <definedName name="SG_23_15">#REF!</definedName>
    <definedName name="SG_23_16" localSheetId="11">#REF!</definedName>
    <definedName name="SG_23_16" localSheetId="7">#REF!</definedName>
    <definedName name="SG_23_16" localSheetId="21">#REF!</definedName>
    <definedName name="SG_23_16" localSheetId="15">#REF!</definedName>
    <definedName name="SG_23_16">#REF!</definedName>
    <definedName name="SG_23_17" localSheetId="11">#REF!</definedName>
    <definedName name="SG_23_17" localSheetId="7">#REF!</definedName>
    <definedName name="SG_23_17" localSheetId="21">#REF!</definedName>
    <definedName name="SG_23_17" localSheetId="15">#REF!</definedName>
    <definedName name="SG_23_17">#REF!</definedName>
    <definedName name="SG_23_18" localSheetId="11">#REF!</definedName>
    <definedName name="SG_23_18" localSheetId="7">#REF!</definedName>
    <definedName name="SG_23_18" localSheetId="21">#REF!</definedName>
    <definedName name="SG_23_18" localSheetId="15">#REF!</definedName>
    <definedName name="SG_23_18">#REF!</definedName>
    <definedName name="SG_23_19" localSheetId="11">#REF!</definedName>
    <definedName name="SG_23_19" localSheetId="7">#REF!</definedName>
    <definedName name="SG_23_19" localSheetId="21">#REF!</definedName>
    <definedName name="SG_23_19" localSheetId="15">#REF!</definedName>
    <definedName name="SG_23_19">#REF!</definedName>
    <definedName name="SG_23_20" localSheetId="11">#REF!</definedName>
    <definedName name="SG_23_20" localSheetId="7">#REF!</definedName>
    <definedName name="SG_23_20" localSheetId="21">#REF!</definedName>
    <definedName name="SG_23_20" localSheetId="15">#REF!</definedName>
    <definedName name="SG_23_20">#REF!</definedName>
    <definedName name="SG_23_21" localSheetId="11">#REF!</definedName>
    <definedName name="SG_23_21" localSheetId="7">#REF!</definedName>
    <definedName name="SG_23_21" localSheetId="21">#REF!</definedName>
    <definedName name="SG_23_21" localSheetId="15">#REF!</definedName>
    <definedName name="SG_23_21">#REF!</definedName>
    <definedName name="SG_23_22" localSheetId="11">#REF!</definedName>
    <definedName name="SG_23_22" localSheetId="7">#REF!</definedName>
    <definedName name="SG_23_22" localSheetId="21">#REF!</definedName>
    <definedName name="SG_23_22" localSheetId="15">#REF!</definedName>
    <definedName name="SG_23_22">#REF!</definedName>
    <definedName name="SG_23_23" localSheetId="11">#REF!</definedName>
    <definedName name="SG_23_23" localSheetId="7">#REF!</definedName>
    <definedName name="SG_23_23" localSheetId="21">#REF!</definedName>
    <definedName name="SG_23_23" localSheetId="15">#REF!</definedName>
    <definedName name="SG_23_23">#REF!</definedName>
    <definedName name="SG_23_24" localSheetId="11">#REF!</definedName>
    <definedName name="SG_23_24" localSheetId="7">#REF!</definedName>
    <definedName name="SG_23_24" localSheetId="21">#REF!</definedName>
    <definedName name="SG_23_24" localSheetId="15">#REF!</definedName>
    <definedName name="SG_23_24">#REF!</definedName>
    <definedName name="SG_23_25" localSheetId="11">#REF!</definedName>
    <definedName name="SG_23_25" localSheetId="7">#REF!</definedName>
    <definedName name="SG_23_25" localSheetId="21">#REF!</definedName>
    <definedName name="SG_23_25" localSheetId="15">#REF!</definedName>
    <definedName name="SG_23_25">#REF!</definedName>
    <definedName name="SG_24_01" localSheetId="11">#REF!</definedName>
    <definedName name="SG_24_01" localSheetId="7">#REF!</definedName>
    <definedName name="SG_24_01" localSheetId="21">#REF!</definedName>
    <definedName name="SG_24_01" localSheetId="15">#REF!</definedName>
    <definedName name="SG_24_01">#REF!</definedName>
    <definedName name="SG_24_02" localSheetId="11">#REF!</definedName>
    <definedName name="SG_24_02" localSheetId="7">#REF!</definedName>
    <definedName name="SG_24_02" localSheetId="21">#REF!</definedName>
    <definedName name="SG_24_02" localSheetId="15">#REF!</definedName>
    <definedName name="SG_24_02">#REF!</definedName>
    <definedName name="SG_24_03" localSheetId="11">#REF!</definedName>
    <definedName name="SG_24_03" localSheetId="7">#REF!</definedName>
    <definedName name="SG_24_03" localSheetId="21">#REF!</definedName>
    <definedName name="SG_24_03" localSheetId="15">#REF!</definedName>
    <definedName name="SG_24_03">#REF!</definedName>
    <definedName name="SG_24_04" localSheetId="11">#REF!</definedName>
    <definedName name="SG_24_04" localSheetId="7">#REF!</definedName>
    <definedName name="SG_24_04" localSheetId="21">#REF!</definedName>
    <definedName name="SG_24_04" localSheetId="15">#REF!</definedName>
    <definedName name="SG_24_04">#REF!</definedName>
    <definedName name="SG_24_05" localSheetId="11">#REF!</definedName>
    <definedName name="SG_24_05" localSheetId="7">#REF!</definedName>
    <definedName name="SG_24_05" localSheetId="21">#REF!</definedName>
    <definedName name="SG_24_05" localSheetId="15">#REF!</definedName>
    <definedName name="SG_24_05">#REF!</definedName>
    <definedName name="SG_24_06" localSheetId="11">#REF!</definedName>
    <definedName name="SG_24_06" localSheetId="7">#REF!</definedName>
    <definedName name="SG_24_06" localSheetId="21">#REF!</definedName>
    <definedName name="SG_24_06" localSheetId="15">#REF!</definedName>
    <definedName name="SG_24_06">#REF!</definedName>
    <definedName name="SG_24_07" localSheetId="11">#REF!</definedName>
    <definedName name="SG_24_07" localSheetId="7">#REF!</definedName>
    <definedName name="SG_24_07" localSheetId="21">#REF!</definedName>
    <definedName name="SG_24_07" localSheetId="15">#REF!</definedName>
    <definedName name="SG_24_07">#REF!</definedName>
    <definedName name="SG_24_08" localSheetId="11">#REF!</definedName>
    <definedName name="SG_24_08" localSheetId="7">#REF!</definedName>
    <definedName name="SG_24_08" localSheetId="21">#REF!</definedName>
    <definedName name="SG_24_08" localSheetId="15">#REF!</definedName>
    <definedName name="SG_24_08">#REF!</definedName>
    <definedName name="SG_24_09" localSheetId="11">#REF!</definedName>
    <definedName name="SG_24_09" localSheetId="7">#REF!</definedName>
    <definedName name="SG_24_09" localSheetId="21">#REF!</definedName>
    <definedName name="SG_24_09" localSheetId="15">#REF!</definedName>
    <definedName name="SG_24_09">#REF!</definedName>
    <definedName name="SG_24_10" localSheetId="11">#REF!</definedName>
    <definedName name="SG_24_10" localSheetId="7">#REF!</definedName>
    <definedName name="SG_24_10" localSheetId="21">#REF!</definedName>
    <definedName name="SG_24_10" localSheetId="15">#REF!</definedName>
    <definedName name="SG_24_10">#REF!</definedName>
    <definedName name="SG_24_11" localSheetId="11">#REF!</definedName>
    <definedName name="SG_24_11" localSheetId="7">#REF!</definedName>
    <definedName name="SG_24_11" localSheetId="21">#REF!</definedName>
    <definedName name="SG_24_11" localSheetId="15">#REF!</definedName>
    <definedName name="SG_24_11">#REF!</definedName>
    <definedName name="SG_24_12" localSheetId="11">#REF!</definedName>
    <definedName name="SG_24_12" localSheetId="7">#REF!</definedName>
    <definedName name="SG_24_12" localSheetId="21">#REF!</definedName>
    <definedName name="SG_24_12" localSheetId="15">#REF!</definedName>
    <definedName name="SG_24_12">#REF!</definedName>
    <definedName name="SG_24_13" localSheetId="11">#REF!</definedName>
    <definedName name="SG_24_13" localSheetId="7">#REF!</definedName>
    <definedName name="SG_24_13" localSheetId="21">#REF!</definedName>
    <definedName name="SG_24_13" localSheetId="15">#REF!</definedName>
    <definedName name="SG_24_13">#REF!</definedName>
    <definedName name="SG_24_14" localSheetId="11">#REF!</definedName>
    <definedName name="SG_24_14" localSheetId="7">#REF!</definedName>
    <definedName name="SG_24_14" localSheetId="21">#REF!</definedName>
    <definedName name="SG_24_14" localSheetId="15">#REF!</definedName>
    <definedName name="SG_24_14">#REF!</definedName>
    <definedName name="SG_24_15" localSheetId="11">#REF!</definedName>
    <definedName name="SG_24_15" localSheetId="7">#REF!</definedName>
    <definedName name="SG_24_15" localSheetId="21">#REF!</definedName>
    <definedName name="SG_24_15" localSheetId="15">#REF!</definedName>
    <definedName name="SG_24_15">#REF!</definedName>
    <definedName name="SG_24_16" localSheetId="11">#REF!</definedName>
    <definedName name="SG_24_16" localSheetId="7">#REF!</definedName>
    <definedName name="SG_24_16" localSheetId="21">#REF!</definedName>
    <definedName name="SG_24_16" localSheetId="15">#REF!</definedName>
    <definedName name="SG_24_16">#REF!</definedName>
    <definedName name="SG_24_17" localSheetId="11">#REF!</definedName>
    <definedName name="SG_24_17" localSheetId="7">#REF!</definedName>
    <definedName name="SG_24_17" localSheetId="21">#REF!</definedName>
    <definedName name="SG_24_17" localSheetId="15">#REF!</definedName>
    <definedName name="SG_24_17">#REF!</definedName>
    <definedName name="SG_24_18" localSheetId="11">#REF!</definedName>
    <definedName name="SG_24_18" localSheetId="7">#REF!</definedName>
    <definedName name="SG_24_18" localSheetId="21">#REF!</definedName>
    <definedName name="SG_24_18" localSheetId="15">#REF!</definedName>
    <definedName name="SG_24_18">#REF!</definedName>
    <definedName name="SG_24_19" localSheetId="11">#REF!</definedName>
    <definedName name="SG_24_19" localSheetId="7">#REF!</definedName>
    <definedName name="SG_24_19" localSheetId="21">#REF!</definedName>
    <definedName name="SG_24_19" localSheetId="15">#REF!</definedName>
    <definedName name="SG_24_19">#REF!</definedName>
    <definedName name="SG_24_20" localSheetId="11">#REF!</definedName>
    <definedName name="SG_24_20" localSheetId="7">#REF!</definedName>
    <definedName name="SG_24_20" localSheetId="21">#REF!</definedName>
    <definedName name="SG_24_20" localSheetId="15">#REF!</definedName>
    <definedName name="SG_24_20">#REF!</definedName>
    <definedName name="SG_24_21" localSheetId="11">#REF!</definedName>
    <definedName name="SG_24_21" localSheetId="7">#REF!</definedName>
    <definedName name="SG_24_21" localSheetId="21">#REF!</definedName>
    <definedName name="SG_24_21" localSheetId="15">#REF!</definedName>
    <definedName name="SG_24_21">#REF!</definedName>
    <definedName name="SG_24_22" localSheetId="11">#REF!</definedName>
    <definedName name="SG_24_22" localSheetId="7">#REF!</definedName>
    <definedName name="SG_24_22" localSheetId="21">#REF!</definedName>
    <definedName name="SG_24_22" localSheetId="15">#REF!</definedName>
    <definedName name="SG_24_22">#REF!</definedName>
    <definedName name="SG_24_23" localSheetId="11">#REF!</definedName>
    <definedName name="SG_24_23" localSheetId="7">#REF!</definedName>
    <definedName name="SG_24_23" localSheetId="21">#REF!</definedName>
    <definedName name="SG_24_23" localSheetId="15">#REF!</definedName>
    <definedName name="SG_24_23">#REF!</definedName>
    <definedName name="SG_24_24" localSheetId="11">#REF!</definedName>
    <definedName name="SG_24_24" localSheetId="7">#REF!</definedName>
    <definedName name="SG_24_24" localSheetId="21">#REF!</definedName>
    <definedName name="SG_24_24" localSheetId="15">#REF!</definedName>
    <definedName name="SG_24_24">#REF!</definedName>
    <definedName name="SG_24_25" localSheetId="11">#REF!</definedName>
    <definedName name="SG_24_25" localSheetId="7">#REF!</definedName>
    <definedName name="SG_24_25" localSheetId="21">#REF!</definedName>
    <definedName name="SG_24_25" localSheetId="15">#REF!</definedName>
    <definedName name="SG_24_25">#REF!</definedName>
    <definedName name="SG_25_01" localSheetId="11">#REF!</definedName>
    <definedName name="SG_25_01" localSheetId="7">#REF!</definedName>
    <definedName name="SG_25_01" localSheetId="21">#REF!</definedName>
    <definedName name="SG_25_01" localSheetId="15">#REF!</definedName>
    <definedName name="SG_25_01">#REF!</definedName>
    <definedName name="SG_25_02" localSheetId="11">#REF!</definedName>
    <definedName name="SG_25_02" localSheetId="7">#REF!</definedName>
    <definedName name="SG_25_02" localSheetId="21">#REF!</definedName>
    <definedName name="SG_25_02" localSheetId="15">#REF!</definedName>
    <definedName name="SG_25_02">#REF!</definedName>
    <definedName name="SG_25_03" localSheetId="11">#REF!</definedName>
    <definedName name="SG_25_03" localSheetId="7">#REF!</definedName>
    <definedName name="SG_25_03" localSheetId="21">#REF!</definedName>
    <definedName name="SG_25_03" localSheetId="15">#REF!</definedName>
    <definedName name="SG_25_03">#REF!</definedName>
    <definedName name="SG_25_04" localSheetId="11">#REF!</definedName>
    <definedName name="SG_25_04" localSheetId="7">#REF!</definedName>
    <definedName name="SG_25_04" localSheetId="21">#REF!</definedName>
    <definedName name="SG_25_04" localSheetId="15">#REF!</definedName>
    <definedName name="SG_25_04">#REF!</definedName>
    <definedName name="SG_25_05" localSheetId="11">#REF!</definedName>
    <definedName name="SG_25_05" localSheetId="7">#REF!</definedName>
    <definedName name="SG_25_05" localSheetId="21">#REF!</definedName>
    <definedName name="SG_25_05" localSheetId="15">#REF!</definedName>
    <definedName name="SG_25_05">#REF!</definedName>
    <definedName name="SG_25_06" localSheetId="11">#REF!</definedName>
    <definedName name="SG_25_06" localSheetId="7">#REF!</definedName>
    <definedName name="SG_25_06" localSheetId="21">#REF!</definedName>
    <definedName name="SG_25_06" localSheetId="15">#REF!</definedName>
    <definedName name="SG_25_06">#REF!</definedName>
    <definedName name="SG_25_07" localSheetId="11">#REF!</definedName>
    <definedName name="SG_25_07" localSheetId="7">#REF!</definedName>
    <definedName name="SG_25_07" localSheetId="21">#REF!</definedName>
    <definedName name="SG_25_07" localSheetId="15">#REF!</definedName>
    <definedName name="SG_25_07">#REF!</definedName>
    <definedName name="SG_25_08" localSheetId="11">#REF!</definedName>
    <definedName name="SG_25_08" localSheetId="7">#REF!</definedName>
    <definedName name="SG_25_08" localSheetId="21">#REF!</definedName>
    <definedName name="SG_25_08" localSheetId="15">#REF!</definedName>
    <definedName name="SG_25_08">#REF!</definedName>
    <definedName name="SG_25_09" localSheetId="11">#REF!</definedName>
    <definedName name="SG_25_09" localSheetId="7">#REF!</definedName>
    <definedName name="SG_25_09" localSheetId="21">#REF!</definedName>
    <definedName name="SG_25_09" localSheetId="15">#REF!</definedName>
    <definedName name="SG_25_09">#REF!</definedName>
    <definedName name="SG_25_10" localSheetId="11">#REF!</definedName>
    <definedName name="SG_25_10" localSheetId="7">#REF!</definedName>
    <definedName name="SG_25_10" localSheetId="21">#REF!</definedName>
    <definedName name="SG_25_10" localSheetId="15">#REF!</definedName>
    <definedName name="SG_25_10">#REF!</definedName>
    <definedName name="SG_25_11" localSheetId="11">#REF!</definedName>
    <definedName name="SG_25_11" localSheetId="7">#REF!</definedName>
    <definedName name="SG_25_11" localSheetId="21">#REF!</definedName>
    <definedName name="SG_25_11" localSheetId="15">#REF!</definedName>
    <definedName name="SG_25_11">#REF!</definedName>
    <definedName name="SG_25_12" localSheetId="11">#REF!</definedName>
    <definedName name="SG_25_12" localSheetId="7">#REF!</definedName>
    <definedName name="SG_25_12" localSheetId="21">#REF!</definedName>
    <definedName name="SG_25_12" localSheetId="15">#REF!</definedName>
    <definedName name="SG_25_12">#REF!</definedName>
    <definedName name="SG_25_13" localSheetId="11">#REF!</definedName>
    <definedName name="SG_25_13" localSheetId="7">#REF!</definedName>
    <definedName name="SG_25_13" localSheetId="21">#REF!</definedName>
    <definedName name="SG_25_13" localSheetId="15">#REF!</definedName>
    <definedName name="SG_25_13">#REF!</definedName>
    <definedName name="SG_25_14" localSheetId="11">#REF!</definedName>
    <definedName name="SG_25_14" localSheetId="7">#REF!</definedName>
    <definedName name="SG_25_14" localSheetId="21">#REF!</definedName>
    <definedName name="SG_25_14" localSheetId="15">#REF!</definedName>
    <definedName name="SG_25_14">#REF!</definedName>
    <definedName name="SG_25_15" localSheetId="11">#REF!</definedName>
    <definedName name="SG_25_15" localSheetId="7">#REF!</definedName>
    <definedName name="SG_25_15" localSheetId="21">#REF!</definedName>
    <definedName name="SG_25_15" localSheetId="15">#REF!</definedName>
    <definedName name="SG_25_15">#REF!</definedName>
    <definedName name="SG_25_16" localSheetId="11">#REF!</definedName>
    <definedName name="SG_25_16" localSheetId="7">#REF!</definedName>
    <definedName name="SG_25_16" localSheetId="21">#REF!</definedName>
    <definedName name="SG_25_16" localSheetId="15">#REF!</definedName>
    <definedName name="SG_25_16">#REF!</definedName>
    <definedName name="SG_25_17" localSheetId="11">#REF!</definedName>
    <definedName name="SG_25_17" localSheetId="7">#REF!</definedName>
    <definedName name="SG_25_17" localSheetId="21">#REF!</definedName>
    <definedName name="SG_25_17" localSheetId="15">#REF!</definedName>
    <definedName name="SG_25_17">#REF!</definedName>
    <definedName name="SG_25_18" localSheetId="11">#REF!</definedName>
    <definedName name="SG_25_18" localSheetId="7">#REF!</definedName>
    <definedName name="SG_25_18" localSheetId="21">#REF!</definedName>
    <definedName name="SG_25_18" localSheetId="15">#REF!</definedName>
    <definedName name="SG_25_18">#REF!</definedName>
    <definedName name="SG_25_19" localSheetId="11">#REF!</definedName>
    <definedName name="SG_25_19" localSheetId="7">#REF!</definedName>
    <definedName name="SG_25_19" localSheetId="21">#REF!</definedName>
    <definedName name="SG_25_19" localSheetId="15">#REF!</definedName>
    <definedName name="SG_25_19">#REF!</definedName>
    <definedName name="SG_25_20" localSheetId="11">#REF!</definedName>
    <definedName name="SG_25_20" localSheetId="7">#REF!</definedName>
    <definedName name="SG_25_20" localSheetId="21">#REF!</definedName>
    <definedName name="SG_25_20" localSheetId="15">#REF!</definedName>
    <definedName name="SG_25_20">#REF!</definedName>
    <definedName name="SG_25_21" localSheetId="11">#REF!</definedName>
    <definedName name="SG_25_21" localSheetId="7">#REF!</definedName>
    <definedName name="SG_25_21" localSheetId="21">#REF!</definedName>
    <definedName name="SG_25_21" localSheetId="15">#REF!</definedName>
    <definedName name="SG_25_21">#REF!</definedName>
    <definedName name="SG_25_22" localSheetId="11">#REF!</definedName>
    <definedName name="SG_25_22" localSheetId="7">#REF!</definedName>
    <definedName name="SG_25_22" localSheetId="21">#REF!</definedName>
    <definedName name="SG_25_22" localSheetId="15">#REF!</definedName>
    <definedName name="SG_25_22">#REF!</definedName>
    <definedName name="SG_25_23" localSheetId="11">#REF!</definedName>
    <definedName name="SG_25_23" localSheetId="7">#REF!</definedName>
    <definedName name="SG_25_23" localSheetId="21">#REF!</definedName>
    <definedName name="SG_25_23" localSheetId="15">#REF!</definedName>
    <definedName name="SG_25_23">#REF!</definedName>
    <definedName name="SG_25_24" localSheetId="11">#REF!</definedName>
    <definedName name="SG_25_24" localSheetId="7">#REF!</definedName>
    <definedName name="SG_25_24" localSheetId="21">#REF!</definedName>
    <definedName name="SG_25_24" localSheetId="15">#REF!</definedName>
    <definedName name="SG_25_24">#REF!</definedName>
    <definedName name="SG_25_25" localSheetId="11">#REF!</definedName>
    <definedName name="SG_25_25" localSheetId="7">#REF!</definedName>
    <definedName name="SG_25_25" localSheetId="21">#REF!</definedName>
    <definedName name="SG_25_25" localSheetId="15">#REF!</definedName>
    <definedName name="SG_25_25">#REF!</definedName>
    <definedName name="SIH" localSheetId="11">#REF!</definedName>
    <definedName name="SIH" localSheetId="7">#REF!</definedName>
    <definedName name="SIH" localSheetId="21">#REF!</definedName>
    <definedName name="SIH" localSheetId="15">#REF!</definedName>
    <definedName name="SIH">#REF!</definedName>
    <definedName name="sinal" localSheetId="11">#REF!</definedName>
    <definedName name="sinal" localSheetId="7">#REF!</definedName>
    <definedName name="sinal" localSheetId="21">#REF!</definedName>
    <definedName name="sinal" localSheetId="15">#REF!</definedName>
    <definedName name="sinal">#REF!</definedName>
    <definedName name="SINALI" localSheetId="11">#REF!</definedName>
    <definedName name="SINALI" localSheetId="7">#REF!</definedName>
    <definedName name="SINALI" localSheetId="21">#REF!</definedName>
    <definedName name="SINALI" localSheetId="15">#REF!</definedName>
    <definedName name="SINALI">#REF!</definedName>
    <definedName name="sinaliz_vert" localSheetId="11">#REF!</definedName>
    <definedName name="sinaliz_vert" localSheetId="7">#REF!</definedName>
    <definedName name="sinaliz_vert" localSheetId="21">#REF!</definedName>
    <definedName name="sinaliz_vert" localSheetId="15">#REF!</definedName>
    <definedName name="sinaliz_vert">#REF!</definedName>
    <definedName name="sinalizacao" localSheetId="11">#REF!</definedName>
    <definedName name="sinalizacao" localSheetId="7">#REF!</definedName>
    <definedName name="sinalizacao" localSheetId="21">#REF!</definedName>
    <definedName name="sinalizacao" localSheetId="15">#REF!</definedName>
    <definedName name="sinalizacao">#REF!</definedName>
    <definedName name="SIV" localSheetId="11">#REF!</definedName>
    <definedName name="SIV" localSheetId="7">#REF!</definedName>
    <definedName name="SIV" localSheetId="21">#REF!</definedName>
    <definedName name="SIV" localSheetId="15">#REF!</definedName>
    <definedName name="SIV">#REF!</definedName>
    <definedName name="SM" localSheetId="11">#REF!</definedName>
    <definedName name="SM" localSheetId="7">#REF!</definedName>
    <definedName name="SM" localSheetId="21">#REF!</definedName>
    <definedName name="SM" localSheetId="15">#REF!</definedName>
    <definedName name="SM">#REF!</definedName>
    <definedName name="SMC">[94]SERVIÇOS!$G$59</definedName>
    <definedName name="SMW">"$#REF!.$J$36"</definedName>
    <definedName name="SMWA">"$#REF!.$J$35"</definedName>
    <definedName name="SOLPIR">[101]Especif!$A$26:$A$33</definedName>
    <definedName name="solver_lin" hidden="1">0</definedName>
    <definedName name="solver_num" hidden="1">0</definedName>
    <definedName name="solver_opt" localSheetId="11" hidden="1">#REF!</definedName>
    <definedName name="solver_opt" localSheetId="9" hidden="1">#REF!</definedName>
    <definedName name="solver_opt" localSheetId="10" hidden="1">#REF!</definedName>
    <definedName name="solver_opt" localSheetId="8" hidden="1">#REF!</definedName>
    <definedName name="solver_opt" localSheetId="7" hidden="1">#REF!</definedName>
    <definedName name="solver_opt" localSheetId="21" hidden="1">'[30]61M-CBMI:MAT-BET'!$H$18</definedName>
    <definedName name="solver_opt" localSheetId="15" hidden="1">#REF!</definedName>
    <definedName name="solver_opt" hidden="1">'[30]61M-CBMI:MAT-BET'!$H$18</definedName>
    <definedName name="solver_typ" hidden="1">1</definedName>
    <definedName name="solver_val" hidden="1">0</definedName>
    <definedName name="SOMA1">'[16]ORÇAMENTO 01'!$F$34</definedName>
    <definedName name="SOMA2">'[16]ORÇAMENTO 01'!$F$41</definedName>
    <definedName name="SOMA3">'[16]ORÇAMENTO 01'!$F$46</definedName>
    <definedName name="SOMA4">'[16]ORÇAMENTO 01'!$F$51</definedName>
    <definedName name="SOMA5">'[16]ORÇAMENTO 01'!$F$79</definedName>
    <definedName name="SomaMedAtual" localSheetId="21">SUM(IF(#REF!=#REF!,IF(#REF!=#REF!,#REF!)))</definedName>
    <definedName name="SomaMedAtual" localSheetId="15">SUM(IF(#REF!=#REF!,IF(#REF!=#REF!,#REF!)))</definedName>
    <definedName name="SomaMedAtual">SUM(IF(#REF!=#REF!,IF(#REF!=#REF!,#REF!)))</definedName>
    <definedName name="Sorriso" localSheetId="11">#REF!</definedName>
    <definedName name="Sorriso" localSheetId="7">#REF!</definedName>
    <definedName name="Sorriso" localSheetId="21">#REF!</definedName>
    <definedName name="Sorriso" localSheetId="15">#REF!</definedName>
    <definedName name="Sorriso">#REF!</definedName>
    <definedName name="SRROO">[43]Croqui!$I$4</definedName>
    <definedName name="srsdgqge" localSheetId="11">#REF!</definedName>
    <definedName name="srsdgqge" localSheetId="7">#REF!</definedName>
    <definedName name="srsdgqge" localSheetId="21">#REF!</definedName>
    <definedName name="srsdgqge" localSheetId="15">#REF!</definedName>
    <definedName name="srsdgqge">#REF!</definedName>
    <definedName name="SRV" localSheetId="2" hidden="1">#REF!</definedName>
    <definedName name="SRV" localSheetId="3" hidden="1">#REF!</definedName>
    <definedName name="SRV" localSheetId="11" hidden="1">#REF!</definedName>
    <definedName name="SRV" localSheetId="9" hidden="1">#REF!</definedName>
    <definedName name="SRV" localSheetId="10" hidden="1">#REF!</definedName>
    <definedName name="SRV" localSheetId="8" hidden="1">#REF!</definedName>
    <definedName name="SRV" localSheetId="5" hidden="1">#REF!</definedName>
    <definedName name="SRV" localSheetId="6" hidden="1">#REF!</definedName>
    <definedName name="SRV" localSheetId="30" hidden="1">#REF!</definedName>
    <definedName name="SRV" localSheetId="7" hidden="1">#REF!</definedName>
    <definedName name="SRV" localSheetId="34" hidden="1">#REF!</definedName>
    <definedName name="SRV" localSheetId="44" hidden="1">#REF!</definedName>
    <definedName name="SRV" localSheetId="43" hidden="1">#REF!</definedName>
    <definedName name="SRV" localSheetId="42" hidden="1">#REF!</definedName>
    <definedName name="SRV" localSheetId="21" hidden="1">#REF!</definedName>
    <definedName name="SRV" localSheetId="39" hidden="1">#REF!</definedName>
    <definedName name="SRV" localSheetId="15" hidden="1">#REF!</definedName>
    <definedName name="SRV" localSheetId="31" hidden="1">#REF!</definedName>
    <definedName name="SRV" localSheetId="28" hidden="1">#REF!</definedName>
    <definedName name="SRV" hidden="1">#REF!</definedName>
    <definedName name="SS" localSheetId="11" hidden="1">{#N/A,#N/A,FALSE,"MO (2)"}</definedName>
    <definedName name="SS" localSheetId="9" hidden="1">{#N/A,#N/A,FALSE,"MO (2)"}</definedName>
    <definedName name="SS" localSheetId="10" hidden="1">{#N/A,#N/A,FALSE,"MO (2)"}</definedName>
    <definedName name="SS" localSheetId="8" hidden="1">{#N/A,#N/A,FALSE,"MO (2)"}</definedName>
    <definedName name="SS" localSheetId="7" hidden="1">{#N/A,#N/A,FALSE,"MO (2)"}</definedName>
    <definedName name="SS" localSheetId="34" hidden="1">{#N/A,#N/A,FALSE,"MO (2)"}</definedName>
    <definedName name="SS" localSheetId="44" hidden="1">{#N/A,#N/A,FALSE,"MO (2)"}</definedName>
    <definedName name="SS" localSheetId="43" hidden="1">{#N/A,#N/A,FALSE,"MO (2)"}</definedName>
    <definedName name="SS" localSheetId="42" hidden="1">{#N/A,#N/A,FALSE,"MO (2)"}</definedName>
    <definedName name="SS" localSheetId="21" hidden="1">{#N/A,#N/A,FALSE,"MO (2)"}</definedName>
    <definedName name="SS" localSheetId="17" hidden="1">{#N/A,#N/A,FALSE,"MO (2)"}</definedName>
    <definedName name="SS" localSheetId="1" hidden="1">{#N/A,#N/A,FALSE,"MO (2)"}</definedName>
    <definedName name="SS" localSheetId="16" hidden="1">{#N/A,#N/A,FALSE,"MO (2)"}</definedName>
    <definedName name="SS" localSheetId="26" hidden="1">{#N/A,#N/A,FALSE,"MO (2)"}</definedName>
    <definedName name="SS" localSheetId="13" hidden="1">{#N/A,#N/A,FALSE,"MO (2)"}</definedName>
    <definedName name="SS" localSheetId="15" hidden="1">{#N/A,#N/A,FALSE,"MO (2)"}</definedName>
    <definedName name="SS" localSheetId="33" hidden="1">{#N/A,#N/A,FALSE,"MO (2)"}</definedName>
    <definedName name="SS" hidden="1">{#N/A,#N/A,FALSE,"MO (2)"}</definedName>
    <definedName name="SS_1" localSheetId="11" hidden="1">{#N/A,#N/A,FALSE,"MO (2)"}</definedName>
    <definedName name="SS_1" localSheetId="9" hidden="1">{#N/A,#N/A,FALSE,"MO (2)"}</definedName>
    <definedName name="SS_1" localSheetId="10" hidden="1">{#N/A,#N/A,FALSE,"MO (2)"}</definedName>
    <definedName name="SS_1" localSheetId="8" hidden="1">{#N/A,#N/A,FALSE,"MO (2)"}</definedName>
    <definedName name="SS_1" localSheetId="7" hidden="1">{#N/A,#N/A,FALSE,"MO (2)"}</definedName>
    <definedName name="SS_1" localSheetId="34" hidden="1">{#N/A,#N/A,FALSE,"MO (2)"}</definedName>
    <definedName name="SS_1" localSheetId="44" hidden="1">{#N/A,#N/A,FALSE,"MO (2)"}</definedName>
    <definedName name="SS_1" localSheetId="43" hidden="1">{#N/A,#N/A,FALSE,"MO (2)"}</definedName>
    <definedName name="SS_1" localSheetId="42" hidden="1">{#N/A,#N/A,FALSE,"MO (2)"}</definedName>
    <definedName name="SS_1" localSheetId="21" hidden="1">{#N/A,#N/A,FALSE,"MO (2)"}</definedName>
    <definedName name="SS_1" localSheetId="17" hidden="1">{#N/A,#N/A,FALSE,"MO (2)"}</definedName>
    <definedName name="SS_1" localSheetId="1" hidden="1">{#N/A,#N/A,FALSE,"MO (2)"}</definedName>
    <definedName name="SS_1" localSheetId="16" hidden="1">{#N/A,#N/A,FALSE,"MO (2)"}</definedName>
    <definedName name="SS_1" localSheetId="26" hidden="1">{#N/A,#N/A,FALSE,"MO (2)"}</definedName>
    <definedName name="SS_1" localSheetId="13" hidden="1">{#N/A,#N/A,FALSE,"MO (2)"}</definedName>
    <definedName name="SS_1" localSheetId="15" hidden="1">{#N/A,#N/A,FALSE,"MO (2)"}</definedName>
    <definedName name="SS_1" localSheetId="33" hidden="1">{#N/A,#N/A,FALSE,"MO (2)"}</definedName>
    <definedName name="SS_1" hidden="1">{#N/A,#N/A,FALSE,"MO (2)"}</definedName>
    <definedName name="SSS" localSheetId="11" hidden="1">{#N/A,#N/A,FALSE,"MO (2)"}</definedName>
    <definedName name="SSS" localSheetId="9" hidden="1">{#N/A,#N/A,FALSE,"MO (2)"}</definedName>
    <definedName name="SSS" localSheetId="10" hidden="1">{#N/A,#N/A,FALSE,"MO (2)"}</definedName>
    <definedName name="SSS" localSheetId="8" hidden="1">{#N/A,#N/A,FALSE,"MO (2)"}</definedName>
    <definedName name="SSS" localSheetId="7" hidden="1">{#N/A,#N/A,FALSE,"MO (2)"}</definedName>
    <definedName name="SSS" localSheetId="34" hidden="1">{#N/A,#N/A,FALSE,"MO (2)"}</definedName>
    <definedName name="SSS" localSheetId="44" hidden="1">{#N/A,#N/A,FALSE,"MO (2)"}</definedName>
    <definedName name="SSS" localSheetId="43" hidden="1">{#N/A,#N/A,FALSE,"MO (2)"}</definedName>
    <definedName name="SSS" localSheetId="42" hidden="1">{#N/A,#N/A,FALSE,"MO (2)"}</definedName>
    <definedName name="SSS" localSheetId="21" hidden="1">{#N/A,#N/A,FALSE,"MO (2)"}</definedName>
    <definedName name="SSS" localSheetId="17" hidden="1">{#N/A,#N/A,FALSE,"MO (2)"}</definedName>
    <definedName name="SSS" localSheetId="1" hidden="1">{#N/A,#N/A,FALSE,"MO (2)"}</definedName>
    <definedName name="SSS" localSheetId="16" hidden="1">{#N/A,#N/A,FALSE,"MO (2)"}</definedName>
    <definedName name="SSS" localSheetId="26" hidden="1">{#N/A,#N/A,FALSE,"MO (2)"}</definedName>
    <definedName name="SSS" localSheetId="13" hidden="1">{#N/A,#N/A,FALSE,"MO (2)"}</definedName>
    <definedName name="SSS" localSheetId="15" hidden="1">{#N/A,#N/A,FALSE,"MO (2)"}</definedName>
    <definedName name="SSS" localSheetId="33" hidden="1">{#N/A,#N/A,FALSE,"MO (2)"}</definedName>
    <definedName name="SSS" hidden="1">{#N/A,#N/A,FALSE,"MO (2)"}</definedName>
    <definedName name="SSS_1" localSheetId="11" hidden="1">{#N/A,#N/A,FALSE,"MO (2)"}</definedName>
    <definedName name="SSS_1" localSheetId="9" hidden="1">{#N/A,#N/A,FALSE,"MO (2)"}</definedName>
    <definedName name="SSS_1" localSheetId="10" hidden="1">{#N/A,#N/A,FALSE,"MO (2)"}</definedName>
    <definedName name="SSS_1" localSheetId="8" hidden="1">{#N/A,#N/A,FALSE,"MO (2)"}</definedName>
    <definedName name="SSS_1" localSheetId="7" hidden="1">{#N/A,#N/A,FALSE,"MO (2)"}</definedName>
    <definedName name="SSS_1" localSheetId="34" hidden="1">{#N/A,#N/A,FALSE,"MO (2)"}</definedName>
    <definedName name="SSS_1" localSheetId="44" hidden="1">{#N/A,#N/A,FALSE,"MO (2)"}</definedName>
    <definedName name="SSS_1" localSheetId="43" hidden="1">{#N/A,#N/A,FALSE,"MO (2)"}</definedName>
    <definedName name="SSS_1" localSheetId="42" hidden="1">{#N/A,#N/A,FALSE,"MO (2)"}</definedName>
    <definedName name="SSS_1" localSheetId="21" hidden="1">{#N/A,#N/A,FALSE,"MO (2)"}</definedName>
    <definedName name="SSS_1" localSheetId="17" hidden="1">{#N/A,#N/A,FALSE,"MO (2)"}</definedName>
    <definedName name="SSS_1" localSheetId="1" hidden="1">{#N/A,#N/A,FALSE,"MO (2)"}</definedName>
    <definedName name="SSS_1" localSheetId="16" hidden="1">{#N/A,#N/A,FALSE,"MO (2)"}</definedName>
    <definedName name="SSS_1" localSheetId="26" hidden="1">{#N/A,#N/A,FALSE,"MO (2)"}</definedName>
    <definedName name="SSS_1" localSheetId="13" hidden="1">{#N/A,#N/A,FALSE,"MO (2)"}</definedName>
    <definedName name="SSS_1" localSheetId="15" hidden="1">{#N/A,#N/A,FALSE,"MO (2)"}</definedName>
    <definedName name="SSS_1" localSheetId="33" hidden="1">{#N/A,#N/A,FALSE,"MO (2)"}</definedName>
    <definedName name="SSS_1" hidden="1">{#N/A,#N/A,FALSE,"MO (2)"}</definedName>
    <definedName name="sssss" localSheetId="11">#REF!</definedName>
    <definedName name="sssss" localSheetId="7">#REF!</definedName>
    <definedName name="sssss" localSheetId="21">#REF!</definedName>
    <definedName name="sssss" localSheetId="15">#REF!</definedName>
    <definedName name="sssss">#REF!</definedName>
    <definedName name="sssssssssssssssssssss" localSheetId="11" hidden="1">{#N/A,#N/A,TRUE,"Plan1"}</definedName>
    <definedName name="sssssssssssssssssssss" localSheetId="9" hidden="1">{#N/A,#N/A,TRUE,"Plan1"}</definedName>
    <definedName name="sssssssssssssssssssss" localSheetId="10" hidden="1">{#N/A,#N/A,TRUE,"Plan1"}</definedName>
    <definedName name="sssssssssssssssssssss" localSheetId="8" hidden="1">{#N/A,#N/A,TRUE,"Plan1"}</definedName>
    <definedName name="sssssssssssssssssssss" localSheetId="7" hidden="1">{#N/A,#N/A,TRUE,"Plan1"}</definedName>
    <definedName name="sssssssssssssssssssss" localSheetId="34" hidden="1">{#N/A,#N/A,TRUE,"Plan1"}</definedName>
    <definedName name="sssssssssssssssssssss" localSheetId="44" hidden="1">{#N/A,#N/A,TRUE,"Plan1"}</definedName>
    <definedName name="sssssssssssssssssssss" localSheetId="43" hidden="1">{#N/A,#N/A,TRUE,"Plan1"}</definedName>
    <definedName name="sssssssssssssssssssss" localSheetId="42" hidden="1">{#N/A,#N/A,TRUE,"Plan1"}</definedName>
    <definedName name="sssssssssssssssssssss" localSheetId="21" hidden="1">{#N/A,#N/A,TRUE,"Plan1"}</definedName>
    <definedName name="sssssssssssssssssssss" localSheetId="15" hidden="1">{#N/A,#N/A,TRUE,"Plan1"}</definedName>
    <definedName name="sssssssssssssssssssss" hidden="1">{#N/A,#N/A,TRUE,"Plan1"}</definedName>
    <definedName name="ST">'[16]SERVIÇOS digitado'!#REF!</definedName>
    <definedName name="STR">[44]ORÇAMENTO!$B$6</definedName>
    <definedName name="STR_13">[44]ORÇAMENTO!$B$6</definedName>
    <definedName name="STR_39">[44]ORÇAMENTO!$B$6</definedName>
    <definedName name="STR_6">[44]ORÇAMENTO!$B$6</definedName>
    <definedName name="SUB" localSheetId="11">[13]DADOS!$B$4</definedName>
    <definedName name="SUB" localSheetId="7">[13]DADOS!$B$4</definedName>
    <definedName name="SUB">[13]DADOS!$B$4</definedName>
    <definedName name="SUB_TRECHO" localSheetId="11">#REF!</definedName>
    <definedName name="SUB_TRECHO" localSheetId="7">#REF!</definedName>
    <definedName name="SUB_TRECHO" localSheetId="21">#REF!</definedName>
    <definedName name="SUB_TRECHO" localSheetId="15">#REF!</definedName>
    <definedName name="SUB_TRECHO">#REF!</definedName>
    <definedName name="Subt" localSheetId="11">#REF!</definedName>
    <definedName name="Subt" localSheetId="7">#REF!</definedName>
    <definedName name="Subt" localSheetId="21">#REF!</definedName>
    <definedName name="Subt" localSheetId="15">#REF!</definedName>
    <definedName name="Subt">#REF!</definedName>
    <definedName name="SUBT1">"$#REF!.$B$#REF!"</definedName>
    <definedName name="subtrec" localSheetId="11">#REF!</definedName>
    <definedName name="subtrec" localSheetId="7">#REF!</definedName>
    <definedName name="subtrec" localSheetId="21">#REF!</definedName>
    <definedName name="subtrec" localSheetId="15">#REF!</definedName>
    <definedName name="subtrec">#REF!</definedName>
    <definedName name="subtrech" localSheetId="11">#REF!</definedName>
    <definedName name="subtrech" localSheetId="7">#REF!</definedName>
    <definedName name="subtrech" localSheetId="21">#REF!</definedName>
    <definedName name="subtrech" localSheetId="15">#REF!</definedName>
    <definedName name="subtrech">#REF!</definedName>
    <definedName name="subtrecho" localSheetId="11">#REF!</definedName>
    <definedName name="subtrecho" localSheetId="7">#REF!</definedName>
    <definedName name="subtrecho" localSheetId="21">#REF!</definedName>
    <definedName name="subtrecho" localSheetId="15">#REF!</definedName>
    <definedName name="subtrecho">#REF!</definedName>
    <definedName name="SUBTRECHO1">[43]Croqui!$B$6</definedName>
    <definedName name="SUP_MAR94" localSheetId="11">#REF!</definedName>
    <definedName name="SUP_MAR94" localSheetId="7">#REF!</definedName>
    <definedName name="SUP_MAR94" localSheetId="21">#REF!</definedName>
    <definedName name="SUP_MAR94" localSheetId="15">#REF!</definedName>
    <definedName name="SUP_MAR94">#REF!</definedName>
    <definedName name="superstrutura" localSheetId="11">#REF!</definedName>
    <definedName name="superstrutura" localSheetId="7">#REF!</definedName>
    <definedName name="superstrutura" localSheetId="21">#REF!</definedName>
    <definedName name="superstrutura" localSheetId="15">#REF!</definedName>
    <definedName name="superstrutura">#REF!</definedName>
    <definedName name="svsicro2" localSheetId="11">[73]SICRO!$B$8:$E$111</definedName>
    <definedName name="svsicro2" localSheetId="7">[73]SICRO!$B$8:$E$111</definedName>
    <definedName name="svsicro2">[73]SICRO!$B$8:$E$111</definedName>
    <definedName name="T" localSheetId="11">#REF!</definedName>
    <definedName name="T" localSheetId="7">#REF!</definedName>
    <definedName name="T" localSheetId="21">#REF!</definedName>
    <definedName name="T" localSheetId="15">#REF!</definedName>
    <definedName name="T">#REF!</definedName>
    <definedName name="T_25">#N/A</definedName>
    <definedName name="TA" localSheetId="11">#REF!</definedName>
    <definedName name="TA" localSheetId="7">#REF!</definedName>
    <definedName name="TA" localSheetId="21">#REF!</definedName>
    <definedName name="TA" localSheetId="15">#REF!</definedName>
    <definedName name="TA">#REF!</definedName>
    <definedName name="Tab_Serv." localSheetId="11">#REF!</definedName>
    <definedName name="Tab_Serv." localSheetId="7">#REF!</definedName>
    <definedName name="Tab_Serv." localSheetId="21">#REF!</definedName>
    <definedName name="Tab_Serv." localSheetId="15">#REF!</definedName>
    <definedName name="Tab_Serv.">#REF!</definedName>
    <definedName name="Tab_Serviços" localSheetId="11">#REF!</definedName>
    <definedName name="Tab_Serviços" localSheetId="7">#REF!</definedName>
    <definedName name="Tab_Serviços" localSheetId="21">#REF!</definedName>
    <definedName name="Tab_Serviços" localSheetId="15">#REF!</definedName>
    <definedName name="Tab_Serviços">#REF!</definedName>
    <definedName name="tabela" localSheetId="11">#REF!</definedName>
    <definedName name="tabela" localSheetId="7">#REF!</definedName>
    <definedName name="tabela" localSheetId="21">#REF!</definedName>
    <definedName name="tabela" localSheetId="15">#REF!</definedName>
    <definedName name="tabela">#REF!</definedName>
    <definedName name="tabela_de_mão_de_obra">[3]RELATÓRIO!$A$2:$C$16</definedName>
    <definedName name="tabela_de_materiais">[3]RELATÓRIO!$A$1:$D$188</definedName>
    <definedName name="TABELA1" localSheetId="11">#REF!</definedName>
    <definedName name="TABELA1" localSheetId="7">#REF!</definedName>
    <definedName name="TABELA1" localSheetId="21">#REF!</definedName>
    <definedName name="TABELA1" localSheetId="15">#REF!</definedName>
    <definedName name="TABELA1">#REF!</definedName>
    <definedName name="TabelaConsol" localSheetId="11">#REF!</definedName>
    <definedName name="TabelaConsol" localSheetId="7">#REF!</definedName>
    <definedName name="TabelaConsol" localSheetId="21">#REF!</definedName>
    <definedName name="TabelaConsol" localSheetId="15">#REF!</definedName>
    <definedName name="TabelaConsol">#REF!</definedName>
    <definedName name="TabelaDistribuiçãoDeMassas" localSheetId="11">#REF!</definedName>
    <definedName name="TabelaDistribuiçãoDeMassas" localSheetId="7">#REF!</definedName>
    <definedName name="TabelaDistribuiçãoDeMassas" localSheetId="21">#REF!</definedName>
    <definedName name="TabelaDistribuiçãoDeMassas" localSheetId="15">#REF!</definedName>
    <definedName name="TabelaDistribuiçãoDeMassas">#REF!</definedName>
    <definedName name="TabelaSicro" localSheetId="11">#REF!</definedName>
    <definedName name="TabelaSicro" localSheetId="7">#REF!</definedName>
    <definedName name="TabelaSicro" localSheetId="21">#REF!</definedName>
    <definedName name="TabelaSicro" localSheetId="15">#REF!</definedName>
    <definedName name="TabelaSicro">#REF!</definedName>
    <definedName name="TABUA" localSheetId="11">[13]DADOS!$C$20</definedName>
    <definedName name="TABUA" localSheetId="7">[13]DADOS!$C$20</definedName>
    <definedName name="TABUA">[13]DADOS!$C$20</definedName>
    <definedName name="Tachas" localSheetId="11" hidden="1">{#N/A,#N/A,TRUE,"Plan1"}</definedName>
    <definedName name="Tachas" localSheetId="9" hidden="1">{#N/A,#N/A,TRUE,"Plan1"}</definedName>
    <definedName name="Tachas" localSheetId="10" hidden="1">{#N/A,#N/A,TRUE,"Plan1"}</definedName>
    <definedName name="Tachas" localSheetId="8" hidden="1">{#N/A,#N/A,TRUE,"Plan1"}</definedName>
    <definedName name="Tachas" localSheetId="7" hidden="1">{#N/A,#N/A,TRUE,"Plan1"}</definedName>
    <definedName name="Tachas" localSheetId="34" hidden="1">{#N/A,#N/A,TRUE,"Plan1"}</definedName>
    <definedName name="Tachas" localSheetId="44" hidden="1">{#N/A,#N/A,TRUE,"Plan1"}</definedName>
    <definedName name="Tachas" localSheetId="43" hidden="1">{#N/A,#N/A,TRUE,"Plan1"}</definedName>
    <definedName name="Tachas" localSheetId="42" hidden="1">{#N/A,#N/A,TRUE,"Plan1"}</definedName>
    <definedName name="Tachas" localSheetId="21" hidden="1">{#N/A,#N/A,TRUE,"Plan1"}</definedName>
    <definedName name="Tachas" localSheetId="15" hidden="1">{#N/A,#N/A,TRUE,"Plan1"}</definedName>
    <definedName name="Tachas" hidden="1">{#N/A,#N/A,TRUE,"Plan1"}</definedName>
    <definedName name="tachinhas" localSheetId="11">#REF!</definedName>
    <definedName name="tachinhas" localSheetId="7">#REF!</definedName>
    <definedName name="tachinhas" localSheetId="21">#REF!</definedName>
    <definedName name="tachinhas" localSheetId="15">#REF!</definedName>
    <definedName name="tachinhas">#REF!</definedName>
    <definedName name="tachões" localSheetId="11">#REF!</definedName>
    <definedName name="tachões" localSheetId="7">#REF!</definedName>
    <definedName name="tachões" localSheetId="21">#REF!</definedName>
    <definedName name="tachões" localSheetId="15">#REF!</definedName>
    <definedName name="tachões">#REF!</definedName>
    <definedName name="Tanque_lavar_roupa" localSheetId="11">#REF!</definedName>
    <definedName name="Tanque_lavar_roupa" localSheetId="7">#REF!</definedName>
    <definedName name="Tanque_lavar_roupa" localSheetId="21">#REF!</definedName>
    <definedName name="Tanque_lavar_roupa" localSheetId="15">#REF!</definedName>
    <definedName name="Tanque_lavar_roupa">#REF!</definedName>
    <definedName name="Tanque_premoldado" localSheetId="11">#REF!</definedName>
    <definedName name="Tanque_premoldado" localSheetId="7">#REF!</definedName>
    <definedName name="Tanque_premoldado" localSheetId="21">#REF!</definedName>
    <definedName name="Tanque_premoldado" localSheetId="15">#REF!</definedName>
    <definedName name="Tanque_premoldado">#REF!</definedName>
    <definedName name="taxa_cap" localSheetId="11">#REF!</definedName>
    <definedName name="taxa_cap" localSheetId="7">#REF!</definedName>
    <definedName name="taxa_cap" localSheetId="21">#REF!</definedName>
    <definedName name="taxa_cap" localSheetId="15">#REF!</definedName>
    <definedName name="taxa_cap">#REF!</definedName>
    <definedName name="TaxaJuros" localSheetId="11">#REF!</definedName>
    <definedName name="TaxaJuros" localSheetId="7">#REF!</definedName>
    <definedName name="TaxaJuros" localSheetId="21">#REF!</definedName>
    <definedName name="TaxaJuros" localSheetId="15">#REF!</definedName>
    <definedName name="TaxaJuros">#REF!</definedName>
    <definedName name="TB" localSheetId="11">#REF!</definedName>
    <definedName name="TB" localSheetId="7">#REF!</definedName>
    <definedName name="TB" localSheetId="21">#REF!</definedName>
    <definedName name="TB" localSheetId="15">#REF!</definedName>
    <definedName name="TB">#REF!</definedName>
    <definedName name="TB_13">[44]SERVIÇOS!$G$11</definedName>
    <definedName name="TB_39">[44]SERVIÇOS!$G$11</definedName>
    <definedName name="TB_6">[44]SERVIÇOS!$G$11</definedName>
    <definedName name="TBA" localSheetId="21">'[16]SERVIÇOS digitado'!#REF!</definedName>
    <definedName name="TBA">'[16]SERVIÇOS digitado'!#REF!</definedName>
    <definedName name="TBT" localSheetId="21">'[16]SERVIÇOS digitado'!#REF!</definedName>
    <definedName name="TBT">'[16]SERVIÇOS digitado'!#REF!</definedName>
    <definedName name="TBW">"$#REF!.$E$33"</definedName>
    <definedName name="TBWA">"$#REF!.$E$32"</definedName>
    <definedName name="TCAP50">'[24]Mat. Bet.'!$E$22</definedName>
    <definedName name="TCAP50SJ">'[24]Mat. Bet.'!$E$24</definedName>
    <definedName name="TCB">"$#REF!.$G$31"</definedName>
    <definedName name="TCB10M3">"$#REF!.$K$#REF!"</definedName>
    <definedName name="TCB5M3">"$#REF!.$J$32"</definedName>
    <definedName name="TCBMBUQ">"$#REF!.$K$32"</definedName>
    <definedName name="TCBW">"$#REF!.$G$33"</definedName>
    <definedName name="TCBWA">"$#REF!.$G$32"</definedName>
    <definedName name="TCC">"$#REF!.$G$44"</definedName>
    <definedName name="TCC4T" localSheetId="11">#REF!</definedName>
    <definedName name="TCC4T" localSheetId="7">#REF!</definedName>
    <definedName name="TCC4T" localSheetId="21">#REF!</definedName>
    <definedName name="TCC4T" localSheetId="15">#REF!</definedName>
    <definedName name="TCC4T">#REF!</definedName>
    <definedName name="TCC4TCONCR">"$#REF!.$I$32"</definedName>
    <definedName name="TCC4TFORMA">"$#REF!.$H$31"</definedName>
    <definedName name="TCCBRMZ">"$#REF!.$M$28"</definedName>
    <definedName name="TCCW">"$#REF!.$G$46"</definedName>
    <definedName name="TCCWA">"$#REF!.$G$45"</definedName>
    <definedName name="TCM30SJ">'[24]Mat. Bet.'!$F$27</definedName>
    <definedName name="TD" localSheetId="11">#REF!</definedName>
    <definedName name="TD" localSheetId="7">#REF!</definedName>
    <definedName name="TD" localSheetId="21">#REF!</definedName>
    <definedName name="TD" localSheetId="15">#REF!</definedName>
    <definedName name="TD">#REF!</definedName>
    <definedName name="TE" localSheetId="11">#REF!</definedName>
    <definedName name="TE" localSheetId="7">#REF!</definedName>
    <definedName name="TE" localSheetId="21">#REF!</definedName>
    <definedName name="TE" localSheetId="15">#REF!</definedName>
    <definedName name="TE">#REF!</definedName>
    <definedName name="TEA" localSheetId="11">#REF!</definedName>
    <definedName name="TEA" localSheetId="7">#REF!</definedName>
    <definedName name="TEA" localSheetId="21">#REF!</definedName>
    <definedName name="TEA" localSheetId="15">#REF!</definedName>
    <definedName name="TEA">#REF!</definedName>
    <definedName name="TEB">"$#REF!.$G$16"</definedName>
    <definedName name="TEBW">"$#REF!.$G$18"</definedName>
    <definedName name="TEBWA">"$#REF!.$G$17"</definedName>
    <definedName name="TECD">"$#REF!.$K$39"</definedName>
    <definedName name="TECD97">"$#REF!.$K$80"</definedName>
    <definedName name="TEMULFLEX">'[24]Mat. Bet.'!$F$39</definedName>
    <definedName name="TEMULFLEXCG">'[24]Mat. Bet.'!$F$40</definedName>
    <definedName name="Teor">[89]Teor!$A$3:$A$7</definedName>
    <definedName name="Teor_25">[89]Teor!$A$3:$A$7</definedName>
    <definedName name="Teor_29">[89]Teor!$A$3:$A$7</definedName>
    <definedName name="Teor_31">[89]Teor!$A$3:$A$7</definedName>
    <definedName name="Teor1">'[8]Página 16'!$A$3:$A$7</definedName>
    <definedName name="ter" localSheetId="11">#REF!</definedName>
    <definedName name="ter" localSheetId="7">#REF!</definedName>
    <definedName name="ter" localSheetId="21">#REF!</definedName>
    <definedName name="ter" localSheetId="15">#REF!</definedName>
    <definedName name="ter">#REF!</definedName>
    <definedName name="TER_MAR94" localSheetId="11">#REF!</definedName>
    <definedName name="TER_MAR94" localSheetId="7">#REF!</definedName>
    <definedName name="TER_MAR94" localSheetId="21">#REF!</definedName>
    <definedName name="TER_MAR94" localSheetId="15">#REF!</definedName>
    <definedName name="TER_MAR94">#REF!</definedName>
    <definedName name="TERFAIXALD" localSheetId="11">#REF!</definedName>
    <definedName name="TERFAIXALD" localSheetId="7">#REF!</definedName>
    <definedName name="TERFAIXALD" localSheetId="21">#REF!</definedName>
    <definedName name="TERFAIXALD" localSheetId="15">#REF!</definedName>
    <definedName name="TERFAIXALD">#REF!</definedName>
    <definedName name="TERFAIXALE" localSheetId="11">#REF!</definedName>
    <definedName name="TERFAIXALE" localSheetId="7">#REF!</definedName>
    <definedName name="TERFAIXALE" localSheetId="21">#REF!</definedName>
    <definedName name="TERFAIXALE" localSheetId="15">#REF!</definedName>
    <definedName name="TERFAIXALE">#REF!</definedName>
    <definedName name="TERP">"$#REF!.$P$34"</definedName>
    <definedName name="terra" localSheetId="11">#REF!</definedName>
    <definedName name="terra" localSheetId="7">#REF!</definedName>
    <definedName name="terra" localSheetId="21">#REF!</definedName>
    <definedName name="terra" localSheetId="15">#REF!</definedName>
    <definedName name="terra">#REF!</definedName>
    <definedName name="Terra2" localSheetId="11">#REF!</definedName>
    <definedName name="Terra2" localSheetId="7">#REF!</definedName>
    <definedName name="Terra2" localSheetId="21">#REF!</definedName>
    <definedName name="Terra2" localSheetId="15">#REF!</definedName>
    <definedName name="Terra2">#REF!</definedName>
    <definedName name="terraplenagem" localSheetId="11">#REF!</definedName>
    <definedName name="terraplenagem" localSheetId="7">#REF!</definedName>
    <definedName name="terraplenagem" localSheetId="21">#REF!</definedName>
    <definedName name="terraplenagem" localSheetId="15">#REF!</definedName>
    <definedName name="terraplenagem">#REF!</definedName>
    <definedName name="TES" localSheetId="11">'[85]8ª MP_BR-459'!#REF!</definedName>
    <definedName name="TES" localSheetId="7">'[85]8ª MP_BR-459'!#REF!</definedName>
    <definedName name="TES" localSheetId="21">'[85]8ª MP_BR-459'!#REF!</definedName>
    <definedName name="TES" localSheetId="15">'[85]8ª MP_BR-459'!#REF!</definedName>
    <definedName name="TES">'[85]8ª MP_BR-459'!#REF!</definedName>
    <definedName name="TESM">"$#REF!.$Q$34"</definedName>
    <definedName name="teste" localSheetId="11">#REF!</definedName>
    <definedName name="teste" localSheetId="7">#REF!</definedName>
    <definedName name="teste" localSheetId="21">#REF!</definedName>
    <definedName name="teste" localSheetId="15">#REF!</definedName>
    <definedName name="teste">#REF!</definedName>
    <definedName name="teste1" localSheetId="11">#REF!</definedName>
    <definedName name="teste1" localSheetId="7">#REF!</definedName>
    <definedName name="teste1" localSheetId="21">#REF!</definedName>
    <definedName name="teste1" localSheetId="15">#REF!</definedName>
    <definedName name="teste1">#REF!</definedName>
    <definedName name="teste2" localSheetId="11">#REF!</definedName>
    <definedName name="teste2" localSheetId="7">#REF!</definedName>
    <definedName name="teste2" localSheetId="21">#REF!</definedName>
    <definedName name="teste2" localSheetId="15">#REF!</definedName>
    <definedName name="teste2">#REF!</definedName>
    <definedName name="teste237" localSheetId="11">#REF!</definedName>
    <definedName name="teste237" localSheetId="7">#REF!</definedName>
    <definedName name="teste237" localSheetId="21">#REF!</definedName>
    <definedName name="teste237" localSheetId="15">#REF!</definedName>
    <definedName name="teste237">#REF!</definedName>
    <definedName name="teste3" localSheetId="11">#REF!</definedName>
    <definedName name="teste3" localSheetId="7">#REF!</definedName>
    <definedName name="teste3" localSheetId="21">#REF!</definedName>
    <definedName name="teste3" localSheetId="15">#REF!</definedName>
    <definedName name="teste3">#REF!</definedName>
    <definedName name="TETB">"$#REF!.$H$30"</definedName>
    <definedName name="TETB97">"$#REF!.$H$70"</definedName>
    <definedName name="TF" localSheetId="11">#REF!</definedName>
    <definedName name="TF" localSheetId="7">#REF!</definedName>
    <definedName name="TF" localSheetId="21">#REF!</definedName>
    <definedName name="TF" localSheetId="15">#REF!</definedName>
    <definedName name="TF">#REF!</definedName>
    <definedName name="tiago" localSheetId="11">#REF!</definedName>
    <definedName name="tiago" localSheetId="7">#REF!</definedName>
    <definedName name="tiago" localSheetId="21">#REF!</definedName>
    <definedName name="tiago" localSheetId="15">#REF!</definedName>
    <definedName name="tiago">#REF!</definedName>
    <definedName name="TIPOORCAMENTO" localSheetId="11" hidden="1">IF(VALUE(#REF!)=2,"Licitado","Proposto")</definedName>
    <definedName name="TIPOORCAMENTO" localSheetId="7" hidden="1">IF(VALUE(#REF!)=2,"Licitado","Proposto")</definedName>
    <definedName name="TIPOORCAMENTO" localSheetId="15" hidden="1">IF(VALUE(#REF!)=2,"Licitado","Proposto")</definedName>
    <definedName name="TIPOORCAMENTO" hidden="1">IF(VALUE(#REF!)=2,"Licitado","Proposto")</definedName>
    <definedName name="_xlnm.Print_Titles" localSheetId="38">CALÇADA!$1:$4</definedName>
    <definedName name="_xlnm.Print_Titles" localSheetId="44">'DREN. MEM. CAL.'!$2:$2</definedName>
    <definedName name="_xlnm.Print_Titles" localSheetId="43">'DREN. REDE'!$1:$3</definedName>
    <definedName name="_xlnm.Print_Titles" localSheetId="42">'DREN. SARJETA'!$1:$3</definedName>
    <definedName name="_xlnm.Print_Titles" localSheetId="41">'MEIO-FIO E SARJETA'!$2:$5</definedName>
    <definedName name="_xlnm.Print_Titles" localSheetId="17">'ORÇ. MATERIAL'!$1:$8</definedName>
    <definedName name="_xlnm.Print_Titles" localSheetId="1">'ORÇ. ÓLEO DIESEL'!$1:$7</definedName>
    <definedName name="_xlnm.Print_Titles" localSheetId="16">'ORÇAMENTO - GERAL'!$1:$7</definedName>
    <definedName name="_xlnm.Print_Titles" localSheetId="26">'ORÇAMENTO - ORIENTATIVO'!$1:$7</definedName>
    <definedName name="_xlnm.Print_Titles" localSheetId="13">'ORÇAMENTO RESUMO NAO DESONERADO'!$1:$7</definedName>
    <definedName name="_xlnm.Print_Titles" localSheetId="36">PAVIMENTO!$2:$4</definedName>
    <definedName name="_xlnm.Print_Titles" localSheetId="15">'RESUMO MATERIAIS FINAL'!$1:$2</definedName>
    <definedName name="_xlnm.Print_Titles" localSheetId="32">RUAS!$2:$4</definedName>
    <definedName name="_xlnm.Print_Titles" localSheetId="31">'SIN. HORIZONTAL '!$1:$1</definedName>
    <definedName name="_xlnm.Print_Titles" localSheetId="28">'SIN. VERTICAL'!$1:$3</definedName>
    <definedName name="_xlnm.Print_Titles" localSheetId="37">'SUBLEITO-BASE-SUB.'!$2:$5</definedName>
    <definedName name="_xlnm.Print_Titles" localSheetId="33">TERRAPLENAGEM!$2:$5</definedName>
    <definedName name="_xlnm.Print_Titles" localSheetId="18">'TRANSP. DRENAGEM'!$2:$2</definedName>
    <definedName name="_xlnm.Print_Titles" localSheetId="35">'TRANSP. MAT.PAV'!$2:$2</definedName>
    <definedName name="_xlnm.Print_Titles" localSheetId="40">'TRANSP.PASSEIO '!$2:$2</definedName>
    <definedName name="TLC4T">"$#REF!.$K$#REF!"</definedName>
    <definedName name="TLMB">[16]TLMB!$I$29</definedName>
    <definedName name="TLMR">"$#REF!.$K$#REF!"</definedName>
    <definedName name="tmat" localSheetId="21">[3]RELATÓRIO!#REF!</definedName>
    <definedName name="tmat">[3]RELATÓRIO!#REF!</definedName>
    <definedName name="TOT" localSheetId="2" hidden="1">#REF!</definedName>
    <definedName name="TOT" localSheetId="3" hidden="1">#REF!</definedName>
    <definedName name="TOT" localSheetId="11" hidden="1">#REF!</definedName>
    <definedName name="TOT" localSheetId="9" hidden="1">#REF!</definedName>
    <definedName name="TOT" localSheetId="10" hidden="1">#REF!</definedName>
    <definedName name="TOT" localSheetId="8" hidden="1">#REF!</definedName>
    <definedName name="TOT" localSheetId="5" hidden="1">#REF!</definedName>
    <definedName name="TOT" localSheetId="6" hidden="1">#REF!</definedName>
    <definedName name="TOT" localSheetId="30" hidden="1">#REF!</definedName>
    <definedName name="TOT" localSheetId="7" hidden="1">#REF!</definedName>
    <definedName name="TOT" localSheetId="34" hidden="1">#REF!</definedName>
    <definedName name="TOT" localSheetId="44" hidden="1">#REF!</definedName>
    <definedName name="TOT" localSheetId="43" hidden="1">#REF!</definedName>
    <definedName name="TOT" localSheetId="42" hidden="1">#REF!</definedName>
    <definedName name="TOT" localSheetId="21" hidden="1">#REF!</definedName>
    <definedName name="TOT" localSheetId="39" hidden="1">#REF!</definedName>
    <definedName name="TOT" localSheetId="15" hidden="1">#REF!</definedName>
    <definedName name="TOT" localSheetId="31" hidden="1">#REF!</definedName>
    <definedName name="TOT" localSheetId="28" hidden="1">#REF!</definedName>
    <definedName name="TOT" hidden="1">#REF!</definedName>
    <definedName name="tota">'[102]Quadro de qntd'!$J$60</definedName>
    <definedName name="TOTAL" localSheetId="11">#REF!</definedName>
    <definedName name="TOTAL" localSheetId="7">#REF!</definedName>
    <definedName name="TOTAL" localSheetId="21">#REF!</definedName>
    <definedName name="TOTAL" localSheetId="15">#REF!</definedName>
    <definedName name="TOTAL">#REF!</definedName>
    <definedName name="TOTAL_GERAL" localSheetId="11">#REF!</definedName>
    <definedName name="TOTAL_GERAL" localSheetId="7">#REF!</definedName>
    <definedName name="TOTAL_GERAL" localSheetId="21">#REF!</definedName>
    <definedName name="TOTAL_GERAL" localSheetId="15">#REF!</definedName>
    <definedName name="TOTAL_GERAL">#REF!</definedName>
    <definedName name="TOTAL_RESUMO" localSheetId="11">#REF!</definedName>
    <definedName name="TOTAL_RESUMO" localSheetId="7">#REF!</definedName>
    <definedName name="TOTAL_RESUMO" localSheetId="21">#REF!</definedName>
    <definedName name="TOTAL_RESUMO" localSheetId="15">#REF!</definedName>
    <definedName name="TOTAL_RESUMO">#REF!</definedName>
    <definedName name="total1">'[102]CURVA ABC'!$M$48</definedName>
    <definedName name="TotalEventos" localSheetId="11">SUM(TotalPorEvento)</definedName>
    <definedName name="TotalEventos" localSheetId="7">SUM([0]!TotalPorEvento)</definedName>
    <definedName name="TotalEventos" localSheetId="21">SUM(EQUIPAMENTOS!TotalPorEvento)</definedName>
    <definedName name="TotalEventos" localSheetId="15">SUM([80]!TotalPorEvento)</definedName>
    <definedName name="TotalEventos">SUM(TotalPorEvento)</definedName>
    <definedName name="totalob">'[103]Quadro de qntd'!$J$61</definedName>
    <definedName name="TotalPorEvento" localSheetId="21">#REF!:OFFSET(#REF!,-1,0)</definedName>
    <definedName name="TotalPorEvento">#REF!:OFFSET(#REF!,-1,0)</definedName>
    <definedName name="TOTALSAIBRO" localSheetId="11">#REF!</definedName>
    <definedName name="TOTALSAIBRO" localSheetId="7">#REF!</definedName>
    <definedName name="TOTALSAIBRO" localSheetId="21">#REF!</definedName>
    <definedName name="TOTALSAIBRO" localSheetId="15">#REF!</definedName>
    <definedName name="TOTALSAIBRO">#REF!</definedName>
    <definedName name="totcro">'[102]Cronograma FIS FINANC'!$K$20</definedName>
    <definedName name="totee_3" localSheetId="11">#REF!</definedName>
    <definedName name="totee_3" localSheetId="7">#REF!</definedName>
    <definedName name="totee_3" localSheetId="21">#REF!</definedName>
    <definedName name="totee_3" localSheetId="15">#REF!</definedName>
    <definedName name="totee_3">#REF!</definedName>
    <definedName name="totee1" localSheetId="11">#REF!</definedName>
    <definedName name="totee1" localSheetId="7">#REF!</definedName>
    <definedName name="totee1" localSheetId="21">#REF!</definedName>
    <definedName name="totee1" localSheetId="15">#REF!</definedName>
    <definedName name="totee1">#REF!</definedName>
    <definedName name="totee2" localSheetId="11">#REF!</definedName>
    <definedName name="totee2" localSheetId="7">#REF!</definedName>
    <definedName name="totee2" localSheetId="21">#REF!</definedName>
    <definedName name="totee2" localSheetId="15">#REF!</definedName>
    <definedName name="totee2">#REF!</definedName>
    <definedName name="TOTMAT_EE1" localSheetId="11">#REF!</definedName>
    <definedName name="TOTMAT_EE1" localSheetId="7">#REF!</definedName>
    <definedName name="TOTMAT_EE1" localSheetId="21">#REF!</definedName>
    <definedName name="TOTMAT_EE1" localSheetId="15">#REF!</definedName>
    <definedName name="TOTMAT_EE1">#REF!</definedName>
    <definedName name="TOTMAT_EE2" localSheetId="11">#REF!</definedName>
    <definedName name="TOTMAT_EE2" localSheetId="7">#REF!</definedName>
    <definedName name="TOTMAT_EE2" localSheetId="21">#REF!</definedName>
    <definedName name="TOTMAT_EE2" localSheetId="15">#REF!</definedName>
    <definedName name="TOTMAT_EE2">#REF!</definedName>
    <definedName name="TOTMAT_EE3" localSheetId="11">#REF!</definedName>
    <definedName name="TOTMAT_EE3" localSheetId="7">#REF!</definedName>
    <definedName name="TOTMAT_EE3" localSheetId="21">#REF!</definedName>
    <definedName name="TOTMAT_EE3" localSheetId="15">#REF!</definedName>
    <definedName name="TOTMAT_EE3">#REF!</definedName>
    <definedName name="totmsa" localSheetId="11">#REF!</definedName>
    <definedName name="totmsa" localSheetId="7">#REF!</definedName>
    <definedName name="totmsa" localSheetId="21">#REF!</definedName>
    <definedName name="totmsa" localSheetId="15">#REF!</definedName>
    <definedName name="totmsa">#REF!</definedName>
    <definedName name="totmsa2" localSheetId="11">#REF!</definedName>
    <definedName name="totmsa2" localSheetId="7">#REF!</definedName>
    <definedName name="totmsa2" localSheetId="21">#REF!</definedName>
    <definedName name="totmsa2" localSheetId="15">#REF!</definedName>
    <definedName name="totmsa2">#REF!</definedName>
    <definedName name="TOTSER_EE1" localSheetId="11">#REF!</definedName>
    <definedName name="TOTSER_EE1" localSheetId="7">#REF!</definedName>
    <definedName name="TOTSER_EE1" localSheetId="21">#REF!</definedName>
    <definedName name="TOTSER_EE1" localSheetId="15">#REF!</definedName>
    <definedName name="TOTSER_EE1">#REF!</definedName>
    <definedName name="TOTSER_EE2" localSheetId="11">#REF!</definedName>
    <definedName name="TOTSER_EE2" localSheetId="7">#REF!</definedName>
    <definedName name="TOTSER_EE2" localSheetId="21">#REF!</definedName>
    <definedName name="TOTSER_EE2" localSheetId="15">#REF!</definedName>
    <definedName name="TOTSER_EE2">#REF!</definedName>
    <definedName name="TOTSER_EE3" localSheetId="11">#REF!</definedName>
    <definedName name="TOTSER_EE3" localSheetId="7">#REF!</definedName>
    <definedName name="TOTSER_EE3" localSheetId="21">#REF!</definedName>
    <definedName name="TOTSER_EE3" localSheetId="15">#REF!</definedName>
    <definedName name="TOTSER_EE3">#REF!</definedName>
    <definedName name="totsma" localSheetId="11">#REF!</definedName>
    <definedName name="totsma" localSheetId="7">#REF!</definedName>
    <definedName name="totsma" localSheetId="21">#REF!</definedName>
    <definedName name="totsma" localSheetId="15">#REF!</definedName>
    <definedName name="totsma">#REF!</definedName>
    <definedName name="TPM" localSheetId="11">#REF!</definedName>
    <definedName name="TPM" localSheetId="7">#REF!</definedName>
    <definedName name="TPM" localSheetId="21">#REF!</definedName>
    <definedName name="TPM" localSheetId="15">#REF!</definedName>
    <definedName name="TPM">#REF!</definedName>
    <definedName name="TPM_25" localSheetId="11">#REF!</definedName>
    <definedName name="TPM_25" localSheetId="7">#REF!</definedName>
    <definedName name="TPM_25" localSheetId="21">#REF!</definedName>
    <definedName name="TPM_25" localSheetId="15">#REF!</definedName>
    <definedName name="TPM_25">#REF!</definedName>
    <definedName name="TPTE_FRIO">'[104]Mat. Betum. - Port. 1078.15'!$L$49</definedName>
    <definedName name="TPTE_QUENTE">'[104]Mat. Betum. - Port. 1078.15'!$E$49</definedName>
    <definedName name="TR">[44]ORÇAMENTO!$B$5</definedName>
    <definedName name="TR_13">[44]ORÇAMENTO!$B$5</definedName>
    <definedName name="TR_39">[44]ORÇAMENTO!$B$5</definedName>
    <definedName name="TR_6">[44]ORÇAMENTO!$B$5</definedName>
    <definedName name="TR5C" localSheetId="11">#REF!</definedName>
    <definedName name="TR5C" localSheetId="7">#REF!</definedName>
    <definedName name="TR5C" localSheetId="21">#REF!</definedName>
    <definedName name="TR5C" localSheetId="15">#REF!</definedName>
    <definedName name="TR5C">#REF!</definedName>
    <definedName name="TRABALHO">"$#REF!.$H$5:$H$84"</definedName>
    <definedName name="TrabAnual" localSheetId="11">#REF!</definedName>
    <definedName name="TrabAnual" localSheetId="7">#REF!</definedName>
    <definedName name="TrabAnual" localSheetId="21">#REF!</definedName>
    <definedName name="TrabAnual" localSheetId="15">#REF!</definedName>
    <definedName name="TrabAnual">#REF!</definedName>
    <definedName name="TRAF" localSheetId="11">[105]RESUMO_AUT1!#REF!</definedName>
    <definedName name="TRAF" localSheetId="7">[105]RESUMO_AUT1!#REF!</definedName>
    <definedName name="TRAF" localSheetId="21">[105]RESUMO_AUT1!#REF!</definedName>
    <definedName name="TRAF">[105]RESUMO_AUT1!#REF!</definedName>
    <definedName name="TRAF_25" localSheetId="11">[81]RESUMO_AUT1!#REF!</definedName>
    <definedName name="TRAF_25" localSheetId="7">[81]RESUMO_AUT1!#REF!</definedName>
    <definedName name="TRAF_25" localSheetId="21">[81]RESUMO_AUT1!#REF!</definedName>
    <definedName name="TRAF_25">[81]RESUMO_AUT1!#REF!</definedName>
    <definedName name="TRÂNS_SEG_EMISS2" localSheetId="11">#REF!</definedName>
    <definedName name="TRÂNS_SEG_EMISS2" localSheetId="7">#REF!</definedName>
    <definedName name="TRÂNS_SEG_EMISS2" localSheetId="21">#REF!</definedName>
    <definedName name="TRÂNS_SEG_EMISS2" localSheetId="15">#REF!</definedName>
    <definedName name="TRÂNS_SEG_EMISS2">#REF!</definedName>
    <definedName name="TRÂNS_SEG_EMISS3" localSheetId="11">#REF!</definedName>
    <definedName name="TRÂNS_SEG_EMISS3" localSheetId="7">#REF!</definedName>
    <definedName name="TRÂNS_SEG_EMISS3" localSheetId="21">#REF!</definedName>
    <definedName name="TRÂNS_SEG_EMISS3" localSheetId="15">#REF!</definedName>
    <definedName name="TRÂNS_SEG_EMISS3">#REF!</definedName>
    <definedName name="TRÂNS_SEGU" localSheetId="11">#REF!</definedName>
    <definedName name="TRÂNS_SEGU" localSheetId="7">#REF!</definedName>
    <definedName name="TRÂNS_SEGU" localSheetId="21">#REF!</definedName>
    <definedName name="TRÂNS_SEGU" localSheetId="15">#REF!</definedName>
    <definedName name="TRÂNS_SEGU">#REF!</definedName>
    <definedName name="TRÂNS_SEGURANÇA" localSheetId="11">#REF!</definedName>
    <definedName name="TRÂNS_SEGURANÇA" localSheetId="7">#REF!</definedName>
    <definedName name="TRÂNS_SEGURANÇA" localSheetId="21">#REF!</definedName>
    <definedName name="TRÂNS_SEGURANÇA" localSheetId="15">#REF!</definedName>
    <definedName name="TRÂNS_SEGURANÇA">#REF!</definedName>
    <definedName name="TRANSP_LOC_CARROC_PAV" localSheetId="11">#REF!</definedName>
    <definedName name="TRANSP_LOC_CARROC_PAV" localSheetId="7">#REF!</definedName>
    <definedName name="TRANSP_LOC_CARROC_PAV" localSheetId="21">#REF!</definedName>
    <definedName name="TRANSP_LOC_CARROC_PAV" localSheetId="15">#REF!</definedName>
    <definedName name="TRANSP_LOC_CARROC_PAV">#REF!</definedName>
    <definedName name="TRANSP_LOC_EQUIP" localSheetId="11">#REF!</definedName>
    <definedName name="TRANSP_LOC_EQUIP" localSheetId="7">#REF!</definedName>
    <definedName name="TRANSP_LOC_EQUIP" localSheetId="21">#REF!</definedName>
    <definedName name="TRANSP_LOC_EQUIP" localSheetId="15">#REF!</definedName>
    <definedName name="TRANSP_LOC_EQUIP">#REF!</definedName>
    <definedName name="TRANSP_LOC_PAV" localSheetId="11">#REF!</definedName>
    <definedName name="TRANSP_LOC_PAV" localSheetId="7">#REF!</definedName>
    <definedName name="TRANSP_LOC_PAV" localSheetId="21">#REF!</definedName>
    <definedName name="TRANSP_LOC_PAV" localSheetId="15">#REF!</definedName>
    <definedName name="TRANSP_LOC_PAV">#REF!</definedName>
    <definedName name="transp_massa" localSheetId="11">#REF!</definedName>
    <definedName name="transp_massa" localSheetId="7">#REF!</definedName>
    <definedName name="transp_massa" localSheetId="21">#REF!</definedName>
    <definedName name="transp_massa" localSheetId="15">#REF!</definedName>
    <definedName name="transp_massa">#REF!</definedName>
    <definedName name="transporte" localSheetId="11">#REF!</definedName>
    <definedName name="transporte" localSheetId="7">#REF!</definedName>
    <definedName name="transporte" localSheetId="21">#REF!</definedName>
    <definedName name="transporte" localSheetId="15">#REF!</definedName>
    <definedName name="transporte">#REF!</definedName>
    <definedName name="Transportes">[106]Serviços!$A$3:$F$1403</definedName>
    <definedName name="TRAV_EMISS3_S" localSheetId="11">#REF!</definedName>
    <definedName name="TRAV_EMISS3_S" localSheetId="7">#REF!</definedName>
    <definedName name="TRAV_EMISS3_S" localSheetId="21">#REF!</definedName>
    <definedName name="TRAV_EMISS3_S" localSheetId="15">#REF!</definedName>
    <definedName name="TRAV_EMISS3_S">#REF!</definedName>
    <definedName name="TRCAP20">"$#REF!.$I$27"</definedName>
    <definedName name="TRCM30">"$#REF!.$I$28"</definedName>
    <definedName name="trec" localSheetId="11">#REF!</definedName>
    <definedName name="trec" localSheetId="7">#REF!</definedName>
    <definedName name="trec" localSheetId="21">#REF!</definedName>
    <definedName name="trec" localSheetId="15">#REF!</definedName>
    <definedName name="trec">#REF!</definedName>
    <definedName name="trech" localSheetId="11">#REF!</definedName>
    <definedName name="trech" localSheetId="7">#REF!</definedName>
    <definedName name="trech" localSheetId="21">#REF!</definedName>
    <definedName name="trech" localSheetId="15">#REF!</definedName>
    <definedName name="trech">#REF!</definedName>
    <definedName name="TRECHO">'[34]DADOS DE ENTRADA CONCORRÊNCIA'!$B$16</definedName>
    <definedName name="TRECHO1">'[34]DADOS DE ENTRADA CONCORRÊNCIA'!$B$23</definedName>
    <definedName name="TRECHOA" localSheetId="11">#REF!</definedName>
    <definedName name="TRECHOA" localSheetId="7">#REF!</definedName>
    <definedName name="TRECHOA" localSheetId="21">#REF!</definedName>
    <definedName name="TRECHOA" localSheetId="15">#REF!</definedName>
    <definedName name="TRECHOA">#REF!</definedName>
    <definedName name="Trilhas" localSheetId="11">#REF!</definedName>
    <definedName name="Trilhas" localSheetId="7">#REF!</definedName>
    <definedName name="Trilhas" localSheetId="21">#REF!</definedName>
    <definedName name="Trilhas" localSheetId="15">#REF!</definedName>
    <definedName name="Trilhas">#REF!</definedName>
    <definedName name="TRL1C">'[24]Mat. Bet.'!$F$42</definedName>
    <definedName name="TRL1CCG">'[24]Mat. Bet.'!$F$43</definedName>
    <definedName name="TRM1C">'[24]Mat. Bet.'!$F$36</definedName>
    <definedName name="TRM1CCG">'[24]Mat. Bet.'!$F$37</definedName>
    <definedName name="TRP" localSheetId="11">#REF!</definedName>
    <definedName name="TRP" localSheetId="7">#REF!</definedName>
    <definedName name="TRP" localSheetId="21">#REF!</definedName>
    <definedName name="TRP" localSheetId="15">#REF!</definedName>
    <definedName name="TRP">#REF!</definedName>
    <definedName name="TRR1C">'[24]Mat. Bet.'!$F$28</definedName>
    <definedName name="TRR1CCG">'[24]Mat. Bet.'!$F$29</definedName>
    <definedName name="TRR1CP">'[24]Mat. Bet.'!$F$30</definedName>
    <definedName name="TRR1CPCG">'[24]Mat. Bet.'!$F$31</definedName>
    <definedName name="TRR2C">'[24]Mat. Bet.'!$F$33</definedName>
    <definedName name="TRR2CCG">'[24]Mat. Bet.'!$F$34</definedName>
    <definedName name="trre6">[90]mo!$A$2:$C$10</definedName>
    <definedName name="TRRM1C">"$#REF!.$I$30"</definedName>
    <definedName name="TRRR1C">"$#REF!.$I$29"</definedName>
    <definedName name="TRT" localSheetId="11">#REF!</definedName>
    <definedName name="TRT" localSheetId="7">#REF!</definedName>
    <definedName name="TRT" localSheetId="21">#REF!</definedName>
    <definedName name="TRT" localSheetId="15">#REF!</definedName>
    <definedName name="TRT">#REF!</definedName>
    <definedName name="ts" localSheetId="11">[3]RELATÓRIO!#REF!</definedName>
    <definedName name="ts" localSheetId="7">[3]RELATÓRIO!#REF!</definedName>
    <definedName name="ts" localSheetId="21">[3]RELATÓRIO!#REF!</definedName>
    <definedName name="ts">[3]RELATÓRIO!#REF!</definedName>
    <definedName name="TS2C">"'file:///D:/Meus documentos/ANASTÁCIO/SERCEL/BR262990800.xls'#$TLMB.$#REF!$#REF!"</definedName>
    <definedName name="TSD" localSheetId="11">#REF!</definedName>
    <definedName name="TSD" localSheetId="7">#REF!</definedName>
    <definedName name="TSD" localSheetId="21">#REF!</definedName>
    <definedName name="TSD" localSheetId="15">#REF!</definedName>
    <definedName name="TSD">#REF!</definedName>
    <definedName name="tsd.a" localSheetId="11">[52]TSD!#REF!</definedName>
    <definedName name="tsd.a" localSheetId="7">[52]TSD!#REF!</definedName>
    <definedName name="tsd.a" localSheetId="21">[52]TSD!#REF!</definedName>
    <definedName name="tsd.a">[52]TSD!#REF!</definedName>
    <definedName name="TSs" localSheetId="11">#REF!</definedName>
    <definedName name="TSs" localSheetId="7">#REF!</definedName>
    <definedName name="TSs" localSheetId="21">#REF!</definedName>
    <definedName name="TSs" localSheetId="15">#REF!</definedName>
    <definedName name="TSs">#REF!</definedName>
    <definedName name="tss.a" localSheetId="11">[52]TSD!#REF!</definedName>
    <definedName name="tss.a" localSheetId="7">[52]TSD!#REF!</definedName>
    <definedName name="tss.a" localSheetId="21">[52]TSD!#REF!</definedName>
    <definedName name="tss.a" localSheetId="15">[52]TSD!#REF!</definedName>
    <definedName name="tss.a">[52]TSD!#REF!</definedName>
    <definedName name="tt">#N/A</definedName>
    <definedName name="tt_25">#N/A</definedName>
    <definedName name="tt1_25">#N/A</definedName>
    <definedName name="ttra" localSheetId="21">[3]RELATÓRIO!#REF!</definedName>
    <definedName name="ttra">[3]RELATÓRIO!#REF!</definedName>
    <definedName name="TTT" localSheetId="11">#REF!</definedName>
    <definedName name="TTT" localSheetId="7">#REF!</definedName>
    <definedName name="TTT" localSheetId="21">#REF!</definedName>
    <definedName name="TTT" localSheetId="15">#REF!</definedName>
    <definedName name="TTT">#REF!</definedName>
    <definedName name="TUBO" localSheetId="11">#REF!</definedName>
    <definedName name="TUBO" localSheetId="7">#REF!</definedName>
    <definedName name="TUBO" localSheetId="21">#REF!</definedName>
    <definedName name="TUBO" localSheetId="15">#REF!</definedName>
    <definedName name="TUBO">#REF!</definedName>
    <definedName name="TUBOA" localSheetId="11">#REF!</definedName>
    <definedName name="TUBOA" localSheetId="7">#REF!</definedName>
    <definedName name="TUBOA" localSheetId="21">#REF!</definedName>
    <definedName name="TUBOA" localSheetId="15">#REF!</definedName>
    <definedName name="TUBOA">#REF!</definedName>
    <definedName name="tubopav" localSheetId="11">#REF!</definedName>
    <definedName name="tubopav" localSheetId="7">#REF!</definedName>
    <definedName name="tubopav" localSheetId="21">#REF!</definedName>
    <definedName name="tubopav" localSheetId="15">#REF!</definedName>
    <definedName name="tubopav">#REF!</definedName>
    <definedName name="TUNNELLINER">'[34]QUADRO 08 - COMPOSIÇÕES'!$H$569</definedName>
    <definedName name="TYUIO" localSheetId="11" hidden="1">{#N/A,#N/A,TRUE,"Serviços"}</definedName>
    <definedName name="TYUIO" localSheetId="9" hidden="1">{#N/A,#N/A,TRUE,"Serviços"}</definedName>
    <definedName name="TYUIO" localSheetId="10" hidden="1">{#N/A,#N/A,TRUE,"Serviços"}</definedName>
    <definedName name="TYUIO" localSheetId="8" hidden="1">{#N/A,#N/A,TRUE,"Serviços"}</definedName>
    <definedName name="TYUIO" localSheetId="7" hidden="1">{#N/A,#N/A,TRUE,"Serviços"}</definedName>
    <definedName name="TYUIO" localSheetId="34" hidden="1">{#N/A,#N/A,TRUE,"Serviços"}</definedName>
    <definedName name="TYUIO" localSheetId="44" hidden="1">{#N/A,#N/A,TRUE,"Serviços"}</definedName>
    <definedName name="TYUIO" localSheetId="43" hidden="1">{#N/A,#N/A,TRUE,"Serviços"}</definedName>
    <definedName name="TYUIO" localSheetId="42" hidden="1">{#N/A,#N/A,TRUE,"Serviços"}</definedName>
    <definedName name="TYUIO" localSheetId="21" hidden="1">{#N/A,#N/A,TRUE,"Serviços"}</definedName>
    <definedName name="TYUIO" localSheetId="15" hidden="1">{#N/A,#N/A,TRUE,"Serviços"}</definedName>
    <definedName name="TYUIO" hidden="1">{#N/A,#N/A,TRUE,"Serviços"}</definedName>
    <definedName name="UIO" localSheetId="11">#REF!</definedName>
    <definedName name="UIO" localSheetId="7">#REF!</definedName>
    <definedName name="UIO" localSheetId="21">#REF!</definedName>
    <definedName name="UIO" localSheetId="15">#REF!</definedName>
    <definedName name="UIO">#REF!</definedName>
    <definedName name="UN" localSheetId="11">#REF!</definedName>
    <definedName name="UN" localSheetId="7">#REF!</definedName>
    <definedName name="UN" localSheetId="21">#REF!</definedName>
    <definedName name="UN" localSheetId="15">#REF!</definedName>
    <definedName name="UN">#REF!</definedName>
    <definedName name="Und">#N/A</definedName>
    <definedName name="unid.2" localSheetId="11">#REF!</definedName>
    <definedName name="unid.2" localSheetId="7">#REF!</definedName>
    <definedName name="unid.2" localSheetId="21">#REF!</definedName>
    <definedName name="unid.2" localSheetId="15">#REF!</definedName>
    <definedName name="unid.2">#REF!</definedName>
    <definedName name="unidade">'[50]TPU-MARÇO_2002'!$F$2:$F$1965</definedName>
    <definedName name="Unidade1" localSheetId="11">#REF!</definedName>
    <definedName name="Unidade1" localSheetId="7">#REF!</definedName>
    <definedName name="Unidade1" localSheetId="21">#REF!</definedName>
    <definedName name="Unidade1" localSheetId="15">#REF!</definedName>
    <definedName name="Unidade1">#REF!</definedName>
    <definedName name="UnidAux" hidden="1">#N/A</definedName>
    <definedName name="UNIT" localSheetId="11">#REF!</definedName>
    <definedName name="UNIT" localSheetId="7">#REF!</definedName>
    <definedName name="UNIT" localSheetId="21">#REF!</definedName>
    <definedName name="UNIT" localSheetId="15">#REF!</definedName>
    <definedName name="UNIT">#REF!</definedName>
    <definedName name="URV_MAR94" localSheetId="11">#REF!</definedName>
    <definedName name="URV_MAR94" localSheetId="7">#REF!</definedName>
    <definedName name="URV_MAR94" localSheetId="21">#REF!</definedName>
    <definedName name="URV_MAR94" localSheetId="15">#REF!</definedName>
    <definedName name="URV_MAR94">#REF!</definedName>
    <definedName name="USINA" localSheetId="11">#REF!</definedName>
    <definedName name="USINA" localSheetId="7">#REF!</definedName>
    <definedName name="USINA" localSheetId="21">#REF!</definedName>
    <definedName name="USINA" localSheetId="15">#REF!</definedName>
    <definedName name="USINA">#REF!</definedName>
    <definedName name="Usina_Brita" localSheetId="11">'[57]DMT Materiais'!#REF!</definedName>
    <definedName name="Usina_Brita" localSheetId="7">'[57]DMT Materiais'!#REF!</definedName>
    <definedName name="Usina_Brita" localSheetId="21">'[57]DMT Materiais'!#REF!</definedName>
    <definedName name="Usina_Brita" localSheetId="15">'[57]DMT Materiais'!#REF!</definedName>
    <definedName name="Usina_Brita">'[57]DMT Materiais'!#REF!</definedName>
    <definedName name="USINACANT_PISTA">[31]Diagrama!$E$49</definedName>
    <definedName name="VACAP">"$#REF!.$D$38"</definedName>
    <definedName name="VACM">"$#REF!.$D$37"</definedName>
    <definedName name="vala.ca" localSheetId="11">#REF!</definedName>
    <definedName name="vala.ca" localSheetId="7">#REF!</definedName>
    <definedName name="vala.ca" localSheetId="21">#REF!</definedName>
    <definedName name="vala.ca" localSheetId="15">#REF!</definedName>
    <definedName name="vala.ca">#REF!</definedName>
    <definedName name="VAM" localSheetId="11">#REF!</definedName>
    <definedName name="VAM" localSheetId="7">#REF!</definedName>
    <definedName name="VAM" localSheetId="21">#REF!</definedName>
    <definedName name="VAM" localSheetId="15">#REF!</definedName>
    <definedName name="VAM">#REF!</definedName>
    <definedName name="VAMM" localSheetId="11">#REF!</definedName>
    <definedName name="VAMM" localSheetId="7">#REF!</definedName>
    <definedName name="VAMM" localSheetId="21">#REF!</definedName>
    <definedName name="VAMM" localSheetId="15">#REF!</definedName>
    <definedName name="VAMM">#REF!</definedName>
    <definedName name="VARM">"$#REF!.$D$36"</definedName>
    <definedName name="VARR">"$#REF!.$D$34"</definedName>
    <definedName name="VAVRC" localSheetId="11">#REF!</definedName>
    <definedName name="VAVRC" localSheetId="7">#REF!</definedName>
    <definedName name="VAVRC" localSheetId="21">#REF!</definedName>
    <definedName name="VAVRC" localSheetId="15">#REF!</definedName>
    <definedName name="VAVRC">#REF!</definedName>
    <definedName name="Vazio1">'[8]Página 16'!$B$3:$B$7</definedName>
    <definedName name="VAZIO2">'[42]Página 16'!$B$3:$B$7</definedName>
    <definedName name="Vazios">[89]Teor!$B$3:$B$7</definedName>
    <definedName name="Vazios_25">[89]Teor!$B$3:$B$7</definedName>
    <definedName name="Vazios_29">[89]Teor!$B$3:$B$7</definedName>
    <definedName name="Vazios_31">[89]Teor!$B$3:$B$7</definedName>
    <definedName name="verde" localSheetId="11">#REF!</definedName>
    <definedName name="verde" localSheetId="7">#REF!</definedName>
    <definedName name="verde" localSheetId="21">#REF!</definedName>
    <definedName name="verde" localSheetId="15">#REF!</definedName>
    <definedName name="verde">#REF!</definedName>
    <definedName name="verde_25" localSheetId="11">#REF!</definedName>
    <definedName name="verde_25" localSheetId="7">#REF!</definedName>
    <definedName name="verde_25" localSheetId="21">#REF!</definedName>
    <definedName name="verde_25" localSheetId="15">#REF!</definedName>
    <definedName name="verde_25">#REF!</definedName>
    <definedName name="verdepav" localSheetId="11">#REF!</definedName>
    <definedName name="verdepav" localSheetId="7">#REF!</definedName>
    <definedName name="verdepav" localSheetId="21">#REF!</definedName>
    <definedName name="verdepav" localSheetId="15">#REF!</definedName>
    <definedName name="verdepav">#REF!</definedName>
    <definedName name="verdepav_25" localSheetId="11">#REF!</definedName>
    <definedName name="verdepav_25" localSheetId="7">#REF!</definedName>
    <definedName name="verdepav_25" localSheetId="21">#REF!</definedName>
    <definedName name="verdepav_25" localSheetId="15">#REF!</definedName>
    <definedName name="verdepav_25">#REF!</definedName>
    <definedName name="Verga" localSheetId="11">#REF!</definedName>
    <definedName name="Verga" localSheetId="7">#REF!</definedName>
    <definedName name="Verga" localSheetId="21">#REF!</definedName>
    <definedName name="Verga" localSheetId="15">#REF!</definedName>
    <definedName name="Verga">#REF!</definedName>
    <definedName name="VidaAnos" localSheetId="11">#REF!</definedName>
    <definedName name="VidaAnos" localSheetId="7">#REF!</definedName>
    <definedName name="VidaAnos" localSheetId="21">#REF!</definedName>
    <definedName name="VidaAnos" localSheetId="15">#REF!</definedName>
    <definedName name="VidaAnos">#REF!</definedName>
    <definedName name="Vidahoras" localSheetId="11">#REF!</definedName>
    <definedName name="Vidahoras" localSheetId="7">#REF!</definedName>
    <definedName name="Vidahoras" localSheetId="21">#REF!</definedName>
    <definedName name="Vidahoras" localSheetId="15">#REF!</definedName>
    <definedName name="Vidahoras">#REF!</definedName>
    <definedName name="VIDROS">#N/A</definedName>
    <definedName name="Vilmar12" localSheetId="11">#REF!</definedName>
    <definedName name="Vilmar12" localSheetId="7">#REF!</definedName>
    <definedName name="Vilmar12" localSheetId="21">#REF!</definedName>
    <definedName name="Vilmar12" localSheetId="15">#REF!</definedName>
    <definedName name="Vilmar12">#REF!</definedName>
    <definedName name="VLM">"$#REF!.$#REF!$#REF!"</definedName>
    <definedName name="VLPI">"$#REF!.$#REF!$#REF!"</definedName>
    <definedName name="VLREAJ">"$#REF!.$#REF!$#REF!"</definedName>
    <definedName name="VOL_MASSA" localSheetId="11">#REF!</definedName>
    <definedName name="VOL_MASSA" localSheetId="7">#REF!</definedName>
    <definedName name="VOL_MASSA" localSheetId="21">#REF!</definedName>
    <definedName name="VOL_MASSA" localSheetId="15">#REF!</definedName>
    <definedName name="VOL_MASSA">#REF!</definedName>
    <definedName name="volsubl" localSheetId="11">#REF!</definedName>
    <definedName name="volsubl" localSheetId="7">#REF!</definedName>
    <definedName name="volsubl" localSheetId="21">#REF!</definedName>
    <definedName name="volsubl" localSheetId="15">#REF!</definedName>
    <definedName name="volsubl">#REF!</definedName>
    <definedName name="vvv" localSheetId="11" hidden="1">{#N/A,#N/A,FALSE,"MO (2)"}</definedName>
    <definedName name="vvv" localSheetId="9" hidden="1">{#N/A,#N/A,FALSE,"MO (2)"}</definedName>
    <definedName name="vvv" localSheetId="10" hidden="1">{#N/A,#N/A,FALSE,"MO (2)"}</definedName>
    <definedName name="vvv" localSheetId="8" hidden="1">{#N/A,#N/A,FALSE,"MO (2)"}</definedName>
    <definedName name="vvv" localSheetId="7" hidden="1">{#N/A,#N/A,FALSE,"MO (2)"}</definedName>
    <definedName name="vvv" localSheetId="34" hidden="1">{#N/A,#N/A,FALSE,"MO (2)"}</definedName>
    <definedName name="vvv" localSheetId="44" hidden="1">{#N/A,#N/A,FALSE,"MO (2)"}</definedName>
    <definedName name="vvv" localSheetId="43" hidden="1">{#N/A,#N/A,FALSE,"MO (2)"}</definedName>
    <definedName name="vvv" localSheetId="42" hidden="1">{#N/A,#N/A,FALSE,"MO (2)"}</definedName>
    <definedName name="vvv" localSheetId="21" hidden="1">{#N/A,#N/A,FALSE,"MO (2)"}</definedName>
    <definedName name="vvv" localSheetId="17" hidden="1">{#N/A,#N/A,FALSE,"MO (2)"}</definedName>
    <definedName name="vvv" localSheetId="1" hidden="1">{#N/A,#N/A,FALSE,"MO (2)"}</definedName>
    <definedName name="vvv" localSheetId="16" hidden="1">{#N/A,#N/A,FALSE,"MO (2)"}</definedName>
    <definedName name="vvv" localSheetId="26" hidden="1">{#N/A,#N/A,FALSE,"MO (2)"}</definedName>
    <definedName name="vvv" localSheetId="13" hidden="1">{#N/A,#N/A,FALSE,"MO (2)"}</definedName>
    <definedName name="vvv" localSheetId="15" hidden="1">{#N/A,#N/A,FALSE,"MO (2)"}</definedName>
    <definedName name="vvv" localSheetId="33" hidden="1">{#N/A,#N/A,FALSE,"MO (2)"}</definedName>
    <definedName name="vvv" hidden="1">{#N/A,#N/A,FALSE,"MO (2)"}</definedName>
    <definedName name="vvv_1" localSheetId="11" hidden="1">{#N/A,#N/A,FALSE,"MO (2)"}</definedName>
    <definedName name="vvv_1" localSheetId="9" hidden="1">{#N/A,#N/A,FALSE,"MO (2)"}</definedName>
    <definedName name="vvv_1" localSheetId="10" hidden="1">{#N/A,#N/A,FALSE,"MO (2)"}</definedName>
    <definedName name="vvv_1" localSheetId="8" hidden="1">{#N/A,#N/A,FALSE,"MO (2)"}</definedName>
    <definedName name="vvv_1" localSheetId="7" hidden="1">{#N/A,#N/A,FALSE,"MO (2)"}</definedName>
    <definedName name="vvv_1" localSheetId="34" hidden="1">{#N/A,#N/A,FALSE,"MO (2)"}</definedName>
    <definedName name="vvv_1" localSheetId="44" hidden="1">{#N/A,#N/A,FALSE,"MO (2)"}</definedName>
    <definedName name="vvv_1" localSheetId="43" hidden="1">{#N/A,#N/A,FALSE,"MO (2)"}</definedName>
    <definedName name="vvv_1" localSheetId="42" hidden="1">{#N/A,#N/A,FALSE,"MO (2)"}</definedName>
    <definedName name="vvv_1" localSheetId="21" hidden="1">{#N/A,#N/A,FALSE,"MO (2)"}</definedName>
    <definedName name="vvv_1" localSheetId="17" hidden="1">{#N/A,#N/A,FALSE,"MO (2)"}</definedName>
    <definedName name="vvv_1" localSheetId="1" hidden="1">{#N/A,#N/A,FALSE,"MO (2)"}</definedName>
    <definedName name="vvv_1" localSheetId="16" hidden="1">{#N/A,#N/A,FALSE,"MO (2)"}</definedName>
    <definedName name="vvv_1" localSheetId="26" hidden="1">{#N/A,#N/A,FALSE,"MO (2)"}</definedName>
    <definedName name="vvv_1" localSheetId="13" hidden="1">{#N/A,#N/A,FALSE,"MO (2)"}</definedName>
    <definedName name="vvv_1" localSheetId="15" hidden="1">{#N/A,#N/A,FALSE,"MO (2)"}</definedName>
    <definedName name="vvv_1" localSheetId="33" hidden="1">{#N/A,#N/A,FALSE,"MO (2)"}</definedName>
    <definedName name="vvv_1" hidden="1">{#N/A,#N/A,FALSE,"MO (2)"}</definedName>
    <definedName name="w">[107]PROJETO!#REF!</definedName>
    <definedName name="Waypoints" localSheetId="11">#REF!</definedName>
    <definedName name="Waypoints" localSheetId="7">#REF!</definedName>
    <definedName name="Waypoints" localSheetId="21">#REF!</definedName>
    <definedName name="Waypoints" localSheetId="15">#REF!</definedName>
    <definedName name="Waypoints">#REF!</definedName>
    <definedName name="WEN" localSheetId="11">#REF!</definedName>
    <definedName name="WEN" localSheetId="7">#REF!</definedName>
    <definedName name="WEN" localSheetId="21">#REF!</definedName>
    <definedName name="WEN" localSheetId="15">#REF!</definedName>
    <definedName name="WEN">#REF!</definedName>
    <definedName name="wew">#N/A</definedName>
    <definedName name="WEWR">#N/A</definedName>
    <definedName name="WEWRWR">#N/A</definedName>
    <definedName name="WEWRWR_1">#N/A</definedName>
    <definedName name="WEWRWR_10">#N/A</definedName>
    <definedName name="WEWRWR_12">#N/A</definedName>
    <definedName name="WEWRWR_13">#N/A</definedName>
    <definedName name="WEWRWR_14">#N/A</definedName>
    <definedName name="WEWRWR_2">#N/A</definedName>
    <definedName name="WEWRWR_22">#N/A</definedName>
    <definedName name="WEWRWR_25">#N/A</definedName>
    <definedName name="WEWRWR_26">#N/A</definedName>
    <definedName name="WEWRWR_27">#N/A</definedName>
    <definedName name="WEWRWR_28">#N/A</definedName>
    <definedName name="WEWRWR_29">#N/A</definedName>
    <definedName name="WEWRWR_3">#N/A</definedName>
    <definedName name="WEWRWR_30">#N/A</definedName>
    <definedName name="WEWRWR_31">#N/A</definedName>
    <definedName name="WEWRWR_32">#N/A</definedName>
    <definedName name="WEWRWR_33">#N/A</definedName>
    <definedName name="WEWRWR_34">#N/A</definedName>
    <definedName name="WEWRWR_35">#N/A</definedName>
    <definedName name="WEWRWR_36">#N/A</definedName>
    <definedName name="WEWRWR_37">#N/A</definedName>
    <definedName name="WEWRWR_38">#N/A</definedName>
    <definedName name="WEWRWR_4">#N/A</definedName>
    <definedName name="WEWRWR_5">#N/A</definedName>
    <definedName name="WEWRWR_6">#N/A</definedName>
    <definedName name="WEWRWR_7">#N/A</definedName>
    <definedName name="WEWRWR_8">#N/A</definedName>
    <definedName name="WEWRWR_9">#N/A</definedName>
    <definedName name="wrn.mo2." localSheetId="11" hidden="1">{#N/A,#N/A,FALSE,"MO (2)"}</definedName>
    <definedName name="wrn.mo2." localSheetId="9" hidden="1">{#N/A,#N/A,FALSE,"MO (2)"}</definedName>
    <definedName name="wrn.mo2." localSheetId="10" hidden="1">{#N/A,#N/A,FALSE,"MO (2)"}</definedName>
    <definedName name="wrn.mo2." localSheetId="8" hidden="1">{#N/A,#N/A,FALSE,"MO (2)"}</definedName>
    <definedName name="wrn.mo2." localSheetId="7" hidden="1">{#N/A,#N/A,FALSE,"MO (2)"}</definedName>
    <definedName name="wrn.mo2." localSheetId="34" hidden="1">{#N/A,#N/A,FALSE,"MO (2)"}</definedName>
    <definedName name="wrn.mo2." localSheetId="44" hidden="1">{#N/A,#N/A,FALSE,"MO (2)"}</definedName>
    <definedName name="wrn.mo2." localSheetId="43" hidden="1">{#N/A,#N/A,FALSE,"MO (2)"}</definedName>
    <definedName name="wrn.mo2." localSheetId="42" hidden="1">{#N/A,#N/A,FALSE,"MO (2)"}</definedName>
    <definedName name="wrn.mo2." localSheetId="21" hidden="1">{#N/A,#N/A,FALSE,"MO (2)"}</definedName>
    <definedName name="wrn.mo2." localSheetId="17" hidden="1">{#N/A,#N/A,FALSE,"MO (2)"}</definedName>
    <definedName name="wrn.mo2." localSheetId="1" hidden="1">{#N/A,#N/A,FALSE,"MO (2)"}</definedName>
    <definedName name="wrn.mo2." localSheetId="16" hidden="1">{#N/A,#N/A,FALSE,"MO (2)"}</definedName>
    <definedName name="wrn.mo2." localSheetId="26" hidden="1">{#N/A,#N/A,FALSE,"MO (2)"}</definedName>
    <definedName name="wrn.mo2." localSheetId="13" hidden="1">{#N/A,#N/A,FALSE,"MO (2)"}</definedName>
    <definedName name="wrn.mo2." localSheetId="15" hidden="1">{#N/A,#N/A,FALSE,"MO (2)"}</definedName>
    <definedName name="wrn.mo2." localSheetId="33" hidden="1">{#N/A,#N/A,FALSE,"MO (2)"}</definedName>
    <definedName name="wrn.mo2." hidden="1">{#N/A,#N/A,FALSE,"MO (2)"}</definedName>
    <definedName name="wrn.mo2._1" localSheetId="11" hidden="1">{#N/A,#N/A,FALSE,"MO (2)"}</definedName>
    <definedName name="wrn.mo2._1" localSheetId="9" hidden="1">{#N/A,#N/A,FALSE,"MO (2)"}</definedName>
    <definedName name="wrn.mo2._1" localSheetId="10" hidden="1">{#N/A,#N/A,FALSE,"MO (2)"}</definedName>
    <definedName name="wrn.mo2._1" localSheetId="8" hidden="1">{#N/A,#N/A,FALSE,"MO (2)"}</definedName>
    <definedName name="wrn.mo2._1" localSheetId="7" hidden="1">{#N/A,#N/A,FALSE,"MO (2)"}</definedName>
    <definedName name="wrn.mo2._1" localSheetId="34" hidden="1">{#N/A,#N/A,FALSE,"MO (2)"}</definedName>
    <definedName name="wrn.mo2._1" localSheetId="44" hidden="1">{#N/A,#N/A,FALSE,"MO (2)"}</definedName>
    <definedName name="wrn.mo2._1" localSheetId="43" hidden="1">{#N/A,#N/A,FALSE,"MO (2)"}</definedName>
    <definedName name="wrn.mo2._1" localSheetId="42" hidden="1">{#N/A,#N/A,FALSE,"MO (2)"}</definedName>
    <definedName name="wrn.mo2._1" localSheetId="21" hidden="1">{#N/A,#N/A,FALSE,"MO (2)"}</definedName>
    <definedName name="wrn.mo2._1" localSheetId="17" hidden="1">{#N/A,#N/A,FALSE,"MO (2)"}</definedName>
    <definedName name="wrn.mo2._1" localSheetId="1" hidden="1">{#N/A,#N/A,FALSE,"MO (2)"}</definedName>
    <definedName name="wrn.mo2._1" localSheetId="16" hidden="1">{#N/A,#N/A,FALSE,"MO (2)"}</definedName>
    <definedName name="wrn.mo2._1" localSheetId="26" hidden="1">{#N/A,#N/A,FALSE,"MO (2)"}</definedName>
    <definedName name="wrn.mo2._1" localSheetId="13" hidden="1">{#N/A,#N/A,FALSE,"MO (2)"}</definedName>
    <definedName name="wrn.mo2._1" localSheetId="15" hidden="1">{#N/A,#N/A,FALSE,"MO (2)"}</definedName>
    <definedName name="wrn.mo2._1" localSheetId="33" hidden="1">{#N/A,#N/A,FALSE,"MO (2)"}</definedName>
    <definedName name="wrn.mo2._1" hidden="1">{#N/A,#N/A,FALSE,"MO (2)"}</definedName>
    <definedName name="wrn.Orçamento." localSheetId="11" hidden="1">{#N/A,#N/A,FALSE,"Planilha";#N/A,#N/A,FALSE,"Resumo";#N/A,#N/A,FALSE,"Fisico";#N/A,#N/A,FALSE,"Financeiro";#N/A,#N/A,FALSE,"Financeiro"}</definedName>
    <definedName name="wrn.Orçamento." localSheetId="9" hidden="1">{#N/A,#N/A,FALSE,"Planilha";#N/A,#N/A,FALSE,"Resumo";#N/A,#N/A,FALSE,"Fisico";#N/A,#N/A,FALSE,"Financeiro";#N/A,#N/A,FALSE,"Financeiro"}</definedName>
    <definedName name="wrn.Orçamento." localSheetId="10" hidden="1">{#N/A,#N/A,FALSE,"Planilha";#N/A,#N/A,FALSE,"Resumo";#N/A,#N/A,FALSE,"Fisico";#N/A,#N/A,FALSE,"Financeiro";#N/A,#N/A,FALSE,"Financeiro"}</definedName>
    <definedName name="wrn.Orçamento." localSheetId="8" hidden="1">{#N/A,#N/A,FALSE,"Planilha";#N/A,#N/A,FALSE,"Resumo";#N/A,#N/A,FALSE,"Fisico";#N/A,#N/A,FALSE,"Financeiro";#N/A,#N/A,FALSE,"Financeiro"}</definedName>
    <definedName name="wrn.Orçamento." localSheetId="7" hidden="1">{#N/A,#N/A,FALSE,"Planilha";#N/A,#N/A,FALSE,"Resumo";#N/A,#N/A,FALSE,"Fisico";#N/A,#N/A,FALSE,"Financeiro";#N/A,#N/A,FALSE,"Financeiro"}</definedName>
    <definedName name="wrn.Orçamento." localSheetId="34" hidden="1">{#N/A,#N/A,FALSE,"Planilha";#N/A,#N/A,FALSE,"Resumo";#N/A,#N/A,FALSE,"Fisico";#N/A,#N/A,FALSE,"Financeiro";#N/A,#N/A,FALSE,"Financeiro"}</definedName>
    <definedName name="wrn.Orçamento." localSheetId="44" hidden="1">{#N/A,#N/A,FALSE,"Planilha";#N/A,#N/A,FALSE,"Resumo";#N/A,#N/A,FALSE,"Fisico";#N/A,#N/A,FALSE,"Financeiro";#N/A,#N/A,FALSE,"Financeiro"}</definedName>
    <definedName name="wrn.Orçamento." localSheetId="43" hidden="1">{#N/A,#N/A,FALSE,"Planilha";#N/A,#N/A,FALSE,"Resumo";#N/A,#N/A,FALSE,"Fisico";#N/A,#N/A,FALSE,"Financeiro";#N/A,#N/A,FALSE,"Financeiro"}</definedName>
    <definedName name="wrn.Orçamento." localSheetId="42" hidden="1">{#N/A,#N/A,FALSE,"Planilha";#N/A,#N/A,FALSE,"Resumo";#N/A,#N/A,FALSE,"Fisico";#N/A,#N/A,FALSE,"Financeiro";#N/A,#N/A,FALSE,"Financeiro"}</definedName>
    <definedName name="wrn.Orçamento." localSheetId="21" hidden="1">{#N/A,#N/A,FALSE,"Planilha";#N/A,#N/A,FALSE,"Resumo";#N/A,#N/A,FALSE,"Fisico";#N/A,#N/A,FALSE,"Financeiro";#N/A,#N/A,FALSE,"Financeiro"}</definedName>
    <definedName name="wrn.Orçamento." localSheetId="15" hidden="1">{#N/A,#N/A,FALSE,"Planilha";#N/A,#N/A,FALSE,"Resumo";#N/A,#N/A,FALSE,"Fisico";#N/A,#N/A,FALSE,"Financeiro";#N/A,#N/A,FALSE,"Financeiro"}</definedName>
    <definedName name="wrn.Orçamento." localSheetId="33" hidden="1">{#N/A,#N/A,FALSE,"Planilha";#N/A,#N/A,FALSE,"Resumo";#N/A,#N/A,FALSE,"Fisico";#N/A,#N/A,FALSE,"Financeiro";#N/A,#N/A,FALSE,"Financeiro"}</definedName>
    <definedName name="wrn.Orçamento." hidden="1">{#N/A,#N/A,FALSE,"Planilha";#N/A,#N/A,FALSE,"Resumo";#N/A,#N/A,FALSE,"Fisico";#N/A,#N/A,FALSE,"Financeiro";#N/A,#N/A,FALSE,"Financeiro"}</definedName>
    <definedName name="wrn.relext." localSheetId="11" hidden="1">{#N/A,#N/A,TRUE,"Plan1"}</definedName>
    <definedName name="wrn.relext." localSheetId="9" hidden="1">{#N/A,#N/A,TRUE,"Plan1"}</definedName>
    <definedName name="wrn.relext." localSheetId="10" hidden="1">{#N/A,#N/A,TRUE,"Plan1"}</definedName>
    <definedName name="wrn.relext." localSheetId="8" hidden="1">{#N/A,#N/A,TRUE,"Plan1"}</definedName>
    <definedName name="wrn.relext." localSheetId="7" hidden="1">{#N/A,#N/A,TRUE,"Plan1"}</definedName>
    <definedName name="wrn.relext." localSheetId="34" hidden="1">{#N/A,#N/A,TRUE,"Plan1"}</definedName>
    <definedName name="wrn.relext." localSheetId="44" hidden="1">{#N/A,#N/A,TRUE,"Plan1"}</definedName>
    <definedName name="wrn.relext." localSheetId="43" hidden="1">{#N/A,#N/A,TRUE,"Plan1"}</definedName>
    <definedName name="wrn.relext." localSheetId="42" hidden="1">{#N/A,#N/A,TRUE,"Plan1"}</definedName>
    <definedName name="wrn.relext." localSheetId="21" hidden="1">{#N/A,#N/A,TRUE,"Plan1"}</definedName>
    <definedName name="wrn.relext." localSheetId="17" hidden="1">{#N/A,#N/A,TRUE,"Plan1"}</definedName>
    <definedName name="wrn.relext." localSheetId="1" hidden="1">{#N/A,#N/A,TRUE,"Plan1"}</definedName>
    <definedName name="wrn.relext." localSheetId="16" hidden="1">{#N/A,#N/A,TRUE,"Plan1"}</definedName>
    <definedName name="wrn.relext." localSheetId="26" hidden="1">{#N/A,#N/A,TRUE,"Plan1"}</definedName>
    <definedName name="wrn.relext." localSheetId="13" hidden="1">{#N/A,#N/A,TRUE,"Plan1"}</definedName>
    <definedName name="wrn.relext." localSheetId="15" hidden="1">{#N/A,#N/A,TRUE,"Plan1"}</definedName>
    <definedName name="wrn.relext." localSheetId="33" hidden="1">{#N/A,#N/A,TRUE,"Plan1"}</definedName>
    <definedName name="wrn.relext." hidden="1">{#N/A,#N/A,TRUE,"Plan1"}</definedName>
    <definedName name="wrn.relext._1" localSheetId="11" hidden="1">{#N/A,#N/A,TRUE,"Plan1"}</definedName>
    <definedName name="wrn.relext._1" localSheetId="9" hidden="1">{#N/A,#N/A,TRUE,"Plan1"}</definedName>
    <definedName name="wrn.relext._1" localSheetId="10" hidden="1">{#N/A,#N/A,TRUE,"Plan1"}</definedName>
    <definedName name="wrn.relext._1" localSheetId="8" hidden="1">{#N/A,#N/A,TRUE,"Plan1"}</definedName>
    <definedName name="wrn.relext._1" localSheetId="7" hidden="1">{#N/A,#N/A,TRUE,"Plan1"}</definedName>
    <definedName name="wrn.relext._1" localSheetId="34" hidden="1">{#N/A,#N/A,TRUE,"Plan1"}</definedName>
    <definedName name="wrn.relext._1" localSheetId="44" hidden="1">{#N/A,#N/A,TRUE,"Plan1"}</definedName>
    <definedName name="wrn.relext._1" localSheetId="43" hidden="1">{#N/A,#N/A,TRUE,"Plan1"}</definedName>
    <definedName name="wrn.relext._1" localSheetId="42" hidden="1">{#N/A,#N/A,TRUE,"Plan1"}</definedName>
    <definedName name="wrn.relext._1" localSheetId="21" hidden="1">{#N/A,#N/A,TRUE,"Plan1"}</definedName>
    <definedName name="wrn.relext._1" localSheetId="17" hidden="1">{#N/A,#N/A,TRUE,"Plan1"}</definedName>
    <definedName name="wrn.relext._1" localSheetId="1" hidden="1">{#N/A,#N/A,TRUE,"Plan1"}</definedName>
    <definedName name="wrn.relext._1" localSheetId="16" hidden="1">{#N/A,#N/A,TRUE,"Plan1"}</definedName>
    <definedName name="wrn.relext._1" localSheetId="26" hidden="1">{#N/A,#N/A,TRUE,"Plan1"}</definedName>
    <definedName name="wrn.relext._1" localSheetId="13" hidden="1">{#N/A,#N/A,TRUE,"Plan1"}</definedName>
    <definedName name="wrn.relext._1" localSheetId="15" hidden="1">{#N/A,#N/A,TRUE,"Plan1"}</definedName>
    <definedName name="wrn.relext._1" localSheetId="33" hidden="1">{#N/A,#N/A,TRUE,"Plan1"}</definedName>
    <definedName name="wrn.relext._1" hidden="1">{#N/A,#N/A,TRUE,"Plan1"}</definedName>
    <definedName name="wrn.Tipo." localSheetId="11" hidden="1">{#N/A,#N/A,TRUE,"Serviços"}</definedName>
    <definedName name="wrn.Tipo." localSheetId="9" hidden="1">{#N/A,#N/A,TRUE,"Serviços"}</definedName>
    <definedName name="wrn.Tipo." localSheetId="10" hidden="1">{#N/A,#N/A,TRUE,"Serviços"}</definedName>
    <definedName name="wrn.Tipo." localSheetId="8" hidden="1">{#N/A,#N/A,TRUE,"Serviços"}</definedName>
    <definedName name="wrn.Tipo." localSheetId="7" hidden="1">{#N/A,#N/A,TRUE,"Serviços"}</definedName>
    <definedName name="wrn.Tipo." localSheetId="34" hidden="1">{#N/A,#N/A,TRUE,"Serviços"}</definedName>
    <definedName name="wrn.Tipo." localSheetId="44" hidden="1">{#N/A,#N/A,TRUE,"Serviços"}</definedName>
    <definedName name="wrn.Tipo." localSheetId="43" hidden="1">{#N/A,#N/A,TRUE,"Serviços"}</definedName>
    <definedName name="wrn.Tipo." localSheetId="42" hidden="1">{#N/A,#N/A,TRUE,"Serviços"}</definedName>
    <definedName name="wrn.Tipo." localSheetId="21" hidden="1">{#N/A,#N/A,TRUE,"Serviços"}</definedName>
    <definedName name="wrn.Tipo." localSheetId="15" hidden="1">{#N/A,#N/A,TRUE,"Serviços"}</definedName>
    <definedName name="wrn.Tipo." hidden="1">{#N/A,#N/A,TRUE,"Serviços"}</definedName>
    <definedName name="ww">"'file:///Y:/ENGENHARIA/Deise Aoki/PATOS - OK/PATOS 05-09-2007-ok/Laptop - Arquivos/DNIT/PATOs/Rondonópolis/PATO_BR-364_km_000_ao_km_11290_LICITAÇÃO MAIO DE 2007.xls'#$reg_mec_fx_dm_.$#REF!$#REF!:$#REF!$#REF!"</definedName>
    <definedName name="ww_27" localSheetId="21">[58]reg_mec_fx_dm_!#REF!</definedName>
    <definedName name="ww_27">[58]reg_mec_fx_dm_!#REF!</definedName>
    <definedName name="ww_28" localSheetId="21">[58]reg_mec_fx_dm_!#REF!</definedName>
    <definedName name="ww_28">[58]reg_mec_fx_dm_!#REF!</definedName>
    <definedName name="ww_29" localSheetId="21">[58]reg_mec_fx_dm_!#REF!</definedName>
    <definedName name="ww_29">[58]reg_mec_fx_dm_!#REF!</definedName>
    <definedName name="x" localSheetId="21">[89]Equipamentos!#REF!</definedName>
    <definedName name="x">[89]Equipamentos!#REF!</definedName>
    <definedName name="x_10" localSheetId="21">[89]Equipamentos!#REF!</definedName>
    <definedName name="x_10">[89]Equipamentos!#REF!</definedName>
    <definedName name="x_25">[89]Equipamentos!#REF!</definedName>
    <definedName name="x_27">[89]Equipamentos!#REF!</definedName>
    <definedName name="x_29">[89]Equipamentos!#REF!</definedName>
    <definedName name="x_31">[89]Equipamentos!#REF!</definedName>
    <definedName name="x_9">[89]Equipamentos!#REF!</definedName>
    <definedName name="xx">#N/A</definedName>
    <definedName name="XXX">#N/A</definedName>
    <definedName name="XXX_1">#N/A</definedName>
    <definedName name="XXX_10">#N/A</definedName>
    <definedName name="XXX_12">#N/A</definedName>
    <definedName name="XXX_13">#N/A</definedName>
    <definedName name="XXX_14">#N/A</definedName>
    <definedName name="XXX_2">#N/A</definedName>
    <definedName name="XXX_22">#N/A</definedName>
    <definedName name="XXX_25">#N/A</definedName>
    <definedName name="XXX_26">#N/A</definedName>
    <definedName name="XXX_27">#N/A</definedName>
    <definedName name="XXX_28">#N/A</definedName>
    <definedName name="XXX_29">#N/A</definedName>
    <definedName name="XXX_3">#N/A</definedName>
    <definedName name="XXX_30">#N/A</definedName>
    <definedName name="XXX_31">#N/A</definedName>
    <definedName name="XXX_32">#N/A</definedName>
    <definedName name="XXX_33">#N/A</definedName>
    <definedName name="XXX_34">#N/A</definedName>
    <definedName name="XXX_35">#N/A</definedName>
    <definedName name="XXX_36">#N/A</definedName>
    <definedName name="XXX_37">#N/A</definedName>
    <definedName name="XXX_38">#N/A</definedName>
    <definedName name="XXX_4">#N/A</definedName>
    <definedName name="XXX_5">#N/A</definedName>
    <definedName name="XXX_6">#N/A</definedName>
    <definedName name="XXX_7">#N/A</definedName>
    <definedName name="XXX_8">#N/A</definedName>
    <definedName name="XXX_9">#N/A</definedName>
    <definedName name="XXXXXX" localSheetId="2">[80]!a022e</definedName>
    <definedName name="XXXXXX" localSheetId="3">[80]!a022e</definedName>
    <definedName name="XXXXXX" localSheetId="11">[0]!a022e</definedName>
    <definedName name="XXXXXX" localSheetId="7">[0]!a022e</definedName>
    <definedName name="XXXXXX" localSheetId="27">[0]!a022e</definedName>
    <definedName name="XXXXXX" localSheetId="22">[80]!a022e</definedName>
    <definedName name="XXXXXX" localSheetId="20">[80]!a022e</definedName>
    <definedName name="XXXXXX" localSheetId="21">[80]!a022e</definedName>
    <definedName name="XXXXXX" localSheetId="26">[80]!a022e</definedName>
    <definedName name="XXXXXX" localSheetId="13">[80]!a022e</definedName>
    <definedName name="XXXXXX" localSheetId="15">[80]!a022e</definedName>
    <definedName name="XXXXXX" localSheetId="25">[0]!a022e</definedName>
    <definedName name="XXXXXX" localSheetId="40">[0]!a022e</definedName>
    <definedName name="XXXXXX">[0]!a022e</definedName>
    <definedName name="xxxxxxxx" localSheetId="11">#REF!</definedName>
    <definedName name="xxxxxxxx" localSheetId="7">#REF!</definedName>
    <definedName name="xxxxxxxx" localSheetId="21">#REF!</definedName>
    <definedName name="xxxxxxxx" localSheetId="15">#REF!</definedName>
    <definedName name="xxxxxxxx">#REF!</definedName>
    <definedName name="Y" localSheetId="11" hidden="1">{#N/A,#N/A,FALSE,"MO (2)"}</definedName>
    <definedName name="Y" localSheetId="7" hidden="1">{#N/A,#N/A,FALSE,"MO (2)"}</definedName>
    <definedName name="Y" localSheetId="21" hidden="1">{#N/A,#N/A,FALSE,"MO (2)"}</definedName>
    <definedName name="Y" localSheetId="15" hidden="1">{#N/A,#N/A,FALSE,"MO (2)"}</definedName>
    <definedName name="Y" hidden="1">{#N/A,#N/A,FALSE,"MO (2)"}</definedName>
    <definedName name="YUI" localSheetId="11">#REF!</definedName>
    <definedName name="YUI" localSheetId="7">#REF!</definedName>
    <definedName name="YUI" localSheetId="21">#REF!</definedName>
    <definedName name="YUI" localSheetId="15">#REF!</definedName>
    <definedName name="YUI">#REF!</definedName>
    <definedName name="z" localSheetId="11" hidden="1">{#N/A,#N/A,FALSE,"MO (2)"}</definedName>
    <definedName name="z" localSheetId="9" hidden="1">{#N/A,#N/A,FALSE,"MO (2)"}</definedName>
    <definedName name="z" localSheetId="10" hidden="1">{#N/A,#N/A,FALSE,"MO (2)"}</definedName>
    <definedName name="z" localSheetId="8" hidden="1">{#N/A,#N/A,FALSE,"MO (2)"}</definedName>
    <definedName name="z" localSheetId="7" hidden="1">{#N/A,#N/A,FALSE,"MO (2)"}</definedName>
    <definedName name="z" localSheetId="34" hidden="1">{#N/A,#N/A,FALSE,"MO (2)"}</definedName>
    <definedName name="z" localSheetId="44" hidden="1">{#N/A,#N/A,FALSE,"MO (2)"}</definedName>
    <definedName name="z" localSheetId="43" hidden="1">{#N/A,#N/A,FALSE,"MO (2)"}</definedName>
    <definedName name="z" localSheetId="42" hidden="1">{#N/A,#N/A,FALSE,"MO (2)"}</definedName>
    <definedName name="z" localSheetId="21" hidden="1">{#N/A,#N/A,FALSE,"MO (2)"}</definedName>
    <definedName name="z" localSheetId="17" hidden="1">{#N/A,#N/A,FALSE,"MO (2)"}</definedName>
    <definedName name="z" localSheetId="1" hidden="1">{#N/A,#N/A,FALSE,"MO (2)"}</definedName>
    <definedName name="z" localSheetId="16" hidden="1">{#N/A,#N/A,FALSE,"MO (2)"}</definedName>
    <definedName name="z" localSheetId="26" hidden="1">{#N/A,#N/A,FALSE,"MO (2)"}</definedName>
    <definedName name="z" localSheetId="13" hidden="1">{#N/A,#N/A,FALSE,"MO (2)"}</definedName>
    <definedName name="z" localSheetId="15" hidden="1">{#N/A,#N/A,FALSE,"MO (2)"}</definedName>
    <definedName name="z" localSheetId="33" hidden="1">{#N/A,#N/A,FALSE,"MO (2)"}</definedName>
    <definedName name="z" hidden="1">{#N/A,#N/A,FALSE,"MO (2)"}</definedName>
    <definedName name="z_1" localSheetId="11" hidden="1">{#N/A,#N/A,FALSE,"MO (2)"}</definedName>
    <definedName name="z_1" localSheetId="9" hidden="1">{#N/A,#N/A,FALSE,"MO (2)"}</definedName>
    <definedName name="z_1" localSheetId="10" hidden="1">{#N/A,#N/A,FALSE,"MO (2)"}</definedName>
    <definedName name="z_1" localSheetId="8" hidden="1">{#N/A,#N/A,FALSE,"MO (2)"}</definedName>
    <definedName name="z_1" localSheetId="7" hidden="1">{#N/A,#N/A,FALSE,"MO (2)"}</definedName>
    <definedName name="z_1" localSheetId="34" hidden="1">{#N/A,#N/A,FALSE,"MO (2)"}</definedName>
    <definedName name="z_1" localSheetId="44" hidden="1">{#N/A,#N/A,FALSE,"MO (2)"}</definedName>
    <definedName name="z_1" localSheetId="43" hidden="1">{#N/A,#N/A,FALSE,"MO (2)"}</definedName>
    <definedName name="z_1" localSheetId="42" hidden="1">{#N/A,#N/A,FALSE,"MO (2)"}</definedName>
    <definedName name="z_1" localSheetId="21" hidden="1">{#N/A,#N/A,FALSE,"MO (2)"}</definedName>
    <definedName name="z_1" localSheetId="17" hidden="1">{#N/A,#N/A,FALSE,"MO (2)"}</definedName>
    <definedName name="z_1" localSheetId="1" hidden="1">{#N/A,#N/A,FALSE,"MO (2)"}</definedName>
    <definedName name="z_1" localSheetId="16" hidden="1">{#N/A,#N/A,FALSE,"MO (2)"}</definedName>
    <definedName name="z_1" localSheetId="26" hidden="1">{#N/A,#N/A,FALSE,"MO (2)"}</definedName>
    <definedName name="z_1" localSheetId="13" hidden="1">{#N/A,#N/A,FALSE,"MO (2)"}</definedName>
    <definedName name="z_1" localSheetId="15" hidden="1">{#N/A,#N/A,FALSE,"MO (2)"}</definedName>
    <definedName name="z_1" localSheetId="33" hidden="1">{#N/A,#N/A,FALSE,"MO (2)"}</definedName>
    <definedName name="z_1" hidden="1">{#N/A,#N/A,FALSE,"MO (2)"}</definedName>
    <definedName name="Z_2442EB8A_F4CE_4110_BEA9_9FADEB005031_.wvu.PrintArea" localSheetId="11" hidden="1">'2003850'!$A$3:$M$40</definedName>
    <definedName name="Z_2442EB8A_F4CE_4110_BEA9_9FADEB005031_.wvu.PrintArea" localSheetId="9" hidden="1">'4011219'!$A$3:$M$39</definedName>
    <definedName name="Z_2442EB8A_F4CE_4110_BEA9_9FADEB005031_.wvu.PrintArea" localSheetId="10" hidden="1">'4016096'!$A$3:$M$34</definedName>
    <definedName name="Z_2442EB8A_F4CE_4110_BEA9_9FADEB005031_.wvu.PrintArea" localSheetId="8" hidden="1">'5914354'!$A$3:$M$30</definedName>
    <definedName name="Z_2442EB8A_F4CE_4110_BEA9_9FADEB005031_.wvu.PrintArea" localSheetId="7" hidden="1">'CPAV010 4016096'!$A$3:$M$40</definedName>
    <definedName name="zaza" localSheetId="11" hidden="1">{#N/A,#N/A,FALSE,"MO (2)"}</definedName>
    <definedName name="zaza" localSheetId="9" hidden="1">{#N/A,#N/A,FALSE,"MO (2)"}</definedName>
    <definedName name="zaza" localSheetId="10" hidden="1">{#N/A,#N/A,FALSE,"MO (2)"}</definedName>
    <definedName name="zaza" localSheetId="8" hidden="1">{#N/A,#N/A,FALSE,"MO (2)"}</definedName>
    <definedName name="zaza" localSheetId="7" hidden="1">{#N/A,#N/A,FALSE,"MO (2)"}</definedName>
    <definedName name="zaza" localSheetId="34" hidden="1">{#N/A,#N/A,FALSE,"MO (2)"}</definedName>
    <definedName name="zaza" localSheetId="44" hidden="1">{#N/A,#N/A,FALSE,"MO (2)"}</definedName>
    <definedName name="zaza" localSheetId="43" hidden="1">{#N/A,#N/A,FALSE,"MO (2)"}</definedName>
    <definedName name="zaza" localSheetId="42" hidden="1">{#N/A,#N/A,FALSE,"MO (2)"}</definedName>
    <definedName name="zaza" localSheetId="21" hidden="1">{#N/A,#N/A,FALSE,"MO (2)"}</definedName>
    <definedName name="zaza" localSheetId="17" hidden="1">{#N/A,#N/A,FALSE,"MO (2)"}</definedName>
    <definedName name="zaza" localSheetId="1" hidden="1">{#N/A,#N/A,FALSE,"MO (2)"}</definedName>
    <definedName name="zaza" localSheetId="16" hidden="1">{#N/A,#N/A,FALSE,"MO (2)"}</definedName>
    <definedName name="zaza" localSheetId="26" hidden="1">{#N/A,#N/A,FALSE,"MO (2)"}</definedName>
    <definedName name="zaza" localSheetId="13" hidden="1">{#N/A,#N/A,FALSE,"MO (2)"}</definedName>
    <definedName name="zaza" localSheetId="15" hidden="1">{#N/A,#N/A,FALSE,"MO (2)"}</definedName>
    <definedName name="zaza" localSheetId="33" hidden="1">{#N/A,#N/A,FALSE,"MO (2)"}</definedName>
    <definedName name="zaza" hidden="1">{#N/A,#N/A,FALSE,"MO (2)"}</definedName>
    <definedName name="zaza_1" localSheetId="11" hidden="1">{#N/A,#N/A,FALSE,"MO (2)"}</definedName>
    <definedName name="zaza_1" localSheetId="9" hidden="1">{#N/A,#N/A,FALSE,"MO (2)"}</definedName>
    <definedName name="zaza_1" localSheetId="10" hidden="1">{#N/A,#N/A,FALSE,"MO (2)"}</definedName>
    <definedName name="zaza_1" localSheetId="8" hidden="1">{#N/A,#N/A,FALSE,"MO (2)"}</definedName>
    <definedName name="zaza_1" localSheetId="7" hidden="1">{#N/A,#N/A,FALSE,"MO (2)"}</definedName>
    <definedName name="zaza_1" localSheetId="34" hidden="1">{#N/A,#N/A,FALSE,"MO (2)"}</definedName>
    <definedName name="zaza_1" localSheetId="44" hidden="1">{#N/A,#N/A,FALSE,"MO (2)"}</definedName>
    <definedName name="zaza_1" localSheetId="43" hidden="1">{#N/A,#N/A,FALSE,"MO (2)"}</definedName>
    <definedName name="zaza_1" localSheetId="42" hidden="1">{#N/A,#N/A,FALSE,"MO (2)"}</definedName>
    <definedName name="zaza_1" localSheetId="21" hidden="1">{#N/A,#N/A,FALSE,"MO (2)"}</definedName>
    <definedName name="zaza_1" localSheetId="17" hidden="1">{#N/A,#N/A,FALSE,"MO (2)"}</definedName>
    <definedName name="zaza_1" localSheetId="1" hidden="1">{#N/A,#N/A,FALSE,"MO (2)"}</definedName>
    <definedName name="zaza_1" localSheetId="16" hidden="1">{#N/A,#N/A,FALSE,"MO (2)"}</definedName>
    <definedName name="zaza_1" localSheetId="26" hidden="1">{#N/A,#N/A,FALSE,"MO (2)"}</definedName>
    <definedName name="zaza_1" localSheetId="13" hidden="1">{#N/A,#N/A,FALSE,"MO (2)"}</definedName>
    <definedName name="zaza_1" localSheetId="15" hidden="1">{#N/A,#N/A,FALSE,"MO (2)"}</definedName>
    <definedName name="zaza_1" localSheetId="33" hidden="1">{#N/A,#N/A,FALSE,"MO (2)"}</definedName>
    <definedName name="zaza_1" hidden="1">{#N/A,#N/A,FALSE,"MO (2)"}</definedName>
    <definedName name="zenil" localSheetId="11">#REF!</definedName>
    <definedName name="zenil" localSheetId="7">#REF!</definedName>
    <definedName name="zenil" localSheetId="21">#REF!</definedName>
    <definedName name="zenil" localSheetId="15">#REF!</definedName>
    <definedName name="zenil">#REF!</definedName>
    <definedName name="ZZZZZ">#N/A</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1" i="19" l="1"/>
  <c r="F9" i="19"/>
  <c r="F7" i="19"/>
  <c r="G8" i="14"/>
  <c r="F8" i="14"/>
  <c r="Q65" i="18"/>
  <c r="T65" i="18" s="1"/>
  <c r="Q66" i="18"/>
  <c r="T66" i="18" s="1"/>
  <c r="Q64" i="18"/>
  <c r="T64" i="18" s="1"/>
  <c r="Q61" i="18"/>
  <c r="V61" i="18" s="1"/>
  <c r="U61" i="18" s="1"/>
  <c r="Q62" i="18"/>
  <c r="T62" i="18" s="1"/>
  <c r="T60" i="18"/>
  <c r="Q60" i="18"/>
  <c r="P93" i="28"/>
  <c r="T52" i="18"/>
  <c r="T51" i="18"/>
  <c r="V148" i="18"/>
  <c r="V147" i="18"/>
  <c r="V146" i="18"/>
  <c r="V145" i="18"/>
  <c r="V144" i="18"/>
  <c r="V141" i="18"/>
  <c r="V140" i="18"/>
  <c r="V139" i="18"/>
  <c r="V138" i="18"/>
  <c r="V137" i="18"/>
  <c r="V133" i="18"/>
  <c r="V132" i="18"/>
  <c r="V131" i="18"/>
  <c r="V130" i="18"/>
  <c r="V129" i="18"/>
  <c r="V127" i="18"/>
  <c r="V126" i="18"/>
  <c r="V124" i="18"/>
  <c r="V123" i="18"/>
  <c r="V122" i="18"/>
  <c r="V121" i="18"/>
  <c r="V120" i="18"/>
  <c r="V118" i="18"/>
  <c r="V117" i="18"/>
  <c r="V114" i="18"/>
  <c r="V112" i="18"/>
  <c r="V111" i="18"/>
  <c r="V107" i="18"/>
  <c r="V105" i="18"/>
  <c r="V104" i="18"/>
  <c r="V100" i="18"/>
  <c r="V98" i="18"/>
  <c r="V97" i="18"/>
  <c r="V60" i="18"/>
  <c r="V52" i="18"/>
  <c r="V51" i="18"/>
  <c r="V49" i="18"/>
  <c r="V48" i="18"/>
  <c r="V28" i="18"/>
  <c r="V27" i="18"/>
  <c r="V26" i="18"/>
  <c r="V24" i="18"/>
  <c r="V23" i="18"/>
  <c r="V21" i="18"/>
  <c r="V20" i="18"/>
  <c r="V19" i="18"/>
  <c r="V17" i="18"/>
  <c r="V13" i="18"/>
  <c r="V14" i="18"/>
  <c r="V15" i="18"/>
  <c r="V12" i="18"/>
  <c r="T148" i="18"/>
  <c r="T147" i="18"/>
  <c r="T146" i="18"/>
  <c r="T145" i="18"/>
  <c r="T144" i="18"/>
  <c r="T141" i="18"/>
  <c r="T140" i="18"/>
  <c r="T139" i="18"/>
  <c r="T138" i="18"/>
  <c r="T137" i="18"/>
  <c r="T133" i="18"/>
  <c r="T132" i="18"/>
  <c r="T131" i="18"/>
  <c r="T130" i="18"/>
  <c r="T129" i="18"/>
  <c r="T127" i="18"/>
  <c r="T126" i="18"/>
  <c r="T124" i="18"/>
  <c r="T123" i="18"/>
  <c r="T122" i="18"/>
  <c r="T121" i="18"/>
  <c r="T120" i="18"/>
  <c r="T118" i="18"/>
  <c r="T117" i="18"/>
  <c r="T114" i="18"/>
  <c r="T112" i="18"/>
  <c r="T111" i="18"/>
  <c r="T107" i="18"/>
  <c r="T105" i="18"/>
  <c r="T104" i="18"/>
  <c r="T100" i="18"/>
  <c r="T98" i="18"/>
  <c r="T97" i="18"/>
  <c r="P148" i="18"/>
  <c r="P147" i="18"/>
  <c r="P146" i="18"/>
  <c r="P145" i="18"/>
  <c r="P144" i="18"/>
  <c r="P143" i="18"/>
  <c r="P141" i="18"/>
  <c r="P140" i="18"/>
  <c r="P139" i="18"/>
  <c r="P138" i="18"/>
  <c r="P137" i="18"/>
  <c r="P136" i="18"/>
  <c r="P133" i="18"/>
  <c r="P132" i="18"/>
  <c r="P131" i="18"/>
  <c r="P130" i="18"/>
  <c r="P129" i="18"/>
  <c r="P127" i="18"/>
  <c r="P126" i="18"/>
  <c r="P124" i="18"/>
  <c r="P123" i="18"/>
  <c r="P122" i="18"/>
  <c r="P121" i="18"/>
  <c r="X121" i="18" s="1"/>
  <c r="P120" i="18"/>
  <c r="P118" i="18"/>
  <c r="P117" i="18"/>
  <c r="P116" i="18"/>
  <c r="P114" i="18"/>
  <c r="P112" i="18"/>
  <c r="P111" i="18"/>
  <c r="P109" i="18"/>
  <c r="P107" i="18"/>
  <c r="P105" i="18"/>
  <c r="P104" i="18"/>
  <c r="P102" i="18"/>
  <c r="P100" i="18"/>
  <c r="P98" i="18"/>
  <c r="P97" i="18"/>
  <c r="P48" i="18"/>
  <c r="P49" i="18"/>
  <c r="T28" i="18"/>
  <c r="T27" i="18"/>
  <c r="T26" i="18"/>
  <c r="T24" i="18"/>
  <c r="T23" i="18"/>
  <c r="T21" i="18"/>
  <c r="T20" i="18"/>
  <c r="T19" i="18"/>
  <c r="T17" i="18"/>
  <c r="T12" i="18"/>
  <c r="T13" i="18"/>
  <c r="T14" i="18"/>
  <c r="T15" i="18"/>
  <c r="T11" i="18"/>
  <c r="Q52" i="18"/>
  <c r="Q51" i="18"/>
  <c r="Q148" i="18"/>
  <c r="Q147" i="18"/>
  <c r="Q146" i="18"/>
  <c r="Q145" i="18"/>
  <c r="Q144" i="18"/>
  <c r="Q141" i="18"/>
  <c r="Q140" i="18"/>
  <c r="Q139" i="18"/>
  <c r="Q138" i="18"/>
  <c r="Q137" i="18"/>
  <c r="Q133" i="18"/>
  <c r="Q132" i="18"/>
  <c r="Q131" i="18"/>
  <c r="Q130" i="18"/>
  <c r="Q129" i="18"/>
  <c r="Q127" i="18"/>
  <c r="Q126" i="18"/>
  <c r="X122" i="18"/>
  <c r="Q124" i="18"/>
  <c r="Q123" i="18"/>
  <c r="Q122" i="18"/>
  <c r="Q121" i="18"/>
  <c r="Q120" i="18"/>
  <c r="Q118" i="18"/>
  <c r="Q117" i="18"/>
  <c r="Q114" i="18"/>
  <c r="Q112" i="18"/>
  <c r="Q111" i="18"/>
  <c r="Q107" i="18"/>
  <c r="Q105" i="18"/>
  <c r="Q104" i="18"/>
  <c r="Q100" i="18"/>
  <c r="Q98" i="18"/>
  <c r="Q97" i="18"/>
  <c r="R97" i="18"/>
  <c r="Q49" i="18"/>
  <c r="Q48" i="18"/>
  <c r="Q28" i="18"/>
  <c r="Q27" i="18"/>
  <c r="Q26" i="18"/>
  <c r="Q24" i="18"/>
  <c r="Q23" i="18"/>
  <c r="Q21" i="18"/>
  <c r="Q20" i="18"/>
  <c r="Q19" i="18"/>
  <c r="Q17" i="18"/>
  <c r="Q12" i="18"/>
  <c r="Q13" i="18"/>
  <c r="Q14" i="18"/>
  <c r="Q15" i="18"/>
  <c r="Q11" i="18"/>
  <c r="R11" i="18"/>
  <c r="P15" i="18"/>
  <c r="P14" i="18"/>
  <c r="P13" i="18"/>
  <c r="P12" i="18"/>
  <c r="P11" i="18"/>
  <c r="L66" i="45"/>
  <c r="J60" i="45"/>
  <c r="H60" i="45"/>
  <c r="J59" i="45"/>
  <c r="H59" i="45"/>
  <c r="J58" i="45"/>
  <c r="H58" i="45"/>
  <c r="J57" i="45"/>
  <c r="H57" i="45"/>
  <c r="J56" i="45"/>
  <c r="H56" i="45"/>
  <c r="J55" i="45"/>
  <c r="H55" i="45"/>
  <c r="J54" i="45"/>
  <c r="H54" i="45"/>
  <c r="J53" i="45"/>
  <c r="H53" i="45"/>
  <c r="M49" i="45"/>
  <c r="M48" i="45"/>
  <c r="K48" i="45"/>
  <c r="G48" i="45"/>
  <c r="M46" i="45"/>
  <c r="M45" i="45"/>
  <c r="K45" i="45"/>
  <c r="G45" i="45"/>
  <c r="M42" i="45"/>
  <c r="M41" i="45"/>
  <c r="K41" i="45"/>
  <c r="G41" i="45"/>
  <c r="M39" i="45"/>
  <c r="M38" i="45"/>
  <c r="K38" i="45"/>
  <c r="G38" i="45"/>
  <c r="M34" i="45"/>
  <c r="M33" i="45"/>
  <c r="K33" i="45"/>
  <c r="I33" i="45"/>
  <c r="G33" i="45"/>
  <c r="M32" i="45"/>
  <c r="K32" i="45"/>
  <c r="I32" i="45"/>
  <c r="G32" i="45"/>
  <c r="M31" i="45"/>
  <c r="K31" i="45"/>
  <c r="I31" i="45"/>
  <c r="G31" i="45"/>
  <c r="M30" i="45"/>
  <c r="K30" i="45"/>
  <c r="I30" i="45"/>
  <c r="G30" i="45"/>
  <c r="M29" i="45"/>
  <c r="K29" i="45"/>
  <c r="I29" i="45"/>
  <c r="G29" i="45"/>
  <c r="M28" i="45"/>
  <c r="K28" i="45"/>
  <c r="I28" i="45"/>
  <c r="G28" i="45"/>
  <c r="M26" i="45"/>
  <c r="K26" i="45"/>
  <c r="I26" i="45"/>
  <c r="G26" i="45"/>
  <c r="M25" i="45"/>
  <c r="K25" i="45"/>
  <c r="I25" i="45"/>
  <c r="G25" i="45"/>
  <c r="M24" i="45"/>
  <c r="K24" i="45"/>
  <c r="I24" i="45"/>
  <c r="G24" i="45"/>
  <c r="M23" i="45"/>
  <c r="K23" i="45"/>
  <c r="I23" i="45"/>
  <c r="G23" i="45"/>
  <c r="M22" i="45"/>
  <c r="K22" i="45"/>
  <c r="I22" i="45"/>
  <c r="G22" i="45"/>
  <c r="M19" i="45"/>
  <c r="M18" i="45"/>
  <c r="K18" i="45"/>
  <c r="I18" i="45"/>
  <c r="M17" i="45"/>
  <c r="K17" i="45"/>
  <c r="I17" i="45"/>
  <c r="M16" i="45"/>
  <c r="K16" i="45"/>
  <c r="I16" i="45"/>
  <c r="G16" i="45"/>
  <c r="M15" i="45"/>
  <c r="K15" i="45"/>
  <c r="I15" i="45"/>
  <c r="G15" i="45"/>
  <c r="M14" i="45"/>
  <c r="K14" i="45"/>
  <c r="I14" i="45"/>
  <c r="G14" i="45"/>
  <c r="M13" i="45"/>
  <c r="K13" i="45"/>
  <c r="I13" i="45"/>
  <c r="O11" i="45"/>
  <c r="M11" i="45"/>
  <c r="K11" i="45"/>
  <c r="I11" i="45"/>
  <c r="G11" i="45"/>
  <c r="M10" i="45"/>
  <c r="K10" i="45"/>
  <c r="I10" i="45"/>
  <c r="G10" i="45"/>
  <c r="M9" i="45"/>
  <c r="K9" i="45"/>
  <c r="I9" i="45"/>
  <c r="G9" i="45"/>
  <c r="M8" i="45"/>
  <c r="K8" i="45"/>
  <c r="I8" i="45"/>
  <c r="G8" i="45"/>
  <c r="M7" i="45"/>
  <c r="K7" i="45"/>
  <c r="I7" i="45"/>
  <c r="G7" i="45"/>
  <c r="K196" i="44"/>
  <c r="J196" i="44"/>
  <c r="I196" i="44"/>
  <c r="H196" i="44"/>
  <c r="G196" i="44"/>
  <c r="F196" i="44"/>
  <c r="K195" i="44"/>
  <c r="J195" i="44"/>
  <c r="I195" i="44"/>
  <c r="H195" i="44"/>
  <c r="G195" i="44"/>
  <c r="F195" i="44"/>
  <c r="D195" i="44"/>
  <c r="C195" i="44"/>
  <c r="K194" i="44"/>
  <c r="J194" i="44"/>
  <c r="I194" i="44"/>
  <c r="H194" i="44"/>
  <c r="G194" i="44"/>
  <c r="F194" i="44"/>
  <c r="D194" i="44"/>
  <c r="C194" i="44"/>
  <c r="K193" i="44"/>
  <c r="J193" i="44"/>
  <c r="I193" i="44"/>
  <c r="H193" i="44"/>
  <c r="G193" i="44"/>
  <c r="F193" i="44"/>
  <c r="D193" i="44"/>
  <c r="C193" i="44"/>
  <c r="K192" i="44"/>
  <c r="I192" i="44"/>
  <c r="H192" i="44"/>
  <c r="G192" i="44"/>
  <c r="F192" i="44"/>
  <c r="K190" i="44"/>
  <c r="J190" i="44"/>
  <c r="I190" i="44"/>
  <c r="H190" i="44"/>
  <c r="G190" i="44"/>
  <c r="F190" i="44"/>
  <c r="K189" i="44"/>
  <c r="J189" i="44"/>
  <c r="I189" i="44"/>
  <c r="H189" i="44"/>
  <c r="G189" i="44"/>
  <c r="F189" i="44"/>
  <c r="D189" i="44"/>
  <c r="C189" i="44"/>
  <c r="K188" i="44"/>
  <c r="J188" i="44"/>
  <c r="I188" i="44"/>
  <c r="H188" i="44"/>
  <c r="G188" i="44"/>
  <c r="F188" i="44"/>
  <c r="D188" i="44"/>
  <c r="C188" i="44"/>
  <c r="K187" i="44"/>
  <c r="J187" i="44"/>
  <c r="I187" i="44"/>
  <c r="H187" i="44"/>
  <c r="G187" i="44"/>
  <c r="F187" i="44"/>
  <c r="D187" i="44"/>
  <c r="C187" i="44"/>
  <c r="K186" i="44"/>
  <c r="J186" i="44"/>
  <c r="I186" i="44"/>
  <c r="H186" i="44"/>
  <c r="G186" i="44"/>
  <c r="F186" i="44"/>
  <c r="D186" i="44"/>
  <c r="C186" i="44"/>
  <c r="K185" i="44"/>
  <c r="I185" i="44"/>
  <c r="H185" i="44"/>
  <c r="G185" i="44"/>
  <c r="F185" i="44"/>
  <c r="K184" i="44"/>
  <c r="I184" i="44"/>
  <c r="H184" i="44"/>
  <c r="G184" i="44"/>
  <c r="F184" i="44"/>
  <c r="D184" i="44"/>
  <c r="G179" i="44"/>
  <c r="K177" i="44"/>
  <c r="J177" i="44"/>
  <c r="I177" i="44"/>
  <c r="K176" i="44"/>
  <c r="J176" i="44"/>
  <c r="I176" i="44"/>
  <c r="K175" i="44"/>
  <c r="J175" i="44"/>
  <c r="I175" i="44"/>
  <c r="G175" i="44"/>
  <c r="F175" i="44"/>
  <c r="C175" i="44"/>
  <c r="B175" i="44"/>
  <c r="K174" i="44"/>
  <c r="J174" i="44"/>
  <c r="I174" i="44"/>
  <c r="G174" i="44"/>
  <c r="F174" i="44"/>
  <c r="C174" i="44"/>
  <c r="B174" i="44"/>
  <c r="K173" i="44"/>
  <c r="J173" i="44"/>
  <c r="I173" i="44"/>
  <c r="G173" i="44"/>
  <c r="F173" i="44"/>
  <c r="C173" i="44"/>
  <c r="B173" i="44"/>
  <c r="K172" i="44"/>
  <c r="J172" i="44"/>
  <c r="I172" i="44"/>
  <c r="G172" i="44"/>
  <c r="F172" i="44"/>
  <c r="C172" i="44"/>
  <c r="B172" i="44"/>
  <c r="K171" i="44"/>
  <c r="J171" i="44"/>
  <c r="I171" i="44"/>
  <c r="G171" i="44"/>
  <c r="F171" i="44"/>
  <c r="C171" i="44"/>
  <c r="B171" i="44"/>
  <c r="K170" i="44"/>
  <c r="J170" i="44"/>
  <c r="I170" i="44"/>
  <c r="G170" i="44"/>
  <c r="F170" i="44"/>
  <c r="C170" i="44"/>
  <c r="B170" i="44"/>
  <c r="K169" i="44"/>
  <c r="J169" i="44"/>
  <c r="I169" i="44"/>
  <c r="G169" i="44"/>
  <c r="F169" i="44"/>
  <c r="C169" i="44"/>
  <c r="B169" i="44"/>
  <c r="P168" i="44"/>
  <c r="K168" i="44"/>
  <c r="J168" i="44"/>
  <c r="I168" i="44"/>
  <c r="G168" i="44"/>
  <c r="F168" i="44"/>
  <c r="C168" i="44"/>
  <c r="B168" i="44"/>
  <c r="K167" i="44"/>
  <c r="J167" i="44"/>
  <c r="I167" i="44"/>
  <c r="G167" i="44"/>
  <c r="F167" i="44"/>
  <c r="C167" i="44"/>
  <c r="B167" i="44"/>
  <c r="K166" i="44"/>
  <c r="J166" i="44"/>
  <c r="I166" i="44"/>
  <c r="G166" i="44"/>
  <c r="F166" i="44"/>
  <c r="C166" i="44"/>
  <c r="B166" i="44"/>
  <c r="K165" i="44"/>
  <c r="J165" i="44"/>
  <c r="I165" i="44"/>
  <c r="G165" i="44"/>
  <c r="F165" i="44"/>
  <c r="C165" i="44"/>
  <c r="B165" i="44"/>
  <c r="K164" i="44"/>
  <c r="J164" i="44"/>
  <c r="I164" i="44"/>
  <c r="G164" i="44"/>
  <c r="F164" i="44"/>
  <c r="C164" i="44"/>
  <c r="B164" i="44"/>
  <c r="K163" i="44"/>
  <c r="J163" i="44"/>
  <c r="I163" i="44"/>
  <c r="G163" i="44"/>
  <c r="F163" i="44"/>
  <c r="C163" i="44"/>
  <c r="B163" i="44"/>
  <c r="K162" i="44"/>
  <c r="J162" i="44"/>
  <c r="I162" i="44"/>
  <c r="G162" i="44"/>
  <c r="F162" i="44"/>
  <c r="C162" i="44"/>
  <c r="B162" i="44"/>
  <c r="K161" i="44"/>
  <c r="J161" i="44"/>
  <c r="I161" i="44"/>
  <c r="G161" i="44"/>
  <c r="F161" i="44"/>
  <c r="C161" i="44"/>
  <c r="B161" i="44"/>
  <c r="K160" i="44"/>
  <c r="J160" i="44"/>
  <c r="I160" i="44"/>
  <c r="G160" i="44"/>
  <c r="F160" i="44"/>
  <c r="C160" i="44"/>
  <c r="B160" i="44"/>
  <c r="K159" i="44"/>
  <c r="J159" i="44"/>
  <c r="I159" i="44"/>
  <c r="G159" i="44"/>
  <c r="F159" i="44"/>
  <c r="C159" i="44"/>
  <c r="B159" i="44"/>
  <c r="K158" i="44"/>
  <c r="J158" i="44"/>
  <c r="I158" i="44"/>
  <c r="G158" i="44"/>
  <c r="F158" i="44"/>
  <c r="C158" i="44"/>
  <c r="B158" i="44"/>
  <c r="K157" i="44"/>
  <c r="J157" i="44"/>
  <c r="I157" i="44"/>
  <c r="G157" i="44"/>
  <c r="F157" i="44"/>
  <c r="C157" i="44"/>
  <c r="B157" i="44"/>
  <c r="K156" i="44"/>
  <c r="J156" i="44"/>
  <c r="I156" i="44"/>
  <c r="G156" i="44"/>
  <c r="F156" i="44"/>
  <c r="C156" i="44"/>
  <c r="B156" i="44"/>
  <c r="K155" i="44"/>
  <c r="J155" i="44"/>
  <c r="I155" i="44"/>
  <c r="G155" i="44"/>
  <c r="F155" i="44"/>
  <c r="C155" i="44"/>
  <c r="B155" i="44"/>
  <c r="K154" i="44"/>
  <c r="J154" i="44"/>
  <c r="I154" i="44"/>
  <c r="G154" i="44"/>
  <c r="F154" i="44"/>
  <c r="C154" i="44"/>
  <c r="B154" i="44"/>
  <c r="K153" i="44"/>
  <c r="J153" i="44"/>
  <c r="I153" i="44"/>
  <c r="G153" i="44"/>
  <c r="F153" i="44"/>
  <c r="C153" i="44"/>
  <c r="B153" i="44"/>
  <c r="K152" i="44"/>
  <c r="J152" i="44"/>
  <c r="I152" i="44"/>
  <c r="G152" i="44"/>
  <c r="F152" i="44"/>
  <c r="C152" i="44"/>
  <c r="B152" i="44"/>
  <c r="K151" i="44"/>
  <c r="J151" i="44"/>
  <c r="I151" i="44"/>
  <c r="G151" i="44"/>
  <c r="F151" i="44"/>
  <c r="C151" i="44"/>
  <c r="B151" i="44"/>
  <c r="K150" i="44"/>
  <c r="J150" i="44"/>
  <c r="I150" i="44"/>
  <c r="G150" i="44"/>
  <c r="F150" i="44"/>
  <c r="C150" i="44"/>
  <c r="B150" i="44"/>
  <c r="K149" i="44"/>
  <c r="J149" i="44"/>
  <c r="I149" i="44"/>
  <c r="G149" i="44"/>
  <c r="F149" i="44"/>
  <c r="C149" i="44"/>
  <c r="B149" i="44"/>
  <c r="K148" i="44"/>
  <c r="J148" i="44"/>
  <c r="I148" i="44"/>
  <c r="G148" i="44"/>
  <c r="F148" i="44"/>
  <c r="C148" i="44"/>
  <c r="B148" i="44"/>
  <c r="K147" i="44"/>
  <c r="J147" i="44"/>
  <c r="I147" i="44"/>
  <c r="G147" i="44"/>
  <c r="F147" i="44"/>
  <c r="C147" i="44"/>
  <c r="B147" i="44"/>
  <c r="K146" i="44"/>
  <c r="J146" i="44"/>
  <c r="I146" i="44"/>
  <c r="G146" i="44"/>
  <c r="F146" i="44"/>
  <c r="C146" i="44"/>
  <c r="B146" i="44"/>
  <c r="K145" i="44"/>
  <c r="J145" i="44"/>
  <c r="I145" i="44"/>
  <c r="G145" i="44"/>
  <c r="F145" i="44"/>
  <c r="C145" i="44"/>
  <c r="B145" i="44"/>
  <c r="K144" i="44"/>
  <c r="J144" i="44"/>
  <c r="I144" i="44"/>
  <c r="G144" i="44"/>
  <c r="F144" i="44"/>
  <c r="C144" i="44"/>
  <c r="B144" i="44"/>
  <c r="K143" i="44"/>
  <c r="J143" i="44"/>
  <c r="I143" i="44"/>
  <c r="G143" i="44"/>
  <c r="F143" i="44"/>
  <c r="C143" i="44"/>
  <c r="B143" i="44"/>
  <c r="K141" i="44"/>
  <c r="J141" i="44"/>
  <c r="I141" i="44"/>
  <c r="K140" i="44"/>
  <c r="J140" i="44"/>
  <c r="I140" i="44"/>
  <c r="H140" i="44"/>
  <c r="G140" i="44"/>
  <c r="F140" i="44"/>
  <c r="C140" i="44"/>
  <c r="B140" i="44"/>
  <c r="K139" i="44"/>
  <c r="J139" i="44"/>
  <c r="I139" i="44"/>
  <c r="H139" i="44"/>
  <c r="G139" i="44"/>
  <c r="F139" i="44"/>
  <c r="C139" i="44"/>
  <c r="B139" i="44"/>
  <c r="K138" i="44"/>
  <c r="J138" i="44"/>
  <c r="I138" i="44"/>
  <c r="H138" i="44"/>
  <c r="G138" i="44"/>
  <c r="F138" i="44"/>
  <c r="C138" i="44"/>
  <c r="B138" i="44"/>
  <c r="K137" i="44"/>
  <c r="J137" i="44"/>
  <c r="I137" i="44"/>
  <c r="H137" i="44"/>
  <c r="G137" i="44"/>
  <c r="F137" i="44"/>
  <c r="C137" i="44"/>
  <c r="B137" i="44"/>
  <c r="K136" i="44"/>
  <c r="J136" i="44"/>
  <c r="I136" i="44"/>
  <c r="H136" i="44"/>
  <c r="G136" i="44"/>
  <c r="F136" i="44"/>
  <c r="C136" i="44"/>
  <c r="B136" i="44"/>
  <c r="K135" i="44"/>
  <c r="J135" i="44"/>
  <c r="I135" i="44"/>
  <c r="H135" i="44"/>
  <c r="G135" i="44"/>
  <c r="F135" i="44"/>
  <c r="C135" i="44"/>
  <c r="B135" i="44"/>
  <c r="K134" i="44"/>
  <c r="J134" i="44"/>
  <c r="I134" i="44"/>
  <c r="H134" i="44"/>
  <c r="G134" i="44"/>
  <c r="F134" i="44"/>
  <c r="C134" i="44"/>
  <c r="B134" i="44"/>
  <c r="K133" i="44"/>
  <c r="J133" i="44"/>
  <c r="I133" i="44"/>
  <c r="H133" i="44"/>
  <c r="G133" i="44"/>
  <c r="F133" i="44"/>
  <c r="C133" i="44"/>
  <c r="B133" i="44"/>
  <c r="K132" i="44"/>
  <c r="J132" i="44"/>
  <c r="I132" i="44"/>
  <c r="H132" i="44"/>
  <c r="G132" i="44"/>
  <c r="F132" i="44"/>
  <c r="C132" i="44"/>
  <c r="B132" i="44"/>
  <c r="K131" i="44"/>
  <c r="J131" i="44"/>
  <c r="I131" i="44"/>
  <c r="H131" i="44"/>
  <c r="G131" i="44"/>
  <c r="F131" i="44"/>
  <c r="C131" i="44"/>
  <c r="B131" i="44"/>
  <c r="K130" i="44"/>
  <c r="J130" i="44"/>
  <c r="I130" i="44"/>
  <c r="H130" i="44"/>
  <c r="G130" i="44"/>
  <c r="F130" i="44"/>
  <c r="C130" i="44"/>
  <c r="B130" i="44"/>
  <c r="K129" i="44"/>
  <c r="J129" i="44"/>
  <c r="I129" i="44"/>
  <c r="H129" i="44"/>
  <c r="G129" i="44"/>
  <c r="F129" i="44"/>
  <c r="C129" i="44"/>
  <c r="B129" i="44"/>
  <c r="K128" i="44"/>
  <c r="J128" i="44"/>
  <c r="I128" i="44"/>
  <c r="H128" i="44"/>
  <c r="G128" i="44"/>
  <c r="F128" i="44"/>
  <c r="C128" i="44"/>
  <c r="B128" i="44"/>
  <c r="K127" i="44"/>
  <c r="J127" i="44"/>
  <c r="I127" i="44"/>
  <c r="H127" i="44"/>
  <c r="G127" i="44"/>
  <c r="F127" i="44"/>
  <c r="C127" i="44"/>
  <c r="B127" i="44"/>
  <c r="K126" i="44"/>
  <c r="J126" i="44"/>
  <c r="I126" i="44"/>
  <c r="H126" i="44"/>
  <c r="G126" i="44"/>
  <c r="F126" i="44"/>
  <c r="C126" i="44"/>
  <c r="B126" i="44"/>
  <c r="K125" i="44"/>
  <c r="J125" i="44"/>
  <c r="I125" i="44"/>
  <c r="H125" i="44"/>
  <c r="G125" i="44"/>
  <c r="F125" i="44"/>
  <c r="C125" i="44"/>
  <c r="B125" i="44"/>
  <c r="K124" i="44"/>
  <c r="J124" i="44"/>
  <c r="I124" i="44"/>
  <c r="H124" i="44"/>
  <c r="G124" i="44"/>
  <c r="F124" i="44"/>
  <c r="C124" i="44"/>
  <c r="B124" i="44"/>
  <c r="K123" i="44"/>
  <c r="J123" i="44"/>
  <c r="I123" i="44"/>
  <c r="H123" i="44"/>
  <c r="G123" i="44"/>
  <c r="F123" i="44"/>
  <c r="C123" i="44"/>
  <c r="B123" i="44"/>
  <c r="K122" i="44"/>
  <c r="J122" i="44"/>
  <c r="I122" i="44"/>
  <c r="H122" i="44"/>
  <c r="G122" i="44"/>
  <c r="F122" i="44"/>
  <c r="C122" i="44"/>
  <c r="B122" i="44"/>
  <c r="K121" i="44"/>
  <c r="J121" i="44"/>
  <c r="I121" i="44"/>
  <c r="H121" i="44"/>
  <c r="G121" i="44"/>
  <c r="F121" i="44"/>
  <c r="C121" i="44"/>
  <c r="B121" i="44"/>
  <c r="K120" i="44"/>
  <c r="J120" i="44"/>
  <c r="I120" i="44"/>
  <c r="H120" i="44"/>
  <c r="G120" i="44"/>
  <c r="F120" i="44"/>
  <c r="C120" i="44"/>
  <c r="B120" i="44"/>
  <c r="K119" i="44"/>
  <c r="J119" i="44"/>
  <c r="I119" i="44"/>
  <c r="H119" i="44"/>
  <c r="G119" i="44"/>
  <c r="F119" i="44"/>
  <c r="C119" i="44"/>
  <c r="B119" i="44"/>
  <c r="K118" i="44"/>
  <c r="J118" i="44"/>
  <c r="I118" i="44"/>
  <c r="H118" i="44"/>
  <c r="G118" i="44"/>
  <c r="F118" i="44"/>
  <c r="C118" i="44"/>
  <c r="B118" i="44"/>
  <c r="K117" i="44"/>
  <c r="J117" i="44"/>
  <c r="I117" i="44"/>
  <c r="H117" i="44"/>
  <c r="G117" i="44"/>
  <c r="F117" i="44"/>
  <c r="C117" i="44"/>
  <c r="B117" i="44"/>
  <c r="K116" i="44"/>
  <c r="J116" i="44"/>
  <c r="I116" i="44"/>
  <c r="H116" i="44"/>
  <c r="G116" i="44"/>
  <c r="F116" i="44"/>
  <c r="C116" i="44"/>
  <c r="B116" i="44"/>
  <c r="K115" i="44"/>
  <c r="J115" i="44"/>
  <c r="I115" i="44"/>
  <c r="H115" i="44"/>
  <c r="G115" i="44"/>
  <c r="F115" i="44"/>
  <c r="C115" i="44"/>
  <c r="B115" i="44"/>
  <c r="K114" i="44"/>
  <c r="J114" i="44"/>
  <c r="I114" i="44"/>
  <c r="H114" i="44"/>
  <c r="G114" i="44"/>
  <c r="F114" i="44"/>
  <c r="C114" i="44"/>
  <c r="B114" i="44"/>
  <c r="K113" i="44"/>
  <c r="J113" i="44"/>
  <c r="I113" i="44"/>
  <c r="H113" i="44"/>
  <c r="G113" i="44"/>
  <c r="F113" i="44"/>
  <c r="C113" i="44"/>
  <c r="B113" i="44"/>
  <c r="K112" i="44"/>
  <c r="J112" i="44"/>
  <c r="I112" i="44"/>
  <c r="H112" i="44"/>
  <c r="G112" i="44"/>
  <c r="F112" i="44"/>
  <c r="C112" i="44"/>
  <c r="B112" i="44"/>
  <c r="K111" i="44"/>
  <c r="J111" i="44"/>
  <c r="I111" i="44"/>
  <c r="G111" i="44"/>
  <c r="F111" i="44"/>
  <c r="C111" i="44"/>
  <c r="B111" i="44"/>
  <c r="K106" i="44"/>
  <c r="J106" i="44"/>
  <c r="K105" i="44"/>
  <c r="I105" i="44"/>
  <c r="H105" i="44"/>
  <c r="E105" i="44"/>
  <c r="K103" i="44"/>
  <c r="I103" i="44"/>
  <c r="H103" i="44"/>
  <c r="E103" i="44"/>
  <c r="K98" i="44"/>
  <c r="J98" i="44"/>
  <c r="I98" i="44"/>
  <c r="K97" i="44"/>
  <c r="J97" i="44"/>
  <c r="K95" i="44"/>
  <c r="J95" i="44"/>
  <c r="K90" i="44"/>
  <c r="J90" i="44"/>
  <c r="I90" i="44"/>
  <c r="K89" i="44"/>
  <c r="J89" i="44"/>
  <c r="J75" i="44"/>
  <c r="G75" i="44"/>
  <c r="D75" i="44"/>
  <c r="K72" i="44"/>
  <c r="J72" i="44"/>
  <c r="I72" i="44"/>
  <c r="H72" i="44"/>
  <c r="K71" i="44"/>
  <c r="J71" i="44"/>
  <c r="I71" i="44"/>
  <c r="H71" i="44"/>
  <c r="O70" i="44"/>
  <c r="K70" i="44"/>
  <c r="J70" i="44"/>
  <c r="I70" i="44"/>
  <c r="H70" i="44"/>
  <c r="G70" i="44"/>
  <c r="F70" i="44"/>
  <c r="E70" i="44"/>
  <c r="D70" i="44"/>
  <c r="C70" i="44"/>
  <c r="B70" i="44"/>
  <c r="O69" i="44"/>
  <c r="K69" i="44"/>
  <c r="J69" i="44"/>
  <c r="I69" i="44"/>
  <c r="H69" i="44"/>
  <c r="G69" i="44"/>
  <c r="F69" i="44"/>
  <c r="E69" i="44"/>
  <c r="D69" i="44"/>
  <c r="C69" i="44"/>
  <c r="B69" i="44"/>
  <c r="O68" i="44"/>
  <c r="K68" i="44"/>
  <c r="J68" i="44"/>
  <c r="I68" i="44"/>
  <c r="H68" i="44"/>
  <c r="G68" i="44"/>
  <c r="F68" i="44"/>
  <c r="E68" i="44"/>
  <c r="D68" i="44"/>
  <c r="C68" i="44"/>
  <c r="B68" i="44"/>
  <c r="O67" i="44"/>
  <c r="K67" i="44"/>
  <c r="J67" i="44"/>
  <c r="I67" i="44"/>
  <c r="H67" i="44"/>
  <c r="G67" i="44"/>
  <c r="F67" i="44"/>
  <c r="E67" i="44"/>
  <c r="D67" i="44"/>
  <c r="C67" i="44"/>
  <c r="B67" i="44"/>
  <c r="O66" i="44"/>
  <c r="K66" i="44"/>
  <c r="J66" i="44"/>
  <c r="I66" i="44"/>
  <c r="H66" i="44"/>
  <c r="G66" i="44"/>
  <c r="F66" i="44"/>
  <c r="E66" i="44"/>
  <c r="D66" i="44"/>
  <c r="C66" i="44"/>
  <c r="B66" i="44"/>
  <c r="O65" i="44"/>
  <c r="K65" i="44"/>
  <c r="J65" i="44"/>
  <c r="I65" i="44"/>
  <c r="H65" i="44"/>
  <c r="G65" i="44"/>
  <c r="F65" i="44"/>
  <c r="E65" i="44"/>
  <c r="D65" i="44"/>
  <c r="C65" i="44"/>
  <c r="B65" i="44"/>
  <c r="O64" i="44"/>
  <c r="K64" i="44"/>
  <c r="J64" i="44"/>
  <c r="I64" i="44"/>
  <c r="H64" i="44"/>
  <c r="G64" i="44"/>
  <c r="F64" i="44"/>
  <c r="E64" i="44"/>
  <c r="D64" i="44"/>
  <c r="C64" i="44"/>
  <c r="B64" i="44"/>
  <c r="O63" i="44"/>
  <c r="K63" i="44"/>
  <c r="J63" i="44"/>
  <c r="I63" i="44"/>
  <c r="H63" i="44"/>
  <c r="G63" i="44"/>
  <c r="F63" i="44"/>
  <c r="E63" i="44"/>
  <c r="D63" i="44"/>
  <c r="C63" i="44"/>
  <c r="B63" i="44"/>
  <c r="O62" i="44"/>
  <c r="K62" i="44"/>
  <c r="J62" i="44"/>
  <c r="I62" i="44"/>
  <c r="H62" i="44"/>
  <c r="G62" i="44"/>
  <c r="F62" i="44"/>
  <c r="E62" i="44"/>
  <c r="D62" i="44"/>
  <c r="C62" i="44"/>
  <c r="B62" i="44"/>
  <c r="O61" i="44"/>
  <c r="K61" i="44"/>
  <c r="J61" i="44"/>
  <c r="I61" i="44"/>
  <c r="H61" i="44"/>
  <c r="G61" i="44"/>
  <c r="F61" i="44"/>
  <c r="E61" i="44"/>
  <c r="D61" i="44"/>
  <c r="C61" i="44"/>
  <c r="B61" i="44"/>
  <c r="O60" i="44"/>
  <c r="K60" i="44"/>
  <c r="J60" i="44"/>
  <c r="I60" i="44"/>
  <c r="H60" i="44"/>
  <c r="G60" i="44"/>
  <c r="F60" i="44"/>
  <c r="E60" i="44"/>
  <c r="D60" i="44"/>
  <c r="C60" i="44"/>
  <c r="B60" i="44"/>
  <c r="O59" i="44"/>
  <c r="K59" i="44"/>
  <c r="J59" i="44"/>
  <c r="I59" i="44"/>
  <c r="H59" i="44"/>
  <c r="G59" i="44"/>
  <c r="F59" i="44"/>
  <c r="E59" i="44"/>
  <c r="D59" i="44"/>
  <c r="C59" i="44"/>
  <c r="B59" i="44"/>
  <c r="O58" i="44"/>
  <c r="K58" i="44"/>
  <c r="J58" i="44"/>
  <c r="I58" i="44"/>
  <c r="H58" i="44"/>
  <c r="G58" i="44"/>
  <c r="F58" i="44"/>
  <c r="E58" i="44"/>
  <c r="D58" i="44"/>
  <c r="C58" i="44"/>
  <c r="B58" i="44"/>
  <c r="O57" i="44"/>
  <c r="K57" i="44"/>
  <c r="J57" i="44"/>
  <c r="I57" i="44"/>
  <c r="H57" i="44"/>
  <c r="G57" i="44"/>
  <c r="F57" i="44"/>
  <c r="E57" i="44"/>
  <c r="D57" i="44"/>
  <c r="C57" i="44"/>
  <c r="B57" i="44"/>
  <c r="O56" i="44"/>
  <c r="K56" i="44"/>
  <c r="J56" i="44"/>
  <c r="I56" i="44"/>
  <c r="H56" i="44"/>
  <c r="G56" i="44"/>
  <c r="F56" i="44"/>
  <c r="E56" i="44"/>
  <c r="D56" i="44"/>
  <c r="C56" i="44"/>
  <c r="B56" i="44"/>
  <c r="O55" i="44"/>
  <c r="K55" i="44"/>
  <c r="J55" i="44"/>
  <c r="I55" i="44"/>
  <c r="H55" i="44"/>
  <c r="G55" i="44"/>
  <c r="F55" i="44"/>
  <c r="E55" i="44"/>
  <c r="D55" i="44"/>
  <c r="C55" i="44"/>
  <c r="B55" i="44"/>
  <c r="O54" i="44"/>
  <c r="K54" i="44"/>
  <c r="J54" i="44"/>
  <c r="I54" i="44"/>
  <c r="H54" i="44"/>
  <c r="G54" i="44"/>
  <c r="F54" i="44"/>
  <c r="E54" i="44"/>
  <c r="D54" i="44"/>
  <c r="C54" i="44"/>
  <c r="B54" i="44"/>
  <c r="O53" i="44"/>
  <c r="K53" i="44"/>
  <c r="J53" i="44"/>
  <c r="I53" i="44"/>
  <c r="H53" i="44"/>
  <c r="G53" i="44"/>
  <c r="F53" i="44"/>
  <c r="E53" i="44"/>
  <c r="D53" i="44"/>
  <c r="C53" i="44"/>
  <c r="B53" i="44"/>
  <c r="O52" i="44"/>
  <c r="K52" i="44"/>
  <c r="J52" i="44"/>
  <c r="I52" i="44"/>
  <c r="H52" i="44"/>
  <c r="G52" i="44"/>
  <c r="F52" i="44"/>
  <c r="E52" i="44"/>
  <c r="D52" i="44"/>
  <c r="C52" i="44"/>
  <c r="B52" i="44"/>
  <c r="O51" i="44"/>
  <c r="K51" i="44"/>
  <c r="J51" i="44"/>
  <c r="I51" i="44"/>
  <c r="H51" i="44"/>
  <c r="G51" i="44"/>
  <c r="F51" i="44"/>
  <c r="E51" i="44"/>
  <c r="D51" i="44"/>
  <c r="C51" i="44"/>
  <c r="B51" i="44"/>
  <c r="O50" i="44"/>
  <c r="K50" i="44"/>
  <c r="J50" i="44"/>
  <c r="I50" i="44"/>
  <c r="H50" i="44"/>
  <c r="G50" i="44"/>
  <c r="F50" i="44"/>
  <c r="E50" i="44"/>
  <c r="D50" i="44"/>
  <c r="C50" i="44"/>
  <c r="B50" i="44"/>
  <c r="O49" i="44"/>
  <c r="K49" i="44"/>
  <c r="J49" i="44"/>
  <c r="I49" i="44"/>
  <c r="H49" i="44"/>
  <c r="G49" i="44"/>
  <c r="F49" i="44"/>
  <c r="E49" i="44"/>
  <c r="D49" i="44"/>
  <c r="C49" i="44"/>
  <c r="B49" i="44"/>
  <c r="O48" i="44"/>
  <c r="K48" i="44"/>
  <c r="J48" i="44"/>
  <c r="I48" i="44"/>
  <c r="H48" i="44"/>
  <c r="G48" i="44"/>
  <c r="F48" i="44"/>
  <c r="E48" i="44"/>
  <c r="D48" i="44"/>
  <c r="C48" i="44"/>
  <c r="B48" i="44"/>
  <c r="O47" i="44"/>
  <c r="K47" i="44"/>
  <c r="J47" i="44"/>
  <c r="I47" i="44"/>
  <c r="H47" i="44"/>
  <c r="G47" i="44"/>
  <c r="F47" i="44"/>
  <c r="E47" i="44"/>
  <c r="D47" i="44"/>
  <c r="C47" i="44"/>
  <c r="B47" i="44"/>
  <c r="O46" i="44"/>
  <c r="K46" i="44"/>
  <c r="J46" i="44"/>
  <c r="I46" i="44"/>
  <c r="H46" i="44"/>
  <c r="G46" i="44"/>
  <c r="F46" i="44"/>
  <c r="E46" i="44"/>
  <c r="D46" i="44"/>
  <c r="C46" i="44"/>
  <c r="B46" i="44"/>
  <c r="O45" i="44"/>
  <c r="K45" i="44"/>
  <c r="J45" i="44"/>
  <c r="I45" i="44"/>
  <c r="H45" i="44"/>
  <c r="G45" i="44"/>
  <c r="F45" i="44"/>
  <c r="E45" i="44"/>
  <c r="D45" i="44"/>
  <c r="C45" i="44"/>
  <c r="B45" i="44"/>
  <c r="O44" i="44"/>
  <c r="K44" i="44"/>
  <c r="J44" i="44"/>
  <c r="I44" i="44"/>
  <c r="H44" i="44"/>
  <c r="G44" i="44"/>
  <c r="F44" i="44"/>
  <c r="E44" i="44"/>
  <c r="D44" i="44"/>
  <c r="C44" i="44"/>
  <c r="B44" i="44"/>
  <c r="O43" i="44"/>
  <c r="K43" i="44"/>
  <c r="J43" i="44"/>
  <c r="I43" i="44"/>
  <c r="H43" i="44"/>
  <c r="G43" i="44"/>
  <c r="F43" i="44"/>
  <c r="E43" i="44"/>
  <c r="D43" i="44"/>
  <c r="C43" i="44"/>
  <c r="B43" i="44"/>
  <c r="O42" i="44"/>
  <c r="K42" i="44"/>
  <c r="J42" i="44"/>
  <c r="I42" i="44"/>
  <c r="H42" i="44"/>
  <c r="G42" i="44"/>
  <c r="F42" i="44"/>
  <c r="E42" i="44"/>
  <c r="D42" i="44"/>
  <c r="C42" i="44"/>
  <c r="B42" i="44"/>
  <c r="O41" i="44"/>
  <c r="K41" i="44"/>
  <c r="J41" i="44"/>
  <c r="I41" i="44"/>
  <c r="H41" i="44"/>
  <c r="G41" i="44"/>
  <c r="F41" i="44"/>
  <c r="E41" i="44"/>
  <c r="D41" i="44"/>
  <c r="C41" i="44"/>
  <c r="B41" i="44"/>
  <c r="O40" i="44"/>
  <c r="K40" i="44"/>
  <c r="J40" i="44"/>
  <c r="I40" i="44"/>
  <c r="H40" i="44"/>
  <c r="G40" i="44"/>
  <c r="F40" i="44"/>
  <c r="E40" i="44"/>
  <c r="D40" i="44"/>
  <c r="C40" i="44"/>
  <c r="B40" i="44"/>
  <c r="O39" i="44"/>
  <c r="K39" i="44"/>
  <c r="J39" i="44"/>
  <c r="I39" i="44"/>
  <c r="H39" i="44"/>
  <c r="G39" i="44"/>
  <c r="F39" i="44"/>
  <c r="E39" i="44"/>
  <c r="D39" i="44"/>
  <c r="C39" i="44"/>
  <c r="B39" i="44"/>
  <c r="O38" i="44"/>
  <c r="K38" i="44"/>
  <c r="J38" i="44"/>
  <c r="I38" i="44"/>
  <c r="H38" i="44"/>
  <c r="G38" i="44"/>
  <c r="F38" i="44"/>
  <c r="E38" i="44"/>
  <c r="D38" i="44"/>
  <c r="C38" i="44"/>
  <c r="B38" i="44"/>
  <c r="K36" i="44"/>
  <c r="J36" i="44"/>
  <c r="I36" i="44"/>
  <c r="H36" i="44"/>
  <c r="O35" i="44"/>
  <c r="K35" i="44"/>
  <c r="J35" i="44"/>
  <c r="I35" i="44"/>
  <c r="H35" i="44"/>
  <c r="G35" i="44"/>
  <c r="F35" i="44"/>
  <c r="E35" i="44"/>
  <c r="D35" i="44"/>
  <c r="C35" i="44"/>
  <c r="B35" i="44"/>
  <c r="O34" i="44"/>
  <c r="K34" i="44"/>
  <c r="J34" i="44"/>
  <c r="I34" i="44"/>
  <c r="H34" i="44"/>
  <c r="G34" i="44"/>
  <c r="F34" i="44"/>
  <c r="E34" i="44"/>
  <c r="D34" i="44"/>
  <c r="C34" i="44"/>
  <c r="B34" i="44"/>
  <c r="O33" i="44"/>
  <c r="K33" i="44"/>
  <c r="J33" i="44"/>
  <c r="I33" i="44"/>
  <c r="H33" i="44"/>
  <c r="G33" i="44"/>
  <c r="F33" i="44"/>
  <c r="E33" i="44"/>
  <c r="D33" i="44"/>
  <c r="C33" i="44"/>
  <c r="B33" i="44"/>
  <c r="O32" i="44"/>
  <c r="K32" i="44"/>
  <c r="J32" i="44"/>
  <c r="I32" i="44"/>
  <c r="H32" i="44"/>
  <c r="G32" i="44"/>
  <c r="F32" i="44"/>
  <c r="E32" i="44"/>
  <c r="D32" i="44"/>
  <c r="C32" i="44"/>
  <c r="B32" i="44"/>
  <c r="O31" i="44"/>
  <c r="K31" i="44"/>
  <c r="J31" i="44"/>
  <c r="I31" i="44"/>
  <c r="H31" i="44"/>
  <c r="G31" i="44"/>
  <c r="F31" i="44"/>
  <c r="E31" i="44"/>
  <c r="D31" i="44"/>
  <c r="C31" i="44"/>
  <c r="B31" i="44"/>
  <c r="O30" i="44"/>
  <c r="K30" i="44"/>
  <c r="J30" i="44"/>
  <c r="I30" i="44"/>
  <c r="H30" i="44"/>
  <c r="G30" i="44"/>
  <c r="F30" i="44"/>
  <c r="E30" i="44"/>
  <c r="D30" i="44"/>
  <c r="C30" i="44"/>
  <c r="B30" i="44"/>
  <c r="O29" i="44"/>
  <c r="K29" i="44"/>
  <c r="J29" i="44"/>
  <c r="I29" i="44"/>
  <c r="H29" i="44"/>
  <c r="G29" i="44"/>
  <c r="F29" i="44"/>
  <c r="E29" i="44"/>
  <c r="D29" i="44"/>
  <c r="C29" i="44"/>
  <c r="B29" i="44"/>
  <c r="O28" i="44"/>
  <c r="K28" i="44"/>
  <c r="J28" i="44"/>
  <c r="I28" i="44"/>
  <c r="H28" i="44"/>
  <c r="G28" i="44"/>
  <c r="F28" i="44"/>
  <c r="E28" i="44"/>
  <c r="D28" i="44"/>
  <c r="C28" i="44"/>
  <c r="B28" i="44"/>
  <c r="O27" i="44"/>
  <c r="K27" i="44"/>
  <c r="J27" i="44"/>
  <c r="I27" i="44"/>
  <c r="H27" i="44"/>
  <c r="G27" i="44"/>
  <c r="F27" i="44"/>
  <c r="E27" i="44"/>
  <c r="D27" i="44"/>
  <c r="C27" i="44"/>
  <c r="B27" i="44"/>
  <c r="O26" i="44"/>
  <c r="K26" i="44"/>
  <c r="J26" i="44"/>
  <c r="I26" i="44"/>
  <c r="H26" i="44"/>
  <c r="G26" i="44"/>
  <c r="F26" i="44"/>
  <c r="E26" i="44"/>
  <c r="D26" i="44"/>
  <c r="C26" i="44"/>
  <c r="B26" i="44"/>
  <c r="O25" i="44"/>
  <c r="K25" i="44"/>
  <c r="J25" i="44"/>
  <c r="I25" i="44"/>
  <c r="H25" i="44"/>
  <c r="G25" i="44"/>
  <c r="F25" i="44"/>
  <c r="E25" i="44"/>
  <c r="D25" i="44"/>
  <c r="C25" i="44"/>
  <c r="B25" i="44"/>
  <c r="O24" i="44"/>
  <c r="K24" i="44"/>
  <c r="J24" i="44"/>
  <c r="I24" i="44"/>
  <c r="H24" i="44"/>
  <c r="G24" i="44"/>
  <c r="F24" i="44"/>
  <c r="E24" i="44"/>
  <c r="D24" i="44"/>
  <c r="C24" i="44"/>
  <c r="B24" i="44"/>
  <c r="O23" i="44"/>
  <c r="K23" i="44"/>
  <c r="J23" i="44"/>
  <c r="I23" i="44"/>
  <c r="H23" i="44"/>
  <c r="G23" i="44"/>
  <c r="F23" i="44"/>
  <c r="E23" i="44"/>
  <c r="D23" i="44"/>
  <c r="C23" i="44"/>
  <c r="B23" i="44"/>
  <c r="O22" i="44"/>
  <c r="K22" i="44"/>
  <c r="J22" i="44"/>
  <c r="I22" i="44"/>
  <c r="H22" i="44"/>
  <c r="G22" i="44"/>
  <c r="F22" i="44"/>
  <c r="E22" i="44"/>
  <c r="D22" i="44"/>
  <c r="C22" i="44"/>
  <c r="B22" i="44"/>
  <c r="O21" i="44"/>
  <c r="K21" i="44"/>
  <c r="J21" i="44"/>
  <c r="I21" i="44"/>
  <c r="H21" i="44"/>
  <c r="G21" i="44"/>
  <c r="F21" i="44"/>
  <c r="E21" i="44"/>
  <c r="D21" i="44"/>
  <c r="C21" i="44"/>
  <c r="B21" i="44"/>
  <c r="O20" i="44"/>
  <c r="K20" i="44"/>
  <c r="J20" i="44"/>
  <c r="I20" i="44"/>
  <c r="H20" i="44"/>
  <c r="G20" i="44"/>
  <c r="F20" i="44"/>
  <c r="E20" i="44"/>
  <c r="D20" i="44"/>
  <c r="C20" i="44"/>
  <c r="B20" i="44"/>
  <c r="O19" i="44"/>
  <c r="K19" i="44"/>
  <c r="J19" i="44"/>
  <c r="I19" i="44"/>
  <c r="H19" i="44"/>
  <c r="G19" i="44"/>
  <c r="F19" i="44"/>
  <c r="E19" i="44"/>
  <c r="D19" i="44"/>
  <c r="C19" i="44"/>
  <c r="B19" i="44"/>
  <c r="O18" i="44"/>
  <c r="K18" i="44"/>
  <c r="J18" i="44"/>
  <c r="I18" i="44"/>
  <c r="H18" i="44"/>
  <c r="G18" i="44"/>
  <c r="F18" i="44"/>
  <c r="E18" i="44"/>
  <c r="D18" i="44"/>
  <c r="C18" i="44"/>
  <c r="B18" i="44"/>
  <c r="O17" i="44"/>
  <c r="K17" i="44"/>
  <c r="J17" i="44"/>
  <c r="I17" i="44"/>
  <c r="H17" i="44"/>
  <c r="G17" i="44"/>
  <c r="F17" i="44"/>
  <c r="E17" i="44"/>
  <c r="D17" i="44"/>
  <c r="C17" i="44"/>
  <c r="B17" i="44"/>
  <c r="O16" i="44"/>
  <c r="K16" i="44"/>
  <c r="J16" i="44"/>
  <c r="I16" i="44"/>
  <c r="H16" i="44"/>
  <c r="G16" i="44"/>
  <c r="F16" i="44"/>
  <c r="E16" i="44"/>
  <c r="D16" i="44"/>
  <c r="C16" i="44"/>
  <c r="B16" i="44"/>
  <c r="O15" i="44"/>
  <c r="K15" i="44"/>
  <c r="J15" i="44"/>
  <c r="I15" i="44"/>
  <c r="H15" i="44"/>
  <c r="G15" i="44"/>
  <c r="F15" i="44"/>
  <c r="E15" i="44"/>
  <c r="D15" i="44"/>
  <c r="C15" i="44"/>
  <c r="B15" i="44"/>
  <c r="O14" i="44"/>
  <c r="K14" i="44"/>
  <c r="J14" i="44"/>
  <c r="I14" i="44"/>
  <c r="H14" i="44"/>
  <c r="G14" i="44"/>
  <c r="F14" i="44"/>
  <c r="E14" i="44"/>
  <c r="D14" i="44"/>
  <c r="C14" i="44"/>
  <c r="B14" i="44"/>
  <c r="O13" i="44"/>
  <c r="K13" i="44"/>
  <c r="J13" i="44"/>
  <c r="I13" i="44"/>
  <c r="H13" i="44"/>
  <c r="G13" i="44"/>
  <c r="F13" i="44"/>
  <c r="E13" i="44"/>
  <c r="D13" i="44"/>
  <c r="C13" i="44"/>
  <c r="B13" i="44"/>
  <c r="O12" i="44"/>
  <c r="K12" i="44"/>
  <c r="J12" i="44"/>
  <c r="I12" i="44"/>
  <c r="H12" i="44"/>
  <c r="G12" i="44"/>
  <c r="F12" i="44"/>
  <c r="E12" i="44"/>
  <c r="D12" i="44"/>
  <c r="C12" i="44"/>
  <c r="B12" i="44"/>
  <c r="O11" i="44"/>
  <c r="K11" i="44"/>
  <c r="J11" i="44"/>
  <c r="I11" i="44"/>
  <c r="H11" i="44"/>
  <c r="G11" i="44"/>
  <c r="F11" i="44"/>
  <c r="E11" i="44"/>
  <c r="D11" i="44"/>
  <c r="C11" i="44"/>
  <c r="B11" i="44"/>
  <c r="O10" i="44"/>
  <c r="K10" i="44"/>
  <c r="J10" i="44"/>
  <c r="I10" i="44"/>
  <c r="H10" i="44"/>
  <c r="G10" i="44"/>
  <c r="F10" i="44"/>
  <c r="E10" i="44"/>
  <c r="D10" i="44"/>
  <c r="C10" i="44"/>
  <c r="B10" i="44"/>
  <c r="O9" i="44"/>
  <c r="K9" i="44"/>
  <c r="J9" i="44"/>
  <c r="I9" i="44"/>
  <c r="H9" i="44"/>
  <c r="G9" i="44"/>
  <c r="F9" i="44"/>
  <c r="E9" i="44"/>
  <c r="D9" i="44"/>
  <c r="C9" i="44"/>
  <c r="B9" i="44"/>
  <c r="O8" i="44"/>
  <c r="K8" i="44"/>
  <c r="J8" i="44"/>
  <c r="I8" i="44"/>
  <c r="H8" i="44"/>
  <c r="G8" i="44"/>
  <c r="F8" i="44"/>
  <c r="E8" i="44"/>
  <c r="D8" i="44"/>
  <c r="C8" i="44"/>
  <c r="B8" i="44"/>
  <c r="O7" i="44"/>
  <c r="K7" i="44"/>
  <c r="J7" i="44"/>
  <c r="I7" i="44"/>
  <c r="H7" i="44"/>
  <c r="G7" i="44"/>
  <c r="F7" i="44"/>
  <c r="E7" i="44"/>
  <c r="D7" i="44"/>
  <c r="C7" i="44"/>
  <c r="B7" i="44"/>
  <c r="O6" i="44"/>
  <c r="K6" i="44"/>
  <c r="J6" i="44"/>
  <c r="I6" i="44"/>
  <c r="H6" i="44"/>
  <c r="G6" i="44"/>
  <c r="F6" i="44"/>
  <c r="E6" i="44"/>
  <c r="D6" i="44"/>
  <c r="C6" i="44"/>
  <c r="B6" i="44"/>
  <c r="R68" i="43"/>
  <c r="R67" i="43"/>
  <c r="R66" i="43"/>
  <c r="R65" i="43"/>
  <c r="R64" i="43"/>
  <c r="R63" i="43"/>
  <c r="R62" i="43"/>
  <c r="R61" i="43"/>
  <c r="R60" i="43"/>
  <c r="R59" i="43"/>
  <c r="R58" i="43"/>
  <c r="R57" i="43"/>
  <c r="R56" i="43"/>
  <c r="R55" i="43"/>
  <c r="R54" i="43"/>
  <c r="R53" i="43"/>
  <c r="R52" i="43"/>
  <c r="R51" i="43"/>
  <c r="R50" i="43"/>
  <c r="R49" i="43"/>
  <c r="R48" i="43"/>
  <c r="R47" i="43"/>
  <c r="R46" i="43"/>
  <c r="R45" i="43"/>
  <c r="R44" i="43"/>
  <c r="R43" i="43"/>
  <c r="R42" i="43"/>
  <c r="R41" i="43"/>
  <c r="R40" i="43"/>
  <c r="R39" i="43"/>
  <c r="R38" i="43"/>
  <c r="R37" i="43"/>
  <c r="R36" i="43"/>
  <c r="V196" i="42"/>
  <c r="U196" i="42"/>
  <c r="H54" i="41"/>
  <c r="F54" i="41"/>
  <c r="H53" i="41"/>
  <c r="F53" i="41"/>
  <c r="H52" i="41"/>
  <c r="F52" i="41"/>
  <c r="H51" i="41"/>
  <c r="F51" i="41"/>
  <c r="H50" i="41"/>
  <c r="F50" i="41"/>
  <c r="H49" i="41"/>
  <c r="F49" i="41"/>
  <c r="H48" i="41"/>
  <c r="F48" i="41"/>
  <c r="H47" i="41"/>
  <c r="F47" i="41"/>
  <c r="H46" i="41"/>
  <c r="F46" i="41"/>
  <c r="H45" i="41"/>
  <c r="F45" i="41"/>
  <c r="H44" i="41"/>
  <c r="F44" i="41"/>
  <c r="H43" i="41"/>
  <c r="F43" i="41"/>
  <c r="H42" i="41"/>
  <c r="F42" i="41"/>
  <c r="H41" i="41"/>
  <c r="F41" i="41"/>
  <c r="H40" i="41"/>
  <c r="F40" i="41"/>
  <c r="H39" i="41"/>
  <c r="F39" i="41"/>
  <c r="H38" i="41"/>
  <c r="F38" i="41"/>
  <c r="H37" i="41"/>
  <c r="F37" i="41"/>
  <c r="H36" i="41"/>
  <c r="F36" i="41"/>
  <c r="H35" i="41"/>
  <c r="F35" i="41"/>
  <c r="H34" i="41"/>
  <c r="F34" i="41"/>
  <c r="H33" i="41"/>
  <c r="H32" i="41"/>
  <c r="F32" i="41"/>
  <c r="H31" i="41"/>
  <c r="F31" i="41"/>
  <c r="H30" i="41"/>
  <c r="F30" i="41"/>
  <c r="H29" i="41"/>
  <c r="F29" i="41"/>
  <c r="H28" i="41"/>
  <c r="F28" i="41"/>
  <c r="H26" i="41"/>
  <c r="F26" i="41"/>
  <c r="H25" i="41"/>
  <c r="F25" i="41"/>
  <c r="H24" i="41"/>
  <c r="F24" i="41"/>
  <c r="H23" i="41"/>
  <c r="F23" i="41"/>
  <c r="H22" i="41"/>
  <c r="F22" i="41"/>
  <c r="H21" i="41"/>
  <c r="F21" i="41"/>
  <c r="H20" i="41"/>
  <c r="F20" i="41"/>
  <c r="H19" i="41"/>
  <c r="F19" i="41"/>
  <c r="H18" i="41"/>
  <c r="F18" i="41"/>
  <c r="H17" i="41"/>
  <c r="F17" i="41"/>
  <c r="H16" i="41"/>
  <c r="F16" i="41"/>
  <c r="H15" i="41"/>
  <c r="F15" i="41"/>
  <c r="H14" i="41"/>
  <c r="F14" i="41"/>
  <c r="H13" i="41"/>
  <c r="F13" i="41"/>
  <c r="H12" i="41"/>
  <c r="F12" i="41"/>
  <c r="H11" i="41"/>
  <c r="F11" i="41"/>
  <c r="H10" i="41"/>
  <c r="F10" i="41"/>
  <c r="H9" i="41"/>
  <c r="F9" i="41"/>
  <c r="H8" i="41"/>
  <c r="F8" i="41"/>
  <c r="H7" i="41"/>
  <c r="F7" i="41"/>
  <c r="I105" i="40"/>
  <c r="I104" i="40"/>
  <c r="L103" i="40"/>
  <c r="H103" i="40"/>
  <c r="E103" i="40"/>
  <c r="L102" i="40"/>
  <c r="H102" i="40"/>
  <c r="E102" i="40"/>
  <c r="C102" i="40"/>
  <c r="B102" i="40"/>
  <c r="A102" i="40"/>
  <c r="L101" i="40"/>
  <c r="H101" i="40"/>
  <c r="E101" i="40"/>
  <c r="C101" i="40"/>
  <c r="B101" i="40"/>
  <c r="A101" i="40"/>
  <c r="L100" i="40"/>
  <c r="H100" i="40"/>
  <c r="E100" i="40"/>
  <c r="C100" i="40"/>
  <c r="B100" i="40"/>
  <c r="A100" i="40"/>
  <c r="L99" i="40"/>
  <c r="H99" i="40"/>
  <c r="E99" i="40"/>
  <c r="C99" i="40"/>
  <c r="B99" i="40"/>
  <c r="A99" i="40"/>
  <c r="L98" i="40"/>
  <c r="H98" i="40"/>
  <c r="E98" i="40"/>
  <c r="C98" i="40"/>
  <c r="B98" i="40"/>
  <c r="A98" i="40"/>
  <c r="L97" i="40"/>
  <c r="H97" i="40"/>
  <c r="E97" i="40"/>
  <c r="C97" i="40"/>
  <c r="B97" i="40"/>
  <c r="A97" i="40"/>
  <c r="L96" i="40"/>
  <c r="H96" i="40"/>
  <c r="E96" i="40"/>
  <c r="C96" i="40"/>
  <c r="B96" i="40"/>
  <c r="A96" i="40"/>
  <c r="L95" i="40"/>
  <c r="H95" i="40"/>
  <c r="E95" i="40"/>
  <c r="C95" i="40"/>
  <c r="B95" i="40"/>
  <c r="A95" i="40"/>
  <c r="L94" i="40"/>
  <c r="H94" i="40"/>
  <c r="E94" i="40"/>
  <c r="C94" i="40"/>
  <c r="B94" i="40"/>
  <c r="A94" i="40"/>
  <c r="L93" i="40"/>
  <c r="H93" i="40"/>
  <c r="E93" i="40"/>
  <c r="C93" i="40"/>
  <c r="B93" i="40"/>
  <c r="A93" i="40"/>
  <c r="L92" i="40"/>
  <c r="H92" i="40"/>
  <c r="E92" i="40"/>
  <c r="C92" i="40"/>
  <c r="B92" i="40"/>
  <c r="A92" i="40"/>
  <c r="L91" i="40"/>
  <c r="H91" i="40"/>
  <c r="E91" i="40"/>
  <c r="C91" i="40"/>
  <c r="B91" i="40"/>
  <c r="A91" i="40"/>
  <c r="L90" i="40"/>
  <c r="H90" i="40"/>
  <c r="E90" i="40"/>
  <c r="C90" i="40"/>
  <c r="B90" i="40"/>
  <c r="A90" i="40"/>
  <c r="L89" i="40"/>
  <c r="H89" i="40"/>
  <c r="E89" i="40"/>
  <c r="C89" i="40"/>
  <c r="B89" i="40"/>
  <c r="A89" i="40"/>
  <c r="L88" i="40"/>
  <c r="H88" i="40"/>
  <c r="E88" i="40"/>
  <c r="C88" i="40"/>
  <c r="B88" i="40"/>
  <c r="A88" i="40"/>
  <c r="L87" i="40"/>
  <c r="H87" i="40"/>
  <c r="E87" i="40"/>
  <c r="C87" i="40"/>
  <c r="B87" i="40"/>
  <c r="A87" i="40"/>
  <c r="L86" i="40"/>
  <c r="H86" i="40"/>
  <c r="E86" i="40"/>
  <c r="C86" i="40"/>
  <c r="B86" i="40"/>
  <c r="A86" i="40"/>
  <c r="L85" i="40"/>
  <c r="H85" i="40"/>
  <c r="E85" i="40"/>
  <c r="C85" i="40"/>
  <c r="B85" i="40"/>
  <c r="A85" i="40"/>
  <c r="L84" i="40"/>
  <c r="H84" i="40"/>
  <c r="E84" i="40"/>
  <c r="C84" i="40"/>
  <c r="B84" i="40"/>
  <c r="A84" i="40"/>
  <c r="L83" i="40"/>
  <c r="H83" i="40"/>
  <c r="E83" i="40"/>
  <c r="C83" i="40"/>
  <c r="B83" i="40"/>
  <c r="A83" i="40"/>
  <c r="L82" i="40"/>
  <c r="H82" i="40"/>
  <c r="E82" i="40"/>
  <c r="C82" i="40"/>
  <c r="B82" i="40"/>
  <c r="A82" i="40"/>
  <c r="L81" i="40"/>
  <c r="H81" i="40"/>
  <c r="E81" i="40"/>
  <c r="C81" i="40"/>
  <c r="B81" i="40"/>
  <c r="A81" i="40"/>
  <c r="L80" i="40"/>
  <c r="H80" i="40"/>
  <c r="E80" i="40"/>
  <c r="C80" i="40"/>
  <c r="B80" i="40"/>
  <c r="A80" i="40"/>
  <c r="L79" i="40"/>
  <c r="H79" i="40"/>
  <c r="E79" i="40"/>
  <c r="C79" i="40"/>
  <c r="B79" i="40"/>
  <c r="A79" i="40"/>
  <c r="L78" i="40"/>
  <c r="H78" i="40"/>
  <c r="E78" i="40"/>
  <c r="C78" i="40"/>
  <c r="B78" i="40"/>
  <c r="A78" i="40"/>
  <c r="L77" i="40"/>
  <c r="H77" i="40"/>
  <c r="E77" i="40"/>
  <c r="C77" i="40"/>
  <c r="B77" i="40"/>
  <c r="A77" i="40"/>
  <c r="L75" i="40"/>
  <c r="H75" i="40"/>
  <c r="E75" i="40"/>
  <c r="C75" i="40"/>
  <c r="L74" i="40"/>
  <c r="H74" i="40"/>
  <c r="E74" i="40"/>
  <c r="C74" i="40"/>
  <c r="L73" i="40"/>
  <c r="H73" i="40"/>
  <c r="E73" i="40"/>
  <c r="C73" i="40"/>
  <c r="L72" i="40"/>
  <c r="H72" i="40"/>
  <c r="E72" i="40"/>
  <c r="C72" i="40"/>
  <c r="L71" i="40"/>
  <c r="H71" i="40"/>
  <c r="E71" i="40"/>
  <c r="C71" i="40"/>
  <c r="L70" i="40"/>
  <c r="H70" i="40"/>
  <c r="E70" i="40"/>
  <c r="C70" i="40"/>
  <c r="L69" i="40"/>
  <c r="H69" i="40"/>
  <c r="E69" i="40"/>
  <c r="C69" i="40"/>
  <c r="L68" i="40"/>
  <c r="H68" i="40"/>
  <c r="E68" i="40"/>
  <c r="C68" i="40"/>
  <c r="L67" i="40"/>
  <c r="H67" i="40"/>
  <c r="E67" i="40"/>
  <c r="C67" i="40"/>
  <c r="L66" i="40"/>
  <c r="H66" i="40"/>
  <c r="E66" i="40"/>
  <c r="C66" i="40"/>
  <c r="L65" i="40"/>
  <c r="H65" i="40"/>
  <c r="E65" i="40"/>
  <c r="C65" i="40"/>
  <c r="L64" i="40"/>
  <c r="H64" i="40"/>
  <c r="E64" i="40"/>
  <c r="C64" i="40"/>
  <c r="L63" i="40"/>
  <c r="H63" i="40"/>
  <c r="E63" i="40"/>
  <c r="C63" i="40"/>
  <c r="L62" i="40"/>
  <c r="H62" i="40"/>
  <c r="E62" i="40"/>
  <c r="C62" i="40"/>
  <c r="L61" i="40"/>
  <c r="H61" i="40"/>
  <c r="E61" i="40"/>
  <c r="C61" i="40"/>
  <c r="L60" i="40"/>
  <c r="H60" i="40"/>
  <c r="E60" i="40"/>
  <c r="C60" i="40"/>
  <c r="L59" i="40"/>
  <c r="H59" i="40"/>
  <c r="E59" i="40"/>
  <c r="C59" i="40"/>
  <c r="L58" i="40"/>
  <c r="H58" i="40"/>
  <c r="E58" i="40"/>
  <c r="C58" i="40"/>
  <c r="L57" i="40"/>
  <c r="H57" i="40"/>
  <c r="E57" i="40"/>
  <c r="C57" i="40"/>
  <c r="L56" i="40"/>
  <c r="H56" i="40"/>
  <c r="E56" i="40"/>
  <c r="C56" i="40"/>
  <c r="L52" i="40"/>
  <c r="H52" i="40"/>
  <c r="E52" i="40"/>
  <c r="L51" i="40"/>
  <c r="I51" i="40"/>
  <c r="H51" i="40"/>
  <c r="E51" i="40"/>
  <c r="L50" i="40"/>
  <c r="I50" i="40"/>
  <c r="H50" i="40"/>
  <c r="E50" i="40"/>
  <c r="L49" i="40"/>
  <c r="I49" i="40"/>
  <c r="H49" i="40"/>
  <c r="E49" i="40"/>
  <c r="L48" i="40"/>
  <c r="I48" i="40"/>
  <c r="H48" i="40"/>
  <c r="E48" i="40"/>
  <c r="L47" i="40"/>
  <c r="I47" i="40"/>
  <c r="H47" i="40"/>
  <c r="E47" i="40"/>
  <c r="L46" i="40"/>
  <c r="I46" i="40"/>
  <c r="H46" i="40"/>
  <c r="E46" i="40"/>
  <c r="L45" i="40"/>
  <c r="I45" i="40"/>
  <c r="H45" i="40"/>
  <c r="E45" i="40"/>
  <c r="L44" i="40"/>
  <c r="I44" i="40"/>
  <c r="H44" i="40"/>
  <c r="E44" i="40"/>
  <c r="L43" i="40"/>
  <c r="I43" i="40"/>
  <c r="H43" i="40"/>
  <c r="E43" i="40"/>
  <c r="L42" i="40"/>
  <c r="I42" i="40"/>
  <c r="H42" i="40"/>
  <c r="E42" i="40"/>
  <c r="L41" i="40"/>
  <c r="I41" i="40"/>
  <c r="H41" i="40"/>
  <c r="F41" i="40"/>
  <c r="E41" i="40"/>
  <c r="L40" i="40"/>
  <c r="I40" i="40"/>
  <c r="H40" i="40"/>
  <c r="E40" i="40"/>
  <c r="L39" i="40"/>
  <c r="I39" i="40"/>
  <c r="H39" i="40"/>
  <c r="E39" i="40"/>
  <c r="L38" i="40"/>
  <c r="I38" i="40"/>
  <c r="H38" i="40"/>
  <c r="E38" i="40"/>
  <c r="L37" i="40"/>
  <c r="I37" i="40"/>
  <c r="H37" i="40"/>
  <c r="E37" i="40"/>
  <c r="L36" i="40"/>
  <c r="I36" i="40"/>
  <c r="H36" i="40"/>
  <c r="E36" i="40"/>
  <c r="L35" i="40"/>
  <c r="I35" i="40"/>
  <c r="H35" i="40"/>
  <c r="E35" i="40"/>
  <c r="L34" i="40"/>
  <c r="I34" i="40"/>
  <c r="H34" i="40"/>
  <c r="E34" i="40"/>
  <c r="L33" i="40"/>
  <c r="I33" i="40"/>
  <c r="H33" i="40"/>
  <c r="E33" i="40"/>
  <c r="L32" i="40"/>
  <c r="I32" i="40"/>
  <c r="H32" i="40"/>
  <c r="E32" i="40"/>
  <c r="L31" i="40"/>
  <c r="H31" i="40"/>
  <c r="F31" i="40"/>
  <c r="E31" i="40"/>
  <c r="L30" i="40"/>
  <c r="I30" i="40"/>
  <c r="H30" i="40"/>
  <c r="F30" i="40"/>
  <c r="E30" i="40"/>
  <c r="L29" i="40"/>
  <c r="H29" i="40"/>
  <c r="E29" i="40"/>
  <c r="L28" i="40"/>
  <c r="I28" i="40"/>
  <c r="H28" i="40"/>
  <c r="F28" i="40"/>
  <c r="E28" i="40"/>
  <c r="L27" i="40"/>
  <c r="I27" i="40"/>
  <c r="H27" i="40"/>
  <c r="F27" i="40"/>
  <c r="E27" i="40"/>
  <c r="L26" i="40"/>
  <c r="I26" i="40"/>
  <c r="H26" i="40"/>
  <c r="F26" i="40"/>
  <c r="E26" i="40"/>
  <c r="L24" i="40"/>
  <c r="I24" i="40"/>
  <c r="H24" i="40"/>
  <c r="E24" i="40"/>
  <c r="L23" i="40"/>
  <c r="I23" i="40"/>
  <c r="H23" i="40"/>
  <c r="E23" i="40"/>
  <c r="L22" i="40"/>
  <c r="I22" i="40"/>
  <c r="H22" i="40"/>
  <c r="E22" i="40"/>
  <c r="L21" i="40"/>
  <c r="I21" i="40"/>
  <c r="H21" i="40"/>
  <c r="E21" i="40"/>
  <c r="L20" i="40"/>
  <c r="H20" i="40"/>
  <c r="E20" i="40"/>
  <c r="L19" i="40"/>
  <c r="I19" i="40"/>
  <c r="H19" i="40"/>
  <c r="E19" i="40"/>
  <c r="L18" i="40"/>
  <c r="I18" i="40"/>
  <c r="H18" i="40"/>
  <c r="F18" i="40"/>
  <c r="E18" i="40"/>
  <c r="L17" i="40"/>
  <c r="I17" i="40"/>
  <c r="H17" i="40"/>
  <c r="F17" i="40"/>
  <c r="E17" i="40"/>
  <c r="L16" i="40"/>
  <c r="I16" i="40"/>
  <c r="H16" i="40"/>
  <c r="E16" i="40"/>
  <c r="L15" i="40"/>
  <c r="I15" i="40"/>
  <c r="H15" i="40"/>
  <c r="E15" i="40"/>
  <c r="L14" i="40"/>
  <c r="I14" i="40"/>
  <c r="H14" i="40"/>
  <c r="E14" i="40"/>
  <c r="L13" i="40"/>
  <c r="I13" i="40"/>
  <c r="H13" i="40"/>
  <c r="E13" i="40"/>
  <c r="L12" i="40"/>
  <c r="I12" i="40"/>
  <c r="H12" i="40"/>
  <c r="E12" i="40"/>
  <c r="L11" i="40"/>
  <c r="I11" i="40"/>
  <c r="H11" i="40"/>
  <c r="E11" i="40"/>
  <c r="L10" i="40"/>
  <c r="I10" i="40"/>
  <c r="H10" i="40"/>
  <c r="E10" i="40"/>
  <c r="L9" i="40"/>
  <c r="I9" i="40"/>
  <c r="H9" i="40"/>
  <c r="E9" i="40"/>
  <c r="L8" i="40"/>
  <c r="I8" i="40"/>
  <c r="H8" i="40"/>
  <c r="E8" i="40"/>
  <c r="L7" i="40"/>
  <c r="I7" i="40"/>
  <c r="H7" i="40"/>
  <c r="E7" i="40"/>
  <c r="L6" i="40"/>
  <c r="I6" i="40"/>
  <c r="H6" i="40"/>
  <c r="E6" i="40"/>
  <c r="L5" i="40"/>
  <c r="I5" i="40"/>
  <c r="H5" i="40"/>
  <c r="E5" i="40"/>
  <c r="C53" i="39"/>
  <c r="E52" i="39"/>
  <c r="D52" i="39"/>
  <c r="C52" i="39"/>
  <c r="G18" i="38"/>
  <c r="D18" i="38"/>
  <c r="G17" i="38"/>
  <c r="C17" i="38"/>
  <c r="G16" i="38"/>
  <c r="C16" i="38"/>
  <c r="G15" i="38"/>
  <c r="C15" i="38"/>
  <c r="G14" i="38"/>
  <c r="C14" i="38"/>
  <c r="G13" i="38"/>
  <c r="C13" i="38"/>
  <c r="G12" i="38"/>
  <c r="C12" i="38"/>
  <c r="G11" i="38"/>
  <c r="C11" i="38"/>
  <c r="G9" i="38"/>
  <c r="C9" i="38"/>
  <c r="G8" i="38"/>
  <c r="C8" i="38"/>
  <c r="G7" i="38"/>
  <c r="C7" i="38"/>
  <c r="G6" i="38"/>
  <c r="C6" i="38"/>
  <c r="K20" i="37"/>
  <c r="K19" i="37"/>
  <c r="J19" i="37"/>
  <c r="I19" i="37"/>
  <c r="G19" i="37"/>
  <c r="E19" i="37"/>
  <c r="B19" i="37"/>
  <c r="K17" i="37"/>
  <c r="J17" i="37"/>
  <c r="I17" i="37"/>
  <c r="G17" i="37"/>
  <c r="E17" i="37"/>
  <c r="B17" i="37"/>
  <c r="K14" i="37"/>
  <c r="K13" i="37"/>
  <c r="I13" i="37"/>
  <c r="G13" i="37"/>
  <c r="E13" i="37"/>
  <c r="B13" i="37"/>
  <c r="K11" i="37"/>
  <c r="I11" i="37"/>
  <c r="G11" i="37"/>
  <c r="E11" i="37"/>
  <c r="B11" i="37"/>
  <c r="K8" i="37"/>
  <c r="K7" i="37"/>
  <c r="J7" i="37"/>
  <c r="I7" i="37"/>
  <c r="G7" i="37"/>
  <c r="E7" i="37"/>
  <c r="B7" i="37"/>
  <c r="K5" i="37"/>
  <c r="J5" i="37"/>
  <c r="I5" i="37"/>
  <c r="G5" i="37"/>
  <c r="E5" i="37"/>
  <c r="B5" i="37"/>
  <c r="O53" i="36"/>
  <c r="N53" i="36"/>
  <c r="L53" i="36"/>
  <c r="J53" i="36"/>
  <c r="I53" i="36"/>
  <c r="G53" i="36"/>
  <c r="F53" i="36"/>
  <c r="D53" i="36"/>
  <c r="P52" i="36"/>
  <c r="N52" i="36"/>
  <c r="L52" i="36"/>
  <c r="I52" i="36"/>
  <c r="G52" i="36"/>
  <c r="F52" i="36"/>
  <c r="D52" i="36"/>
  <c r="P51" i="36"/>
  <c r="N51" i="36"/>
  <c r="L51" i="36"/>
  <c r="I51" i="36"/>
  <c r="G51" i="36"/>
  <c r="F51" i="36"/>
  <c r="D51" i="36"/>
  <c r="P50" i="36"/>
  <c r="N50" i="36"/>
  <c r="L50" i="36"/>
  <c r="I50" i="36"/>
  <c r="G50" i="36"/>
  <c r="F50" i="36"/>
  <c r="D50" i="36"/>
  <c r="P49" i="36"/>
  <c r="N49" i="36"/>
  <c r="L49" i="36"/>
  <c r="I49" i="36"/>
  <c r="G49" i="36"/>
  <c r="F49" i="36"/>
  <c r="D49" i="36"/>
  <c r="P48" i="36"/>
  <c r="N48" i="36"/>
  <c r="L48" i="36"/>
  <c r="I48" i="36"/>
  <c r="G48" i="36"/>
  <c r="F48" i="36"/>
  <c r="D48" i="36"/>
  <c r="P47" i="36"/>
  <c r="N47" i="36"/>
  <c r="L47" i="36"/>
  <c r="I47" i="36"/>
  <c r="G47" i="36"/>
  <c r="F47" i="36"/>
  <c r="D47" i="36"/>
  <c r="P46" i="36"/>
  <c r="N46" i="36"/>
  <c r="L46" i="36"/>
  <c r="I46" i="36"/>
  <c r="G46" i="36"/>
  <c r="F46" i="36"/>
  <c r="D46" i="36"/>
  <c r="P45" i="36"/>
  <c r="N45" i="36"/>
  <c r="L45" i="36"/>
  <c r="I45" i="36"/>
  <c r="G45" i="36"/>
  <c r="F45" i="36"/>
  <c r="D45" i="36"/>
  <c r="P44" i="36"/>
  <c r="N44" i="36"/>
  <c r="L44" i="36"/>
  <c r="I44" i="36"/>
  <c r="G44" i="36"/>
  <c r="F44" i="36"/>
  <c r="D44" i="36"/>
  <c r="P43" i="36"/>
  <c r="N43" i="36"/>
  <c r="L43" i="36"/>
  <c r="I43" i="36"/>
  <c r="G43" i="36"/>
  <c r="F43" i="36"/>
  <c r="D43" i="36"/>
  <c r="P42" i="36"/>
  <c r="N42" i="36"/>
  <c r="L42" i="36"/>
  <c r="I42" i="36"/>
  <c r="G42" i="36"/>
  <c r="F42" i="36"/>
  <c r="D42" i="36"/>
  <c r="P41" i="36"/>
  <c r="N41" i="36"/>
  <c r="L41" i="36"/>
  <c r="I41" i="36"/>
  <c r="G41" i="36"/>
  <c r="F41" i="36"/>
  <c r="D41" i="36"/>
  <c r="P40" i="36"/>
  <c r="N40" i="36"/>
  <c r="L40" i="36"/>
  <c r="I40" i="36"/>
  <c r="G40" i="36"/>
  <c r="F40" i="36"/>
  <c r="D40" i="36"/>
  <c r="P39" i="36"/>
  <c r="N39" i="36"/>
  <c r="L39" i="36"/>
  <c r="I39" i="36"/>
  <c r="G39" i="36"/>
  <c r="F39" i="36"/>
  <c r="D39" i="36"/>
  <c r="P38" i="36"/>
  <c r="N38" i="36"/>
  <c r="L38" i="36"/>
  <c r="I38" i="36"/>
  <c r="G38" i="36"/>
  <c r="F38" i="36"/>
  <c r="D38" i="36"/>
  <c r="P37" i="36"/>
  <c r="N37" i="36"/>
  <c r="L37" i="36"/>
  <c r="I37" i="36"/>
  <c r="G37" i="36"/>
  <c r="F37" i="36"/>
  <c r="D37" i="36"/>
  <c r="P36" i="36"/>
  <c r="N36" i="36"/>
  <c r="L36" i="36"/>
  <c r="I36" i="36"/>
  <c r="G36" i="36"/>
  <c r="F36" i="36"/>
  <c r="D36" i="36"/>
  <c r="P35" i="36"/>
  <c r="N35" i="36"/>
  <c r="L35" i="36"/>
  <c r="I35" i="36"/>
  <c r="G35" i="36"/>
  <c r="F35" i="36"/>
  <c r="D35" i="36"/>
  <c r="P34" i="36"/>
  <c r="N34" i="36"/>
  <c r="L34" i="36"/>
  <c r="I34" i="36"/>
  <c r="G34" i="36"/>
  <c r="F34" i="36"/>
  <c r="D34" i="36"/>
  <c r="P33" i="36"/>
  <c r="N33" i="36"/>
  <c r="L33" i="36"/>
  <c r="I33" i="36"/>
  <c r="G33" i="36"/>
  <c r="F33" i="36"/>
  <c r="D33" i="36"/>
  <c r="P32" i="36"/>
  <c r="N32" i="36"/>
  <c r="L32" i="36"/>
  <c r="I32" i="36"/>
  <c r="G32" i="36"/>
  <c r="F32" i="36"/>
  <c r="D32" i="36"/>
  <c r="P31" i="36"/>
  <c r="N31" i="36"/>
  <c r="L31" i="36"/>
  <c r="I31" i="36"/>
  <c r="G31" i="36"/>
  <c r="F31" i="36"/>
  <c r="D31" i="36"/>
  <c r="P30" i="36"/>
  <c r="N30" i="36"/>
  <c r="L30" i="36"/>
  <c r="I30" i="36"/>
  <c r="G30" i="36"/>
  <c r="F30" i="36"/>
  <c r="D30" i="36"/>
  <c r="P29" i="36"/>
  <c r="N29" i="36"/>
  <c r="L29" i="36"/>
  <c r="I29" i="36"/>
  <c r="G29" i="36"/>
  <c r="F29" i="36"/>
  <c r="D29" i="36"/>
  <c r="P28" i="36"/>
  <c r="N28" i="36"/>
  <c r="L28" i="36"/>
  <c r="I28" i="36"/>
  <c r="G28" i="36"/>
  <c r="F28" i="36"/>
  <c r="D28" i="36"/>
  <c r="P27" i="36"/>
  <c r="N27" i="36"/>
  <c r="L27" i="36"/>
  <c r="I27" i="36"/>
  <c r="G27" i="36"/>
  <c r="F27" i="36"/>
  <c r="D27" i="36"/>
  <c r="N25" i="36"/>
  <c r="L25" i="36"/>
  <c r="K25" i="36"/>
  <c r="I25" i="36"/>
  <c r="G25" i="36"/>
  <c r="F25" i="36"/>
  <c r="D25" i="36"/>
  <c r="N24" i="36"/>
  <c r="L24" i="36"/>
  <c r="K24" i="36"/>
  <c r="I24" i="36"/>
  <c r="G24" i="36"/>
  <c r="F24" i="36"/>
  <c r="D24" i="36"/>
  <c r="N23" i="36"/>
  <c r="L23" i="36"/>
  <c r="K23" i="36"/>
  <c r="I23" i="36"/>
  <c r="G23" i="36"/>
  <c r="F23" i="36"/>
  <c r="D23" i="36"/>
  <c r="N22" i="36"/>
  <c r="L22" i="36"/>
  <c r="K22" i="36"/>
  <c r="I22" i="36"/>
  <c r="G22" i="36"/>
  <c r="F22" i="36"/>
  <c r="D22" i="36"/>
  <c r="N21" i="36"/>
  <c r="L21" i="36"/>
  <c r="K21" i="36"/>
  <c r="I21" i="36"/>
  <c r="G21" i="36"/>
  <c r="F21" i="36"/>
  <c r="D21" i="36"/>
  <c r="N20" i="36"/>
  <c r="L20" i="36"/>
  <c r="K20" i="36"/>
  <c r="I20" i="36"/>
  <c r="G20" i="36"/>
  <c r="F20" i="36"/>
  <c r="D20" i="36"/>
  <c r="N19" i="36"/>
  <c r="L19" i="36"/>
  <c r="K19" i="36"/>
  <c r="I19" i="36"/>
  <c r="G19" i="36"/>
  <c r="F19" i="36"/>
  <c r="D19" i="36"/>
  <c r="N18" i="36"/>
  <c r="L18" i="36"/>
  <c r="K18" i="36"/>
  <c r="I18" i="36"/>
  <c r="G18" i="36"/>
  <c r="F18" i="36"/>
  <c r="D18" i="36"/>
  <c r="N17" i="36"/>
  <c r="L17" i="36"/>
  <c r="K17" i="36"/>
  <c r="I17" i="36"/>
  <c r="G17" i="36"/>
  <c r="F17" i="36"/>
  <c r="D17" i="36"/>
  <c r="N16" i="36"/>
  <c r="L16" i="36"/>
  <c r="K16" i="36"/>
  <c r="I16" i="36"/>
  <c r="G16" i="36"/>
  <c r="F16" i="36"/>
  <c r="D16" i="36"/>
  <c r="N15" i="36"/>
  <c r="L15" i="36"/>
  <c r="K15" i="36"/>
  <c r="I15" i="36"/>
  <c r="G15" i="36"/>
  <c r="F15" i="36"/>
  <c r="D15" i="36"/>
  <c r="N14" i="36"/>
  <c r="L14" i="36"/>
  <c r="K14" i="36"/>
  <c r="I14" i="36"/>
  <c r="G14" i="36"/>
  <c r="F14" i="36"/>
  <c r="D14" i="36"/>
  <c r="N13" i="36"/>
  <c r="L13" i="36"/>
  <c r="K13" i="36"/>
  <c r="I13" i="36"/>
  <c r="G13" i="36"/>
  <c r="F13" i="36"/>
  <c r="D13" i="36"/>
  <c r="N12" i="36"/>
  <c r="L12" i="36"/>
  <c r="K12" i="36"/>
  <c r="I12" i="36"/>
  <c r="G12" i="36"/>
  <c r="F12" i="36"/>
  <c r="D12" i="36"/>
  <c r="N11" i="36"/>
  <c r="L11" i="36"/>
  <c r="K11" i="36"/>
  <c r="I11" i="36"/>
  <c r="G11" i="36"/>
  <c r="F11" i="36"/>
  <c r="D11" i="36"/>
  <c r="N10" i="36"/>
  <c r="L10" i="36"/>
  <c r="K10" i="36"/>
  <c r="I10" i="36"/>
  <c r="G10" i="36"/>
  <c r="F10" i="36"/>
  <c r="D10" i="36"/>
  <c r="N9" i="36"/>
  <c r="L9" i="36"/>
  <c r="K9" i="36"/>
  <c r="I9" i="36"/>
  <c r="G9" i="36"/>
  <c r="F9" i="36"/>
  <c r="D9" i="36"/>
  <c r="N8" i="36"/>
  <c r="L8" i="36"/>
  <c r="K8" i="36"/>
  <c r="I8" i="36"/>
  <c r="G8" i="36"/>
  <c r="F8" i="36"/>
  <c r="D8" i="36"/>
  <c r="N7" i="36"/>
  <c r="L7" i="36"/>
  <c r="K7" i="36"/>
  <c r="I7" i="36"/>
  <c r="G7" i="36"/>
  <c r="F7" i="36"/>
  <c r="D7" i="36"/>
  <c r="N6" i="36"/>
  <c r="L6" i="36"/>
  <c r="I6" i="36"/>
  <c r="G6" i="36"/>
  <c r="F6" i="36"/>
  <c r="D6" i="36"/>
  <c r="K68" i="35"/>
  <c r="O67" i="35"/>
  <c r="K67" i="35"/>
  <c r="J67" i="35"/>
  <c r="I67" i="35"/>
  <c r="G67" i="35"/>
  <c r="E67" i="35"/>
  <c r="C67" i="35"/>
  <c r="B67" i="35"/>
  <c r="K66" i="35"/>
  <c r="J66" i="35"/>
  <c r="I66" i="35"/>
  <c r="G66" i="35"/>
  <c r="E66" i="35"/>
  <c r="K64" i="35"/>
  <c r="J64" i="35"/>
  <c r="I64" i="35"/>
  <c r="G64" i="35"/>
  <c r="E64" i="35"/>
  <c r="C64" i="35"/>
  <c r="B64" i="35"/>
  <c r="K63" i="35"/>
  <c r="J63" i="35"/>
  <c r="I63" i="35"/>
  <c r="G63" i="35"/>
  <c r="E63" i="35"/>
  <c r="K60" i="35"/>
  <c r="K59" i="35"/>
  <c r="J59" i="35"/>
  <c r="I59" i="35"/>
  <c r="G59" i="35"/>
  <c r="E59" i="35"/>
  <c r="C59" i="35"/>
  <c r="B59" i="35"/>
  <c r="K58" i="35"/>
  <c r="I58" i="35"/>
  <c r="G58" i="35"/>
  <c r="E58" i="35"/>
  <c r="K56" i="35"/>
  <c r="I56" i="35"/>
  <c r="G56" i="35"/>
  <c r="E56" i="35"/>
  <c r="C56" i="35"/>
  <c r="B56" i="35"/>
  <c r="K55" i="35"/>
  <c r="I55" i="35"/>
  <c r="G55" i="35"/>
  <c r="E55" i="35"/>
  <c r="K52" i="35"/>
  <c r="K51" i="35"/>
  <c r="J51" i="35"/>
  <c r="I51" i="35"/>
  <c r="E51" i="35"/>
  <c r="C51" i="35"/>
  <c r="B51" i="35"/>
  <c r="K50" i="35"/>
  <c r="J50" i="35"/>
  <c r="I50" i="35"/>
  <c r="E50" i="35"/>
  <c r="K48" i="35"/>
  <c r="J48" i="35"/>
  <c r="I48" i="35"/>
  <c r="G48" i="35"/>
  <c r="E48" i="35"/>
  <c r="C48" i="35"/>
  <c r="B48" i="35"/>
  <c r="K47" i="35"/>
  <c r="J47" i="35"/>
  <c r="I47" i="35"/>
  <c r="G47" i="35"/>
  <c r="E47" i="35"/>
  <c r="K44" i="35"/>
  <c r="K43" i="35"/>
  <c r="J43" i="35"/>
  <c r="I43" i="35"/>
  <c r="G43" i="35"/>
  <c r="E43" i="35"/>
  <c r="C43" i="35"/>
  <c r="B43" i="35"/>
  <c r="K42" i="35"/>
  <c r="J42" i="35"/>
  <c r="I42" i="35"/>
  <c r="G42" i="35"/>
  <c r="E42" i="35"/>
  <c r="C42" i="35"/>
  <c r="B42" i="35"/>
  <c r="K40" i="35"/>
  <c r="J40" i="35"/>
  <c r="I40" i="35"/>
  <c r="G40" i="35"/>
  <c r="E40" i="35"/>
  <c r="C40" i="35"/>
  <c r="B40" i="35"/>
  <c r="K39" i="35"/>
  <c r="J39" i="35"/>
  <c r="I39" i="35"/>
  <c r="G39" i="35"/>
  <c r="E39" i="35"/>
  <c r="K36" i="35"/>
  <c r="K35" i="35"/>
  <c r="J35" i="35"/>
  <c r="I35" i="35"/>
  <c r="G35" i="35"/>
  <c r="E35" i="35"/>
  <c r="C35" i="35"/>
  <c r="B35" i="35"/>
  <c r="N34" i="35"/>
  <c r="K34" i="35"/>
  <c r="I34" i="35"/>
  <c r="G34" i="35"/>
  <c r="E34" i="35"/>
  <c r="B34" i="35"/>
  <c r="K32" i="35"/>
  <c r="J32" i="35"/>
  <c r="I32" i="35"/>
  <c r="G32" i="35"/>
  <c r="E32" i="35"/>
  <c r="C32" i="35"/>
  <c r="B32" i="35"/>
  <c r="N31" i="35"/>
  <c r="K31" i="35"/>
  <c r="I31" i="35"/>
  <c r="G31" i="35"/>
  <c r="E31" i="35"/>
  <c r="K28" i="35"/>
  <c r="K27" i="35"/>
  <c r="J27" i="35"/>
  <c r="I27" i="35"/>
  <c r="E27" i="35"/>
  <c r="C27" i="35"/>
  <c r="B27" i="35"/>
  <c r="K26" i="35"/>
  <c r="J26" i="35"/>
  <c r="I26" i="35"/>
  <c r="E26" i="35"/>
  <c r="C26" i="35"/>
  <c r="B26" i="35"/>
  <c r="K24" i="35"/>
  <c r="J24" i="35"/>
  <c r="I24" i="35"/>
  <c r="E24" i="35"/>
  <c r="C24" i="35"/>
  <c r="B24" i="35"/>
  <c r="N23" i="35"/>
  <c r="K23" i="35"/>
  <c r="J23" i="35"/>
  <c r="I23" i="35"/>
  <c r="E23" i="35"/>
  <c r="K19" i="35"/>
  <c r="K18" i="35"/>
  <c r="J18" i="35"/>
  <c r="I18" i="35"/>
  <c r="E18" i="35"/>
  <c r="K16" i="35"/>
  <c r="J16" i="35"/>
  <c r="I16" i="35"/>
  <c r="E16" i="35"/>
  <c r="K13" i="35"/>
  <c r="K12" i="35"/>
  <c r="J12" i="35"/>
  <c r="I12" i="35"/>
  <c r="E12" i="35"/>
  <c r="K11" i="35"/>
  <c r="I11" i="35"/>
  <c r="E11" i="35"/>
  <c r="K9" i="35"/>
  <c r="J9" i="35"/>
  <c r="I9" i="35"/>
  <c r="E9" i="35"/>
  <c r="K8" i="35"/>
  <c r="I8" i="35"/>
  <c r="L55" i="34"/>
  <c r="J55" i="34"/>
  <c r="H55" i="34"/>
  <c r="G55" i="34"/>
  <c r="F55" i="34"/>
  <c r="D55" i="34"/>
  <c r="L54" i="34"/>
  <c r="J54" i="34"/>
  <c r="H54" i="34"/>
  <c r="G54" i="34"/>
  <c r="F54" i="34"/>
  <c r="D54" i="34"/>
  <c r="L53" i="34"/>
  <c r="K53" i="34"/>
  <c r="J53" i="34"/>
  <c r="I53" i="34"/>
  <c r="H53" i="34"/>
  <c r="F53" i="34"/>
  <c r="L52" i="34"/>
  <c r="K52" i="34"/>
  <c r="J52" i="34"/>
  <c r="I52" i="34"/>
  <c r="H52" i="34"/>
  <c r="F52" i="34"/>
  <c r="L51" i="34"/>
  <c r="K51" i="34"/>
  <c r="J51" i="34"/>
  <c r="I51" i="34"/>
  <c r="H51" i="34"/>
  <c r="F51" i="34"/>
  <c r="L50" i="34"/>
  <c r="K50" i="34"/>
  <c r="J50" i="34"/>
  <c r="I50" i="34"/>
  <c r="H50" i="34"/>
  <c r="F50" i="34"/>
  <c r="L49" i="34"/>
  <c r="K49" i="34"/>
  <c r="J49" i="34"/>
  <c r="I49" i="34"/>
  <c r="H49" i="34"/>
  <c r="F49" i="34"/>
  <c r="L48" i="34"/>
  <c r="K48" i="34"/>
  <c r="J48" i="34"/>
  <c r="I48" i="34"/>
  <c r="H48" i="34"/>
  <c r="F48" i="34"/>
  <c r="L47" i="34"/>
  <c r="K47" i="34"/>
  <c r="J47" i="34"/>
  <c r="I47" i="34"/>
  <c r="H47" i="34"/>
  <c r="F47" i="34"/>
  <c r="L46" i="34"/>
  <c r="K46" i="34"/>
  <c r="J46" i="34"/>
  <c r="I46" i="34"/>
  <c r="H46" i="34"/>
  <c r="F46" i="34"/>
  <c r="L45" i="34"/>
  <c r="K45" i="34"/>
  <c r="J45" i="34"/>
  <c r="I45" i="34"/>
  <c r="H45" i="34"/>
  <c r="F45" i="34"/>
  <c r="L44" i="34"/>
  <c r="K44" i="34"/>
  <c r="J44" i="34"/>
  <c r="I44" i="34"/>
  <c r="H44" i="34"/>
  <c r="F44" i="34"/>
  <c r="L43" i="34"/>
  <c r="K43" i="34"/>
  <c r="J43" i="34"/>
  <c r="I43" i="34"/>
  <c r="H43" i="34"/>
  <c r="F43" i="34"/>
  <c r="L42" i="34"/>
  <c r="K42" i="34"/>
  <c r="J42" i="34"/>
  <c r="I42" i="34"/>
  <c r="H42" i="34"/>
  <c r="F42" i="34"/>
  <c r="L41" i="34"/>
  <c r="K41" i="34"/>
  <c r="J41" i="34"/>
  <c r="I41" i="34"/>
  <c r="H41" i="34"/>
  <c r="F41" i="34"/>
  <c r="L40" i="34"/>
  <c r="K40" i="34"/>
  <c r="J40" i="34"/>
  <c r="I40" i="34"/>
  <c r="H40" i="34"/>
  <c r="F40" i="34"/>
  <c r="L39" i="34"/>
  <c r="K39" i="34"/>
  <c r="J39" i="34"/>
  <c r="I39" i="34"/>
  <c r="H39" i="34"/>
  <c r="F39" i="34"/>
  <c r="L38" i="34"/>
  <c r="K38" i="34"/>
  <c r="J38" i="34"/>
  <c r="I38" i="34"/>
  <c r="H38" i="34"/>
  <c r="F38" i="34"/>
  <c r="L37" i="34"/>
  <c r="K37" i="34"/>
  <c r="J37" i="34"/>
  <c r="I37" i="34"/>
  <c r="H37" i="34"/>
  <c r="F37" i="34"/>
  <c r="L36" i="34"/>
  <c r="K36" i="34"/>
  <c r="J36" i="34"/>
  <c r="I36" i="34"/>
  <c r="H36" i="34"/>
  <c r="F36" i="34"/>
  <c r="L35" i="34"/>
  <c r="K35" i="34"/>
  <c r="J35" i="34"/>
  <c r="I35" i="34"/>
  <c r="H35" i="34"/>
  <c r="F35" i="34"/>
  <c r="L34" i="34"/>
  <c r="K34" i="34"/>
  <c r="J34" i="34"/>
  <c r="I34" i="34"/>
  <c r="H34" i="34"/>
  <c r="F34" i="34"/>
  <c r="L33" i="34"/>
  <c r="K33" i="34"/>
  <c r="J33" i="34"/>
  <c r="I33" i="34"/>
  <c r="H33" i="34"/>
  <c r="F33" i="34"/>
  <c r="L32" i="34"/>
  <c r="K32" i="34"/>
  <c r="J32" i="34"/>
  <c r="I32" i="34"/>
  <c r="H32" i="34"/>
  <c r="F32" i="34"/>
  <c r="L31" i="34"/>
  <c r="K31" i="34"/>
  <c r="J31" i="34"/>
  <c r="I31" i="34"/>
  <c r="H31" i="34"/>
  <c r="F31" i="34"/>
  <c r="L30" i="34"/>
  <c r="K30" i="34"/>
  <c r="J30" i="34"/>
  <c r="I30" i="34"/>
  <c r="H30" i="34"/>
  <c r="F30" i="34"/>
  <c r="L29" i="34"/>
  <c r="K29" i="34"/>
  <c r="J29" i="34"/>
  <c r="I29" i="34"/>
  <c r="H29" i="34"/>
  <c r="F29" i="34"/>
  <c r="L28" i="34"/>
  <c r="J28" i="34"/>
  <c r="H28" i="34"/>
  <c r="F28" i="34"/>
  <c r="L26" i="34"/>
  <c r="J26" i="34"/>
  <c r="H26" i="34"/>
  <c r="G26" i="34"/>
  <c r="F26" i="34"/>
  <c r="D26" i="34"/>
  <c r="L25" i="34"/>
  <c r="K25" i="34"/>
  <c r="J25" i="34"/>
  <c r="I25" i="34"/>
  <c r="H25" i="34"/>
  <c r="F25" i="34"/>
  <c r="L24" i="34"/>
  <c r="K24" i="34"/>
  <c r="J24" i="34"/>
  <c r="I24" i="34"/>
  <c r="H24" i="34"/>
  <c r="F24" i="34"/>
  <c r="L23" i="34"/>
  <c r="K23" i="34"/>
  <c r="J23" i="34"/>
  <c r="I23" i="34"/>
  <c r="H23" i="34"/>
  <c r="F23" i="34"/>
  <c r="L22" i="34"/>
  <c r="K22" i="34"/>
  <c r="J22" i="34"/>
  <c r="I22" i="34"/>
  <c r="H22" i="34"/>
  <c r="F22" i="34"/>
  <c r="L21" i="34"/>
  <c r="K21" i="34"/>
  <c r="J21" i="34"/>
  <c r="I21" i="34"/>
  <c r="H21" i="34"/>
  <c r="F21" i="34"/>
  <c r="L20" i="34"/>
  <c r="K20" i="34"/>
  <c r="J20" i="34"/>
  <c r="I20" i="34"/>
  <c r="H20" i="34"/>
  <c r="F20" i="34"/>
  <c r="L19" i="34"/>
  <c r="K19" i="34"/>
  <c r="J19" i="34"/>
  <c r="I19" i="34"/>
  <c r="H19" i="34"/>
  <c r="F19" i="34"/>
  <c r="L18" i="34"/>
  <c r="K18" i="34"/>
  <c r="J18" i="34"/>
  <c r="I18" i="34"/>
  <c r="H18" i="34"/>
  <c r="F18" i="34"/>
  <c r="L17" i="34"/>
  <c r="K17" i="34"/>
  <c r="J17" i="34"/>
  <c r="I17" i="34"/>
  <c r="H17" i="34"/>
  <c r="F17" i="34"/>
  <c r="L16" i="34"/>
  <c r="K16" i="34"/>
  <c r="J16" i="34"/>
  <c r="I16" i="34"/>
  <c r="H16" i="34"/>
  <c r="F16" i="34"/>
  <c r="L15" i="34"/>
  <c r="K15" i="34"/>
  <c r="J15" i="34"/>
  <c r="I15" i="34"/>
  <c r="H15" i="34"/>
  <c r="F15" i="34"/>
  <c r="L14" i="34"/>
  <c r="K14" i="34"/>
  <c r="J14" i="34"/>
  <c r="I14" i="34"/>
  <c r="H14" i="34"/>
  <c r="F14" i="34"/>
  <c r="L13" i="34"/>
  <c r="K13" i="34"/>
  <c r="J13" i="34"/>
  <c r="I13" i="34"/>
  <c r="H13" i="34"/>
  <c r="F13" i="34"/>
  <c r="L12" i="34"/>
  <c r="K12" i="34"/>
  <c r="J12" i="34"/>
  <c r="I12" i="34"/>
  <c r="H12" i="34"/>
  <c r="F12" i="34"/>
  <c r="L11" i="34"/>
  <c r="K11" i="34"/>
  <c r="J11" i="34"/>
  <c r="I11" i="34"/>
  <c r="H11" i="34"/>
  <c r="F11" i="34"/>
  <c r="L10" i="34"/>
  <c r="K10" i="34"/>
  <c r="J10" i="34"/>
  <c r="I10" i="34"/>
  <c r="H10" i="34"/>
  <c r="F10" i="34"/>
  <c r="L9" i="34"/>
  <c r="K9" i="34"/>
  <c r="J9" i="34"/>
  <c r="I9" i="34"/>
  <c r="H9" i="34"/>
  <c r="F9" i="34"/>
  <c r="L8" i="34"/>
  <c r="K8" i="34"/>
  <c r="J8" i="34"/>
  <c r="I8" i="34"/>
  <c r="H8" i="34"/>
  <c r="F8" i="34"/>
  <c r="L7" i="34"/>
  <c r="K7" i="34"/>
  <c r="J7" i="34"/>
  <c r="I7" i="34"/>
  <c r="H7" i="34"/>
  <c r="F7" i="34"/>
  <c r="L6" i="34"/>
  <c r="J6" i="34"/>
  <c r="H6" i="34"/>
  <c r="F6" i="34"/>
  <c r="N56" i="33"/>
  <c r="M56" i="33"/>
  <c r="K56" i="33"/>
  <c r="I56" i="33"/>
  <c r="H56" i="33"/>
  <c r="G56" i="33"/>
  <c r="F56" i="33"/>
  <c r="D56" i="33"/>
  <c r="N55" i="33"/>
  <c r="M55" i="33"/>
  <c r="K55" i="33"/>
  <c r="I55" i="33"/>
  <c r="H55" i="33"/>
  <c r="G55" i="33"/>
  <c r="F55" i="33"/>
  <c r="D55" i="33"/>
  <c r="N54" i="33"/>
  <c r="M54" i="33"/>
  <c r="L54" i="33"/>
  <c r="K54" i="33"/>
  <c r="J54" i="33"/>
  <c r="H54" i="33"/>
  <c r="F54" i="33"/>
  <c r="N53" i="33"/>
  <c r="M53" i="33"/>
  <c r="L53" i="33"/>
  <c r="K53" i="33"/>
  <c r="J53" i="33"/>
  <c r="H53" i="33"/>
  <c r="F53" i="33"/>
  <c r="N52" i="33"/>
  <c r="M52" i="33"/>
  <c r="L52" i="33"/>
  <c r="K52" i="33"/>
  <c r="J52" i="33"/>
  <c r="H52" i="33"/>
  <c r="F52" i="33"/>
  <c r="N51" i="33"/>
  <c r="M51" i="33"/>
  <c r="L51" i="33"/>
  <c r="K51" i="33"/>
  <c r="J51" i="33"/>
  <c r="H51" i="33"/>
  <c r="F51" i="33"/>
  <c r="N50" i="33"/>
  <c r="M50" i="33"/>
  <c r="L50" i="33"/>
  <c r="K50" i="33"/>
  <c r="J50" i="33"/>
  <c r="H50" i="33"/>
  <c r="F50" i="33"/>
  <c r="N49" i="33"/>
  <c r="M49" i="33"/>
  <c r="L49" i="33"/>
  <c r="K49" i="33"/>
  <c r="J49" i="33"/>
  <c r="H49" i="33"/>
  <c r="F49" i="33"/>
  <c r="N48" i="33"/>
  <c r="M48" i="33"/>
  <c r="L48" i="33"/>
  <c r="K48" i="33"/>
  <c r="J48" i="33"/>
  <c r="H48" i="33"/>
  <c r="F48" i="33"/>
  <c r="N47" i="33"/>
  <c r="M47" i="33"/>
  <c r="L47" i="33"/>
  <c r="K47" i="33"/>
  <c r="J47" i="33"/>
  <c r="H47" i="33"/>
  <c r="F47" i="33"/>
  <c r="N46" i="33"/>
  <c r="M46" i="33"/>
  <c r="L46" i="33"/>
  <c r="K46" i="33"/>
  <c r="J46" i="33"/>
  <c r="H46" i="33"/>
  <c r="F46" i="33"/>
  <c r="N45" i="33"/>
  <c r="M45" i="33"/>
  <c r="L45" i="33"/>
  <c r="K45" i="33"/>
  <c r="J45" i="33"/>
  <c r="H45" i="33"/>
  <c r="F45" i="33"/>
  <c r="N44" i="33"/>
  <c r="M44" i="33"/>
  <c r="L44" i="33"/>
  <c r="K44" i="33"/>
  <c r="J44" i="33"/>
  <c r="H44" i="33"/>
  <c r="F44" i="33"/>
  <c r="N43" i="33"/>
  <c r="M43" i="33"/>
  <c r="L43" i="33"/>
  <c r="K43" i="33"/>
  <c r="J43" i="33"/>
  <c r="H43" i="33"/>
  <c r="F43" i="33"/>
  <c r="N42" i="33"/>
  <c r="M42" i="33"/>
  <c r="L42" i="33"/>
  <c r="K42" i="33"/>
  <c r="J42" i="33"/>
  <c r="H42" i="33"/>
  <c r="F42" i="33"/>
  <c r="N41" i="33"/>
  <c r="M41" i="33"/>
  <c r="L41" i="33"/>
  <c r="K41" i="33"/>
  <c r="J41" i="33"/>
  <c r="H41" i="33"/>
  <c r="F41" i="33"/>
  <c r="N40" i="33"/>
  <c r="M40" i="33"/>
  <c r="L40" i="33"/>
  <c r="K40" i="33"/>
  <c r="J40" i="33"/>
  <c r="H40" i="33"/>
  <c r="F40" i="33"/>
  <c r="N39" i="33"/>
  <c r="M39" i="33"/>
  <c r="L39" i="33"/>
  <c r="K39" i="33"/>
  <c r="J39" i="33"/>
  <c r="H39" i="33"/>
  <c r="F39" i="33"/>
  <c r="N38" i="33"/>
  <c r="M38" i="33"/>
  <c r="L38" i="33"/>
  <c r="K38" i="33"/>
  <c r="J38" i="33"/>
  <c r="H38" i="33"/>
  <c r="F38" i="33"/>
  <c r="N37" i="33"/>
  <c r="M37" i="33"/>
  <c r="L37" i="33"/>
  <c r="K37" i="33"/>
  <c r="J37" i="33"/>
  <c r="H37" i="33"/>
  <c r="F37" i="33"/>
  <c r="N36" i="33"/>
  <c r="M36" i="33"/>
  <c r="L36" i="33"/>
  <c r="K36" i="33"/>
  <c r="J36" i="33"/>
  <c r="H36" i="33"/>
  <c r="F36" i="33"/>
  <c r="N35" i="33"/>
  <c r="M35" i="33"/>
  <c r="L35" i="33"/>
  <c r="K35" i="33"/>
  <c r="J35" i="33"/>
  <c r="H35" i="33"/>
  <c r="F35" i="33"/>
  <c r="N34" i="33"/>
  <c r="M34" i="33"/>
  <c r="L34" i="33"/>
  <c r="K34" i="33"/>
  <c r="J34" i="33"/>
  <c r="H34" i="33"/>
  <c r="F34" i="33"/>
  <c r="N33" i="33"/>
  <c r="M33" i="33"/>
  <c r="L33" i="33"/>
  <c r="K33" i="33"/>
  <c r="J33" i="33"/>
  <c r="H33" i="33"/>
  <c r="F33" i="33"/>
  <c r="N32" i="33"/>
  <c r="M32" i="33"/>
  <c r="L32" i="33"/>
  <c r="K32" i="33"/>
  <c r="J32" i="33"/>
  <c r="H32" i="33"/>
  <c r="F32" i="33"/>
  <c r="N31" i="33"/>
  <c r="M31" i="33"/>
  <c r="L31" i="33"/>
  <c r="K31" i="33"/>
  <c r="J31" i="33"/>
  <c r="H31" i="33"/>
  <c r="F31" i="33"/>
  <c r="N30" i="33"/>
  <c r="M30" i="33"/>
  <c r="L30" i="33"/>
  <c r="K30" i="33"/>
  <c r="J30" i="33"/>
  <c r="H30" i="33"/>
  <c r="F30" i="33"/>
  <c r="N29" i="33"/>
  <c r="M29" i="33"/>
  <c r="K29" i="33"/>
  <c r="H29" i="33"/>
  <c r="F29" i="33"/>
  <c r="N27" i="33"/>
  <c r="M27" i="33"/>
  <c r="K27" i="33"/>
  <c r="I27" i="33"/>
  <c r="H27" i="33"/>
  <c r="G27" i="33"/>
  <c r="F27" i="33"/>
  <c r="D27" i="33"/>
  <c r="N26" i="33"/>
  <c r="M26" i="33"/>
  <c r="K26" i="33"/>
  <c r="H26" i="33"/>
  <c r="F26" i="33"/>
  <c r="N25" i="33"/>
  <c r="M25" i="33"/>
  <c r="K25" i="33"/>
  <c r="H25" i="33"/>
  <c r="F25" i="33"/>
  <c r="N24" i="33"/>
  <c r="M24" i="33"/>
  <c r="K24" i="33"/>
  <c r="H24" i="33"/>
  <c r="F24" i="33"/>
  <c r="N23" i="33"/>
  <c r="M23" i="33"/>
  <c r="K23" i="33"/>
  <c r="H23" i="33"/>
  <c r="F23" i="33"/>
  <c r="N22" i="33"/>
  <c r="M22" i="33"/>
  <c r="K22" i="33"/>
  <c r="H22" i="33"/>
  <c r="F22" i="33"/>
  <c r="N21" i="33"/>
  <c r="M21" i="33"/>
  <c r="K21" i="33"/>
  <c r="H21" i="33"/>
  <c r="F21" i="33"/>
  <c r="N20" i="33"/>
  <c r="M20" i="33"/>
  <c r="K20" i="33"/>
  <c r="H20" i="33"/>
  <c r="F20" i="33"/>
  <c r="N19" i="33"/>
  <c r="M19" i="33"/>
  <c r="K19" i="33"/>
  <c r="H19" i="33"/>
  <c r="F19" i="33"/>
  <c r="N18" i="33"/>
  <c r="M18" i="33"/>
  <c r="K18" i="33"/>
  <c r="H18" i="33"/>
  <c r="F18" i="33"/>
  <c r="N17" i="33"/>
  <c r="M17" i="33"/>
  <c r="K17" i="33"/>
  <c r="H17" i="33"/>
  <c r="F17" i="33"/>
  <c r="N16" i="33"/>
  <c r="M16" i="33"/>
  <c r="K16" i="33"/>
  <c r="H16" i="33"/>
  <c r="F16" i="33"/>
  <c r="N15" i="33"/>
  <c r="M15" i="33"/>
  <c r="K15" i="33"/>
  <c r="H15" i="33"/>
  <c r="F15" i="33"/>
  <c r="N14" i="33"/>
  <c r="M14" i="33"/>
  <c r="K14" i="33"/>
  <c r="H14" i="33"/>
  <c r="F14" i="33"/>
  <c r="N13" i="33"/>
  <c r="M13" i="33"/>
  <c r="K13" i="33"/>
  <c r="H13" i="33"/>
  <c r="F13" i="33"/>
  <c r="N12" i="33"/>
  <c r="M12" i="33"/>
  <c r="K12" i="33"/>
  <c r="H12" i="33"/>
  <c r="F12" i="33"/>
  <c r="N11" i="33"/>
  <c r="M11" i="33"/>
  <c r="K11" i="33"/>
  <c r="H11" i="33"/>
  <c r="F11" i="33"/>
  <c r="N10" i="33"/>
  <c r="M10" i="33"/>
  <c r="K10" i="33"/>
  <c r="H10" i="33"/>
  <c r="F10" i="33"/>
  <c r="N9" i="33"/>
  <c r="M9" i="33"/>
  <c r="K9" i="33"/>
  <c r="H9" i="33"/>
  <c r="F9" i="33"/>
  <c r="N8" i="33"/>
  <c r="M8" i="33"/>
  <c r="K8" i="33"/>
  <c r="H8" i="33"/>
  <c r="F8" i="33"/>
  <c r="N7" i="33"/>
  <c r="M7" i="33"/>
  <c r="K7" i="33"/>
  <c r="H7" i="33"/>
  <c r="F7" i="33"/>
  <c r="P64" i="32"/>
  <c r="R54" i="32"/>
  <c r="P54" i="32"/>
  <c r="M54" i="32"/>
  <c r="L54" i="32"/>
  <c r="K54" i="32"/>
  <c r="J54" i="32"/>
  <c r="I54" i="32"/>
  <c r="H54" i="32"/>
  <c r="G54" i="32"/>
  <c r="F54" i="32"/>
  <c r="D54" i="32"/>
  <c r="R53" i="32"/>
  <c r="Q53" i="32"/>
  <c r="P53" i="32"/>
  <c r="O53" i="32"/>
  <c r="M53" i="32"/>
  <c r="L53" i="32"/>
  <c r="K53" i="32"/>
  <c r="J53" i="32"/>
  <c r="I53" i="32"/>
  <c r="H53" i="32"/>
  <c r="E53" i="32"/>
  <c r="D53" i="32"/>
  <c r="C53" i="32"/>
  <c r="B53" i="32"/>
  <c r="R52" i="32"/>
  <c r="Q52" i="32"/>
  <c r="P52" i="32"/>
  <c r="O52" i="32"/>
  <c r="M52" i="32"/>
  <c r="L52" i="32"/>
  <c r="K52" i="32"/>
  <c r="J52" i="32"/>
  <c r="I52" i="32"/>
  <c r="H52" i="32"/>
  <c r="E52" i="32"/>
  <c r="D52" i="32"/>
  <c r="C52" i="32"/>
  <c r="B52" i="32"/>
  <c r="R51" i="32"/>
  <c r="Q51" i="32"/>
  <c r="P51" i="32"/>
  <c r="O51" i="32"/>
  <c r="M51" i="32"/>
  <c r="L51" i="32"/>
  <c r="K51" i="32"/>
  <c r="J51" i="32"/>
  <c r="I51" i="32"/>
  <c r="H51" i="32"/>
  <c r="E51" i="32"/>
  <c r="D51" i="32"/>
  <c r="C51" i="32"/>
  <c r="B51" i="32"/>
  <c r="R50" i="32"/>
  <c r="Q50" i="32"/>
  <c r="P50" i="32"/>
  <c r="O50" i="32"/>
  <c r="M50" i="32"/>
  <c r="L50" i="32"/>
  <c r="K50" i="32"/>
  <c r="J50" i="32"/>
  <c r="I50" i="32"/>
  <c r="H50" i="32"/>
  <c r="E50" i="32"/>
  <c r="D50" i="32"/>
  <c r="C50" i="32"/>
  <c r="B50" i="32"/>
  <c r="R49" i="32"/>
  <c r="Q49" i="32"/>
  <c r="P49" i="32"/>
  <c r="O49" i="32"/>
  <c r="M49" i="32"/>
  <c r="L49" i="32"/>
  <c r="K49" i="32"/>
  <c r="J49" i="32"/>
  <c r="I49" i="32"/>
  <c r="H49" i="32"/>
  <c r="E49" i="32"/>
  <c r="D49" i="32"/>
  <c r="C49" i="32"/>
  <c r="B49" i="32"/>
  <c r="R48" i="32"/>
  <c r="Q48" i="32"/>
  <c r="P48" i="32"/>
  <c r="O48" i="32"/>
  <c r="M48" i="32"/>
  <c r="L48" i="32"/>
  <c r="K48" i="32"/>
  <c r="J48" i="32"/>
  <c r="I48" i="32"/>
  <c r="H48" i="32"/>
  <c r="E48" i="32"/>
  <c r="D48" i="32"/>
  <c r="C48" i="32"/>
  <c r="B48" i="32"/>
  <c r="R47" i="32"/>
  <c r="Q47" i="32"/>
  <c r="P47" i="32"/>
  <c r="O47" i="32"/>
  <c r="M47" i="32"/>
  <c r="L47" i="32"/>
  <c r="K47" i="32"/>
  <c r="J47" i="32"/>
  <c r="I47" i="32"/>
  <c r="H47" i="32"/>
  <c r="E47" i="32"/>
  <c r="D47" i="32"/>
  <c r="C47" i="32"/>
  <c r="B47" i="32"/>
  <c r="R46" i="32"/>
  <c r="Q46" i="32"/>
  <c r="P46" i="32"/>
  <c r="O46" i="32"/>
  <c r="M46" i="32"/>
  <c r="L46" i="32"/>
  <c r="K46" i="32"/>
  <c r="J46" i="32"/>
  <c r="I46" i="32"/>
  <c r="H46" i="32"/>
  <c r="E46" i="32"/>
  <c r="D46" i="32"/>
  <c r="C46" i="32"/>
  <c r="B46" i="32"/>
  <c r="R45" i="32"/>
  <c r="Q45" i="32"/>
  <c r="P45" i="32"/>
  <c r="O45" i="32"/>
  <c r="M45" i="32"/>
  <c r="L45" i="32"/>
  <c r="K45" i="32"/>
  <c r="J45" i="32"/>
  <c r="I45" i="32"/>
  <c r="H45" i="32"/>
  <c r="E45" i="32"/>
  <c r="D45" i="32"/>
  <c r="C45" i="32"/>
  <c r="B45" i="32"/>
  <c r="R44" i="32"/>
  <c r="Q44" i="32"/>
  <c r="P44" i="32"/>
  <c r="O44" i="32"/>
  <c r="M44" i="32"/>
  <c r="L44" i="32"/>
  <c r="K44" i="32"/>
  <c r="J44" i="32"/>
  <c r="I44" i="32"/>
  <c r="H44" i="32"/>
  <c r="E44" i="32"/>
  <c r="D44" i="32"/>
  <c r="C44" i="32"/>
  <c r="B44" i="32"/>
  <c r="R43" i="32"/>
  <c r="Q43" i="32"/>
  <c r="P43" i="32"/>
  <c r="O43" i="32"/>
  <c r="M43" i="32"/>
  <c r="L43" i="32"/>
  <c r="K43" i="32"/>
  <c r="J43" i="32"/>
  <c r="I43" i="32"/>
  <c r="H43" i="32"/>
  <c r="E43" i="32"/>
  <c r="D43" i="32"/>
  <c r="C43" i="32"/>
  <c r="B43" i="32"/>
  <c r="R42" i="32"/>
  <c r="Q42" i="32"/>
  <c r="P42" i="32"/>
  <c r="O42" i="32"/>
  <c r="M42" i="32"/>
  <c r="L42" i="32"/>
  <c r="K42" i="32"/>
  <c r="J42" i="32"/>
  <c r="I42" i="32"/>
  <c r="H42" i="32"/>
  <c r="E42" i="32"/>
  <c r="D42" i="32"/>
  <c r="C42" i="32"/>
  <c r="B42" i="32"/>
  <c r="R41" i="32"/>
  <c r="Q41" i="32"/>
  <c r="P41" i="32"/>
  <c r="O41" i="32"/>
  <c r="M41" i="32"/>
  <c r="L41" i="32"/>
  <c r="K41" i="32"/>
  <c r="J41" i="32"/>
  <c r="I41" i="32"/>
  <c r="H41" i="32"/>
  <c r="E41" i="32"/>
  <c r="D41" i="32"/>
  <c r="C41" i="32"/>
  <c r="B41" i="32"/>
  <c r="R40" i="32"/>
  <c r="Q40" i="32"/>
  <c r="P40" i="32"/>
  <c r="O40" i="32"/>
  <c r="M40" i="32"/>
  <c r="L40" i="32"/>
  <c r="K40" i="32"/>
  <c r="J40" i="32"/>
  <c r="I40" i="32"/>
  <c r="H40" i="32"/>
  <c r="E40" i="32"/>
  <c r="D40" i="32"/>
  <c r="C40" i="32"/>
  <c r="B40" i="32"/>
  <c r="R39" i="32"/>
  <c r="Q39" i="32"/>
  <c r="P39" i="32"/>
  <c r="O39" i="32"/>
  <c r="M39" i="32"/>
  <c r="L39" i="32"/>
  <c r="K39" i="32"/>
  <c r="J39" i="32"/>
  <c r="I39" i="32"/>
  <c r="H39" i="32"/>
  <c r="E39" i="32"/>
  <c r="D39" i="32"/>
  <c r="C39" i="32"/>
  <c r="B39" i="32"/>
  <c r="R38" i="32"/>
  <c r="Q38" i="32"/>
  <c r="P38" i="32"/>
  <c r="O38" i="32"/>
  <c r="M38" i="32"/>
  <c r="L38" i="32"/>
  <c r="K38" i="32"/>
  <c r="J38" i="32"/>
  <c r="I38" i="32"/>
  <c r="H38" i="32"/>
  <c r="E38" i="32"/>
  <c r="D38" i="32"/>
  <c r="C38" i="32"/>
  <c r="B38" i="32"/>
  <c r="R37" i="32"/>
  <c r="Q37" i="32"/>
  <c r="P37" i="32"/>
  <c r="O37" i="32"/>
  <c r="M37" i="32"/>
  <c r="L37" i="32"/>
  <c r="K37" i="32"/>
  <c r="J37" i="32"/>
  <c r="I37" i="32"/>
  <c r="H37" i="32"/>
  <c r="E37" i="32"/>
  <c r="D37" i="32"/>
  <c r="C37" i="32"/>
  <c r="B37" i="32"/>
  <c r="R36" i="32"/>
  <c r="Q36" i="32"/>
  <c r="P36" i="32"/>
  <c r="O36" i="32"/>
  <c r="M36" i="32"/>
  <c r="L36" i="32"/>
  <c r="K36" i="32"/>
  <c r="J36" i="32"/>
  <c r="I36" i="32"/>
  <c r="H36" i="32"/>
  <c r="E36" i="32"/>
  <c r="D36" i="32"/>
  <c r="C36" i="32"/>
  <c r="B36" i="32"/>
  <c r="R35" i="32"/>
  <c r="Q35" i="32"/>
  <c r="P35" i="32"/>
  <c r="O35" i="32"/>
  <c r="M35" i="32"/>
  <c r="L35" i="32"/>
  <c r="K35" i="32"/>
  <c r="J35" i="32"/>
  <c r="I35" i="32"/>
  <c r="H35" i="32"/>
  <c r="E35" i="32"/>
  <c r="D35" i="32"/>
  <c r="C35" i="32"/>
  <c r="B35" i="32"/>
  <c r="R34" i="32"/>
  <c r="Q34" i="32"/>
  <c r="P34" i="32"/>
  <c r="O34" i="32"/>
  <c r="M34" i="32"/>
  <c r="L34" i="32"/>
  <c r="K34" i="32"/>
  <c r="J34" i="32"/>
  <c r="I34" i="32"/>
  <c r="H34" i="32"/>
  <c r="E34" i="32"/>
  <c r="D34" i="32"/>
  <c r="C34" i="32"/>
  <c r="B34" i="32"/>
  <c r="R33" i="32"/>
  <c r="Q33" i="32"/>
  <c r="P33" i="32"/>
  <c r="O33" i="32"/>
  <c r="M33" i="32"/>
  <c r="L33" i="32"/>
  <c r="K33" i="32"/>
  <c r="J33" i="32"/>
  <c r="I33" i="32"/>
  <c r="H33" i="32"/>
  <c r="E33" i="32"/>
  <c r="D33" i="32"/>
  <c r="C33" i="32"/>
  <c r="B33" i="32"/>
  <c r="R32" i="32"/>
  <c r="Q32" i="32"/>
  <c r="P32" i="32"/>
  <c r="O32" i="32"/>
  <c r="M32" i="32"/>
  <c r="L32" i="32"/>
  <c r="K32" i="32"/>
  <c r="J32" i="32"/>
  <c r="I32" i="32"/>
  <c r="H32" i="32"/>
  <c r="E32" i="32"/>
  <c r="D32" i="32"/>
  <c r="C32" i="32"/>
  <c r="B32" i="32"/>
  <c r="R31" i="32"/>
  <c r="Q31" i="32"/>
  <c r="P31" i="32"/>
  <c r="O31" i="32"/>
  <c r="M31" i="32"/>
  <c r="L31" i="32"/>
  <c r="K31" i="32"/>
  <c r="J31" i="32"/>
  <c r="I31" i="32"/>
  <c r="H31" i="32"/>
  <c r="E31" i="32"/>
  <c r="D31" i="32"/>
  <c r="C31" i="32"/>
  <c r="B31" i="32"/>
  <c r="R30" i="32"/>
  <c r="Q30" i="32"/>
  <c r="P30" i="32"/>
  <c r="O30" i="32"/>
  <c r="M30" i="32"/>
  <c r="L30" i="32"/>
  <c r="K30" i="32"/>
  <c r="J30" i="32"/>
  <c r="I30" i="32"/>
  <c r="H30" i="32"/>
  <c r="E30" i="32"/>
  <c r="D30" i="32"/>
  <c r="C30" i="32"/>
  <c r="B30" i="32"/>
  <c r="R29" i="32"/>
  <c r="Q29" i="32"/>
  <c r="P29" i="32"/>
  <c r="O29" i="32"/>
  <c r="M29" i="32"/>
  <c r="L29" i="32"/>
  <c r="K29" i="32"/>
  <c r="J29" i="32"/>
  <c r="I29" i="32"/>
  <c r="H29" i="32"/>
  <c r="E29" i="32"/>
  <c r="D29" i="32"/>
  <c r="C29" i="32"/>
  <c r="B29" i="32"/>
  <c r="R28" i="32"/>
  <c r="P28" i="32"/>
  <c r="O28" i="32"/>
  <c r="M28" i="32"/>
  <c r="L28" i="32"/>
  <c r="K28" i="32"/>
  <c r="J28" i="32"/>
  <c r="I28" i="32"/>
  <c r="H28" i="32"/>
  <c r="E28" i="32"/>
  <c r="D28" i="32"/>
  <c r="C28" i="32"/>
  <c r="B28" i="32"/>
  <c r="R26" i="32"/>
  <c r="Q26" i="32"/>
  <c r="P26" i="32"/>
  <c r="O26" i="32"/>
  <c r="M26" i="32"/>
  <c r="L26" i="32"/>
  <c r="K26" i="32"/>
  <c r="J26" i="32"/>
  <c r="I26" i="32"/>
  <c r="H26" i="32"/>
  <c r="E26" i="32"/>
  <c r="D26" i="32"/>
  <c r="R25" i="32"/>
  <c r="Q25" i="32"/>
  <c r="P25" i="32"/>
  <c r="O25" i="32"/>
  <c r="M25" i="32"/>
  <c r="L25" i="32"/>
  <c r="K25" i="32"/>
  <c r="J25" i="32"/>
  <c r="I25" i="32"/>
  <c r="H25" i="32"/>
  <c r="E25" i="32"/>
  <c r="D25" i="32"/>
  <c r="R24" i="32"/>
  <c r="Q24" i="32"/>
  <c r="P24" i="32"/>
  <c r="O24" i="32"/>
  <c r="M24" i="32"/>
  <c r="L24" i="32"/>
  <c r="K24" i="32"/>
  <c r="J24" i="32"/>
  <c r="I24" i="32"/>
  <c r="H24" i="32"/>
  <c r="E24" i="32"/>
  <c r="D24" i="32"/>
  <c r="R23" i="32"/>
  <c r="Q23" i="32"/>
  <c r="P23" i="32"/>
  <c r="O23" i="32"/>
  <c r="M23" i="32"/>
  <c r="L23" i="32"/>
  <c r="K23" i="32"/>
  <c r="J23" i="32"/>
  <c r="I23" i="32"/>
  <c r="H23" i="32"/>
  <c r="E23" i="32"/>
  <c r="D23" i="32"/>
  <c r="R22" i="32"/>
  <c r="Q22" i="32"/>
  <c r="P22" i="32"/>
  <c r="O22" i="32"/>
  <c r="M22" i="32"/>
  <c r="L22" i="32"/>
  <c r="K22" i="32"/>
  <c r="J22" i="32"/>
  <c r="I22" i="32"/>
  <c r="H22" i="32"/>
  <c r="E22" i="32"/>
  <c r="D22" i="32"/>
  <c r="R21" i="32"/>
  <c r="Q21" i="32"/>
  <c r="P21" i="32"/>
  <c r="O21" i="32"/>
  <c r="M21" i="32"/>
  <c r="L21" i="32"/>
  <c r="K21" i="32"/>
  <c r="J21" i="32"/>
  <c r="I21" i="32"/>
  <c r="H21" i="32"/>
  <c r="E21" i="32"/>
  <c r="D21" i="32"/>
  <c r="R20" i="32"/>
  <c r="Q20" i="32"/>
  <c r="P20" i="32"/>
  <c r="O20" i="32"/>
  <c r="M20" i="32"/>
  <c r="L20" i="32"/>
  <c r="K20" i="32"/>
  <c r="J20" i="32"/>
  <c r="I20" i="32"/>
  <c r="H20" i="32"/>
  <c r="E20" i="32"/>
  <c r="D20" i="32"/>
  <c r="R19" i="32"/>
  <c r="Q19" i="32"/>
  <c r="P19" i="32"/>
  <c r="O19" i="32"/>
  <c r="M19" i="32"/>
  <c r="L19" i="32"/>
  <c r="K19" i="32"/>
  <c r="J19" i="32"/>
  <c r="I19" i="32"/>
  <c r="H19" i="32"/>
  <c r="E19" i="32"/>
  <c r="D19" i="32"/>
  <c r="R18" i="32"/>
  <c r="Q18" i="32"/>
  <c r="P18" i="32"/>
  <c r="O18" i="32"/>
  <c r="M18" i="32"/>
  <c r="L18" i="32"/>
  <c r="K18" i="32"/>
  <c r="J18" i="32"/>
  <c r="I18" i="32"/>
  <c r="H18" i="32"/>
  <c r="E18" i="32"/>
  <c r="D18" i="32"/>
  <c r="R17" i="32"/>
  <c r="Q17" i="32"/>
  <c r="P17" i="32"/>
  <c r="O17" i="32"/>
  <c r="M17" i="32"/>
  <c r="L17" i="32"/>
  <c r="K17" i="32"/>
  <c r="J17" i="32"/>
  <c r="I17" i="32"/>
  <c r="H17" i="32"/>
  <c r="E17" i="32"/>
  <c r="D17" i="32"/>
  <c r="R16" i="32"/>
  <c r="Q16" i="32"/>
  <c r="P16" i="32"/>
  <c r="O16" i="32"/>
  <c r="M16" i="32"/>
  <c r="L16" i="32"/>
  <c r="K16" i="32"/>
  <c r="J16" i="32"/>
  <c r="I16" i="32"/>
  <c r="H16" i="32"/>
  <c r="E16" i="32"/>
  <c r="D16" i="32"/>
  <c r="R15" i="32"/>
  <c r="Q15" i="32"/>
  <c r="P15" i="32"/>
  <c r="O15" i="32"/>
  <c r="M15" i="32"/>
  <c r="L15" i="32"/>
  <c r="K15" i="32"/>
  <c r="J15" i="32"/>
  <c r="I15" i="32"/>
  <c r="H15" i="32"/>
  <c r="E15" i="32"/>
  <c r="D15" i="32"/>
  <c r="R14" i="32"/>
  <c r="Q14" i="32"/>
  <c r="P14" i="32"/>
  <c r="O14" i="32"/>
  <c r="M14" i="32"/>
  <c r="L14" i="32"/>
  <c r="K14" i="32"/>
  <c r="J14" i="32"/>
  <c r="I14" i="32"/>
  <c r="H14" i="32"/>
  <c r="E14" i="32"/>
  <c r="D14" i="32"/>
  <c r="R13" i="32"/>
  <c r="Q13" i="32"/>
  <c r="P13" i="32"/>
  <c r="O13" i="32"/>
  <c r="M13" i="32"/>
  <c r="L13" i="32"/>
  <c r="K13" i="32"/>
  <c r="J13" i="32"/>
  <c r="I13" i="32"/>
  <c r="H13" i="32"/>
  <c r="E13" i="32"/>
  <c r="D13" i="32"/>
  <c r="R12" i="32"/>
  <c r="Q12" i="32"/>
  <c r="P12" i="32"/>
  <c r="O12" i="32"/>
  <c r="M12" i="32"/>
  <c r="L12" i="32"/>
  <c r="K12" i="32"/>
  <c r="J12" i="32"/>
  <c r="I12" i="32"/>
  <c r="H12" i="32"/>
  <c r="E12" i="32"/>
  <c r="D12" i="32"/>
  <c r="R11" i="32"/>
  <c r="Q11" i="32"/>
  <c r="P11" i="32"/>
  <c r="O11" i="32"/>
  <c r="M11" i="32"/>
  <c r="L11" i="32"/>
  <c r="K11" i="32"/>
  <c r="J11" i="32"/>
  <c r="I11" i="32"/>
  <c r="H11" i="32"/>
  <c r="E11" i="32"/>
  <c r="D11" i="32"/>
  <c r="R10" i="32"/>
  <c r="Q10" i="32"/>
  <c r="P10" i="32"/>
  <c r="O10" i="32"/>
  <c r="M10" i="32"/>
  <c r="L10" i="32"/>
  <c r="K10" i="32"/>
  <c r="J10" i="32"/>
  <c r="I10" i="32"/>
  <c r="H10" i="32"/>
  <c r="E10" i="32"/>
  <c r="D10" i="32"/>
  <c r="R9" i="32"/>
  <c r="Q9" i="32"/>
  <c r="P9" i="32"/>
  <c r="O9" i="32"/>
  <c r="M9" i="32"/>
  <c r="L9" i="32"/>
  <c r="K9" i="32"/>
  <c r="J9" i="32"/>
  <c r="I9" i="32"/>
  <c r="H9" i="32"/>
  <c r="E9" i="32"/>
  <c r="D9" i="32"/>
  <c r="R8" i="32"/>
  <c r="Q8" i="32"/>
  <c r="P8" i="32"/>
  <c r="O8" i="32"/>
  <c r="M8" i="32"/>
  <c r="L8" i="32"/>
  <c r="K8" i="32"/>
  <c r="J8" i="32"/>
  <c r="I8" i="32"/>
  <c r="H8" i="32"/>
  <c r="E8" i="32"/>
  <c r="D8" i="32"/>
  <c r="R7" i="32"/>
  <c r="Q7" i="32"/>
  <c r="P7" i="32"/>
  <c r="O7" i="32"/>
  <c r="M7" i="32"/>
  <c r="L7" i="32"/>
  <c r="K7" i="32"/>
  <c r="J7" i="32"/>
  <c r="I7" i="32"/>
  <c r="H7" i="32"/>
  <c r="E7" i="32"/>
  <c r="D7" i="32"/>
  <c r="T58" i="31"/>
  <c r="T57" i="31"/>
  <c r="P53" i="31"/>
  <c r="O53" i="31"/>
  <c r="N53" i="31"/>
  <c r="L53" i="31"/>
  <c r="P52" i="31"/>
  <c r="O52" i="31"/>
  <c r="N52" i="31"/>
  <c r="L52" i="31"/>
  <c r="P51" i="31"/>
  <c r="O51" i="31"/>
  <c r="N51" i="31"/>
  <c r="L51" i="31"/>
  <c r="P50" i="31"/>
  <c r="O50" i="31"/>
  <c r="N50" i="31"/>
  <c r="L50" i="31"/>
  <c r="P49" i="31"/>
  <c r="O49" i="31"/>
  <c r="N49" i="31"/>
  <c r="L49" i="31"/>
  <c r="P48" i="31"/>
  <c r="O48" i="31"/>
  <c r="N48" i="31"/>
  <c r="L48" i="31"/>
  <c r="P47" i="31"/>
  <c r="O47" i="31"/>
  <c r="N47" i="31"/>
  <c r="L47" i="31"/>
  <c r="P46" i="31"/>
  <c r="O46" i="31"/>
  <c r="N46" i="31"/>
  <c r="L46" i="31"/>
  <c r="P45" i="31"/>
  <c r="O45" i="31"/>
  <c r="N45" i="31"/>
  <c r="L45" i="31"/>
  <c r="P44" i="31"/>
  <c r="O44" i="31"/>
  <c r="N44" i="31"/>
  <c r="L44" i="31"/>
  <c r="P43" i="31"/>
  <c r="O43" i="31"/>
  <c r="N43" i="31"/>
  <c r="L43" i="31"/>
  <c r="P42" i="31"/>
  <c r="O42" i="31"/>
  <c r="N42" i="31"/>
  <c r="L42" i="31"/>
  <c r="P41" i="31"/>
  <c r="O41" i="31"/>
  <c r="N41" i="31"/>
  <c r="L41" i="31"/>
  <c r="P40" i="31"/>
  <c r="O40" i="31"/>
  <c r="N40" i="31"/>
  <c r="L40" i="31"/>
  <c r="P39" i="31"/>
  <c r="O39" i="31"/>
  <c r="N39" i="31"/>
  <c r="L39" i="31"/>
  <c r="P38" i="31"/>
  <c r="O38" i="31"/>
  <c r="N38" i="31"/>
  <c r="L38" i="31"/>
  <c r="P37" i="31"/>
  <c r="O37" i="31"/>
  <c r="N37" i="31"/>
  <c r="L37" i="31"/>
  <c r="P36" i="31"/>
  <c r="O36" i="31"/>
  <c r="N36" i="31"/>
  <c r="L36" i="31"/>
  <c r="P35" i="31"/>
  <c r="O35" i="31"/>
  <c r="N35" i="31"/>
  <c r="L35" i="31"/>
  <c r="P34" i="31"/>
  <c r="O34" i="31"/>
  <c r="N34" i="31"/>
  <c r="L34" i="31"/>
  <c r="P33" i="31"/>
  <c r="O33" i="31"/>
  <c r="N33" i="31"/>
  <c r="L33" i="31"/>
  <c r="P32" i="31"/>
  <c r="O32" i="31"/>
  <c r="N32" i="31"/>
  <c r="L32" i="31"/>
  <c r="P31" i="31"/>
  <c r="O31" i="31"/>
  <c r="N31" i="31"/>
  <c r="L31" i="31"/>
  <c r="P30" i="31"/>
  <c r="O30" i="31"/>
  <c r="N30" i="31"/>
  <c r="L30" i="31"/>
  <c r="P29" i="31"/>
  <c r="O29" i="31"/>
  <c r="N29" i="31"/>
  <c r="L29" i="31"/>
  <c r="P28" i="31"/>
  <c r="O28" i="31"/>
  <c r="N28" i="31"/>
  <c r="L28" i="31"/>
  <c r="P27" i="31"/>
  <c r="O27" i="31"/>
  <c r="N27" i="31"/>
  <c r="L27" i="31"/>
  <c r="P25" i="31"/>
  <c r="O25" i="31"/>
  <c r="N25" i="31"/>
  <c r="L25" i="31"/>
  <c r="P24" i="31"/>
  <c r="O24" i="31"/>
  <c r="N24" i="31"/>
  <c r="L24" i="31"/>
  <c r="P23" i="31"/>
  <c r="O23" i="31"/>
  <c r="N23" i="31"/>
  <c r="L23" i="31"/>
  <c r="P22" i="31"/>
  <c r="O22" i="31"/>
  <c r="N22" i="31"/>
  <c r="L22" i="31"/>
  <c r="P21" i="31"/>
  <c r="O21" i="31"/>
  <c r="N21" i="31"/>
  <c r="L21" i="31"/>
  <c r="P20" i="31"/>
  <c r="O20" i="31"/>
  <c r="N20" i="31"/>
  <c r="L20" i="31"/>
  <c r="P19" i="31"/>
  <c r="O19" i="31"/>
  <c r="N19" i="31"/>
  <c r="L19" i="31"/>
  <c r="P18" i="31"/>
  <c r="O18" i="31"/>
  <c r="N18" i="31"/>
  <c r="L18" i="31"/>
  <c r="P17" i="31"/>
  <c r="O17" i="31"/>
  <c r="N17" i="31"/>
  <c r="L17" i="31"/>
  <c r="P16" i="31"/>
  <c r="O16" i="31"/>
  <c r="N16" i="31"/>
  <c r="L16" i="31"/>
  <c r="P15" i="31"/>
  <c r="O15" i="31"/>
  <c r="N15" i="31"/>
  <c r="L15" i="31"/>
  <c r="P14" i="31"/>
  <c r="O14" i="31"/>
  <c r="N14" i="31"/>
  <c r="L14" i="31"/>
  <c r="P13" i="31"/>
  <c r="O13" i="31"/>
  <c r="N13" i="31"/>
  <c r="L13" i="31"/>
  <c r="P12" i="31"/>
  <c r="O12" i="31"/>
  <c r="N12" i="31"/>
  <c r="L12" i="31"/>
  <c r="P11" i="31"/>
  <c r="O11" i="31"/>
  <c r="N11" i="31"/>
  <c r="L11" i="31"/>
  <c r="P10" i="31"/>
  <c r="O10" i="31"/>
  <c r="N10" i="31"/>
  <c r="L10" i="31"/>
  <c r="P9" i="31"/>
  <c r="O9" i="31"/>
  <c r="N9" i="31"/>
  <c r="L9" i="31"/>
  <c r="P8" i="31"/>
  <c r="O8" i="31"/>
  <c r="N8" i="31"/>
  <c r="L8" i="31"/>
  <c r="P7" i="31"/>
  <c r="O7" i="31"/>
  <c r="N7" i="31"/>
  <c r="L7" i="31"/>
  <c r="P6" i="31"/>
  <c r="O6" i="31"/>
  <c r="N6" i="31"/>
  <c r="L6" i="31"/>
  <c r="H17" i="30"/>
  <c r="H16" i="30"/>
  <c r="G16" i="30"/>
  <c r="F16" i="30"/>
  <c r="H15" i="30"/>
  <c r="H14" i="30"/>
  <c r="H13" i="30"/>
  <c r="H11" i="30"/>
  <c r="H10" i="30"/>
  <c r="H9" i="30"/>
  <c r="G9" i="30"/>
  <c r="F9" i="30"/>
  <c r="H8" i="30"/>
  <c r="H7" i="30"/>
  <c r="H6" i="30"/>
  <c r="L26" i="7"/>
  <c r="L25" i="7"/>
  <c r="L24" i="7"/>
  <c r="M23" i="7"/>
  <c r="L23" i="7"/>
  <c r="G23" i="7"/>
  <c r="E23" i="7"/>
  <c r="M22" i="7"/>
  <c r="L22" i="7"/>
  <c r="G22" i="7"/>
  <c r="E22" i="7"/>
  <c r="M21" i="7"/>
  <c r="L21" i="7"/>
  <c r="G21" i="7"/>
  <c r="E21" i="7"/>
  <c r="M20" i="7"/>
  <c r="L20" i="7"/>
  <c r="G20" i="7"/>
  <c r="E20" i="7"/>
  <c r="L16" i="7"/>
  <c r="G16" i="7"/>
  <c r="E16" i="7"/>
  <c r="L15" i="7"/>
  <c r="G15" i="7"/>
  <c r="E15" i="7"/>
  <c r="L14" i="7"/>
  <c r="G14" i="7"/>
  <c r="E14" i="7"/>
  <c r="L13" i="7"/>
  <c r="G13" i="7"/>
  <c r="E13" i="7"/>
  <c r="L12" i="7"/>
  <c r="G12" i="7"/>
  <c r="E12" i="7"/>
  <c r="L11" i="7"/>
  <c r="G11" i="7"/>
  <c r="E11" i="7"/>
  <c r="L10" i="7"/>
  <c r="G10" i="7"/>
  <c r="E10" i="7"/>
  <c r="L7" i="7"/>
  <c r="L6" i="7"/>
  <c r="P82" i="29"/>
  <c r="L27" i="29"/>
  <c r="K27" i="29"/>
  <c r="J27" i="29"/>
  <c r="I27" i="29"/>
  <c r="H27" i="29"/>
  <c r="G27" i="29"/>
  <c r="L26" i="29"/>
  <c r="K26" i="29"/>
  <c r="J26" i="29"/>
  <c r="I26" i="29"/>
  <c r="H26" i="29"/>
  <c r="G26" i="29"/>
  <c r="L25" i="29"/>
  <c r="K25" i="29"/>
  <c r="J25" i="29"/>
  <c r="I25" i="29"/>
  <c r="H25" i="29"/>
  <c r="G25" i="29"/>
  <c r="L24" i="29"/>
  <c r="K24" i="29"/>
  <c r="J24" i="29"/>
  <c r="I24" i="29"/>
  <c r="H24" i="29"/>
  <c r="G24" i="29"/>
  <c r="F23" i="29"/>
  <c r="F22" i="29"/>
  <c r="L21" i="29"/>
  <c r="K21" i="29"/>
  <c r="J21" i="29"/>
  <c r="I21" i="29"/>
  <c r="H21" i="29"/>
  <c r="G21" i="29"/>
  <c r="F21" i="29"/>
  <c r="C21" i="29"/>
  <c r="F20" i="29"/>
  <c r="L19" i="29"/>
  <c r="K19" i="29"/>
  <c r="J19" i="29"/>
  <c r="I19" i="29"/>
  <c r="H19" i="29"/>
  <c r="G19" i="29"/>
  <c r="F19" i="29"/>
  <c r="C19" i="29"/>
  <c r="F18" i="29"/>
  <c r="L17" i="29"/>
  <c r="K17" i="29"/>
  <c r="J17" i="29"/>
  <c r="I17" i="29"/>
  <c r="H17" i="29"/>
  <c r="G17" i="29"/>
  <c r="F17" i="29"/>
  <c r="C17" i="29"/>
  <c r="F16" i="29"/>
  <c r="O15" i="29"/>
  <c r="N15" i="29"/>
  <c r="L15" i="29"/>
  <c r="K15" i="29"/>
  <c r="J15" i="29"/>
  <c r="I15" i="29"/>
  <c r="H15" i="29"/>
  <c r="G15" i="29"/>
  <c r="F15" i="29"/>
  <c r="C15" i="29"/>
  <c r="F14" i="29"/>
  <c r="O13" i="29"/>
  <c r="N13" i="29"/>
  <c r="L13" i="29"/>
  <c r="K13" i="29"/>
  <c r="J13" i="29"/>
  <c r="I13" i="29"/>
  <c r="H13" i="29"/>
  <c r="G13" i="29"/>
  <c r="F13" i="29"/>
  <c r="C13" i="29"/>
  <c r="F12" i="29"/>
  <c r="O11" i="29"/>
  <c r="N11" i="29"/>
  <c r="L11" i="29"/>
  <c r="K11" i="29"/>
  <c r="J11" i="29"/>
  <c r="I11" i="29"/>
  <c r="H11" i="29"/>
  <c r="G11" i="29"/>
  <c r="F11" i="29"/>
  <c r="C11" i="29"/>
  <c r="F10" i="29"/>
  <c r="O9" i="29"/>
  <c r="N9" i="29"/>
  <c r="L9" i="29"/>
  <c r="K9" i="29"/>
  <c r="J9" i="29"/>
  <c r="I9" i="29"/>
  <c r="H9" i="29"/>
  <c r="G9" i="29"/>
  <c r="F9" i="29"/>
  <c r="C9" i="29"/>
  <c r="L8" i="29"/>
  <c r="K8" i="29"/>
  <c r="J8" i="29"/>
  <c r="I8" i="29"/>
  <c r="H8" i="29"/>
  <c r="G8" i="29"/>
  <c r="F8" i="29"/>
  <c r="O7" i="29"/>
  <c r="N7" i="29"/>
  <c r="L7" i="29"/>
  <c r="K7" i="29"/>
  <c r="J7" i="29"/>
  <c r="I7" i="29"/>
  <c r="H7" i="29"/>
  <c r="G7" i="29"/>
  <c r="F7" i="29"/>
  <c r="C7" i="29"/>
  <c r="B5" i="29"/>
  <c r="D3" i="29"/>
  <c r="D2" i="29"/>
  <c r="D1" i="29"/>
  <c r="R96" i="28"/>
  <c r="U91" i="28"/>
  <c r="R91" i="28"/>
  <c r="U89" i="28"/>
  <c r="T89" i="28"/>
  <c r="S89" i="28"/>
  <c r="R89" i="28"/>
  <c r="Q89" i="28"/>
  <c r="P89" i="28"/>
  <c r="T88" i="28"/>
  <c r="S88" i="28"/>
  <c r="R88" i="28"/>
  <c r="Q88" i="28"/>
  <c r="P88" i="28"/>
  <c r="N88" i="28"/>
  <c r="K88" i="28"/>
  <c r="D88" i="28"/>
  <c r="C88" i="28"/>
  <c r="T87" i="28"/>
  <c r="S87" i="28"/>
  <c r="R87" i="28"/>
  <c r="Q87" i="28"/>
  <c r="P87" i="28"/>
  <c r="N87" i="28"/>
  <c r="K87" i="28"/>
  <c r="D87" i="28"/>
  <c r="C87" i="28"/>
  <c r="D86" i="28"/>
  <c r="C86" i="28"/>
  <c r="T85" i="28"/>
  <c r="S85" i="28"/>
  <c r="R85" i="28"/>
  <c r="Q85" i="28"/>
  <c r="P85" i="28"/>
  <c r="N85" i="28"/>
  <c r="K85" i="28"/>
  <c r="D85" i="28"/>
  <c r="C85" i="28"/>
  <c r="T84" i="28"/>
  <c r="S84" i="28"/>
  <c r="R84" i="28"/>
  <c r="Q84" i="28"/>
  <c r="P84" i="28"/>
  <c r="N84" i="28"/>
  <c r="K84" i="28"/>
  <c r="D84" i="28"/>
  <c r="C84" i="28"/>
  <c r="T83" i="28"/>
  <c r="S83" i="28"/>
  <c r="R83" i="28"/>
  <c r="Q83" i="28"/>
  <c r="P83" i="28"/>
  <c r="N83" i="28"/>
  <c r="K83" i="28"/>
  <c r="D83" i="28"/>
  <c r="C83" i="28"/>
  <c r="T82" i="28"/>
  <c r="S82" i="28"/>
  <c r="R82" i="28"/>
  <c r="Q82" i="28"/>
  <c r="P82" i="28"/>
  <c r="N82" i="28"/>
  <c r="K82" i="28"/>
  <c r="D82" i="28"/>
  <c r="C82" i="28"/>
  <c r="T81" i="28"/>
  <c r="S81" i="28"/>
  <c r="R81" i="28"/>
  <c r="Q81" i="28"/>
  <c r="P81" i="28"/>
  <c r="N81" i="28"/>
  <c r="K81" i="28"/>
  <c r="D81" i="28"/>
  <c r="C81" i="28"/>
  <c r="D80" i="28"/>
  <c r="C80" i="28"/>
  <c r="U79" i="28"/>
  <c r="T79" i="28"/>
  <c r="S79" i="28"/>
  <c r="R79" i="28"/>
  <c r="P79" i="28"/>
  <c r="C79" i="28"/>
  <c r="T77" i="28"/>
  <c r="S77" i="28"/>
  <c r="R77" i="28"/>
  <c r="Q77" i="28"/>
  <c r="P77" i="28"/>
  <c r="N77" i="28"/>
  <c r="K77" i="28"/>
  <c r="T76" i="28"/>
  <c r="S76" i="28"/>
  <c r="R76" i="28"/>
  <c r="Q76" i="28"/>
  <c r="P76" i="28"/>
  <c r="N76" i="28"/>
  <c r="K76" i="28"/>
  <c r="T75" i="28"/>
  <c r="S75" i="28"/>
  <c r="R75" i="28"/>
  <c r="Q75" i="28"/>
  <c r="P75" i="28"/>
  <c r="N75" i="28"/>
  <c r="K75" i="28"/>
  <c r="T74" i="28"/>
  <c r="S74" i="28"/>
  <c r="R74" i="28"/>
  <c r="Q74" i="28"/>
  <c r="P74" i="28"/>
  <c r="N74" i="28"/>
  <c r="K74" i="28"/>
  <c r="D74" i="28"/>
  <c r="C74" i="28"/>
  <c r="V73" i="28"/>
  <c r="T73" i="28"/>
  <c r="S73" i="28"/>
  <c r="R73" i="28"/>
  <c r="Q73" i="28"/>
  <c r="P73" i="28"/>
  <c r="N73" i="28"/>
  <c r="K73" i="28"/>
  <c r="V72" i="28"/>
  <c r="T72" i="28"/>
  <c r="S72" i="28"/>
  <c r="R72" i="28"/>
  <c r="Q72" i="28"/>
  <c r="P72" i="28"/>
  <c r="N72" i="28"/>
  <c r="K72" i="28"/>
  <c r="T71" i="28"/>
  <c r="S71" i="28"/>
  <c r="R71" i="28"/>
  <c r="Q71" i="28"/>
  <c r="P71" i="28"/>
  <c r="N71" i="28"/>
  <c r="K71" i="28"/>
  <c r="D71" i="28"/>
  <c r="C71" i="28"/>
  <c r="T70" i="28"/>
  <c r="S70" i="28"/>
  <c r="R70" i="28"/>
  <c r="Q70" i="28"/>
  <c r="P70" i="28"/>
  <c r="N70" i="28"/>
  <c r="K70" i="28"/>
  <c r="D70" i="28"/>
  <c r="C70" i="28"/>
  <c r="U69" i="28"/>
  <c r="T69" i="28"/>
  <c r="S69" i="28"/>
  <c r="R69" i="28"/>
  <c r="P69" i="28"/>
  <c r="D69" i="28"/>
  <c r="C69" i="28"/>
  <c r="T68" i="28"/>
  <c r="S68" i="28"/>
  <c r="R68" i="28"/>
  <c r="Q68" i="28"/>
  <c r="P68" i="28"/>
  <c r="N68" i="28"/>
  <c r="K68" i="28"/>
  <c r="T67" i="28"/>
  <c r="S67" i="28"/>
  <c r="R67" i="28"/>
  <c r="Q67" i="28"/>
  <c r="P67" i="28"/>
  <c r="N67" i="28"/>
  <c r="K67" i="28"/>
  <c r="T66" i="28"/>
  <c r="S66" i="28"/>
  <c r="R66" i="28"/>
  <c r="Q66" i="28"/>
  <c r="P66" i="28"/>
  <c r="N66" i="28"/>
  <c r="K66" i="28"/>
  <c r="T65" i="28"/>
  <c r="S65" i="28"/>
  <c r="R65" i="28"/>
  <c r="Q65" i="28"/>
  <c r="P65" i="28"/>
  <c r="K65" i="28"/>
  <c r="T64" i="28"/>
  <c r="S64" i="28"/>
  <c r="R64" i="28"/>
  <c r="Q64" i="28"/>
  <c r="P64" i="28"/>
  <c r="K64" i="28"/>
  <c r="T63" i="28"/>
  <c r="S63" i="28"/>
  <c r="R63" i="28"/>
  <c r="Q63" i="28"/>
  <c r="P63" i="28"/>
  <c r="N63" i="28"/>
  <c r="K63" i="28"/>
  <c r="T62" i="28"/>
  <c r="S62" i="28"/>
  <c r="R62" i="28"/>
  <c r="Q62" i="28"/>
  <c r="P62" i="28"/>
  <c r="N62" i="28"/>
  <c r="K62" i="28"/>
  <c r="T61" i="28"/>
  <c r="S61" i="28"/>
  <c r="R61" i="28"/>
  <c r="Q61" i="28"/>
  <c r="P61" i="28"/>
  <c r="N61" i="28"/>
  <c r="K61" i="28"/>
  <c r="T60" i="28"/>
  <c r="S60" i="28"/>
  <c r="R60" i="28"/>
  <c r="Q60" i="28"/>
  <c r="P60" i="28"/>
  <c r="N60" i="28"/>
  <c r="K60" i="28"/>
  <c r="T59" i="28"/>
  <c r="S59" i="28"/>
  <c r="R59" i="28"/>
  <c r="Q59" i="28"/>
  <c r="P59" i="28"/>
  <c r="N59" i="28"/>
  <c r="K59" i="28"/>
  <c r="T58" i="28"/>
  <c r="S58" i="28"/>
  <c r="R58" i="28"/>
  <c r="Q58" i="28"/>
  <c r="P58" i="28"/>
  <c r="N58" i="28"/>
  <c r="K58" i="28"/>
  <c r="T57" i="28"/>
  <c r="S57" i="28"/>
  <c r="R57" i="28"/>
  <c r="Q57" i="28"/>
  <c r="P57" i="28"/>
  <c r="N57" i="28"/>
  <c r="K57" i="28"/>
  <c r="T56" i="28"/>
  <c r="S56" i="28"/>
  <c r="R56" i="28"/>
  <c r="Q56" i="28"/>
  <c r="P56" i="28"/>
  <c r="N56" i="28"/>
  <c r="K56" i="28"/>
  <c r="T55" i="28"/>
  <c r="S55" i="28"/>
  <c r="R55" i="28"/>
  <c r="Q55" i="28"/>
  <c r="P55" i="28"/>
  <c r="N55" i="28"/>
  <c r="K55" i="28"/>
  <c r="T54" i="28"/>
  <c r="S54" i="28"/>
  <c r="R54" i="28"/>
  <c r="Q54" i="28"/>
  <c r="P54" i="28"/>
  <c r="N54" i="28"/>
  <c r="K54" i="28"/>
  <c r="T53" i="28"/>
  <c r="S53" i="28"/>
  <c r="R53" i="28"/>
  <c r="Q53" i="28"/>
  <c r="P53" i="28"/>
  <c r="N53" i="28"/>
  <c r="K53" i="28"/>
  <c r="T52" i="28"/>
  <c r="S52" i="28"/>
  <c r="R52" i="28"/>
  <c r="Q52" i="28"/>
  <c r="P52" i="28"/>
  <c r="N52" i="28"/>
  <c r="K52" i="28"/>
  <c r="T51" i="28"/>
  <c r="S51" i="28"/>
  <c r="R51" i="28"/>
  <c r="Q51" i="28"/>
  <c r="P51" i="28"/>
  <c r="N51" i="28"/>
  <c r="K51" i="28"/>
  <c r="T50" i="28"/>
  <c r="S50" i="28"/>
  <c r="R50" i="28"/>
  <c r="Q50" i="28"/>
  <c r="P50" i="28"/>
  <c r="N50" i="28"/>
  <c r="K50" i="28"/>
  <c r="T49" i="28"/>
  <c r="S49" i="28"/>
  <c r="R49" i="28"/>
  <c r="Q49" i="28"/>
  <c r="P49" i="28"/>
  <c r="N49" i="28"/>
  <c r="K49" i="28"/>
  <c r="T48" i="28"/>
  <c r="S48" i="28"/>
  <c r="R48" i="28"/>
  <c r="Q48" i="28"/>
  <c r="P48" i="28"/>
  <c r="N48" i="28"/>
  <c r="K48" i="28"/>
  <c r="T46" i="28"/>
  <c r="S46" i="28"/>
  <c r="R46" i="28"/>
  <c r="Q46" i="28"/>
  <c r="P46" i="28"/>
  <c r="N46" i="28"/>
  <c r="K46" i="28"/>
  <c r="T45" i="28"/>
  <c r="S45" i="28"/>
  <c r="R45" i="28"/>
  <c r="Q45" i="28"/>
  <c r="P45" i="28"/>
  <c r="N45" i="28"/>
  <c r="K45" i="28"/>
  <c r="K44" i="28"/>
  <c r="U43" i="28"/>
  <c r="T43" i="28"/>
  <c r="S43" i="28"/>
  <c r="R43" i="28"/>
  <c r="P43" i="28"/>
  <c r="T42" i="28"/>
  <c r="S42" i="28"/>
  <c r="R42" i="28"/>
  <c r="Q42" i="28"/>
  <c r="P42" i="28"/>
  <c r="N42" i="28"/>
  <c r="K42" i="28"/>
  <c r="D42" i="28"/>
  <c r="C42" i="28"/>
  <c r="T41" i="28"/>
  <c r="S41" i="28"/>
  <c r="R41" i="28"/>
  <c r="Q41" i="28"/>
  <c r="P41" i="28"/>
  <c r="N41" i="28"/>
  <c r="K41" i="28"/>
  <c r="D41" i="28"/>
  <c r="C41" i="28"/>
  <c r="T40" i="28"/>
  <c r="S40" i="28"/>
  <c r="R40" i="28"/>
  <c r="Q40" i="28"/>
  <c r="P40" i="28"/>
  <c r="N40" i="28"/>
  <c r="K40" i="28"/>
  <c r="D40" i="28"/>
  <c r="C40" i="28"/>
  <c r="T38" i="28"/>
  <c r="S38" i="28"/>
  <c r="R38" i="28"/>
  <c r="Q38" i="28"/>
  <c r="P38" i="28"/>
  <c r="N38" i="28"/>
  <c r="K38" i="28"/>
  <c r="D38" i="28"/>
  <c r="C38" i="28"/>
  <c r="T37" i="28"/>
  <c r="S37" i="28"/>
  <c r="R37" i="28"/>
  <c r="Q37" i="28"/>
  <c r="P37" i="28"/>
  <c r="N37" i="28"/>
  <c r="K37" i="28"/>
  <c r="D37" i="28"/>
  <c r="C37" i="28"/>
  <c r="T36" i="28"/>
  <c r="S36" i="28"/>
  <c r="R36" i="28"/>
  <c r="Q36" i="28"/>
  <c r="P36" i="28"/>
  <c r="N36" i="28"/>
  <c r="K36" i="28"/>
  <c r="D36" i="28"/>
  <c r="C36" i="28"/>
  <c r="T34" i="28"/>
  <c r="S34" i="28"/>
  <c r="R34" i="28"/>
  <c r="Q34" i="28"/>
  <c r="P34" i="28"/>
  <c r="N34" i="28"/>
  <c r="K34" i="28"/>
  <c r="D34" i="28"/>
  <c r="C34" i="28"/>
  <c r="T33" i="28"/>
  <c r="S33" i="28"/>
  <c r="R33" i="28"/>
  <c r="Q33" i="28"/>
  <c r="P33" i="28"/>
  <c r="N33" i="28"/>
  <c r="K33" i="28"/>
  <c r="D33" i="28"/>
  <c r="C33" i="28"/>
  <c r="D31" i="28"/>
  <c r="C31" i="28"/>
  <c r="B31" i="28"/>
  <c r="T30" i="28"/>
  <c r="S30" i="28"/>
  <c r="R30" i="28"/>
  <c r="Q30" i="28"/>
  <c r="P30" i="28"/>
  <c r="O30" i="28"/>
  <c r="N30" i="28"/>
  <c r="L30" i="28"/>
  <c r="K30" i="28"/>
  <c r="D30" i="28"/>
  <c r="C30" i="28"/>
  <c r="T29" i="28"/>
  <c r="S29" i="28"/>
  <c r="R29" i="28"/>
  <c r="Q29" i="28"/>
  <c r="P29" i="28"/>
  <c r="O29" i="28"/>
  <c r="N29" i="28"/>
  <c r="L29" i="28"/>
  <c r="K29" i="28"/>
  <c r="D29" i="28"/>
  <c r="C29" i="28"/>
  <c r="D28" i="28"/>
  <c r="C28" i="28"/>
  <c r="T27" i="28"/>
  <c r="S27" i="28"/>
  <c r="R27" i="28"/>
  <c r="Q27" i="28"/>
  <c r="P27" i="28"/>
  <c r="N27" i="28"/>
  <c r="K27" i="28"/>
  <c r="H27" i="28"/>
  <c r="D27" i="28"/>
  <c r="C27" i="28"/>
  <c r="T26" i="28"/>
  <c r="S26" i="28"/>
  <c r="R26" i="28"/>
  <c r="Q26" i="28"/>
  <c r="P26" i="28"/>
  <c r="N26" i="28"/>
  <c r="K26" i="28"/>
  <c r="H26" i="28"/>
  <c r="D26" i="28"/>
  <c r="C26" i="28"/>
  <c r="T25" i="28"/>
  <c r="S25" i="28"/>
  <c r="R25" i="28"/>
  <c r="Q25" i="28"/>
  <c r="P25" i="28"/>
  <c r="N25" i="28"/>
  <c r="K25" i="28"/>
  <c r="D25" i="28"/>
  <c r="T24" i="28"/>
  <c r="S24" i="28"/>
  <c r="R24" i="28"/>
  <c r="Q24" i="28"/>
  <c r="P24" i="28"/>
  <c r="N24" i="28"/>
  <c r="K24" i="28"/>
  <c r="D24" i="28"/>
  <c r="C24" i="28"/>
  <c r="D23" i="28"/>
  <c r="C23" i="28"/>
  <c r="B23" i="28"/>
  <c r="A23" i="28"/>
  <c r="U22" i="28"/>
  <c r="T22" i="28"/>
  <c r="S22" i="28"/>
  <c r="R22" i="28"/>
  <c r="P22" i="28"/>
  <c r="C22" i="28"/>
  <c r="T21" i="28"/>
  <c r="S21" i="28"/>
  <c r="R21" i="28"/>
  <c r="Q21" i="28"/>
  <c r="P21" i="28"/>
  <c r="N21" i="28"/>
  <c r="D21" i="28"/>
  <c r="C21" i="28"/>
  <c r="T20" i="28"/>
  <c r="S20" i="28"/>
  <c r="R20" i="28"/>
  <c r="Q20" i="28"/>
  <c r="P20" i="28"/>
  <c r="N20" i="28"/>
  <c r="D20" i="28"/>
  <c r="C20" i="28"/>
  <c r="T19" i="28"/>
  <c r="S19" i="28"/>
  <c r="R19" i="28"/>
  <c r="Q19" i="28"/>
  <c r="P19" i="28"/>
  <c r="N19" i="28"/>
  <c r="D19" i="28"/>
  <c r="C19" i="28"/>
  <c r="T18" i="28"/>
  <c r="S18" i="28"/>
  <c r="R18" i="28"/>
  <c r="Q18" i="28"/>
  <c r="P18" i="28"/>
  <c r="N18" i="28"/>
  <c r="D18" i="28"/>
  <c r="C18" i="28"/>
  <c r="U17" i="28"/>
  <c r="T17" i="28"/>
  <c r="S17" i="28"/>
  <c r="R17" i="28"/>
  <c r="P17" i="28"/>
  <c r="D17" i="28"/>
  <c r="C17" i="28"/>
  <c r="U16" i="28"/>
  <c r="S16" i="28"/>
  <c r="R16" i="28"/>
  <c r="Q16" i="28"/>
  <c r="O16" i="28"/>
  <c r="D16" i="28"/>
  <c r="C16" i="28"/>
  <c r="U15" i="28"/>
  <c r="S15" i="28"/>
  <c r="R15" i="28"/>
  <c r="Q15" i="28"/>
  <c r="O15" i="28"/>
  <c r="D15" i="28"/>
  <c r="C15" i="28"/>
  <c r="U14" i="28"/>
  <c r="T14" i="28"/>
  <c r="S14" i="28"/>
  <c r="R14" i="28"/>
  <c r="P14" i="28"/>
  <c r="D14" i="28"/>
  <c r="C14" i="28"/>
  <c r="U13" i="28"/>
  <c r="S13" i="28"/>
  <c r="R13" i="28"/>
  <c r="Q13" i="28"/>
  <c r="D13" i="28"/>
  <c r="C13" i="28"/>
  <c r="A13" i="28"/>
  <c r="A14" i="28" s="1"/>
  <c r="T12" i="28"/>
  <c r="S12" i="28"/>
  <c r="R12" i="28"/>
  <c r="Q12" i="28"/>
  <c r="P12" i="28"/>
  <c r="T11" i="28"/>
  <c r="S11" i="28"/>
  <c r="R11" i="28"/>
  <c r="Q11" i="28"/>
  <c r="P11" i="28"/>
  <c r="N11" i="28"/>
  <c r="D11" i="28"/>
  <c r="C11" i="28"/>
  <c r="U10" i="28"/>
  <c r="T10" i="28"/>
  <c r="S10" i="28"/>
  <c r="R10" i="28"/>
  <c r="P10" i="28"/>
  <c r="D10" i="28"/>
  <c r="C10" i="28"/>
  <c r="U9" i="28"/>
  <c r="S9" i="28"/>
  <c r="R9" i="28"/>
  <c r="Q9" i="28"/>
  <c r="D9" i="28"/>
  <c r="C9" i="28"/>
  <c r="U8" i="28"/>
  <c r="T8" i="28"/>
  <c r="S8" i="28"/>
  <c r="R8" i="28"/>
  <c r="P8" i="28"/>
  <c r="D8" i="28"/>
  <c r="C8" i="28"/>
  <c r="A8" i="28"/>
  <c r="B8" i="28" s="1"/>
  <c r="L5" i="28"/>
  <c r="R4" i="28"/>
  <c r="H4" i="28"/>
  <c r="D4" i="29" s="1"/>
  <c r="R3" i="28"/>
  <c r="P81" i="27"/>
  <c r="H15" i="27"/>
  <c r="G15" i="27"/>
  <c r="H14" i="27"/>
  <c r="G14" i="27"/>
  <c r="C14" i="27"/>
  <c r="A14" i="27"/>
  <c r="H13" i="27"/>
  <c r="G13" i="27"/>
  <c r="C13" i="27"/>
  <c r="H12" i="27"/>
  <c r="G12" i="27"/>
  <c r="C12" i="27"/>
  <c r="B12" i="27"/>
  <c r="A12" i="27"/>
  <c r="H11" i="27"/>
  <c r="G11" i="27"/>
  <c r="C11" i="27"/>
  <c r="B11" i="27"/>
  <c r="A11" i="27"/>
  <c r="I10" i="27"/>
  <c r="H10" i="27"/>
  <c r="G10" i="27"/>
  <c r="C10" i="27"/>
  <c r="B10" i="27"/>
  <c r="A10" i="27"/>
  <c r="H9" i="27"/>
  <c r="G9" i="27"/>
  <c r="C9" i="27"/>
  <c r="B9" i="27"/>
  <c r="A9" i="27"/>
  <c r="H8" i="27"/>
  <c r="G8" i="27"/>
  <c r="C8" i="27"/>
  <c r="B8" i="27"/>
  <c r="A8" i="27"/>
  <c r="K7" i="27"/>
  <c r="H7" i="27"/>
  <c r="G7" i="27"/>
  <c r="C7" i="27"/>
  <c r="B7" i="27"/>
  <c r="B5" i="27"/>
  <c r="K4" i="27"/>
  <c r="C3" i="27"/>
  <c r="C2" i="27"/>
  <c r="C1" i="27"/>
  <c r="P78" i="26"/>
  <c r="L23" i="26"/>
  <c r="K23" i="26"/>
  <c r="J23" i="26"/>
  <c r="I23" i="26"/>
  <c r="H23" i="26"/>
  <c r="G23" i="26"/>
  <c r="L22" i="26"/>
  <c r="K22" i="26"/>
  <c r="J22" i="26"/>
  <c r="I22" i="26"/>
  <c r="H22" i="26"/>
  <c r="G22" i="26"/>
  <c r="L21" i="26"/>
  <c r="K21" i="26"/>
  <c r="J21" i="26"/>
  <c r="I21" i="26"/>
  <c r="H21" i="26"/>
  <c r="G21" i="26"/>
  <c r="L20" i="26"/>
  <c r="K20" i="26"/>
  <c r="J20" i="26"/>
  <c r="I20" i="26"/>
  <c r="H20" i="26"/>
  <c r="G20" i="26"/>
  <c r="F19" i="26"/>
  <c r="F18" i="26"/>
  <c r="L17" i="26"/>
  <c r="K17" i="26"/>
  <c r="J17" i="26"/>
  <c r="I17" i="26"/>
  <c r="H17" i="26"/>
  <c r="G17" i="26"/>
  <c r="F17" i="26"/>
  <c r="C17" i="26"/>
  <c r="F16" i="26"/>
  <c r="L15" i="26"/>
  <c r="K15" i="26"/>
  <c r="J15" i="26"/>
  <c r="I15" i="26"/>
  <c r="H15" i="26"/>
  <c r="G15" i="26"/>
  <c r="F15" i="26"/>
  <c r="C15" i="26"/>
  <c r="F14" i="26"/>
  <c r="L13" i="26"/>
  <c r="K13" i="26"/>
  <c r="J13" i="26"/>
  <c r="I13" i="26"/>
  <c r="H13" i="26"/>
  <c r="G13" i="26"/>
  <c r="F13" i="26"/>
  <c r="C13" i="26"/>
  <c r="F12" i="26"/>
  <c r="O11" i="26"/>
  <c r="N11" i="26"/>
  <c r="L11" i="26"/>
  <c r="K11" i="26"/>
  <c r="J11" i="26"/>
  <c r="I11" i="26"/>
  <c r="H11" i="26"/>
  <c r="G11" i="26"/>
  <c r="F11" i="26"/>
  <c r="C11" i="26"/>
  <c r="F10" i="26"/>
  <c r="O9" i="26"/>
  <c r="N9" i="26"/>
  <c r="L9" i="26"/>
  <c r="K9" i="26"/>
  <c r="J9" i="26"/>
  <c r="I9" i="26"/>
  <c r="H9" i="26"/>
  <c r="G9" i="26"/>
  <c r="F9" i="26"/>
  <c r="C9" i="26"/>
  <c r="F8" i="26"/>
  <c r="O7" i="26"/>
  <c r="N7" i="26"/>
  <c r="L7" i="26"/>
  <c r="K7" i="26"/>
  <c r="J7" i="26"/>
  <c r="I7" i="26"/>
  <c r="H7" i="26"/>
  <c r="G7" i="26"/>
  <c r="F7" i="26"/>
  <c r="C7" i="26"/>
  <c r="B5" i="26"/>
  <c r="D3" i="26"/>
  <c r="D2" i="26"/>
  <c r="D1" i="26"/>
  <c r="P91" i="25"/>
  <c r="Q82" i="25"/>
  <c r="P82" i="25"/>
  <c r="Q81" i="25"/>
  <c r="P81" i="25"/>
  <c r="O81" i="25"/>
  <c r="M81" i="25"/>
  <c r="J81" i="25"/>
  <c r="D81" i="25"/>
  <c r="C81" i="25"/>
  <c r="Q80" i="25"/>
  <c r="P80" i="25"/>
  <c r="O80" i="25"/>
  <c r="M80" i="25"/>
  <c r="J80" i="25"/>
  <c r="D80" i="25"/>
  <c r="C80" i="25"/>
  <c r="D79" i="25"/>
  <c r="C79" i="25"/>
  <c r="Q78" i="25"/>
  <c r="P78" i="25"/>
  <c r="O78" i="25"/>
  <c r="M78" i="25"/>
  <c r="J78" i="25"/>
  <c r="D78" i="25"/>
  <c r="C78" i="25"/>
  <c r="Q77" i="25"/>
  <c r="P77" i="25"/>
  <c r="O77" i="25"/>
  <c r="M77" i="25"/>
  <c r="J77" i="25"/>
  <c r="D77" i="25"/>
  <c r="C77" i="25"/>
  <c r="Q76" i="25"/>
  <c r="P76" i="25"/>
  <c r="O76" i="25"/>
  <c r="M76" i="25"/>
  <c r="J76" i="25"/>
  <c r="D76" i="25"/>
  <c r="C76" i="25"/>
  <c r="Q75" i="25"/>
  <c r="P75" i="25"/>
  <c r="O75" i="25"/>
  <c r="M75" i="25"/>
  <c r="J75" i="25"/>
  <c r="D75" i="25"/>
  <c r="C75" i="25"/>
  <c r="Q74" i="25"/>
  <c r="P74" i="25"/>
  <c r="O74" i="25"/>
  <c r="M74" i="25"/>
  <c r="J74" i="25"/>
  <c r="D74" i="25"/>
  <c r="C74" i="25"/>
  <c r="D73" i="25"/>
  <c r="C73" i="25"/>
  <c r="Q72" i="25"/>
  <c r="P72" i="25"/>
  <c r="J72" i="25"/>
  <c r="C72" i="25"/>
  <c r="Q71" i="25"/>
  <c r="P71" i="25"/>
  <c r="O71" i="25"/>
  <c r="M71" i="25"/>
  <c r="J71" i="25"/>
  <c r="Q70" i="25"/>
  <c r="P70" i="25"/>
  <c r="O70" i="25"/>
  <c r="M70" i="25"/>
  <c r="J70" i="25"/>
  <c r="Q69" i="25"/>
  <c r="P69" i="25"/>
  <c r="O69" i="25"/>
  <c r="M69" i="25"/>
  <c r="J69" i="25"/>
  <c r="Q68" i="25"/>
  <c r="P68" i="25"/>
  <c r="O68" i="25"/>
  <c r="M68" i="25"/>
  <c r="J68" i="25"/>
  <c r="D68" i="25"/>
  <c r="C68" i="25"/>
  <c r="Q67" i="25"/>
  <c r="P67" i="25"/>
  <c r="O67" i="25"/>
  <c r="M67" i="25"/>
  <c r="J67" i="25"/>
  <c r="Q66" i="25"/>
  <c r="P66" i="25"/>
  <c r="O66" i="25"/>
  <c r="M66" i="25"/>
  <c r="J66" i="25"/>
  <c r="Q65" i="25"/>
  <c r="P65" i="25"/>
  <c r="O65" i="25"/>
  <c r="M65" i="25"/>
  <c r="J65" i="25"/>
  <c r="D65" i="25"/>
  <c r="C65" i="25"/>
  <c r="Q64" i="25"/>
  <c r="P64" i="25"/>
  <c r="O64" i="25"/>
  <c r="M64" i="25"/>
  <c r="J64" i="25"/>
  <c r="D64" i="25"/>
  <c r="C64" i="25"/>
  <c r="Q63" i="25"/>
  <c r="P63" i="25"/>
  <c r="J63" i="25"/>
  <c r="D63" i="25"/>
  <c r="C63" i="25"/>
  <c r="Q62" i="25"/>
  <c r="P62" i="25"/>
  <c r="O62" i="25"/>
  <c r="M62" i="25"/>
  <c r="J62" i="25"/>
  <c r="Q61" i="25"/>
  <c r="P61" i="25"/>
  <c r="O61" i="25"/>
  <c r="M61" i="25"/>
  <c r="J61" i="25"/>
  <c r="Q60" i="25"/>
  <c r="P60" i="25"/>
  <c r="O60" i="25"/>
  <c r="M60" i="25"/>
  <c r="J60" i="25"/>
  <c r="Q59" i="25"/>
  <c r="P59" i="25"/>
  <c r="O59" i="25"/>
  <c r="J59" i="25"/>
  <c r="Q58" i="25"/>
  <c r="P58" i="25"/>
  <c r="O58" i="25"/>
  <c r="J58" i="25"/>
  <c r="Q57" i="25"/>
  <c r="P57" i="25"/>
  <c r="O57" i="25"/>
  <c r="M57" i="25"/>
  <c r="J57" i="25"/>
  <c r="Q56" i="25"/>
  <c r="P56" i="25"/>
  <c r="O56" i="25"/>
  <c r="M56" i="25"/>
  <c r="J56" i="25"/>
  <c r="Q55" i="25"/>
  <c r="P55" i="25"/>
  <c r="O55" i="25"/>
  <c r="M55" i="25"/>
  <c r="J55" i="25"/>
  <c r="Q54" i="25"/>
  <c r="P54" i="25"/>
  <c r="O54" i="25"/>
  <c r="M54" i="25"/>
  <c r="J54" i="25"/>
  <c r="Q53" i="25"/>
  <c r="P53" i="25"/>
  <c r="O53" i="25"/>
  <c r="M53" i="25"/>
  <c r="J53" i="25"/>
  <c r="Q52" i="25"/>
  <c r="P52" i="25"/>
  <c r="O52" i="25"/>
  <c r="M52" i="25"/>
  <c r="J52" i="25"/>
  <c r="Q51" i="25"/>
  <c r="P51" i="25"/>
  <c r="O51" i="25"/>
  <c r="M51" i="25"/>
  <c r="J51" i="25"/>
  <c r="Q50" i="25"/>
  <c r="P50" i="25"/>
  <c r="O50" i="25"/>
  <c r="M50" i="25"/>
  <c r="J50" i="25"/>
  <c r="Q49" i="25"/>
  <c r="P49" i="25"/>
  <c r="O49" i="25"/>
  <c r="M49" i="25"/>
  <c r="J49" i="25"/>
  <c r="Q48" i="25"/>
  <c r="P48" i="25"/>
  <c r="O48" i="25"/>
  <c r="M48" i="25"/>
  <c r="J48" i="25"/>
  <c r="Q47" i="25"/>
  <c r="P47" i="25"/>
  <c r="O47" i="25"/>
  <c r="M47" i="25"/>
  <c r="J47" i="25"/>
  <c r="Q46" i="25"/>
  <c r="P46" i="25"/>
  <c r="O46" i="25"/>
  <c r="M46" i="25"/>
  <c r="J46" i="25"/>
  <c r="Q45" i="25"/>
  <c r="P45" i="25"/>
  <c r="O45" i="25"/>
  <c r="M45" i="25"/>
  <c r="J45" i="25"/>
  <c r="Q44" i="25"/>
  <c r="P44" i="25"/>
  <c r="O44" i="25"/>
  <c r="M44" i="25"/>
  <c r="J44" i="25"/>
  <c r="Q43" i="25"/>
  <c r="P43" i="25"/>
  <c r="O43" i="25"/>
  <c r="M43" i="25"/>
  <c r="J43" i="25"/>
  <c r="Q42" i="25"/>
  <c r="P42" i="25"/>
  <c r="O42" i="25"/>
  <c r="M42" i="25"/>
  <c r="J42" i="25"/>
  <c r="Q40" i="25"/>
  <c r="P40" i="25"/>
  <c r="O40" i="25"/>
  <c r="M40" i="25"/>
  <c r="J40" i="25"/>
  <c r="Q39" i="25"/>
  <c r="P39" i="25"/>
  <c r="O39" i="25"/>
  <c r="M39" i="25"/>
  <c r="J39" i="25"/>
  <c r="J38" i="25"/>
  <c r="Q37" i="25"/>
  <c r="P37" i="25"/>
  <c r="J37" i="25"/>
  <c r="Q36" i="25"/>
  <c r="P36" i="25"/>
  <c r="O36" i="25"/>
  <c r="M36" i="25"/>
  <c r="J36" i="25"/>
  <c r="D36" i="25"/>
  <c r="C36" i="25"/>
  <c r="Q35" i="25"/>
  <c r="P35" i="25"/>
  <c r="O35" i="25"/>
  <c r="M35" i="25"/>
  <c r="J35" i="25"/>
  <c r="D35" i="25"/>
  <c r="C35" i="25"/>
  <c r="Q34" i="25"/>
  <c r="P34" i="25"/>
  <c r="O34" i="25"/>
  <c r="M34" i="25"/>
  <c r="J34" i="25"/>
  <c r="D34" i="25"/>
  <c r="C34" i="25"/>
  <c r="Q32" i="25"/>
  <c r="P32" i="25"/>
  <c r="O32" i="25"/>
  <c r="M32" i="25"/>
  <c r="J32" i="25"/>
  <c r="D32" i="25"/>
  <c r="C32" i="25"/>
  <c r="Q31" i="25"/>
  <c r="P31" i="25"/>
  <c r="O31" i="25"/>
  <c r="M31" i="25"/>
  <c r="J31" i="25"/>
  <c r="D31" i="25"/>
  <c r="C31" i="25"/>
  <c r="Q30" i="25"/>
  <c r="P30" i="25"/>
  <c r="O30" i="25"/>
  <c r="M30" i="25"/>
  <c r="J30" i="25"/>
  <c r="D30" i="25"/>
  <c r="C30" i="25"/>
  <c r="Q28" i="25"/>
  <c r="P28" i="25"/>
  <c r="O28" i="25"/>
  <c r="M28" i="25"/>
  <c r="J28" i="25"/>
  <c r="D28" i="25"/>
  <c r="C28" i="25"/>
  <c r="Q27" i="25"/>
  <c r="P27" i="25"/>
  <c r="O27" i="25"/>
  <c r="M27" i="25"/>
  <c r="J27" i="25"/>
  <c r="D27" i="25"/>
  <c r="C27" i="25"/>
  <c r="D25" i="25"/>
  <c r="C25" i="25"/>
  <c r="Q24" i="25"/>
  <c r="P24" i="25"/>
  <c r="O24" i="25"/>
  <c r="N24" i="25"/>
  <c r="M24" i="25"/>
  <c r="K24" i="25"/>
  <c r="J24" i="25"/>
  <c r="D24" i="25"/>
  <c r="C24" i="25"/>
  <c r="Q23" i="25"/>
  <c r="P23" i="25"/>
  <c r="O23" i="25"/>
  <c r="N23" i="25"/>
  <c r="M23" i="25"/>
  <c r="K23" i="25"/>
  <c r="J23" i="25"/>
  <c r="D23" i="25"/>
  <c r="C23" i="25"/>
  <c r="D22" i="25"/>
  <c r="C22" i="25"/>
  <c r="Q21" i="25"/>
  <c r="P21" i="25"/>
  <c r="O21" i="25"/>
  <c r="M21" i="25"/>
  <c r="J21" i="25"/>
  <c r="H21" i="25"/>
  <c r="D21" i="25"/>
  <c r="C21" i="25"/>
  <c r="Q20" i="25"/>
  <c r="P20" i="25"/>
  <c r="O20" i="25"/>
  <c r="M20" i="25"/>
  <c r="J20" i="25"/>
  <c r="H20" i="25"/>
  <c r="D20" i="25"/>
  <c r="C20" i="25"/>
  <c r="Q19" i="25"/>
  <c r="P19" i="25"/>
  <c r="O19" i="25"/>
  <c r="M19" i="25"/>
  <c r="J19" i="25"/>
  <c r="D19" i="25"/>
  <c r="Q18" i="25"/>
  <c r="P18" i="25"/>
  <c r="O18" i="25"/>
  <c r="M18" i="25"/>
  <c r="J18" i="25"/>
  <c r="D18" i="25"/>
  <c r="C18" i="25"/>
  <c r="D17" i="25"/>
  <c r="C17" i="25"/>
  <c r="B17" i="25"/>
  <c r="A17" i="25"/>
  <c r="Q16" i="25"/>
  <c r="P16" i="25"/>
  <c r="C16" i="25"/>
  <c r="Q15" i="25"/>
  <c r="P15" i="25"/>
  <c r="O15" i="25"/>
  <c r="M15" i="25"/>
  <c r="C15" i="25"/>
  <c r="Q14" i="25"/>
  <c r="P14" i="25"/>
  <c r="O14" i="25"/>
  <c r="M14" i="25"/>
  <c r="C14" i="25"/>
  <c r="Q13" i="25"/>
  <c r="P13" i="25"/>
  <c r="O13" i="25"/>
  <c r="M13" i="25"/>
  <c r="C13" i="25"/>
  <c r="Q12" i="25"/>
  <c r="P12" i="25"/>
  <c r="O12" i="25"/>
  <c r="M12" i="25"/>
  <c r="C12" i="25"/>
  <c r="U11" i="25"/>
  <c r="T11" i="25"/>
  <c r="Q11" i="25"/>
  <c r="P11" i="25"/>
  <c r="D11" i="25"/>
  <c r="C11" i="25"/>
  <c r="A11" i="25"/>
  <c r="Q10" i="25"/>
  <c r="P10" i="25"/>
  <c r="O10" i="25"/>
  <c r="J10" i="25"/>
  <c r="Q9" i="25"/>
  <c r="P9" i="25"/>
  <c r="O9" i="25"/>
  <c r="M9" i="25"/>
  <c r="D9" i="25"/>
  <c r="C9" i="25"/>
  <c r="Q8" i="25"/>
  <c r="P8" i="25"/>
  <c r="D8" i="25"/>
  <c r="C8" i="25"/>
  <c r="A8" i="25"/>
  <c r="A9" i="25" s="1"/>
  <c r="H4" i="25"/>
  <c r="P79" i="24"/>
  <c r="H13" i="24"/>
  <c r="G13" i="24"/>
  <c r="H12" i="24"/>
  <c r="G12" i="24"/>
  <c r="C12" i="24"/>
  <c r="B12" i="24"/>
  <c r="A12" i="24"/>
  <c r="H11" i="24"/>
  <c r="G11" i="24"/>
  <c r="C11" i="24"/>
  <c r="B11" i="24"/>
  <c r="A11" i="24"/>
  <c r="I10" i="24"/>
  <c r="H10" i="24"/>
  <c r="G10" i="24"/>
  <c r="C10" i="24"/>
  <c r="B10" i="24"/>
  <c r="A10" i="24"/>
  <c r="H9" i="24"/>
  <c r="G9" i="24"/>
  <c r="C9" i="24"/>
  <c r="B9" i="24"/>
  <c r="A9" i="24"/>
  <c r="H8" i="24"/>
  <c r="G8" i="24"/>
  <c r="C8" i="24"/>
  <c r="B8" i="24"/>
  <c r="A8" i="24"/>
  <c r="K7" i="24"/>
  <c r="H7" i="24"/>
  <c r="G7" i="24"/>
  <c r="C7" i="24"/>
  <c r="B7" i="24"/>
  <c r="B5" i="24"/>
  <c r="K4" i="24"/>
  <c r="C3" i="24"/>
  <c r="C2" i="24"/>
  <c r="C1" i="24"/>
  <c r="E43" i="23"/>
  <c r="E42" i="23"/>
  <c r="E41" i="23"/>
  <c r="D23" i="23"/>
  <c r="C23" i="23"/>
  <c r="Q22" i="23"/>
  <c r="P22" i="23"/>
  <c r="O22" i="23"/>
  <c r="N22" i="23"/>
  <c r="M22" i="23"/>
  <c r="L22" i="23"/>
  <c r="K22" i="23"/>
  <c r="I22" i="23"/>
  <c r="G22" i="23"/>
  <c r="E22" i="23"/>
  <c r="D22" i="23"/>
  <c r="P21" i="23"/>
  <c r="O21" i="23"/>
  <c r="N21" i="23"/>
  <c r="M21" i="23"/>
  <c r="L21" i="23"/>
  <c r="K21" i="23"/>
  <c r="I21" i="23"/>
  <c r="G21" i="23"/>
  <c r="E21" i="23"/>
  <c r="D21" i="23"/>
  <c r="Q20" i="23"/>
  <c r="P20" i="23"/>
  <c r="O20" i="23"/>
  <c r="N20" i="23"/>
  <c r="M20" i="23"/>
  <c r="L20" i="23"/>
  <c r="K20" i="23"/>
  <c r="I20" i="23"/>
  <c r="G20" i="23"/>
  <c r="E20" i="23"/>
  <c r="D20" i="23"/>
  <c r="D18" i="23"/>
  <c r="C18" i="23"/>
  <c r="Q17" i="23"/>
  <c r="P17" i="23"/>
  <c r="O17" i="23"/>
  <c r="N17" i="23"/>
  <c r="M17" i="23"/>
  <c r="L17" i="23"/>
  <c r="K17" i="23"/>
  <c r="I17" i="23"/>
  <c r="G17" i="23"/>
  <c r="E17" i="23"/>
  <c r="D17" i="23"/>
  <c r="P16" i="23"/>
  <c r="O16" i="23"/>
  <c r="N16" i="23"/>
  <c r="M16" i="23"/>
  <c r="L16" i="23"/>
  <c r="K16" i="23"/>
  <c r="I16" i="23"/>
  <c r="G16" i="23"/>
  <c r="E16" i="23"/>
  <c r="D16" i="23"/>
  <c r="Q15" i="23"/>
  <c r="P15" i="23"/>
  <c r="O15" i="23"/>
  <c r="N15" i="23"/>
  <c r="M15" i="23"/>
  <c r="L15" i="23"/>
  <c r="K15" i="23"/>
  <c r="I15" i="23"/>
  <c r="G15" i="23"/>
  <c r="E15" i="23"/>
  <c r="D15" i="23"/>
  <c r="D13" i="23"/>
  <c r="C13" i="23"/>
  <c r="L12" i="23"/>
  <c r="K12" i="23"/>
  <c r="I12" i="23"/>
  <c r="D12" i="23"/>
  <c r="L11" i="23"/>
  <c r="K11" i="23"/>
  <c r="D11" i="23"/>
  <c r="L10" i="23"/>
  <c r="K10" i="23"/>
  <c r="I10" i="23"/>
  <c r="E10" i="23"/>
  <c r="D10" i="23"/>
  <c r="E34" i="22"/>
  <c r="E33" i="22"/>
  <c r="E29" i="22"/>
  <c r="E24" i="22"/>
  <c r="E23" i="22"/>
  <c r="E18" i="22"/>
  <c r="E17" i="22"/>
  <c r="E14" i="22"/>
  <c r="E7" i="22"/>
  <c r="N97" i="21"/>
  <c r="M97" i="21"/>
  <c r="L97" i="21"/>
  <c r="J97" i="21"/>
  <c r="I97" i="21"/>
  <c r="G96" i="21"/>
  <c r="K97" i="21" s="1"/>
  <c r="O97" i="21" s="1"/>
  <c r="O96" i="21" s="1"/>
  <c r="N143" i="18" s="1"/>
  <c r="N95" i="21"/>
  <c r="M95" i="21"/>
  <c r="L95" i="21"/>
  <c r="J95" i="21"/>
  <c r="I95" i="21"/>
  <c r="G94" i="21"/>
  <c r="K95" i="21" s="1"/>
  <c r="O95" i="21" s="1"/>
  <c r="O94" i="21" s="1"/>
  <c r="N136" i="18" s="1"/>
  <c r="Q136" i="18" s="1"/>
  <c r="V136" i="18" s="1"/>
  <c r="N92" i="21"/>
  <c r="M92" i="21"/>
  <c r="L92" i="21"/>
  <c r="J92" i="21"/>
  <c r="I92" i="21"/>
  <c r="G91" i="21"/>
  <c r="K92" i="21" s="1"/>
  <c r="O92" i="21" s="1"/>
  <c r="O91" i="21" s="1"/>
  <c r="N116" i="18" s="1"/>
  <c r="Q116" i="18" s="1"/>
  <c r="V116" i="18" s="1"/>
  <c r="N90" i="21"/>
  <c r="M90" i="21"/>
  <c r="L90" i="21"/>
  <c r="K90" i="21"/>
  <c r="O90" i="21" s="1"/>
  <c r="O89" i="21" s="1"/>
  <c r="N109" i="18" s="1"/>
  <c r="Q109" i="18" s="1"/>
  <c r="V109" i="18" s="1"/>
  <c r="J90" i="21"/>
  <c r="I90" i="21"/>
  <c r="G89" i="21"/>
  <c r="N88" i="21"/>
  <c r="M88" i="21"/>
  <c r="L88" i="21"/>
  <c r="J88" i="21"/>
  <c r="I88" i="21"/>
  <c r="G87" i="21"/>
  <c r="K88" i="21" s="1"/>
  <c r="O88" i="21" s="1"/>
  <c r="O87" i="21" s="1"/>
  <c r="N102" i="18" s="1"/>
  <c r="Q102" i="18" s="1"/>
  <c r="V102" i="18" s="1"/>
  <c r="N86" i="21"/>
  <c r="M86" i="21"/>
  <c r="L86" i="21"/>
  <c r="J86" i="21"/>
  <c r="I86" i="21"/>
  <c r="G85" i="21"/>
  <c r="K86" i="21" s="1"/>
  <c r="O86" i="21" s="1"/>
  <c r="O85" i="21" s="1"/>
  <c r="N95" i="18" s="1"/>
  <c r="Q95" i="18" s="1"/>
  <c r="V95" i="18" s="1"/>
  <c r="G80" i="21"/>
  <c r="O82" i="21" s="1"/>
  <c r="O80" i="21" s="1"/>
  <c r="N91" i="18" s="1"/>
  <c r="G77" i="21"/>
  <c r="O79" i="21" s="1"/>
  <c r="O77" i="21" s="1"/>
  <c r="N89" i="18" s="1"/>
  <c r="G74" i="21"/>
  <c r="O76" i="21" s="1"/>
  <c r="O74" i="21" s="1"/>
  <c r="N87" i="18" s="1"/>
  <c r="R87" i="18" s="1"/>
  <c r="E73" i="21"/>
  <c r="P72" i="21"/>
  <c r="G70" i="21"/>
  <c r="O72" i="21" s="1"/>
  <c r="O70" i="21" s="1"/>
  <c r="N58" i="18" s="1"/>
  <c r="Q58" i="18" s="1"/>
  <c r="V58" i="18" s="1"/>
  <c r="P69" i="21"/>
  <c r="G67" i="21"/>
  <c r="O69" i="21" s="1"/>
  <c r="O67" i="21" s="1"/>
  <c r="N56" i="18" s="1"/>
  <c r="Q56" i="18" s="1"/>
  <c r="V56" i="18" s="1"/>
  <c r="P57" i="21"/>
  <c r="G57" i="21"/>
  <c r="O63" i="21" s="1"/>
  <c r="C57" i="21"/>
  <c r="P56" i="21"/>
  <c r="P54" i="21"/>
  <c r="G52" i="21"/>
  <c r="O56" i="21" s="1"/>
  <c r="C52" i="21"/>
  <c r="O51" i="21"/>
  <c r="N51" i="21"/>
  <c r="M51" i="21"/>
  <c r="L51" i="21"/>
  <c r="K51" i="21"/>
  <c r="J51" i="21"/>
  <c r="I51" i="21"/>
  <c r="O49" i="21"/>
  <c r="N49" i="21"/>
  <c r="M49" i="21"/>
  <c r="L49" i="21"/>
  <c r="K49" i="21"/>
  <c r="J49" i="21"/>
  <c r="I49" i="21"/>
  <c r="N47" i="21"/>
  <c r="M47" i="21"/>
  <c r="L47" i="21"/>
  <c r="J47" i="21"/>
  <c r="I47" i="21"/>
  <c r="N46" i="21"/>
  <c r="M46" i="21"/>
  <c r="L46" i="21"/>
  <c r="J46" i="21"/>
  <c r="I46" i="21"/>
  <c r="N45" i="21"/>
  <c r="M45" i="21"/>
  <c r="L45" i="21"/>
  <c r="J45" i="21"/>
  <c r="I45" i="21"/>
  <c r="N44" i="21"/>
  <c r="M44" i="21"/>
  <c r="L44" i="21"/>
  <c r="J44" i="21"/>
  <c r="I44" i="21"/>
  <c r="N43" i="21"/>
  <c r="M43" i="21"/>
  <c r="L43" i="21"/>
  <c r="J43" i="21"/>
  <c r="I43" i="21"/>
  <c r="P42" i="21"/>
  <c r="G42" i="21"/>
  <c r="K46" i="21" s="1"/>
  <c r="O46" i="21" s="1"/>
  <c r="P41" i="21"/>
  <c r="P39" i="21"/>
  <c r="P37" i="21"/>
  <c r="G35" i="21"/>
  <c r="O37" i="21" s="1"/>
  <c r="P33" i="21"/>
  <c r="P32" i="21"/>
  <c r="P30" i="21"/>
  <c r="P28" i="21"/>
  <c r="G26" i="21"/>
  <c r="O30" i="21" s="1"/>
  <c r="P25" i="21"/>
  <c r="G23" i="21"/>
  <c r="O25" i="21" s="1"/>
  <c r="O23" i="21" s="1"/>
  <c r="N35" i="18" s="1"/>
  <c r="Q35" i="18" s="1"/>
  <c r="V35" i="18" s="1"/>
  <c r="P22" i="21"/>
  <c r="G20" i="21"/>
  <c r="O22" i="21" s="1"/>
  <c r="O20" i="21" s="1"/>
  <c r="N33" i="18" s="1"/>
  <c r="Q33" i="18" s="1"/>
  <c r="V33" i="18" s="1"/>
  <c r="N19" i="21"/>
  <c r="M19" i="21"/>
  <c r="L19" i="21"/>
  <c r="J19" i="21"/>
  <c r="I19" i="21"/>
  <c r="G18" i="21"/>
  <c r="K19" i="21" s="1"/>
  <c r="O19" i="21" s="1"/>
  <c r="O18" i="21" s="1"/>
  <c r="O9" i="21"/>
  <c r="G9" i="21"/>
  <c r="C7" i="46"/>
  <c r="N5" i="46"/>
  <c r="C7" i="19"/>
  <c r="N5" i="19"/>
  <c r="P163" i="18"/>
  <c r="P162" i="18"/>
  <c r="X149" i="18"/>
  <c r="X148" i="18"/>
  <c r="N148" i="18"/>
  <c r="R148" i="18" s="1"/>
  <c r="X147" i="18"/>
  <c r="N147" i="18"/>
  <c r="R147" i="18" s="1"/>
  <c r="X146" i="18"/>
  <c r="N146" i="18"/>
  <c r="R146" i="18" s="1"/>
  <c r="R145" i="18"/>
  <c r="Y145" i="18" s="1"/>
  <c r="X145" i="18"/>
  <c r="N145" i="18"/>
  <c r="X144" i="18"/>
  <c r="R144" i="18"/>
  <c r="Y144" i="18" s="1"/>
  <c r="N144" i="18"/>
  <c r="X143" i="18"/>
  <c r="O143" i="18"/>
  <c r="X142" i="18"/>
  <c r="X141" i="18"/>
  <c r="N141" i="18"/>
  <c r="R141" i="18" s="1"/>
  <c r="X140" i="18"/>
  <c r="N140" i="18"/>
  <c r="R140" i="18" s="1"/>
  <c r="R139" i="18"/>
  <c r="Y139" i="18" s="1"/>
  <c r="X139" i="18"/>
  <c r="N139" i="18"/>
  <c r="X138" i="18"/>
  <c r="R138" i="18"/>
  <c r="Y138" i="18" s="1"/>
  <c r="N138" i="18"/>
  <c r="X137" i="18"/>
  <c r="R137" i="18"/>
  <c r="Y137" i="18" s="1"/>
  <c r="N137" i="18"/>
  <c r="O136" i="18"/>
  <c r="X136" i="18" s="1"/>
  <c r="X135" i="18"/>
  <c r="X134" i="18"/>
  <c r="X133" i="18"/>
  <c r="N133" i="18"/>
  <c r="X132" i="18"/>
  <c r="O132" i="18"/>
  <c r="N132" i="18"/>
  <c r="R132" i="18" s="1"/>
  <c r="O131" i="18"/>
  <c r="N131" i="18"/>
  <c r="X130" i="18"/>
  <c r="N130" i="18"/>
  <c r="R130" i="18" s="1"/>
  <c r="X129" i="18"/>
  <c r="N129" i="18"/>
  <c r="R129" i="18" s="1"/>
  <c r="X128" i="18"/>
  <c r="X127" i="18"/>
  <c r="R127" i="18"/>
  <c r="Y127" i="18" s="1"/>
  <c r="N127" i="18"/>
  <c r="X126" i="18"/>
  <c r="N126" i="18"/>
  <c r="R126" i="18" s="1"/>
  <c r="X125" i="18"/>
  <c r="X124" i="18"/>
  <c r="N124" i="18"/>
  <c r="R124" i="18" s="1"/>
  <c r="X123" i="18"/>
  <c r="O123" i="18"/>
  <c r="N123" i="18"/>
  <c r="R123" i="18" s="1"/>
  <c r="O122" i="18"/>
  <c r="N122" i="18"/>
  <c r="N121" i="18"/>
  <c r="R121" i="18" s="1"/>
  <c r="X120" i="18"/>
  <c r="N120" i="18"/>
  <c r="R120" i="18" s="1"/>
  <c r="X119" i="18"/>
  <c r="X118" i="18"/>
  <c r="N118" i="18"/>
  <c r="R118" i="18" s="1"/>
  <c r="R117" i="18"/>
  <c r="Y117" i="18" s="1"/>
  <c r="X117" i="18"/>
  <c r="N117" i="18"/>
  <c r="X116" i="18"/>
  <c r="O116" i="18"/>
  <c r="X115" i="18"/>
  <c r="X114" i="18"/>
  <c r="N114" i="18"/>
  <c r="R114" i="18" s="1"/>
  <c r="X113" i="18"/>
  <c r="X112" i="18"/>
  <c r="N112" i="18"/>
  <c r="R112" i="18" s="1"/>
  <c r="X111" i="18"/>
  <c r="N111" i="18"/>
  <c r="X110" i="18"/>
  <c r="O109" i="18"/>
  <c r="X109" i="18" s="1"/>
  <c r="Y108" i="18"/>
  <c r="X108" i="18"/>
  <c r="X107" i="18"/>
  <c r="N107" i="18"/>
  <c r="R107" i="18" s="1"/>
  <c r="X106" i="18"/>
  <c r="R105" i="18"/>
  <c r="X105" i="18"/>
  <c r="N105" i="18"/>
  <c r="X104" i="18"/>
  <c r="N104" i="18"/>
  <c r="R104" i="18" s="1"/>
  <c r="X103" i="18"/>
  <c r="X102" i="18"/>
  <c r="O102" i="18"/>
  <c r="X101" i="18"/>
  <c r="X100" i="18"/>
  <c r="N100" i="18"/>
  <c r="R100" i="18" s="1"/>
  <c r="X99" i="18"/>
  <c r="X98" i="18"/>
  <c r="R98" i="18"/>
  <c r="N98" i="18"/>
  <c r="X97" i="18"/>
  <c r="N97" i="18"/>
  <c r="X96" i="18"/>
  <c r="P95" i="18"/>
  <c r="X95" i="18" s="1"/>
  <c r="O95" i="18"/>
  <c r="X94" i="18"/>
  <c r="X93" i="18"/>
  <c r="X92" i="18"/>
  <c r="P91" i="18"/>
  <c r="X91" i="18" s="1"/>
  <c r="O91" i="18"/>
  <c r="X90" i="18"/>
  <c r="H90" i="18"/>
  <c r="O89" i="18"/>
  <c r="P89" i="18" s="1"/>
  <c r="X89" i="18" s="1"/>
  <c r="X88" i="18"/>
  <c r="H88" i="18"/>
  <c r="O87" i="18"/>
  <c r="P87" i="18" s="1"/>
  <c r="X87" i="18" s="1"/>
  <c r="X86" i="18"/>
  <c r="H86" i="18"/>
  <c r="P85" i="18"/>
  <c r="X85" i="18" s="1"/>
  <c r="N85" i="18"/>
  <c r="P84" i="18"/>
  <c r="X84" i="18" s="1"/>
  <c r="N84" i="18"/>
  <c r="R84" i="18" s="1"/>
  <c r="R83" i="18"/>
  <c r="P83" i="18"/>
  <c r="X83" i="18" s="1"/>
  <c r="N83" i="18"/>
  <c r="X82" i="18"/>
  <c r="P81" i="18"/>
  <c r="X81" i="18" s="1"/>
  <c r="O81" i="18"/>
  <c r="N81" i="18"/>
  <c r="X80" i="18"/>
  <c r="P79" i="18"/>
  <c r="X79" i="18" s="1"/>
  <c r="N79" i="18"/>
  <c r="X78" i="18"/>
  <c r="X77" i="18"/>
  <c r="P77" i="18"/>
  <c r="R77" i="18" s="1"/>
  <c r="N77" i="18"/>
  <c r="P76" i="18"/>
  <c r="X76" i="18" s="1"/>
  <c r="N76" i="18"/>
  <c r="R75" i="18"/>
  <c r="P75" i="18"/>
  <c r="X75" i="18" s="1"/>
  <c r="N75" i="18"/>
  <c r="X74" i="18"/>
  <c r="P73" i="18"/>
  <c r="X73" i="18" s="1"/>
  <c r="N73" i="18"/>
  <c r="R73" i="18" s="1"/>
  <c r="P72" i="18"/>
  <c r="X72" i="18" s="1"/>
  <c r="N72" i="18"/>
  <c r="P71" i="18"/>
  <c r="R71" i="18" s="1"/>
  <c r="N71" i="18"/>
  <c r="P70" i="18"/>
  <c r="X70" i="18" s="1"/>
  <c r="N70" i="18"/>
  <c r="X69" i="18"/>
  <c r="X68" i="18"/>
  <c r="X67" i="18"/>
  <c r="W66" i="18"/>
  <c r="P66" i="18"/>
  <c r="R66" i="18" s="1"/>
  <c r="M66" i="18"/>
  <c r="W65" i="18"/>
  <c r="P65" i="18"/>
  <c r="M65" i="18"/>
  <c r="W64" i="18"/>
  <c r="P64" i="18"/>
  <c r="X64" i="18" s="1"/>
  <c r="M64" i="18"/>
  <c r="Y63" i="18"/>
  <c r="X63" i="18"/>
  <c r="W62" i="18"/>
  <c r="P62" i="18"/>
  <c r="X62" i="18" s="1"/>
  <c r="M62" i="18"/>
  <c r="W61" i="18"/>
  <c r="P61" i="18"/>
  <c r="X61" i="18" s="1"/>
  <c r="M61" i="18"/>
  <c r="W60" i="18"/>
  <c r="P60" i="18"/>
  <c r="U60" i="18" s="1"/>
  <c r="M60" i="18"/>
  <c r="X59" i="18"/>
  <c r="P58" i="18"/>
  <c r="X58" i="18" s="1"/>
  <c r="O58" i="18"/>
  <c r="X57" i="18"/>
  <c r="P56" i="18"/>
  <c r="X56" i="18" s="1"/>
  <c r="O56" i="18"/>
  <c r="X55" i="18"/>
  <c r="X54" i="18"/>
  <c r="X53" i="18"/>
  <c r="O52" i="18"/>
  <c r="P52" i="18" s="1"/>
  <c r="K52" i="18"/>
  <c r="O51" i="18"/>
  <c r="P51" i="18" s="1"/>
  <c r="K51" i="18"/>
  <c r="X50" i="18"/>
  <c r="O49" i="18"/>
  <c r="N49" i="18"/>
  <c r="R49" i="18" s="1"/>
  <c r="U49" i="18" s="1"/>
  <c r="O48" i="18"/>
  <c r="X48" i="18" s="1"/>
  <c r="N48" i="18"/>
  <c r="P47" i="18"/>
  <c r="X47" i="18" s="1"/>
  <c r="O47" i="18"/>
  <c r="X46" i="18"/>
  <c r="H46" i="18"/>
  <c r="O45" i="18"/>
  <c r="P45" i="18" s="1"/>
  <c r="X45" i="18" s="1"/>
  <c r="X44" i="18"/>
  <c r="H44" i="18"/>
  <c r="O43" i="18"/>
  <c r="P43" i="18" s="1"/>
  <c r="X43" i="18" s="1"/>
  <c r="X42" i="18"/>
  <c r="O41" i="18"/>
  <c r="P41" i="18" s="1"/>
  <c r="X41" i="18" s="1"/>
  <c r="X40" i="18"/>
  <c r="X39" i="18"/>
  <c r="X38" i="18"/>
  <c r="O37" i="18"/>
  <c r="P37" i="18" s="1"/>
  <c r="X37" i="18" s="1"/>
  <c r="X36" i="18"/>
  <c r="O35" i="18"/>
  <c r="P35" i="18" s="1"/>
  <c r="X35" i="18" s="1"/>
  <c r="X34" i="18"/>
  <c r="O33" i="18"/>
  <c r="P33" i="18" s="1"/>
  <c r="X33" i="18" s="1"/>
  <c r="X32" i="18"/>
  <c r="O31" i="18"/>
  <c r="P31" i="18" s="1"/>
  <c r="X31" i="18" s="1"/>
  <c r="X30" i="18"/>
  <c r="X29" i="18"/>
  <c r="P28" i="18"/>
  <c r="X28" i="18" s="1"/>
  <c r="N28" i="18"/>
  <c r="P27" i="18"/>
  <c r="X27" i="18" s="1"/>
  <c r="N27" i="18"/>
  <c r="R27" i="18" s="1"/>
  <c r="U27" i="18" s="1"/>
  <c r="R26" i="18"/>
  <c r="U26" i="18" s="1"/>
  <c r="P26" i="18"/>
  <c r="X26" i="18" s="1"/>
  <c r="N26" i="18"/>
  <c r="X25" i="18"/>
  <c r="P24" i="18"/>
  <c r="X24" i="18" s="1"/>
  <c r="N24" i="18"/>
  <c r="P23" i="18"/>
  <c r="X23" i="18" s="1"/>
  <c r="N23" i="18"/>
  <c r="R23" i="18" s="1"/>
  <c r="U23" i="18" s="1"/>
  <c r="X22" i="18"/>
  <c r="P21" i="18"/>
  <c r="X21" i="18" s="1"/>
  <c r="N21" i="18"/>
  <c r="R21" i="18" s="1"/>
  <c r="U21" i="18" s="1"/>
  <c r="P20" i="18"/>
  <c r="X20" i="18" s="1"/>
  <c r="N20" i="18"/>
  <c r="P19" i="18"/>
  <c r="X19" i="18" s="1"/>
  <c r="N19" i="18"/>
  <c r="X18" i="18"/>
  <c r="Y17" i="18"/>
  <c r="P17" i="18"/>
  <c r="X17" i="18" s="1"/>
  <c r="N17" i="18"/>
  <c r="R17" i="18" s="1"/>
  <c r="X16" i="18"/>
  <c r="AE15" i="18"/>
  <c r="X15" i="18"/>
  <c r="N15" i="18"/>
  <c r="AF14" i="18"/>
  <c r="AE14" i="18"/>
  <c r="Z14" i="18"/>
  <c r="X14" i="18"/>
  <c r="N14" i="18"/>
  <c r="AF13" i="18"/>
  <c r="AG13" i="18" s="1"/>
  <c r="X13" i="18"/>
  <c r="N13" i="18"/>
  <c r="AF12" i="18"/>
  <c r="AC12" i="18"/>
  <c r="Y12" i="18"/>
  <c r="X12" i="18"/>
  <c r="N12" i="18"/>
  <c r="AF11" i="18"/>
  <c r="AE11" i="18"/>
  <c r="AD11" i="18"/>
  <c r="X11" i="18"/>
  <c r="U11" i="18"/>
  <c r="M11" i="18"/>
  <c r="N11" i="18" s="1"/>
  <c r="Y10" i="18"/>
  <c r="X10" i="18"/>
  <c r="W10" i="18"/>
  <c r="H10" i="18"/>
  <c r="K6" i="18"/>
  <c r="H5" i="18"/>
  <c r="O45" i="17"/>
  <c r="N45" i="17"/>
  <c r="O43" i="17"/>
  <c r="N43" i="17"/>
  <c r="L38" i="17"/>
  <c r="J38" i="17"/>
  <c r="F38" i="17"/>
  <c r="F37" i="17"/>
  <c r="L36" i="17"/>
  <c r="J36" i="17"/>
  <c r="G36" i="17"/>
  <c r="F36" i="17"/>
  <c r="M35" i="17"/>
  <c r="K35" i="17"/>
  <c r="J35" i="17"/>
  <c r="I35" i="17"/>
  <c r="H35" i="17"/>
  <c r="G35" i="17"/>
  <c r="M34" i="17"/>
  <c r="K34" i="17"/>
  <c r="J34" i="17"/>
  <c r="I34" i="17"/>
  <c r="H34" i="17"/>
  <c r="G34" i="17"/>
  <c r="M33" i="17"/>
  <c r="K33" i="17"/>
  <c r="J33" i="17"/>
  <c r="I33" i="17"/>
  <c r="H33" i="17"/>
  <c r="G33" i="17"/>
  <c r="M32" i="17"/>
  <c r="K32" i="17"/>
  <c r="J32" i="17"/>
  <c r="I32" i="17"/>
  <c r="H32" i="17"/>
  <c r="G32" i="17"/>
  <c r="M31" i="17"/>
  <c r="K31" i="17"/>
  <c r="J31" i="17"/>
  <c r="I31" i="17"/>
  <c r="H31" i="17"/>
  <c r="G31" i="17"/>
  <c r="M30" i="17"/>
  <c r="K30" i="17"/>
  <c r="J30" i="17"/>
  <c r="I30" i="17"/>
  <c r="H30" i="17"/>
  <c r="G30" i="17"/>
  <c r="M29" i="17"/>
  <c r="K29" i="17"/>
  <c r="J29" i="17"/>
  <c r="I29" i="17"/>
  <c r="H29" i="17"/>
  <c r="G29" i="17"/>
  <c r="M28" i="17"/>
  <c r="K28" i="17"/>
  <c r="J28" i="17"/>
  <c r="I28" i="17"/>
  <c r="H28" i="17"/>
  <c r="G28" i="17"/>
  <c r="M27" i="17"/>
  <c r="K27" i="17"/>
  <c r="J27" i="17"/>
  <c r="I27" i="17"/>
  <c r="H27" i="17"/>
  <c r="G27" i="17"/>
  <c r="M26" i="17"/>
  <c r="K26" i="17"/>
  <c r="J26" i="17"/>
  <c r="I26" i="17"/>
  <c r="H26" i="17"/>
  <c r="G26" i="17"/>
  <c r="M25" i="17"/>
  <c r="K25" i="17"/>
  <c r="J25" i="17"/>
  <c r="I25" i="17"/>
  <c r="H25" i="17"/>
  <c r="G25" i="17"/>
  <c r="M24" i="17"/>
  <c r="K24" i="17"/>
  <c r="J24" i="17"/>
  <c r="I24" i="17"/>
  <c r="H24" i="17"/>
  <c r="G24" i="17"/>
  <c r="M23" i="17"/>
  <c r="K23" i="17"/>
  <c r="J23" i="17"/>
  <c r="I23" i="17"/>
  <c r="H23" i="17"/>
  <c r="G23" i="17"/>
  <c r="M22" i="17"/>
  <c r="K22" i="17"/>
  <c r="J22" i="17"/>
  <c r="I22" i="17"/>
  <c r="H22" i="17"/>
  <c r="G22" i="17"/>
  <c r="M21" i="17"/>
  <c r="K21" i="17"/>
  <c r="J21" i="17"/>
  <c r="I21" i="17"/>
  <c r="H21" i="17"/>
  <c r="G21" i="17"/>
  <c r="M20" i="17"/>
  <c r="K20" i="17"/>
  <c r="J20" i="17"/>
  <c r="I20" i="17"/>
  <c r="H20" i="17"/>
  <c r="G20" i="17"/>
  <c r="M19" i="17"/>
  <c r="K19" i="17"/>
  <c r="J19" i="17"/>
  <c r="I19" i="17"/>
  <c r="H19" i="17"/>
  <c r="G19" i="17"/>
  <c r="M18" i="17"/>
  <c r="K18" i="17"/>
  <c r="J18" i="17"/>
  <c r="I18" i="17"/>
  <c r="H18" i="17"/>
  <c r="G18" i="17"/>
  <c r="M17" i="17"/>
  <c r="K17" i="17"/>
  <c r="J17" i="17"/>
  <c r="I17" i="17"/>
  <c r="H17" i="17"/>
  <c r="G17" i="17"/>
  <c r="M16" i="17"/>
  <c r="K16" i="17"/>
  <c r="J16" i="17"/>
  <c r="I16" i="17"/>
  <c r="H16" i="17"/>
  <c r="G16" i="17"/>
  <c r="M15" i="17"/>
  <c r="K15" i="17"/>
  <c r="J15" i="17"/>
  <c r="I15" i="17"/>
  <c r="H15" i="17"/>
  <c r="G15" i="17"/>
  <c r="M14" i="17"/>
  <c r="K14" i="17"/>
  <c r="J14" i="17"/>
  <c r="I14" i="17"/>
  <c r="H14" i="17"/>
  <c r="G14" i="17"/>
  <c r="M13" i="17"/>
  <c r="K13" i="17"/>
  <c r="J13" i="17"/>
  <c r="I13" i="17"/>
  <c r="H13" i="17"/>
  <c r="G13" i="17"/>
  <c r="M12" i="17"/>
  <c r="K12" i="17"/>
  <c r="J12" i="17"/>
  <c r="I12" i="17"/>
  <c r="H12" i="17"/>
  <c r="G12" i="17"/>
  <c r="M11" i="17"/>
  <c r="K11" i="17"/>
  <c r="J11" i="17"/>
  <c r="I11" i="17"/>
  <c r="H11" i="17"/>
  <c r="G11" i="17"/>
  <c r="M10" i="17"/>
  <c r="K10" i="17"/>
  <c r="J10" i="17"/>
  <c r="I10" i="17"/>
  <c r="H10" i="17"/>
  <c r="G10" i="17"/>
  <c r="M9" i="17"/>
  <c r="K9" i="17"/>
  <c r="J9" i="17"/>
  <c r="I9" i="17"/>
  <c r="H9" i="17"/>
  <c r="G9" i="17"/>
  <c r="M8" i="17"/>
  <c r="K8" i="17"/>
  <c r="J8" i="17"/>
  <c r="I8" i="17"/>
  <c r="H8" i="17"/>
  <c r="G8" i="17"/>
  <c r="M7" i="17"/>
  <c r="L7" i="17"/>
  <c r="K7" i="17"/>
  <c r="J7" i="17"/>
  <c r="I7" i="17"/>
  <c r="H7" i="17"/>
  <c r="G7" i="17"/>
  <c r="M6" i="17"/>
  <c r="K6" i="17"/>
  <c r="J6" i="17"/>
  <c r="I6" i="17"/>
  <c r="H6" i="17"/>
  <c r="G6" i="17"/>
  <c r="M5" i="17"/>
  <c r="L5" i="17"/>
  <c r="K5" i="17"/>
  <c r="J5" i="17"/>
  <c r="I5" i="17"/>
  <c r="H5" i="17"/>
  <c r="G5" i="17"/>
  <c r="M4" i="17"/>
  <c r="K4" i="17"/>
  <c r="J4" i="17"/>
  <c r="I4" i="17"/>
  <c r="H4" i="17"/>
  <c r="G4" i="17"/>
  <c r="M3" i="17"/>
  <c r="K3" i="17"/>
  <c r="J3" i="17"/>
  <c r="I3" i="17"/>
  <c r="H3" i="17"/>
  <c r="G3" i="17"/>
  <c r="P91" i="15"/>
  <c r="P84" i="15"/>
  <c r="P82" i="15"/>
  <c r="P81" i="15"/>
  <c r="M81" i="15"/>
  <c r="J81" i="15"/>
  <c r="C81" i="15"/>
  <c r="P80" i="15"/>
  <c r="M80" i="15"/>
  <c r="J80" i="15"/>
  <c r="C80" i="15"/>
  <c r="D79" i="15"/>
  <c r="C79" i="15"/>
  <c r="P78" i="15"/>
  <c r="M78" i="15"/>
  <c r="J78" i="15"/>
  <c r="C78" i="15"/>
  <c r="P77" i="15"/>
  <c r="M77" i="15"/>
  <c r="J77" i="15"/>
  <c r="C77" i="15"/>
  <c r="P76" i="15"/>
  <c r="M76" i="15"/>
  <c r="J76" i="15"/>
  <c r="C76" i="15"/>
  <c r="P75" i="15"/>
  <c r="M75" i="15"/>
  <c r="J75" i="15"/>
  <c r="C75" i="15"/>
  <c r="P74" i="15"/>
  <c r="M74" i="15"/>
  <c r="J74" i="15"/>
  <c r="C74" i="15"/>
  <c r="D73" i="15"/>
  <c r="C73" i="15"/>
  <c r="P72" i="15"/>
  <c r="J72" i="15"/>
  <c r="C72" i="15"/>
  <c r="P71" i="15"/>
  <c r="O71" i="15"/>
  <c r="M71" i="15"/>
  <c r="J71" i="15"/>
  <c r="P70" i="15"/>
  <c r="O70" i="15"/>
  <c r="M70" i="15"/>
  <c r="J70" i="15"/>
  <c r="P69" i="15"/>
  <c r="O69" i="15"/>
  <c r="M69" i="15"/>
  <c r="J69" i="15"/>
  <c r="P68" i="15"/>
  <c r="O68" i="15"/>
  <c r="M68" i="15"/>
  <c r="J68" i="15"/>
  <c r="D68" i="15"/>
  <c r="C68" i="15"/>
  <c r="P67" i="15"/>
  <c r="O67" i="15"/>
  <c r="M67" i="15"/>
  <c r="J67" i="15"/>
  <c r="P66" i="15"/>
  <c r="O66" i="15"/>
  <c r="M66" i="15"/>
  <c r="J66" i="15"/>
  <c r="P65" i="15"/>
  <c r="O65" i="15"/>
  <c r="M65" i="15"/>
  <c r="J65" i="15"/>
  <c r="D65" i="15"/>
  <c r="C65" i="15"/>
  <c r="P64" i="15"/>
  <c r="O64" i="15"/>
  <c r="M64" i="15"/>
  <c r="J64" i="15"/>
  <c r="D64" i="15"/>
  <c r="C64" i="15"/>
  <c r="P63" i="15"/>
  <c r="O63" i="15"/>
  <c r="N63" i="15"/>
  <c r="J63" i="15"/>
  <c r="D63" i="15"/>
  <c r="C63" i="15"/>
  <c r="P62" i="15"/>
  <c r="O62" i="15"/>
  <c r="M62" i="15"/>
  <c r="J62" i="15"/>
  <c r="P61" i="15"/>
  <c r="O61" i="15"/>
  <c r="M61" i="15"/>
  <c r="J61" i="15"/>
  <c r="P60" i="15"/>
  <c r="O60" i="15"/>
  <c r="M60" i="15"/>
  <c r="J60" i="15"/>
  <c r="P59" i="15"/>
  <c r="O59" i="15"/>
  <c r="J59" i="15"/>
  <c r="P58" i="15"/>
  <c r="O58" i="15"/>
  <c r="J58" i="15"/>
  <c r="P57" i="15"/>
  <c r="O57" i="15"/>
  <c r="M57" i="15"/>
  <c r="J57" i="15"/>
  <c r="P56" i="15"/>
  <c r="O56" i="15"/>
  <c r="M56" i="15"/>
  <c r="J56" i="15"/>
  <c r="P55" i="15"/>
  <c r="O55" i="15"/>
  <c r="M55" i="15"/>
  <c r="J55" i="15"/>
  <c r="P54" i="15"/>
  <c r="O54" i="15"/>
  <c r="M54" i="15"/>
  <c r="J54" i="15"/>
  <c r="P53" i="15"/>
  <c r="O53" i="15"/>
  <c r="M53" i="15"/>
  <c r="J53" i="15"/>
  <c r="P52" i="15"/>
  <c r="O52" i="15"/>
  <c r="M52" i="15"/>
  <c r="J52" i="15"/>
  <c r="P51" i="15"/>
  <c r="O51" i="15"/>
  <c r="M51" i="15"/>
  <c r="J51" i="15"/>
  <c r="P50" i="15"/>
  <c r="O50" i="15"/>
  <c r="M50" i="15"/>
  <c r="J50" i="15"/>
  <c r="P49" i="15"/>
  <c r="O49" i="15"/>
  <c r="M49" i="15"/>
  <c r="J49" i="15"/>
  <c r="P48" i="15"/>
  <c r="O48" i="15"/>
  <c r="M48" i="15"/>
  <c r="J48" i="15"/>
  <c r="P47" i="15"/>
  <c r="O47" i="15"/>
  <c r="M47" i="15"/>
  <c r="J47" i="15"/>
  <c r="P46" i="15"/>
  <c r="O46" i="15"/>
  <c r="M46" i="15"/>
  <c r="J46" i="15"/>
  <c r="P45" i="15"/>
  <c r="O45" i="15"/>
  <c r="M45" i="15"/>
  <c r="J45" i="15"/>
  <c r="P44" i="15"/>
  <c r="O44" i="15"/>
  <c r="M44" i="15"/>
  <c r="J44" i="15"/>
  <c r="P43" i="15"/>
  <c r="O43" i="15"/>
  <c r="M43" i="15"/>
  <c r="J43" i="15"/>
  <c r="P42" i="15"/>
  <c r="O42" i="15"/>
  <c r="M42" i="15"/>
  <c r="J42" i="15"/>
  <c r="P40" i="15"/>
  <c r="O40" i="15"/>
  <c r="M40" i="15"/>
  <c r="J40" i="15"/>
  <c r="P39" i="15"/>
  <c r="O39" i="15"/>
  <c r="M39" i="15"/>
  <c r="J39" i="15"/>
  <c r="J38" i="15"/>
  <c r="P37" i="15"/>
  <c r="O37" i="15"/>
  <c r="N37" i="15"/>
  <c r="J37" i="15"/>
  <c r="P36" i="15"/>
  <c r="M36" i="15"/>
  <c r="J36" i="15"/>
  <c r="C36" i="15"/>
  <c r="P35" i="15"/>
  <c r="M35" i="15"/>
  <c r="J35" i="15"/>
  <c r="C35" i="15"/>
  <c r="P34" i="15"/>
  <c r="M34" i="15"/>
  <c r="J34" i="15"/>
  <c r="C34" i="15"/>
  <c r="P32" i="15"/>
  <c r="M32" i="15"/>
  <c r="J32" i="15"/>
  <c r="C32" i="15"/>
  <c r="P31" i="15"/>
  <c r="M31" i="15"/>
  <c r="J31" i="15"/>
  <c r="C31" i="15"/>
  <c r="P30" i="15"/>
  <c r="M30" i="15"/>
  <c r="J30" i="15"/>
  <c r="C30" i="15"/>
  <c r="P28" i="15"/>
  <c r="M28" i="15"/>
  <c r="J28" i="15"/>
  <c r="C28" i="15"/>
  <c r="P27" i="15"/>
  <c r="M27" i="15"/>
  <c r="J27" i="15"/>
  <c r="C27" i="15"/>
  <c r="D25" i="15"/>
  <c r="C25" i="15"/>
  <c r="B25" i="15"/>
  <c r="P24" i="15"/>
  <c r="M24" i="15"/>
  <c r="K24" i="15"/>
  <c r="J24" i="15"/>
  <c r="C24" i="15"/>
  <c r="P23" i="15"/>
  <c r="M23" i="15"/>
  <c r="K23" i="15"/>
  <c r="J23" i="15"/>
  <c r="C23" i="15"/>
  <c r="J22" i="15"/>
  <c r="D22" i="15"/>
  <c r="C22" i="15"/>
  <c r="P21" i="15"/>
  <c r="M21" i="15"/>
  <c r="J21" i="15"/>
  <c r="H21" i="15"/>
  <c r="C21" i="15"/>
  <c r="P20" i="15"/>
  <c r="M20" i="15"/>
  <c r="J20" i="15"/>
  <c r="H20" i="15"/>
  <c r="C20" i="15"/>
  <c r="P19" i="15"/>
  <c r="M19" i="15"/>
  <c r="J19" i="15"/>
  <c r="P18" i="15"/>
  <c r="M18" i="15"/>
  <c r="J18" i="15"/>
  <c r="C18" i="15"/>
  <c r="D17" i="15"/>
  <c r="C17" i="15"/>
  <c r="B17" i="15"/>
  <c r="A17" i="15"/>
  <c r="P16" i="15"/>
  <c r="C16" i="15"/>
  <c r="T15" i="15"/>
  <c r="S15" i="15"/>
  <c r="P15" i="15"/>
  <c r="M15" i="15"/>
  <c r="C15" i="15"/>
  <c r="T14" i="15"/>
  <c r="S14" i="15"/>
  <c r="P14" i="15"/>
  <c r="M14" i="15"/>
  <c r="C14" i="15"/>
  <c r="T13" i="15"/>
  <c r="S13" i="15"/>
  <c r="P13" i="15"/>
  <c r="M13" i="15"/>
  <c r="C13" i="15"/>
  <c r="T12" i="15"/>
  <c r="S12" i="15"/>
  <c r="P12" i="15"/>
  <c r="M12" i="15"/>
  <c r="C12" i="15"/>
  <c r="T11" i="15"/>
  <c r="S11" i="15"/>
  <c r="P11" i="15"/>
  <c r="C11" i="15"/>
  <c r="P10" i="15"/>
  <c r="J10" i="15"/>
  <c r="P9" i="15"/>
  <c r="M9" i="15"/>
  <c r="C9" i="15"/>
  <c r="P8" i="15"/>
  <c r="C8" i="15"/>
  <c r="H4" i="15"/>
  <c r="J10" i="14"/>
  <c r="H8" i="14"/>
  <c r="F10" i="14" s="1"/>
  <c r="C8" i="14"/>
  <c r="H5" i="14"/>
  <c r="B28" i="13"/>
  <c r="K27" i="13"/>
  <c r="B27" i="13"/>
  <c r="B26" i="13"/>
  <c r="B25" i="13"/>
  <c r="B24" i="13"/>
  <c r="B23" i="13"/>
  <c r="K21" i="13"/>
  <c r="K20" i="13"/>
  <c r="N17" i="13"/>
  <c r="K17" i="13"/>
  <c r="N16" i="13"/>
  <c r="N15" i="13"/>
  <c r="N14" i="13"/>
  <c r="N13" i="13"/>
  <c r="N12" i="13"/>
  <c r="K11" i="13"/>
  <c r="B7" i="13"/>
  <c r="B6" i="13"/>
  <c r="B4" i="13"/>
  <c r="B3" i="13"/>
  <c r="J44" i="12"/>
  <c r="G44" i="12"/>
  <c r="A41" i="12"/>
  <c r="K38" i="12"/>
  <c r="H38" i="12"/>
  <c r="K36" i="12"/>
  <c r="H36" i="12"/>
  <c r="A36" i="12"/>
  <c r="K33" i="12"/>
  <c r="H33" i="12"/>
  <c r="K32" i="12"/>
  <c r="H32" i="12"/>
  <c r="K26" i="12"/>
  <c r="K23" i="12"/>
  <c r="G23" i="12"/>
  <c r="K21" i="12"/>
  <c r="H21" i="12"/>
  <c r="K20" i="12"/>
  <c r="H20" i="12"/>
  <c r="K19" i="12"/>
  <c r="H19" i="12"/>
  <c r="K18" i="12"/>
  <c r="H18" i="12"/>
  <c r="K14" i="12"/>
  <c r="H14" i="12"/>
  <c r="L11" i="12"/>
  <c r="I11" i="12"/>
  <c r="L7" i="12"/>
  <c r="I7" i="12"/>
  <c r="J38" i="11"/>
  <c r="G38" i="11"/>
  <c r="K32" i="11"/>
  <c r="H32" i="11"/>
  <c r="K27" i="11"/>
  <c r="H27" i="11"/>
  <c r="K26" i="11"/>
  <c r="H26" i="11"/>
  <c r="K21" i="11"/>
  <c r="K17" i="11"/>
  <c r="H17" i="11"/>
  <c r="K16" i="11"/>
  <c r="H16" i="11"/>
  <c r="K15" i="11"/>
  <c r="H15" i="11"/>
  <c r="K14" i="11"/>
  <c r="H14" i="11"/>
  <c r="K12" i="11"/>
  <c r="H12" i="11"/>
  <c r="L9" i="11"/>
  <c r="I9" i="11"/>
  <c r="L7" i="11"/>
  <c r="I7" i="11"/>
  <c r="J39" i="10"/>
  <c r="G39" i="10"/>
  <c r="E37" i="10"/>
  <c r="A37" i="10"/>
  <c r="K34" i="10"/>
  <c r="H34" i="10"/>
  <c r="K31" i="10"/>
  <c r="H31" i="10"/>
  <c r="K28" i="10"/>
  <c r="H28" i="10"/>
  <c r="K26" i="10"/>
  <c r="H26" i="10"/>
  <c r="K23" i="10"/>
  <c r="H23" i="10"/>
  <c r="K20" i="10"/>
  <c r="H20" i="10"/>
  <c r="J19" i="10"/>
  <c r="G19" i="10"/>
  <c r="K17" i="10"/>
  <c r="H17" i="10"/>
  <c r="K16" i="10"/>
  <c r="H16" i="10"/>
  <c r="L13" i="10"/>
  <c r="I13" i="10"/>
  <c r="L12" i="10"/>
  <c r="I12" i="10"/>
  <c r="F12" i="10"/>
  <c r="L11" i="10"/>
  <c r="I11" i="10"/>
  <c r="F11" i="10"/>
  <c r="L10" i="10"/>
  <c r="I10" i="10"/>
  <c r="F10" i="10"/>
  <c r="L9" i="10"/>
  <c r="I9" i="10"/>
  <c r="F9" i="10"/>
  <c r="L8" i="10"/>
  <c r="I8" i="10"/>
  <c r="F8" i="10"/>
  <c r="L7" i="10"/>
  <c r="I7" i="10"/>
  <c r="F7" i="10"/>
  <c r="J30" i="9"/>
  <c r="G30" i="9"/>
  <c r="K25" i="9"/>
  <c r="H25" i="9"/>
  <c r="K21" i="9"/>
  <c r="H21" i="9"/>
  <c r="K17" i="9"/>
  <c r="J14" i="9"/>
  <c r="G14" i="9"/>
  <c r="K12" i="9"/>
  <c r="H12" i="9"/>
  <c r="L8" i="9"/>
  <c r="I8" i="9"/>
  <c r="L7" i="9"/>
  <c r="I7" i="9"/>
  <c r="F7" i="9"/>
  <c r="J44" i="8"/>
  <c r="G44" i="8"/>
  <c r="K38" i="8"/>
  <c r="H38" i="8"/>
  <c r="K33" i="8"/>
  <c r="H33" i="8"/>
  <c r="K32" i="8"/>
  <c r="H32" i="8"/>
  <c r="K26" i="8"/>
  <c r="K21" i="8"/>
  <c r="H21" i="8"/>
  <c r="K20" i="8"/>
  <c r="H20" i="8"/>
  <c r="K19" i="8"/>
  <c r="H19" i="8"/>
  <c r="K18" i="8"/>
  <c r="H18" i="8"/>
  <c r="K14" i="8"/>
  <c r="H14" i="8"/>
  <c r="L11" i="8"/>
  <c r="I11" i="8"/>
  <c r="L7" i="8"/>
  <c r="I7" i="8"/>
  <c r="G16" i="6"/>
  <c r="G15" i="6"/>
  <c r="G14" i="6"/>
  <c r="G13" i="6"/>
  <c r="G12" i="6"/>
  <c r="G11" i="6"/>
  <c r="G23" i="5"/>
  <c r="G22" i="5"/>
  <c r="G21" i="5"/>
  <c r="G20" i="5"/>
  <c r="G19" i="5"/>
  <c r="G18" i="5"/>
  <c r="G17" i="5"/>
  <c r="G16" i="5"/>
  <c r="G15" i="5"/>
  <c r="G14" i="5"/>
  <c r="G13" i="5"/>
  <c r="G12" i="5"/>
  <c r="F12" i="5"/>
  <c r="G11" i="5"/>
  <c r="F11" i="5"/>
  <c r="G19" i="4"/>
  <c r="G18" i="4"/>
  <c r="G17" i="4"/>
  <c r="G16" i="4"/>
  <c r="G15" i="4"/>
  <c r="G14" i="4"/>
  <c r="G13" i="4"/>
  <c r="G12" i="4"/>
  <c r="G11" i="4"/>
  <c r="G17" i="3"/>
  <c r="G16" i="3"/>
  <c r="G15" i="3"/>
  <c r="G14" i="3"/>
  <c r="G13" i="3"/>
  <c r="G12" i="3"/>
  <c r="G11" i="3"/>
  <c r="G18" i="2"/>
  <c r="G17" i="2"/>
  <c r="G16" i="2"/>
  <c r="G15" i="2"/>
  <c r="G14" i="2"/>
  <c r="G13" i="2"/>
  <c r="G12" i="2"/>
  <c r="G11" i="2"/>
  <c r="L17" i="1"/>
  <c r="L16" i="1"/>
  <c r="G16" i="1"/>
  <c r="L15" i="1"/>
  <c r="G15" i="1"/>
  <c r="L14" i="1"/>
  <c r="G14" i="1"/>
  <c r="L13" i="1"/>
  <c r="G13" i="1"/>
  <c r="L12" i="1"/>
  <c r="G12" i="1"/>
  <c r="L11" i="1"/>
  <c r="G11" i="1"/>
  <c r="V65" i="18" l="1"/>
  <c r="U65" i="18" s="1"/>
  <c r="V66" i="18"/>
  <c r="U66" i="18" s="1"/>
  <c r="V64" i="18"/>
  <c r="V62" i="18"/>
  <c r="O39" i="21"/>
  <c r="O41" i="21"/>
  <c r="T61" i="18"/>
  <c r="R143" i="18"/>
  <c r="Y143" i="18" s="1"/>
  <c r="Q143" i="18"/>
  <c r="V143" i="18" s="1"/>
  <c r="O59" i="21"/>
  <c r="O61" i="21"/>
  <c r="O65" i="21"/>
  <c r="O32" i="21"/>
  <c r="R56" i="18"/>
  <c r="T56" i="18" s="1"/>
  <c r="T49" i="18"/>
  <c r="X49" i="18"/>
  <c r="R122" i="18"/>
  <c r="Y122" i="18" s="1"/>
  <c r="R85" i="18"/>
  <c r="R24" i="18"/>
  <c r="U24" i="18" s="1"/>
  <c r="R64" i="18"/>
  <c r="R72" i="18"/>
  <c r="R81" i="18"/>
  <c r="R102" i="18"/>
  <c r="T102" i="18" s="1"/>
  <c r="R89" i="18"/>
  <c r="R19" i="18"/>
  <c r="U19" i="18" s="1"/>
  <c r="R61" i="18"/>
  <c r="R20" i="18"/>
  <c r="U20" i="18" s="1"/>
  <c r="R28" i="18"/>
  <c r="U28" i="18" s="1"/>
  <c r="R12" i="18"/>
  <c r="U12" i="18" s="1"/>
  <c r="R15" i="18"/>
  <c r="U15" i="18" s="1"/>
  <c r="X65" i="18"/>
  <c r="R35" i="18"/>
  <c r="R116" i="18"/>
  <c r="R79" i="18"/>
  <c r="R62" i="18"/>
  <c r="X66" i="18"/>
  <c r="R58" i="18"/>
  <c r="U62" i="18"/>
  <c r="R13" i="18"/>
  <c r="U13" i="18" s="1"/>
  <c r="R70" i="18"/>
  <c r="R76" i="18"/>
  <c r="R91" i="18"/>
  <c r="R95" i="18"/>
  <c r="R14" i="18"/>
  <c r="U14" i="18" s="1"/>
  <c r="R60" i="18"/>
  <c r="N30" i="15" s="1"/>
  <c r="D30" i="15" s="1"/>
  <c r="R109" i="18"/>
  <c r="T109" i="18" s="1"/>
  <c r="X60" i="18"/>
  <c r="R65" i="18"/>
  <c r="N35" i="15" s="1"/>
  <c r="D35" i="15" s="1"/>
  <c r="X71" i="18"/>
  <c r="R33" i="18"/>
  <c r="X131" i="18"/>
  <c r="R131" i="18"/>
  <c r="N78" i="15" s="1"/>
  <c r="Y112" i="18"/>
  <c r="Y132" i="18"/>
  <c r="Y118" i="18"/>
  <c r="X52" i="18"/>
  <c r="R52" i="18"/>
  <c r="U56" i="18"/>
  <c r="N32" i="15"/>
  <c r="D32" i="15" s="1"/>
  <c r="Y126" i="18"/>
  <c r="N36" i="15"/>
  <c r="D36" i="15" s="1"/>
  <c r="N10" i="15"/>
  <c r="O10" i="15" s="1"/>
  <c r="U17" i="18"/>
  <c r="Y114" i="18"/>
  <c r="Y121" i="18"/>
  <c r="Y140" i="18"/>
  <c r="Y146" i="18"/>
  <c r="U58" i="18"/>
  <c r="Y141" i="18"/>
  <c r="Y147" i="18"/>
  <c r="R136" i="18"/>
  <c r="T136" i="18" s="1"/>
  <c r="R48" i="18"/>
  <c r="Y120" i="18"/>
  <c r="Y124" i="18"/>
  <c r="N34" i="15"/>
  <c r="D34" i="15" s="1"/>
  <c r="Y148" i="18"/>
  <c r="N31" i="15"/>
  <c r="D31" i="15" s="1"/>
  <c r="Y129" i="18"/>
  <c r="Y123" i="18"/>
  <c r="X51" i="18"/>
  <c r="R51" i="18"/>
  <c r="Y130" i="18"/>
  <c r="N31" i="18"/>
  <c r="U64" i="18"/>
  <c r="R111" i="18"/>
  <c r="R133" i="18"/>
  <c r="K44" i="21"/>
  <c r="O44" i="21" s="1"/>
  <c r="O28" i="21"/>
  <c r="O26" i="21" s="1"/>
  <c r="N37" i="18" s="1"/>
  <c r="K47" i="21"/>
  <c r="O47" i="21" s="1"/>
  <c r="K45" i="21"/>
  <c r="O45" i="21" s="1"/>
  <c r="K43" i="21"/>
  <c r="O43" i="21" s="1"/>
  <c r="O54" i="21"/>
  <c r="O52" i="21" s="1"/>
  <c r="N45" i="18" s="1"/>
  <c r="A9" i="28"/>
  <c r="B9" i="28" s="1"/>
  <c r="K9" i="28" s="1"/>
  <c r="B11" i="25"/>
  <c r="J11" i="25" s="1"/>
  <c r="B9" i="25"/>
  <c r="J9" i="25" s="1"/>
  <c r="A15" i="28"/>
  <c r="B8" i="25"/>
  <c r="J8" i="25" s="1"/>
  <c r="C4" i="27"/>
  <c r="D4" i="26"/>
  <c r="C4" i="24"/>
  <c r="N75" i="15" l="1"/>
  <c r="O75" i="15" s="1"/>
  <c r="D75" i="15" s="1"/>
  <c r="O35" i="21"/>
  <c r="N41" i="18" s="1"/>
  <c r="R41" i="18" s="1"/>
  <c r="N27" i="15"/>
  <c r="T143" i="18"/>
  <c r="R31" i="18"/>
  <c r="Q31" i="18"/>
  <c r="R45" i="18"/>
  <c r="N20" i="15" s="1"/>
  <c r="Q45" i="18"/>
  <c r="V45" i="18" s="1"/>
  <c r="U45" i="18" s="1"/>
  <c r="N28" i="15"/>
  <c r="O28" i="15" s="1"/>
  <c r="D28" i="15" s="1"/>
  <c r="T58" i="18"/>
  <c r="N74" i="15"/>
  <c r="O74" i="15" s="1"/>
  <c r="D74" i="15" s="1"/>
  <c r="T95" i="18"/>
  <c r="R37" i="18"/>
  <c r="N15" i="15" s="1"/>
  <c r="Q37" i="18"/>
  <c r="V37" i="18" s="1"/>
  <c r="U37" i="18" s="1"/>
  <c r="N81" i="15"/>
  <c r="O81" i="15" s="1"/>
  <c r="D81" i="15" s="1"/>
  <c r="R13" i="25"/>
  <c r="T13" i="25" s="1"/>
  <c r="U13" i="25" s="1"/>
  <c r="T33" i="18"/>
  <c r="Y116" i="18"/>
  <c r="T116" i="18"/>
  <c r="N14" i="15"/>
  <c r="T35" i="18"/>
  <c r="O57" i="21"/>
  <c r="N47" i="18" s="1"/>
  <c r="N76" i="15"/>
  <c r="O76" i="15" s="1"/>
  <c r="D76" i="15" s="1"/>
  <c r="Y109" i="18"/>
  <c r="U48" i="18"/>
  <c r="T48" i="18"/>
  <c r="U35" i="18"/>
  <c r="R14" i="25"/>
  <c r="T14" i="25" s="1"/>
  <c r="U14" i="25" s="1"/>
  <c r="F13" i="46"/>
  <c r="L13" i="46" s="1"/>
  <c r="N13" i="15"/>
  <c r="O13" i="15" s="1"/>
  <c r="D13" i="15" s="1"/>
  <c r="N77" i="15"/>
  <c r="O77" i="15" s="1"/>
  <c r="D77" i="15" s="1"/>
  <c r="F15" i="19"/>
  <c r="J15" i="19" s="1"/>
  <c r="U33" i="18"/>
  <c r="W148" i="18"/>
  <c r="F7" i="46"/>
  <c r="K7" i="46" s="1"/>
  <c r="F13" i="19"/>
  <c r="I13" i="19" s="1"/>
  <c r="I7" i="19"/>
  <c r="Z10" i="18"/>
  <c r="AA10" i="18" s="1"/>
  <c r="N9" i="15"/>
  <c r="N8" i="15" s="1"/>
  <c r="W15" i="18"/>
  <c r="W17" i="18" s="1"/>
  <c r="W11" i="18"/>
  <c r="W12" i="18" s="1"/>
  <c r="S64" i="18"/>
  <c r="Y64" i="18"/>
  <c r="O78" i="15"/>
  <c r="D78" i="15" s="1"/>
  <c r="N12" i="15"/>
  <c r="Y66" i="18"/>
  <c r="S66" i="18"/>
  <c r="Y62" i="18"/>
  <c r="S62" i="18"/>
  <c r="O42" i="21"/>
  <c r="N43" i="18" s="1"/>
  <c r="Y131" i="18"/>
  <c r="O27" i="15"/>
  <c r="D27" i="15" s="1"/>
  <c r="N23" i="15"/>
  <c r="D23" i="15" s="1"/>
  <c r="Y133" i="18"/>
  <c r="N24" i="15"/>
  <c r="D24" i="15" s="1"/>
  <c r="Y60" i="18"/>
  <c r="S60" i="18"/>
  <c r="Y65" i="18"/>
  <c r="Y111" i="18"/>
  <c r="Y61" i="18"/>
  <c r="S61" i="18"/>
  <c r="R15" i="25"/>
  <c r="Y136" i="18"/>
  <c r="N80" i="15"/>
  <c r="A10" i="28"/>
  <c r="B10" i="28" s="1"/>
  <c r="A16" i="28"/>
  <c r="Q41" i="18" l="1"/>
  <c r="V41" i="18" s="1"/>
  <c r="U41" i="18" s="1"/>
  <c r="G13" i="19"/>
  <c r="H13" i="19"/>
  <c r="L13" i="19"/>
  <c r="K13" i="19"/>
  <c r="G13" i="46"/>
  <c r="O14" i="15"/>
  <c r="D14" i="15" s="1"/>
  <c r="O100" i="21"/>
  <c r="I13" i="46"/>
  <c r="J13" i="46"/>
  <c r="K13" i="46"/>
  <c r="D14" i="25"/>
  <c r="T31" i="18"/>
  <c r="O98" i="21"/>
  <c r="J13" i="19"/>
  <c r="R12" i="25"/>
  <c r="T12" i="25" s="1"/>
  <c r="U12" i="25" s="1"/>
  <c r="J9" i="19"/>
  <c r="N18" i="15"/>
  <c r="O18" i="15" s="1"/>
  <c r="D18" i="15" s="1"/>
  <c r="T37" i="18"/>
  <c r="D13" i="25"/>
  <c r="Q47" i="18"/>
  <c r="V47" i="18" s="1"/>
  <c r="U47" i="18" s="1"/>
  <c r="R47" i="18"/>
  <c r="T45" i="18"/>
  <c r="V31" i="18"/>
  <c r="U31" i="18" s="1"/>
  <c r="R43" i="18"/>
  <c r="Q43" i="18"/>
  <c r="V43" i="18" s="1"/>
  <c r="G15" i="19"/>
  <c r="H15" i="19"/>
  <c r="K15" i="19"/>
  <c r="L15" i="19"/>
  <c r="G7" i="19"/>
  <c r="L7" i="19"/>
  <c r="J7" i="19"/>
  <c r="K7" i="19"/>
  <c r="L7" i="46"/>
  <c r="S65" i="18"/>
  <c r="O9" i="15"/>
  <c r="O8" i="15" s="1"/>
  <c r="D8" i="15" s="1"/>
  <c r="H13" i="46"/>
  <c r="G7" i="46"/>
  <c r="H7" i="46"/>
  <c r="I7" i="46"/>
  <c r="H7" i="19"/>
  <c r="J7" i="46"/>
  <c r="I15" i="19"/>
  <c r="F15" i="46"/>
  <c r="K15" i="46" s="1"/>
  <c r="N11" i="15"/>
  <c r="O12" i="15"/>
  <c r="O15" i="15"/>
  <c r="D15" i="15" s="1"/>
  <c r="O20" i="15"/>
  <c r="D20" i="15" s="1"/>
  <c r="D15" i="25"/>
  <c r="T15" i="25"/>
  <c r="U15" i="25" s="1"/>
  <c r="O80" i="15"/>
  <c r="O72" i="15" s="1"/>
  <c r="N72" i="15"/>
  <c r="A11" i="28"/>
  <c r="B14" i="28" s="1"/>
  <c r="A17" i="28"/>
  <c r="D12" i="25" l="1"/>
  <c r="A12" i="25" s="1"/>
  <c r="A13" i="25" s="1"/>
  <c r="F9" i="46"/>
  <c r="K9" i="46" s="1"/>
  <c r="T41" i="18"/>
  <c r="N13" i="19"/>
  <c r="O13" i="19" s="1"/>
  <c r="K9" i="19"/>
  <c r="L9" i="19"/>
  <c r="H9" i="19"/>
  <c r="I9" i="19"/>
  <c r="N13" i="46"/>
  <c r="O13" i="46" s="1"/>
  <c r="V149" i="18"/>
  <c r="D8" i="14" s="1"/>
  <c r="G9" i="19"/>
  <c r="T43" i="18"/>
  <c r="R149" i="18"/>
  <c r="Q149" i="18"/>
  <c r="T47" i="18"/>
  <c r="N21" i="15"/>
  <c r="O21" i="15" s="1"/>
  <c r="D21" i="15" s="1"/>
  <c r="N19" i="15"/>
  <c r="O19" i="15" s="1"/>
  <c r="G15" i="46"/>
  <c r="H15" i="46"/>
  <c r="I15" i="46"/>
  <c r="L15" i="46"/>
  <c r="N15" i="19"/>
  <c r="O15" i="19" s="1"/>
  <c r="J15" i="46"/>
  <c r="D9" i="15"/>
  <c r="D80" i="15"/>
  <c r="O11" i="15"/>
  <c r="D11" i="15" s="1"/>
  <c r="D12" i="15"/>
  <c r="B8" i="15"/>
  <c r="J8" i="15" s="1"/>
  <c r="A8" i="15"/>
  <c r="U43" i="18"/>
  <c r="F11" i="46"/>
  <c r="B16" i="28"/>
  <c r="K16" i="28" s="1"/>
  <c r="B11" i="28"/>
  <c r="K11" i="28" s="1"/>
  <c r="B15" i="28"/>
  <c r="K15" i="28" s="1"/>
  <c r="A18" i="28"/>
  <c r="B17" i="28"/>
  <c r="O16" i="15" l="1"/>
  <c r="H9" i="46"/>
  <c r="J9" i="46"/>
  <c r="I9" i="46"/>
  <c r="G9" i="46"/>
  <c r="N9" i="46" s="1"/>
  <c r="O9" i="46" s="1"/>
  <c r="L9" i="46"/>
  <c r="F17" i="46"/>
  <c r="N9" i="19"/>
  <c r="O9" i="19" s="1"/>
  <c r="Q151" i="18"/>
  <c r="P164" i="18"/>
  <c r="W149" i="18"/>
  <c r="R153" i="18"/>
  <c r="P89" i="25"/>
  <c r="P90" i="25" s="1"/>
  <c r="P92" i="25" s="1"/>
  <c r="F40" i="17"/>
  <c r="P89" i="15"/>
  <c r="P90" i="15" s="1"/>
  <c r="P92" i="15" s="1"/>
  <c r="P165" i="18"/>
  <c r="W165" i="18" s="1"/>
  <c r="N83" i="15"/>
  <c r="T149" i="18"/>
  <c r="N16" i="15"/>
  <c r="N82" i="15" s="1"/>
  <c r="D19" i="15"/>
  <c r="N15" i="46"/>
  <c r="O15" i="46" s="1"/>
  <c r="B9" i="15"/>
  <c r="J9" i="15" s="1"/>
  <c r="O82" i="15"/>
  <c r="B12" i="25"/>
  <c r="J12" i="25" s="1"/>
  <c r="A14" i="25"/>
  <c r="B13" i="25"/>
  <c r="J13" i="25" s="1"/>
  <c r="A11" i="15"/>
  <c r="A12" i="15" s="1"/>
  <c r="A13" i="15" s="1"/>
  <c r="B11" i="15"/>
  <c r="J11" i="15" s="1"/>
  <c r="L11" i="46"/>
  <c r="L19" i="46" s="1"/>
  <c r="K11" i="46"/>
  <c r="K19" i="46" s="1"/>
  <c r="J11" i="46"/>
  <c r="J19" i="46" s="1"/>
  <c r="I11" i="46"/>
  <c r="I19" i="46" s="1"/>
  <c r="H11" i="46"/>
  <c r="G11" i="46"/>
  <c r="G19" i="46" s="1"/>
  <c r="G21" i="46" s="1"/>
  <c r="L11" i="19"/>
  <c r="L19" i="19" s="1"/>
  <c r="K11" i="19"/>
  <c r="K19" i="19" s="1"/>
  <c r="J11" i="19"/>
  <c r="J19" i="19" s="1"/>
  <c r="I11" i="19"/>
  <c r="I19" i="19" s="1"/>
  <c r="H11" i="19"/>
  <c r="H19" i="19" s="1"/>
  <c r="G11" i="19"/>
  <c r="F17" i="19"/>
  <c r="A19" i="28"/>
  <c r="B18" i="28"/>
  <c r="K18" i="28" s="1"/>
  <c r="I18" i="46" l="1"/>
  <c r="L18" i="46"/>
  <c r="H19" i="46"/>
  <c r="H18" i="46" s="1"/>
  <c r="J18" i="46"/>
  <c r="K18" i="46"/>
  <c r="U152" i="18"/>
  <c r="E8" i="14"/>
  <c r="U154" i="18"/>
  <c r="N11" i="46"/>
  <c r="O11" i="46" s="1"/>
  <c r="H18" i="19"/>
  <c r="L18" i="19"/>
  <c r="K18" i="19"/>
  <c r="J18" i="19"/>
  <c r="I18" i="19"/>
  <c r="N11" i="19"/>
  <c r="O11" i="19" s="1"/>
  <c r="G19" i="19"/>
  <c r="G21" i="19" s="1"/>
  <c r="H21" i="19" s="1"/>
  <c r="I21" i="19" s="1"/>
  <c r="J21" i="19" s="1"/>
  <c r="K21" i="19" s="1"/>
  <c r="L21" i="19" s="1"/>
  <c r="A14" i="15"/>
  <c r="B13" i="15"/>
  <c r="J13" i="15" s="1"/>
  <c r="H21" i="46"/>
  <c r="I21" i="46" s="1"/>
  <c r="J21" i="46" s="1"/>
  <c r="K21" i="46" s="1"/>
  <c r="L21" i="46" s="1"/>
  <c r="G18" i="46"/>
  <c r="G20" i="46" s="1"/>
  <c r="H20" i="46" s="1"/>
  <c r="I20" i="46" s="1"/>
  <c r="J20" i="46" s="1"/>
  <c r="K20" i="46" s="1"/>
  <c r="L20" i="46" s="1"/>
  <c r="B14" i="25"/>
  <c r="J14" i="25" s="1"/>
  <c r="A15" i="25"/>
  <c r="B15" i="25" s="1"/>
  <c r="J15" i="25" s="1"/>
  <c r="B12" i="15"/>
  <c r="J12" i="15" s="1"/>
  <c r="B19" i="28"/>
  <c r="K19" i="28" s="1"/>
  <c r="A20" i="28"/>
  <c r="F13" i="14" l="1"/>
  <c r="B14" i="15"/>
  <c r="J14" i="15" s="1"/>
  <c r="A15" i="15"/>
  <c r="B15" i="15" s="1"/>
  <c r="J15" i="15" s="1"/>
  <c r="G18" i="19"/>
  <c r="G20" i="19" s="1"/>
  <c r="H20" i="19" s="1"/>
  <c r="I20" i="19" s="1"/>
  <c r="J20" i="19" s="1"/>
  <c r="K20" i="19" s="1"/>
  <c r="L20" i="19" s="1"/>
  <c r="B20" i="28"/>
  <c r="K20" i="28" s="1"/>
  <c r="A21" i="28"/>
  <c r="B21" i="28" s="1"/>
  <c r="K21" i="28" s="1"/>
  <c r="G7" i="14" l="1"/>
  <c r="F7" i="14"/>
  <c r="G13"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M11" authorId="0" shapeId="0" xr:uid="{5DDC533D-6475-4D5D-9349-D3AB94DB5B92}">
      <text>
        <r>
          <rPr>
            <b/>
            <sz val="9"/>
            <color indexed="81"/>
            <rFont val="Segoe UI"/>
            <family val="2"/>
          </rPr>
          <t>pc:</t>
        </r>
        <r>
          <rPr>
            <sz val="9"/>
            <color indexed="81"/>
            <rFont val="Segoe UI"/>
            <family val="2"/>
          </rPr>
          <t xml:space="preserve">
=0,3257000*0,5000</t>
        </r>
      </text>
    </comment>
  </commentList>
</comments>
</file>

<file path=xl/sharedStrings.xml><?xml version="1.0" encoding="utf-8"?>
<sst xmlns="http://schemas.openxmlformats.org/spreadsheetml/2006/main" count="10000" uniqueCount="2983">
  <si>
    <t>OBRA:</t>
  </si>
  <si>
    <t>SINAPI</t>
  </si>
  <si>
    <t>LOCAL:</t>
  </si>
  <si>
    <t>XXXXXXXXXXXXXXXXXXXXXXX</t>
  </si>
  <si>
    <t>I-SINAPI</t>
  </si>
  <si>
    <t>PROPR.:</t>
  </si>
  <si>
    <t>SICRO-SERVIÇOS</t>
  </si>
  <si>
    <t>DATA:</t>
  </si>
  <si>
    <t>SICRO-EQUIPAMENTOS</t>
  </si>
  <si>
    <t>SICRO-MÃO-DE-OBRA</t>
  </si>
  <si>
    <t>CÓDIGO:</t>
  </si>
  <si>
    <t>SERVIÇO:</t>
  </si>
  <si>
    <t>UNIDADE:</t>
  </si>
  <si>
    <t>SICRO-MATERIAIS</t>
  </si>
  <si>
    <t>CPAV001</t>
  </si>
  <si>
    <t xml:space="preserve">ADMINISTRAÇÃO LOCAL </t>
  </si>
  <si>
    <t>UN</t>
  </si>
  <si>
    <t>ANP</t>
  </si>
  <si>
    <t xml:space="preserve">CÓDIGO REFERÊNCIA: </t>
  </si>
  <si>
    <t>0000/0</t>
  </si>
  <si>
    <t>COMPOSIÇÃO</t>
  </si>
  <si>
    <t>TIPO</t>
  </si>
  <si>
    <t>Mão de obra</t>
  </si>
  <si>
    <t>Horas/  Dia</t>
  </si>
  <si>
    <t>Dias/  Mês</t>
  </si>
  <si>
    <t>Meses</t>
  </si>
  <si>
    <t>Total  Horas</t>
  </si>
  <si>
    <t>Unidade</t>
  </si>
  <si>
    <t>Custo</t>
  </si>
  <si>
    <t>Horário</t>
  </si>
  <si>
    <t>Total</t>
  </si>
  <si>
    <t>CUSTO UNITÁRIO TOTAL  :</t>
  </si>
  <si>
    <t>FORNECIMENTO E INSTALAÇÃO DE PLACA DE OBRA COM CHAPA GALVANIZADA E ESTRUTURA DE MADEIRA. AF_03/2022_PS</t>
  </si>
  <si>
    <t>M2</t>
  </si>
  <si>
    <t>CÓDIGO</t>
  </si>
  <si>
    <t>UNIDADE</t>
  </si>
  <si>
    <t>COEFICIENTE</t>
  </si>
  <si>
    <t>DETALHAMENTO DE PLACA DE OBRA</t>
  </si>
  <si>
    <t>A medida indicada para confecção desta placa é de 5x2,5m.</t>
  </si>
  <si>
    <t>A medida indicada para confecção desta placa é de 2,5X1,25m.</t>
  </si>
  <si>
    <t>Usar sempre a família de fontes Uni Neue para confeccção das placas.</t>
  </si>
  <si>
    <t>C100 m M 90 Y 00 K 20</t>
  </si>
  <si>
    <t>* De acordo com o Manual de Placas SINFRA</t>
  </si>
  <si>
    <t>FORNECIMENTO E INSTALAÇÃO DE SUPORTE DE MADEIRA  PARA PLACAS DE SINALIZAÇÃO, EM SOLO, COM H= DE 2,5 M E SEÇÃO DE 7,5 X 7,5 CM. AF_03/2022</t>
  </si>
  <si>
    <t>3,6300000</t>
  </si>
  <si>
    <t>0,2138000</t>
  </si>
  <si>
    <t>0,6413000</t>
  </si>
  <si>
    <t>0,9900000</t>
  </si>
  <si>
    <t>0,0224000</t>
  </si>
  <si>
    <t>EXECUÇÃO DE IMPRIMAÇÃO COM ASFALTO DILUÍDO CM30. AF_11/2019</t>
  </si>
  <si>
    <t>CPAV004</t>
  </si>
  <si>
    <t>102470  - SINAPI - Caderno Técnico do Serviço - Aterros, Bases, Sub bases e Imprimações (09/2022)</t>
  </si>
  <si>
    <t>ASFALTO DILUIDO DE PETROLEO CM-30</t>
  </si>
  <si>
    <t>KG</t>
  </si>
  <si>
    <t xml:space="preserve">CUSTO UNITÁRIO TOTAL = </t>
  </si>
  <si>
    <t>PAVIMENTO COM TRATAMENTO SUPERFICIAL DUPLO, COM EMULSÃO ASFÁLTICA RR-2C. AF_01/2020</t>
  </si>
  <si>
    <t>CPAV005-1</t>
  </si>
  <si>
    <t>104389  - SINAPI - Caderno Técnico do Serviço - Tratamentos Superficiais (09/2022)</t>
  </si>
  <si>
    <t>COTAÇÃO</t>
  </si>
  <si>
    <t>PEDRA BRITADA N. 0, OU PEDRISCO (4,8 A 9,5 MM) POSTO PEDREIRA/FORNECEDOR, SEM FRETE</t>
  </si>
  <si>
    <t xml:space="preserve">M3    </t>
  </si>
  <si>
    <t>PEDRA BRITADA N. 1 (9,5 a 19 MM) POSTO PEDREIRA/FORNECEDOR, SEM FRETE</t>
  </si>
  <si>
    <t>EMULSAO ASFALTICA CATIONICA RR-2C PARA USO EM PAVIMENTACAO ASFALTICA</t>
  </si>
  <si>
    <t>FORNECIMENTO E INSTALAÇÃO DE ACESSIBILIDADE COM PISO TÁTIL ALERTA E DIRECIONAL40X40 CM EM PASSEIO PÚBLICO</t>
  </si>
  <si>
    <t>CPAV006</t>
  </si>
  <si>
    <t>12039 ORSE JANEIRO/2024</t>
  </si>
  <si>
    <t>ORIGEM</t>
  </si>
  <si>
    <t>CUIABÁ</t>
  </si>
  <si>
    <t>DMT                                                     (km)</t>
  </si>
  <si>
    <t>PAVIMENTADO</t>
  </si>
  <si>
    <t>CPAV009</t>
  </si>
  <si>
    <t>MOBILIZAÇÃO E DESMOBILIZAÇÃO</t>
  </si>
  <si>
    <t>DESTINO</t>
  </si>
  <si>
    <t>ARIPUANÃ</t>
  </si>
  <si>
    <t>REVESTIMENTO PRIMÁRIO</t>
  </si>
  <si>
    <t>EQUIPAMENTOS DE GRANDE PORTE</t>
  </si>
  <si>
    <t>VIAGENS (K)</t>
  </si>
  <si>
    <t>NÃO PAVIMENTADO</t>
  </si>
  <si>
    <t>QUANT.</t>
  </si>
  <si>
    <t>FU</t>
  </si>
  <si>
    <t>VALOR UNITÁRIO (CH)</t>
  </si>
  <si>
    <t>VALOR TOTAL</t>
  </si>
  <si>
    <t>TRANSPORTADOR</t>
  </si>
  <si>
    <t>DISTÂNCIA (DM)</t>
  </si>
  <si>
    <t>VELOCIDADE (V)</t>
  </si>
  <si>
    <t>E9685</t>
  </si>
  <si>
    <t>E9666</t>
  </si>
  <si>
    <t>CAVALO MECÂNICO COM SEMIRREBOQUE COM CAPACIDADE DE 30 T - 265 KW</t>
  </si>
  <si>
    <t>E9762</t>
  </si>
  <si>
    <t>E9511</t>
  </si>
  <si>
    <t>E9665</t>
  </si>
  <si>
    <t>CAVALO MECÂNICO COM SEMIRREBOQUE COM CAPACIDADE DE 22 T - 240 KW</t>
  </si>
  <si>
    <t>E9577</t>
  </si>
  <si>
    <t>E9524</t>
  </si>
  <si>
    <t>E9558</t>
  </si>
  <si>
    <t>E9515</t>
  </si>
  <si>
    <t>CONDUÇÃO PRÓPRIA</t>
  </si>
  <si>
    <t>CONDUÇÃO POR CONTA PRÓPRIA</t>
  </si>
  <si>
    <t>TOTAL MOBILIZAÇÃO E DESMOBILIZAÇÃO</t>
  </si>
  <si>
    <t xml:space="preserve">TOTAL MOBILIZAÇÃO </t>
  </si>
  <si>
    <t>TOTAL DESMOBILIZAÇÃO</t>
  </si>
  <si>
    <t>FÓRMULA</t>
  </si>
  <si>
    <t xml:space="preserve">• CMob representa o custo de mobilização; </t>
  </si>
  <si>
    <t>• DM representa a distância de mobilização, em quilômetros (km) ou em milhas náuticas (mi)</t>
  </si>
  <si>
    <t xml:space="preserve">• K representa o fator relacionado à necessidade de retorno do veículo a sua origem; </t>
  </si>
  <si>
    <t xml:space="preserve">• FU representa o fator de utilização do veículo transportador; </t>
  </si>
  <si>
    <t xml:space="preserve">• V representa a velocidade média de transporte, em km/h ou nós; </t>
  </si>
  <si>
    <t xml:space="preserve">• CH representa o custo horário do veículo transportador. </t>
  </si>
  <si>
    <t xml:space="preserve">• O fator K será igual a 1 quando o veículo não retornar e 2 quando o veículo transportador retornar ao local de origem. </t>
  </si>
  <si>
    <t>• O fator FU representa o inverso do número de equipamentos a serem transportados nos diferentes veículos transportadores.</t>
  </si>
  <si>
    <t>PLANILHA PARA COMPOSIÇÃO DE CUSTO UNITÁRIO</t>
  </si>
  <si>
    <t>SISTEMA DE CUSTOS REFERENCIAIS DE OBRAS - SICRO</t>
  </si>
  <si>
    <t xml:space="preserve">ESTADO: </t>
  </si>
  <si>
    <t>MATO GROSSO</t>
  </si>
  <si>
    <t>FIC</t>
  </si>
  <si>
    <t>CPAV010</t>
  </si>
  <si>
    <t>ESCAVAÇÃO E CARGA DE MATERIAL COM ESCAVADEIRA HIDRÁULICA DE 1,56 M³</t>
  </si>
  <si>
    <t>Prod. Equipe:</t>
  </si>
  <si>
    <t>M³</t>
  </si>
  <si>
    <t>A</t>
  </si>
  <si>
    <t>Equipamentos</t>
  </si>
  <si>
    <t>Quant.</t>
  </si>
  <si>
    <t>Utilização</t>
  </si>
  <si>
    <t>SEM DESONERAÇÃO</t>
  </si>
  <si>
    <t>COM DESONERAÇÃO</t>
  </si>
  <si>
    <t>Custo Operacional</t>
  </si>
  <si>
    <t>Operativa</t>
  </si>
  <si>
    <t>Improdutiva</t>
  </si>
  <si>
    <t>Produtivo</t>
  </si>
  <si>
    <t>Improdutivo</t>
  </si>
  <si>
    <t>ESCAVAÇÃO E CARGA DE MATERIAL DE JAZIDA COM ESCAVADEIRA HIDRÁULICA DE 1,56 M³</t>
  </si>
  <si>
    <t>Custo Horário de Equipamentos &gt;&gt;</t>
  </si>
  <si>
    <t>B</t>
  </si>
  <si>
    <t>Mão de Obra</t>
  </si>
  <si>
    <t>Custo Horario</t>
  </si>
  <si>
    <t>Custo Horário Total</t>
  </si>
  <si>
    <t>P9824</t>
  </si>
  <si>
    <t xml:space="preserve">Custo Horário da Mão de Obra &gt;&gt;  </t>
  </si>
  <si>
    <t xml:space="preserve">Custo Horário total de execução &gt;&gt;  </t>
  </si>
  <si>
    <t xml:space="preserve">Custo Unitário de Execução &gt;&gt; </t>
  </si>
  <si>
    <t xml:space="preserve">Custo FIC &gt;&gt; </t>
  </si>
  <si>
    <t>C</t>
  </si>
  <si>
    <t>Material</t>
  </si>
  <si>
    <t>Und</t>
  </si>
  <si>
    <t>Preço Unitário</t>
  </si>
  <si>
    <t>Custo Unitário</t>
  </si>
  <si>
    <t>M0284</t>
  </si>
  <si>
    <t>Custo Total do Material &gt;&gt;</t>
  </si>
  <si>
    <t>D</t>
  </si>
  <si>
    <t>ATIVIDADES AUXILIARES**</t>
  </si>
  <si>
    <t>Custo Unitário Total</t>
  </si>
  <si>
    <t>Custo total de atividades auxiliares &gt;&gt;</t>
  </si>
  <si>
    <t>Subtotal &gt;&gt;</t>
  </si>
  <si>
    <t>E</t>
  </si>
  <si>
    <t>TEMPO FIXO*</t>
  </si>
  <si>
    <t>Código</t>
  </si>
  <si>
    <t xml:space="preserve">Custo total de atividades auxiliares &gt;&gt; </t>
  </si>
  <si>
    <t>F</t>
  </si>
  <si>
    <t>MOMENTO DE TRANSPORTE</t>
  </si>
  <si>
    <t>DMT</t>
  </si>
  <si>
    <t>LN</t>
  </si>
  <si>
    <t>RP</t>
  </si>
  <si>
    <t>P</t>
  </si>
  <si>
    <t xml:space="preserve">CUSTO UNITÁRIO DIRETO TOTAL  &gt;&gt;  </t>
  </si>
  <si>
    <t>NOTA: COMPOSIÇÃO DE REFERENCIA SICRO 4016096 - ESCAVAÇÃO E CARGA DE MATERIAL DE JAZIDA COM ESCAVADEIRA HIDRÁULICA DE 1,56 M³</t>
  </si>
  <si>
    <t>E9579</t>
  </si>
  <si>
    <t>Foram compostos os custos COM DESONERAÇÃO através do "Relatório Sintético de Equipamentos - Com desoneração" e "Relatório Sintético de Mão de Obra - Com desoneração" constantes na SICRO3</t>
  </si>
  <si>
    <t>E9571</t>
  </si>
  <si>
    <t>E9518</t>
  </si>
  <si>
    <t>TKM</t>
  </si>
  <si>
    <t>* TEMPO FIXO COMPOSTO COM DESONERAÇÃO EM ANEXO</t>
  </si>
  <si>
    <t>** ATIVIDADE AUXILIAR COMPOSTA COM DESONERAÇÃO EM ANEXO</t>
  </si>
  <si>
    <t>E9647</t>
  </si>
  <si>
    <t>M0192</t>
  </si>
  <si>
    <t>ITEM</t>
  </si>
  <si>
    <t>DISCRIMINAÇÃO</t>
  </si>
  <si>
    <t>PERCENTUAL</t>
  </si>
  <si>
    <t>( % )</t>
  </si>
  <si>
    <t>MAX</t>
  </si>
  <si>
    <t>MIN</t>
  </si>
  <si>
    <t>ADMINISTRAÇÃO DA OBRA</t>
  </si>
  <si>
    <t>1.1</t>
  </si>
  <si>
    <r>
      <rPr>
        <b/>
        <sz val="11"/>
        <rFont val="Arial"/>
        <family val="2"/>
      </rPr>
      <t>AC -</t>
    </r>
    <r>
      <rPr>
        <sz val="11"/>
        <rFont val="Arial"/>
        <family val="2"/>
      </rPr>
      <t xml:space="preserve"> Administração Central</t>
    </r>
  </si>
  <si>
    <t>1.2</t>
  </si>
  <si>
    <r>
      <rPr>
        <b/>
        <sz val="11"/>
        <rFont val="Arial"/>
        <family val="2"/>
      </rPr>
      <t>DF -</t>
    </r>
    <r>
      <rPr>
        <sz val="11"/>
        <rFont val="Arial"/>
        <family val="2"/>
      </rPr>
      <t xml:space="preserve"> Custos Financeiras</t>
    </r>
  </si>
  <si>
    <t>1.3</t>
  </si>
  <si>
    <r>
      <rPr>
        <b/>
        <sz val="11"/>
        <rFont val="Arial"/>
        <family val="2"/>
      </rPr>
      <t xml:space="preserve">R - </t>
    </r>
    <r>
      <rPr>
        <sz val="11"/>
        <rFont val="Arial"/>
        <family val="2"/>
      </rPr>
      <t>Riscos</t>
    </r>
  </si>
  <si>
    <t>1.4</t>
  </si>
  <si>
    <r>
      <rPr>
        <b/>
        <sz val="11"/>
        <rFont val="Arial"/>
        <family val="2"/>
      </rPr>
      <t>S + G -</t>
    </r>
    <r>
      <rPr>
        <sz val="11"/>
        <rFont val="Arial"/>
        <family val="2"/>
      </rPr>
      <t xml:space="preserve"> Seguros + Garantias</t>
    </r>
  </si>
  <si>
    <t>2.0</t>
  </si>
  <si>
    <t>LUCRO</t>
  </si>
  <si>
    <t>2.1</t>
  </si>
  <si>
    <r>
      <rPr>
        <b/>
        <sz val="11"/>
        <rFont val="Arial"/>
        <family val="2"/>
      </rPr>
      <t>L -</t>
    </r>
    <r>
      <rPr>
        <sz val="11"/>
        <rFont val="Arial"/>
        <family val="2"/>
      </rPr>
      <t xml:space="preserve"> Lucro Operacional</t>
    </r>
  </si>
  <si>
    <t>3.0</t>
  </si>
  <si>
    <t>TRIBUTOS</t>
  </si>
  <si>
    <t>3.1</t>
  </si>
  <si>
    <t>**ISS</t>
  </si>
  <si>
    <t>3.2</t>
  </si>
  <si>
    <t>COFINS</t>
  </si>
  <si>
    <t>3.3</t>
  </si>
  <si>
    <t>PIS</t>
  </si>
  <si>
    <t>3.4</t>
  </si>
  <si>
    <t>Contribuição Previdenciária - Lei nº 12.546/13</t>
  </si>
  <si>
    <t>**ISS - Repassado pelo município</t>
  </si>
  <si>
    <t>De acordo com o acórdão 2622/2013  TCU- Critérios de aceitabilidade para lucros e despesas indiretas.</t>
  </si>
  <si>
    <t xml:space="preserve">TAXA DE BDI A SER APLICADA SOBRE O CUSTO DIRETO </t>
  </si>
  <si>
    <t>Não incidem IRPJ e CSLL na composição de Tributos.</t>
  </si>
  <si>
    <t>ISS - Repassado pelo município</t>
  </si>
  <si>
    <t>% SOBRE MÃO DE OBRA</t>
  </si>
  <si>
    <t>**Conforme declarado pela prefeitura municipal</t>
  </si>
  <si>
    <t>Etapa</t>
  </si>
  <si>
    <t>Descrição da Meta / Sub-Meta</t>
  </si>
  <si>
    <t>Quantidade (m²)</t>
  </si>
  <si>
    <t>Repasse do Recurso</t>
  </si>
  <si>
    <t>Investimento</t>
  </si>
  <si>
    <t>Meta</t>
  </si>
  <si>
    <t>Sub-Meta</t>
  </si>
  <si>
    <t xml:space="preserve">PAVIMENTAÇÃO </t>
  </si>
  <si>
    <t>EXECUÇÃO DE OBRA DE PAVIMENTAÇÃO E DRENAGEM</t>
  </si>
  <si>
    <t>TOTAL  ETAPA</t>
  </si>
  <si>
    <t>PAVIMENTAÇÃO ASFÁLTICA E DRENAGEM</t>
  </si>
  <si>
    <t>TABELAS DE REFERÊNCIA:</t>
  </si>
  <si>
    <t>SINAPI (JANEIRO/2024)                                 ANP (JANEIRO/2024)                             SICRO (OUTUBRO/2023)</t>
  </si>
  <si>
    <t>DESONERADO</t>
  </si>
  <si>
    <t>SERVIÇO</t>
  </si>
  <si>
    <t>INSUMO</t>
  </si>
  <si>
    <t>RUAS DIVERSAS - BAIRRO JARDIM PLANALTO</t>
  </si>
  <si>
    <t>ENCARGOS SOCIAIS:</t>
  </si>
  <si>
    <t>CAIXA</t>
  </si>
  <si>
    <t>NÃO DESONERADO</t>
  </si>
  <si>
    <t>DIFERENCIADO</t>
  </si>
  <si>
    <t>MUNICÍPIO DE ARIPUANÃ</t>
  </si>
  <si>
    <t>BDI SERVIÇOS:</t>
  </si>
  <si>
    <t>BDI DIFERENCIADO:</t>
  </si>
  <si>
    <t xml:space="preserve"> PLANILHA ORÇAMENTÁRIA - RESUMO</t>
  </si>
  <si>
    <t>BOLETIM</t>
  </si>
  <si>
    <t>BDI</t>
  </si>
  <si>
    <t>DESCRIÇÃO DO SERVIÇO</t>
  </si>
  <si>
    <t>QUANTIDADE</t>
  </si>
  <si>
    <t>TOTAL REPASSE ESTADUAL</t>
  </si>
  <si>
    <t>TOTAL EXECUÇÃO DIRETA</t>
  </si>
  <si>
    <t>TOTAL  DA OBRA</t>
  </si>
  <si>
    <t>PLACA DE OBRA</t>
  </si>
  <si>
    <t>TERRAPLANAGEM</t>
  </si>
  <si>
    <t>PAVIMENTAÇÃO</t>
  </si>
  <si>
    <t>EXECUÇÃO DE PAVIMENTO</t>
  </si>
  <si>
    <t>AQUISIÇÃO DOS PRODUTOS ASFÁLTICOS</t>
  </si>
  <si>
    <t>T</t>
  </si>
  <si>
    <t>TRANSPORTE DE MATERIAIS DE PAVIMENTAÇÃO</t>
  </si>
  <si>
    <t>MATERIAL DA JAZIDA</t>
  </si>
  <si>
    <t>BRITA</t>
  </si>
  <si>
    <t>MATERIAL BETUMINOSO</t>
  </si>
  <si>
    <t>DRENAGEM</t>
  </si>
  <si>
    <t>DRENAGEM SUPERFICIAL</t>
  </si>
  <si>
    <t>GUIA (MEIO-FIO) E SARJETA CONJUGADOS DE CONCRETO, MOLDADA  IN LOCO  EM TRECHO RETO COM EXTRUSORA, 45 CM BASE (15 CM BASE DA GUIA + 30 CM BASE DA SARJETA) X 22 CM ALTURA. AF_06/2016</t>
  </si>
  <si>
    <t>M</t>
  </si>
  <si>
    <t>GUIA (MEIO-FIO) E SARJETA CONJUGADOS DE CONCRETO, MOLDADA  IN LOCO  EM TRECHO CURVO COM EXTRUSORA, 45 CM BASE (15 CM BASE DA GUIA + 30 CM BASE DA SARJETA) X 22 CM ALTURA. AF_06/2016</t>
  </si>
  <si>
    <t>DRENAGEM PROFUNDA</t>
  </si>
  <si>
    <t>ESCAVAÇÃO MECANIZADA DE VALA COM PROF. MAIOR QUE 1,5 M E ATÉ 3,0 M(MÉDIA MONTANTE E JUSANTE/UMA COMPOSIÇÃO POR TRECHO), ESCAVADEIRA (0,8 M3), LARG. MENOR QUE 1,5 M, EM SOLO DE 1A CATEGORIA, LOCAIS COM BAIXO NÍVEL DE INTERFERÊNCIA. AF_02/2021</t>
  </si>
  <si>
    <t>M3</t>
  </si>
  <si>
    <t>REATERRO MECANIZADO DE VALA COM RETROESCAVADEIRA (CAPACIDADE   DA   CAÇAMBA   DA RETRO: 0,26 M³/POTÊNCIA: 88 HP), LARGURA DE 0,8 A 1,5 M, PROFUNDIDADE DE 1,5 A 3,0 M, COM SOLO (SEM SUBSTITUIÇÃO) DE 1ª CATEGORIA, COM COMPACTADOR DE SOLOS DE PERCUSSÃO. AF_08/2023</t>
  </si>
  <si>
    <t>ESCORAMENTO DE VALA, TIPO PONTALETEAMENTO, COM PROFUNDIDADE DE 1,5 A 3,0 M, LARGURA MENOR QUE 1,5 M. AF_08/2020</t>
  </si>
  <si>
    <t>TRANSPORTE COM CAMINHÃO BASCULANTE DE 10 M³, EM VIA URBANA EM REVESTIMENTO PRIMÁRIO (UNIDADE: M3XKM). AF_07/2020</t>
  </si>
  <si>
    <t>M3XKM</t>
  </si>
  <si>
    <t>TRANSPORTE COM CAMINHÃO BASCULANTE DE 10 M³, EM VIA URBANA PAVIMENTADA, DMT ATÉ 30 KM (UNIDADE: M3XKM). AF_07/2020</t>
  </si>
  <si>
    <t>TUBO DE CONCRETO PARA REDES COLETORAS DE ÁGUAS PLUVIAIS, DIÂMETRO DE 400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</si>
  <si>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</si>
  <si>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</si>
  <si>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</si>
  <si>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</si>
  <si>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</si>
  <si>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1,5X1,5 M. AF_12/2020</t>
  </si>
  <si>
    <t>TAMPA CIRCULAR PARA ESGOTO E DRENAGEM, EM FERRO FUNDIDO, DIÂMETRO INTERNO = 0,6 M. AF_12/2020</t>
  </si>
  <si>
    <t>CAIXA COM GRELHA SIMPLES RETANGULAR, EM ALVENARIA COM TIJOLOS CERÂMICOS MACIÇOS, DIMENSÕES INTERNAS: 0,5X1X1 M. AF_12/2020</t>
  </si>
  <si>
    <t>CAIXA COM GRELHA DUPLA RETANGULAR, EM ALVENARIA COM TIJOLOS CERÂMICOS MACIÇOS, DIMENSÕES INTERNAS: 0,5X2,2X1 M. AF_12/2020</t>
  </si>
  <si>
    <t>LASTRO DE AREIA COMERCIAL - ESPALHAMENTO MANUAL</t>
  </si>
  <si>
    <t>DISSIPADOR DE ENERGIA - DEB 05 - AREIA, BRITA E PEDRA DE MÃO COMERCIAIS</t>
  </si>
  <si>
    <t>BOCA PARA BUEIRO SIMPLES TUBULAR D = 100 CM EM CONCRETO, ALAS COM ESCONSIDADE DE 0°, INCLUINDO FÔRMAS E MATERIAIS. AF_07/2021</t>
  </si>
  <si>
    <t>CAIXA DE LIGAÇÃO E PASSAGEM - CLP 02 - AREIA E BRITA COMERCIAIS</t>
  </si>
  <si>
    <t>TRANSPORTE COM CAMINHÃO CARROCERIA COM GUINDAUTO (MUNCK),  MOMENTO MÁXIMO DE CARGA 11,7 TM, EM VIA URBANA EM REVESTIMENTO PRIMÁRIO (UNIDADE: TXKM). AF_07/2020</t>
  </si>
  <si>
    <t>TXKM</t>
  </si>
  <si>
    <t>TRANSPORTE COM CAMINHÃO CARROCERIA COM GUINDAUTO (MUNCK),  MOMENTO MÁXIMO DE CARGA 11,7 TM, EM VIA URBANA PAVIMENTADA, DMT ATÉ 30KM (UNIDADE: TXKM). AF_07/2020</t>
  </si>
  <si>
    <t>PASSEIO PÚBLICO E ACESSIBILIDADE UNIVERSAL</t>
  </si>
  <si>
    <t>SINALIZAÇÃO VIÁRIA</t>
  </si>
  <si>
    <t>SINALIZAÇÃO VERTICAL</t>
  </si>
  <si>
    <t>SINALIZAÇÃO HORIZONTAL</t>
  </si>
  <si>
    <t>TOTAL GERAL DO ORÇAMENTO &gt;&gt;</t>
  </si>
  <si>
    <t>QUANTIDADE
TOTAL</t>
  </si>
  <si>
    <t>VALOR 
TOTAL</t>
  </si>
  <si>
    <t>%</t>
  </si>
  <si>
    <t>% 
ACUM.</t>
  </si>
  <si>
    <t>OLEO DIESEL COMBUSTIVEL COMUM</t>
  </si>
  <si>
    <t xml:space="preserve">L     </t>
  </si>
  <si>
    <t>M0030</t>
  </si>
  <si>
    <t>M0082</t>
  </si>
  <si>
    <t>M0424</t>
  </si>
  <si>
    <t>M0787</t>
  </si>
  <si>
    <t>M0789</t>
  </si>
  <si>
    <t>M1367</t>
  </si>
  <si>
    <t>M2027</t>
  </si>
  <si>
    <t>M2034</t>
  </si>
  <si>
    <t>M2037</t>
  </si>
  <si>
    <t>M2038</t>
  </si>
  <si>
    <t>M2044</t>
  </si>
  <si>
    <t>M3153</t>
  </si>
  <si>
    <t>M3229</t>
  </si>
  <si>
    <t>COT-BRITA 0</t>
  </si>
  <si>
    <t>COT-BRITA 1</t>
  </si>
  <si>
    <t>COT-BRITA 2</t>
  </si>
  <si>
    <t>TRANSPORTE DE MATERIAIS (BRITAS PARA TSD)</t>
  </si>
  <si>
    <t>-</t>
  </si>
  <si>
    <t>TRANSPORTE DE MATERIAIS (BETUMINOSOS)</t>
  </si>
  <si>
    <t>TOTAL GERAL &gt;&gt;</t>
  </si>
  <si>
    <t>SINAPI (SETEMBRO/2023)
ANP (SETEMBRO/2023)
SICRO (JULHO/2023)</t>
  </si>
  <si>
    <t>EMULSÕES ASFÁLTICAS RR-2C</t>
  </si>
  <si>
    <t>ASFALTOS DILUÍDOS CM-30</t>
  </si>
  <si>
    <t>BRITA 1</t>
  </si>
  <si>
    <t>TINTA À BASE DE RESINA ACRÍLICA ESTIRENADA PARA DEMARCAÇÃO VIÁRIA</t>
  </si>
  <si>
    <t>L</t>
  </si>
  <si>
    <t>SUPORTE EM AÇO-CARBONO GALVANIZADO TIPO PERFIL C PARA PLACA DE SINALIZAÇÃO</t>
  </si>
  <si>
    <t>BRITA 0</t>
  </si>
  <si>
    <t>PELÍCULA RETRORREFLETIVA TIPO I + SI (SINAL IMPRESSO COM PELÍCULA DE SOBREPOSIÇÃO TIPO V)</t>
  </si>
  <si>
    <t>M²</t>
  </si>
  <si>
    <t>MICROESFERAS REFLETIVAS DE VIDRO TIPO II-A</t>
  </si>
  <si>
    <t>CONJUNTO PARA FIXAÇÃO DE PLACAS EM AÇO GALVANIZADO COMPOSTO POR BARRA CHATA, ABRAÇADEIRA, PARAFUSOS, PORCAS E ARRUELAS</t>
  </si>
  <si>
    <t xml:space="preserve">PLACA DE OBRA (PARA CONSTRUCAO CIVIL) EM CHAPA GALVANIZADA *N. 22*, ADESIVADA, DE *2,4 X 1,2* M (SEM POSTES PARA FIXACAO)                                                                                                                                                                                                                                                                                                                                                                                 </t>
  </si>
  <si>
    <t xml:space="preserve">M2    </t>
  </si>
  <si>
    <t>MICROESFERAS REFLETIVAS DE VIDRO TIPO I-B</t>
  </si>
  <si>
    <t>CIMENTO PORTLAND CP II - 32 - SACO</t>
  </si>
  <si>
    <t>CHAPA FINA EM AÇO GALVANIZADO</t>
  </si>
  <si>
    <t>SOLVENTE PARA TINTA À BASE DE RESINA ACRÍLICA</t>
  </si>
  <si>
    <t>AREIA MÉDIA LAVADA</t>
  </si>
  <si>
    <t>TINTA EM PÓ À BASE DE RESINA POLIÉSTER</t>
  </si>
  <si>
    <t xml:space="preserve">SARRAFO *2,5 X 10* CM EM PINUS, MISTA OU EQUIVALENTE DA REGIAO - BRUTA                                                                                                                                                                                                                                                                                                                                                                                                                                    </t>
  </si>
  <si>
    <t xml:space="preserve">M     </t>
  </si>
  <si>
    <t xml:space="preserve">IMUNIZANTE PARA MADEIRA, INCOLOR                                                                                                                                                                                                                                                                                                                                                                                                                                                                          </t>
  </si>
  <si>
    <t xml:space="preserve">PONTALETE *7,5 X 7,5* CM EM PINUS, MISTA OU EQUIVALENTE DA REGIAO - BRUTA                                                                                                                                                                                                                                                                                                                                                                                                                                 </t>
  </si>
  <si>
    <t>ADITIVO PLASTIFICANTE E RETARDADOR DE PEGA PARA CONCRETO E ARGAMASSA</t>
  </si>
  <si>
    <t>TINTA À BASE DE RESINA ACRÍLICA EMULSIONADA EM ÁGUA PARA PRÉ-MARCAÇÃO VIÁRIA</t>
  </si>
  <si>
    <t xml:space="preserve">FUNDO SINTETICO NIVELADOR BRANCO FOSCO PARA MADEIRA                                                                                                                                                                                                                                                                                                                                                                                                                                                       </t>
  </si>
  <si>
    <t xml:space="preserve">SEIXO ROLADO PARA APLICACAO EM CONCRETO (POSTO PEDREIRA/FORNECEDOR, SEM FRETE)                                                                                                                                                                                                                                                                                                                                                                                                                            </t>
  </si>
  <si>
    <t xml:space="preserve">CIMENTO PORTLAND COMPOSTO CP II-32                                                                                                                                                                                                                                                                                                                                                                                                                                                                        </t>
  </si>
  <si>
    <t xml:space="preserve">KG    </t>
  </si>
  <si>
    <t xml:space="preserve">TINTA ESMALTE SINTETICO PREMIUM FOSCO                                                                                                                                                                                                                                                                                                                                                                                                                                                                     </t>
  </si>
  <si>
    <t xml:space="preserve">PREGO DE ACO POLIDO COM CABECA 10 X 10 (7/8 X 17)                                                                                                                                                                                                                                                                                                                                                                                                                                                         </t>
  </si>
  <si>
    <t xml:space="preserve">AREIA MEDIA - POSTO JAZIDA/FORNECEDOR (RETIRADO NA JAZIDA, SEM TRANSPORTE)                                                                                                                                                                                                                                                                                                                                                                                                                                </t>
  </si>
  <si>
    <t xml:space="preserve">PREGO DE ACO POLIDO COM CABECA 17 X 27 (2 1/2 X 11)                                                                                                                                                                                                                                                                                                                                                                                                                                                       </t>
  </si>
  <si>
    <t xml:space="preserve">DILUENTE AGUARRAS                                                                                                                                                                                                                                                                                                                                                                                                                                                                                         </t>
  </si>
  <si>
    <t xml:space="preserve">LIXA EM FOLHA PARA PAREDE OU MADEIRA, NUMERO 120, COR VERMELHA                                                                                                                                                                                                                                                                                                                                                                                                                                            </t>
  </si>
  <si>
    <t xml:space="preserve">UN    </t>
  </si>
  <si>
    <t>EXTENSÃO (KM)</t>
  </si>
  <si>
    <t>TOTAL POR KM</t>
  </si>
  <si>
    <t>SINAPI (JANEIRO/2024)
ANP (JANEIRO/2024)
SICRO OUTUBRO/2023)</t>
  </si>
  <si>
    <t xml:space="preserve">RUAS DIVERSAS - BAIRRO JARDIM PLANALTO </t>
  </si>
  <si>
    <t>VALOR</t>
  </si>
  <si>
    <t>1.0</t>
  </si>
  <si>
    <t>AQUISIÇÃO</t>
  </si>
  <si>
    <t>2.2</t>
  </si>
  <si>
    <t>2.3</t>
  </si>
  <si>
    <t>2.4</t>
  </si>
  <si>
    <t>3.5</t>
  </si>
  <si>
    <t>3.6</t>
  </si>
  <si>
    <t>3.7</t>
  </si>
  <si>
    <t>3.8</t>
  </si>
  <si>
    <t>3.9</t>
  </si>
  <si>
    <t>3.10</t>
  </si>
  <si>
    <t>3.11</t>
  </si>
  <si>
    <t>3.12</t>
  </si>
  <si>
    <t>3.13</t>
  </si>
  <si>
    <t>3.14</t>
  </si>
  <si>
    <t>4.0</t>
  </si>
  <si>
    <t>4.1</t>
  </si>
  <si>
    <t>4.2</t>
  </si>
  <si>
    <t>4.3</t>
  </si>
  <si>
    <t>BRITA 2</t>
  </si>
  <si>
    <t>4.4</t>
  </si>
  <si>
    <t>4.5</t>
  </si>
  <si>
    <t>4.6</t>
  </si>
  <si>
    <t>4.7</t>
  </si>
  <si>
    <t>6.0</t>
  </si>
  <si>
    <t>6.1</t>
  </si>
  <si>
    <t>6.2</t>
  </si>
  <si>
    <t>6.3</t>
  </si>
  <si>
    <t>6.4</t>
  </si>
  <si>
    <t>6.5</t>
  </si>
  <si>
    <t>6.6</t>
  </si>
  <si>
    <t>6.7</t>
  </si>
  <si>
    <t>ÁREA TOTAL DE PAVIMENTO CONTEMPLADA :</t>
  </si>
  <si>
    <t>EXTENSÃO TOTAL DE PAVIMENTO CONTEMPLADO :</t>
  </si>
  <si>
    <t>KM</t>
  </si>
  <si>
    <t>VALOR DO RECURSO POR M2 :</t>
  </si>
  <si>
    <t>R$/M²</t>
  </si>
  <si>
    <t>VALOR DO RECURSO POR KM :</t>
  </si>
  <si>
    <t>R$/KM</t>
  </si>
  <si>
    <t>TOTAL POR ETAPA</t>
  </si>
  <si>
    <t>5.0</t>
  </si>
  <si>
    <t>TOTAL GERAL</t>
  </si>
  <si>
    <t>PORCENTAGEM MENSAL</t>
  </si>
  <si>
    <t>CUSTO MENSAL</t>
  </si>
  <si>
    <t>PORCENTAGEM ACUMULADA</t>
  </si>
  <si>
    <t>CUSTO ACUMULADO</t>
  </si>
  <si>
    <t>Boletim</t>
  </si>
  <si>
    <t>Descrição dos Equipamentos</t>
  </si>
  <si>
    <t>POTÊNCIA 
(Kw)</t>
  </si>
  <si>
    <t xml:space="preserve">Coeficiente de Combustível
(l/kWh) </t>
  </si>
  <si>
    <t>TRATOR AGRÍCOLA SOBRE PNEUS - 77 KW</t>
  </si>
  <si>
    <t>E9584</t>
  </si>
  <si>
    <t>CARREGADEIRA DE PNEUS COM CAPACIDADE DE 1,72 M³ - 113 KW</t>
  </si>
  <si>
    <t>E9687</t>
  </si>
  <si>
    <t>CAMINHÃO CARROCERIA COM CAPACIDADE DE 5 T - 115 KW</t>
  </si>
  <si>
    <t>E9644</t>
  </si>
  <si>
    <t>CAMINHÃO DEMARCADOR DE FAIXAS COM SISTEMA DE PINTURA A FRIO - 28 KW/115 KW</t>
  </si>
  <si>
    <t>CAMINHÃO TANQUE COM CAPACIDADE DE 10.000 L - 188 KW</t>
  </si>
  <si>
    <t>E9670</t>
  </si>
  <si>
    <t>USINA MÓVEL DE LAMA ASFÁLTICA OU MICRORREVESTIMENTO COM CAVALO MECÂNICO COM CAPACIDADE DE 12 M³ - 95,6 KW/240 KW</t>
  </si>
  <si>
    <t>MOTONIVELADORA - 93 KW</t>
  </si>
  <si>
    <t>ROLO COMPACTADOR DE PNEUS AUTOPROPELIDO DE 27 T - 85 KW</t>
  </si>
  <si>
    <t>ROLO COMPACTADOR PÉ DE CARNEIRO VIBRATÓRIO AUTOPROPELIDO POR PNEUS DE 11,6 T - 82 KW</t>
  </si>
  <si>
    <t>ESCAVADEIRA HIDRÁULICA SOBRE ESTEIRAS COM CAÇAMBA COM CAPACIDADE DE 1,56 M³ - 118 KW</t>
  </si>
  <si>
    <t>E9509</t>
  </si>
  <si>
    <t>CAMINHÃO TANQUE DISTRIBUIDOR DE ASFALTO COM CAPACIDADE DE 6.000 L - 7 KW/136 KW</t>
  </si>
  <si>
    <t>E9102</t>
  </si>
  <si>
    <t>EXTRUSORA PARA SARJETA DE CONCRETO - 10,44 KW</t>
  </si>
  <si>
    <t>E9772</t>
  </si>
  <si>
    <t>RETROESCAVADEIRA DE PNEUS COM CAÇAMBA DE ESCAVAÇÃO TRAPEZOIDAL OU TRIANGULAR COM SEÇÃO DE CORTE DE 0,15 A 0,20 M² - 58 KW</t>
  </si>
  <si>
    <t>CAMINHÃO BASCULANTE COM CAPACIDADE DE 10 M³ - 188 KW</t>
  </si>
  <si>
    <t>Manual de Custos de Infraestrutura de Transportes - Volume 03 - Equipamentos</t>
  </si>
  <si>
    <t>MEMORIAL DE CÁLCULO PARA ÓLEO DIESEL</t>
  </si>
  <si>
    <t>OPERATIVA</t>
  </si>
  <si>
    <t>OPETATIVA/ 
PRODUÇÃO EQUIPE</t>
  </si>
  <si>
    <t>POTÊNCIA
(Kw)</t>
  </si>
  <si>
    <t>COMBUSTÍVEL</t>
  </si>
  <si>
    <t>UNITÁRIO
(H)</t>
  </si>
  <si>
    <t>TOTAL 
(H)</t>
  </si>
  <si>
    <t>UNITÁRIO</t>
  </si>
  <si>
    <t>TOTAL</t>
  </si>
  <si>
    <t>COEFICIENTE
(L/Kwh)</t>
  </si>
  <si>
    <t>CONSUMO
MÉDIO</t>
  </si>
  <si>
    <t>TOTAL 
(L)</t>
  </si>
  <si>
    <t>IMUNIZANTE PARA MADEIRA, INCOLOR</t>
  </si>
  <si>
    <t>PLACA DE OBRA (PARA CONSTRUCAO CIVIL) EM CHAPA GALVANIZADA *N. 22*, ADESIVADA, DE *2,4 X 1,2* M (SEM POSTES PARA FIXACAO)</t>
  </si>
  <si>
    <t>PREGO DE ACO POLIDO COM CABECA 10 X 10 (7/8 X 17)</t>
  </si>
  <si>
    <t>PREGO DE ACO POLIDO COM CABECA 17 X 27 (2 1/2 X 11)</t>
  </si>
  <si>
    <t>SARRAFO *2,5 X 10* CM EM PINUS, MISTA OU EQUIVALENTE DA REGIAO - BRUTA</t>
  </si>
  <si>
    <t>PRODUÇÃO DE EQUIPE</t>
  </si>
  <si>
    <t>TOTAL DE ÓLEO DIESEL (litros)</t>
  </si>
  <si>
    <t>Agência Nacional do Petróleo, Gás Natural e Biocombustíveis</t>
  </si>
  <si>
    <t>Superintendência de Defesa da Concorrência, Estudos e Regulação Econômica</t>
  </si>
  <si>
    <t xml:space="preserve">PREÇO MÉDIO MENSAL PONDERADO PRATICADO PELOS DISTRIBUIDORES DE PRODUTOS ASFÁLTICOS (R$/KG) </t>
  </si>
  <si>
    <t>Produto</t>
  </si>
  <si>
    <t>Mato Grosso</t>
  </si>
  <si>
    <t>PIS/COFINS</t>
  </si>
  <si>
    <t>ASFALTOS DILUÍDOS CM-70</t>
  </si>
  <si>
    <t>ASFALTOS DILUÍDOS CR-250</t>
  </si>
  <si>
    <t>ASFALTOS DILUÍDOS CR-70</t>
  </si>
  <si>
    <t>CAP MODIFICADO POR BORRACHA DE PNEU AB22</t>
  </si>
  <si>
    <t>CAP MODIFICADO POR BORRACHA DE PNEU AB8</t>
  </si>
  <si>
    <t>CAP MODIFICADO POR POLÍMERO 55-75-E</t>
  </si>
  <si>
    <t>CAP MODIFICADO POR POLÍMERO 60-85-E</t>
  </si>
  <si>
    <t>CAP MODIFICADO POR POLÍMERO 65-90-E</t>
  </si>
  <si>
    <t>CIMENTOS ASFÁLTICOS CAP-150-200</t>
  </si>
  <si>
    <t>CIMENTOS ASFÁLTICOS CAP-30-45</t>
  </si>
  <si>
    <t>CIMENTOS ASFÁLTICOS CAP-50-70</t>
  </si>
  <si>
    <t>CIMENTOS ASFÁLTICOS CAP-85-100</t>
  </si>
  <si>
    <t>EMULSÃO ASFÁLTICA CATIÔNICA DE RUPTURA CONTROLADA PARA SERVIÇO DE LAMA ASFÁLTICA</t>
  </si>
  <si>
    <t>EMULSÃO ASFÁLTICA DE RUPTURA LENTA CATIÔNICA PARA SERVIÇO DE LAMA ASFÁLTICA</t>
  </si>
  <si>
    <t>EMULSÃO ASFÁLTICA DE RUPTURA LENTA DE CARGA NEUTRA PARA SERVIÇO DE LAMA ASFÁLTICA</t>
  </si>
  <si>
    <t>EMULSÃO ASFÁLTICA PARA SERVIÇO DE IMPRIMAÇÃO</t>
  </si>
  <si>
    <t>EMULSÕES ASF. MOD. POR POLÍMEROS RC1C-E</t>
  </si>
  <si>
    <t>EMULSÕES ASF. MOD. POR POLÍMEROS RL1C-E</t>
  </si>
  <si>
    <t>EMULSÕES ASF. MOD. POR POLÍMEROS RM1C-E</t>
  </si>
  <si>
    <t>EMULSÕES ASF. MOD. POR POLÍMEROS RR1C-E</t>
  </si>
  <si>
    <t>EMULSÕES ASF. MOD. POR POLÍMEROS RR2C-E</t>
  </si>
  <si>
    <t>EMULSÕES ASFÁLTICAS RL-1C</t>
  </si>
  <si>
    <t>EMULSÕES ASFÁLTICAS RM-1C</t>
  </si>
  <si>
    <t>EMULSÕES ASFÁLTICAS RM-2C</t>
  </si>
  <si>
    <t>EMULSÕES ASFÁLTICAS RR-1C</t>
  </si>
  <si>
    <t>OLEO DIESEL COMUM</t>
  </si>
  <si>
    <t>OBS: No cálculo dos preços médios mensais, são considerados os preços à vista segundo regiões de origem do produto, ponderados pelos respectivos volumes comercializados, sem ICMS (em função das diferenças tributárias existentes entre estados), PIS/Pasep e Cofins e sem inclusões de fretes entre origem e destino.</t>
  </si>
  <si>
    <t>BINÔMIO "AQUISIÇÃO + TRANSPORTE" DE BRITA</t>
  </si>
  <si>
    <t>DATA DA COTAÇÃO</t>
  </si>
  <si>
    <t>PREÇO</t>
  </si>
  <si>
    <t>Rodovia não pav.</t>
  </si>
  <si>
    <t>Rodovia pav. Até 30km</t>
  </si>
  <si>
    <t>Adicional 30km</t>
  </si>
  <si>
    <t>CUSTO TRANSP</t>
  </si>
  <si>
    <t>AQUIS + TRANSP</t>
  </si>
  <si>
    <t>DADOS DA EMPRESA</t>
  </si>
  <si>
    <t xml:space="preserve">CUSTO </t>
  </si>
  <si>
    <t>em ton</t>
  </si>
  <si>
    <t>em m³</t>
  </si>
  <si>
    <t>Km</t>
  </si>
  <si>
    <t>(R$)</t>
  </si>
  <si>
    <t>(R$/m³)</t>
  </si>
  <si>
    <t>DISTRIBUIDORA</t>
  </si>
  <si>
    <t>CNPJ</t>
  </si>
  <si>
    <t>LOCALIZAÇÃO</t>
  </si>
  <si>
    <t>TELEFONE</t>
  </si>
  <si>
    <t>CONTATO</t>
  </si>
  <si>
    <t>TIPO DE MATERIAL: BRITA 0 ou PEDRISCO</t>
  </si>
  <si>
    <t xml:space="preserve">BRITADEIRA LOPES </t>
  </si>
  <si>
    <t>01.117.807/0001-71</t>
  </si>
  <si>
    <t>JUÍNA</t>
  </si>
  <si>
    <t>(66) 3566-3270</t>
  </si>
  <si>
    <t>EDGAR</t>
  </si>
  <si>
    <t>MIL PEDRAS</t>
  </si>
  <si>
    <t>36.819.731/0001-00</t>
  </si>
  <si>
    <t>NOVA SANTA HELENA</t>
  </si>
  <si>
    <t>( 66) 3531-0116</t>
  </si>
  <si>
    <t>JG INDUSTRIA DE PEDRAS</t>
  </si>
  <si>
    <t>05.605.056/0001-93</t>
  </si>
  <si>
    <t>COLIDER</t>
  </si>
  <si>
    <t>( 66) 99219-3331</t>
  </si>
  <si>
    <t xml:space="preserve">JOSÉ </t>
  </si>
  <si>
    <t xml:space="preserve">VALOR ADOTADO = </t>
  </si>
  <si>
    <t>TIPO DE MATERIAL: BRITA 1</t>
  </si>
  <si>
    <t>TIPO DE MATERIAL: BRITA 2</t>
  </si>
  <si>
    <t>* As cotações fornecidas pelas empresas seguem em anexo.</t>
  </si>
  <si>
    <t>** Considerou-se a densidade dos materiais pétreos = 1,5</t>
  </si>
  <si>
    <t xml:space="preserve">Pesquisa de Mercado: </t>
  </si>
  <si>
    <t xml:space="preserve">Na cotação direta com os fornecedores somente serão admitidos os preços cujas datas não se diferenciem em mais de 180 (cento e oitenta) dias, ou seja, nenhuma proposta direta de fornecedor deve conter diferença de data maior que 180 dias quando comparadas às demais em um grupo de pesquisa de preços junto a fornecedores no mesmo processo. A partir das cotações obtidas, deve-se realizar algum tratamento estatístico sobre os valores coletados para se obter um custo referencial. Entre outros critérios, pode ser utilizada a média, mediana, moda, primeiro quartil ou valor mínimo dos dados pesquisados. Nesse aspecto, a Instrução Normativa SLTI/MPOG nº 7/2014 dispõe que o resultado da pesquisa de preços será a média ou o menor dos preços obtidos, podendo o gestor adotar a forma que melhor atenda ao objeto a ser contratado e à realidade local. </t>
  </si>
  <si>
    <t xml:space="preserve">O TCU no Acórdão 7.290/2013 –  Segunda Câmara entendeu que, quando da pesquisa de preços de mercado para definição de valores referenciais de licitações, devem ser adotadas as cotações mínimas encontradas sempre que se tratar de insumo ou equipamento fornecido exclusivamente por um conjunto restrito de empresas. </t>
  </si>
  <si>
    <t>Fonte: TCU - ORIENTAÇÕES PARA ELABORAÇÃO DE PLANILHAS ORÇAMENTÁRIAS  DE OBRAS PÚBLICAS</t>
  </si>
  <si>
    <t>SINAPI (JANEIRO/2021)                                 ANP (DEZEMBRO/2020)                             SICRO (OUTUBRO/2020)</t>
  </si>
  <si>
    <t xml:space="preserve"> TOTAL EXECUÇÃO</t>
  </si>
  <si>
    <t>ORÇAMENTO ORIENTATIVO DA OBRA</t>
  </si>
  <si>
    <t>COM BDI</t>
  </si>
  <si>
    <t>,</t>
  </si>
  <si>
    <t>ADMINISTRAÇÃO LOCAL</t>
  </si>
  <si>
    <t>SERVIÇOS PRELIMINARES</t>
  </si>
  <si>
    <t>CPAV009-1</t>
  </si>
  <si>
    <t>CPAV009-2</t>
  </si>
  <si>
    <t>7.0</t>
  </si>
  <si>
    <t>8.0</t>
  </si>
  <si>
    <t>DISTÂNCIAS DE TRANSPORTE</t>
  </si>
  <si>
    <t>MATERIAL</t>
  </si>
  <si>
    <t>PERCURSO</t>
  </si>
  <si>
    <t>TRANPORTE LOCAL                         (DMT)</t>
  </si>
  <si>
    <t>PARTE 1</t>
  </si>
  <si>
    <t>Terraplenagem</t>
  </si>
  <si>
    <t>solo</t>
  </si>
  <si>
    <t>Pista</t>
  </si>
  <si>
    <t>Bota fora</t>
  </si>
  <si>
    <t>Base/Sub base</t>
  </si>
  <si>
    <t>Solo</t>
  </si>
  <si>
    <t>Jazida</t>
  </si>
  <si>
    <t>Imprimação</t>
  </si>
  <si>
    <t>CM-30</t>
  </si>
  <si>
    <t>Distribuidora/Cbá</t>
  </si>
  <si>
    <t>TSD - Tratamento Superficial Duplo</t>
  </si>
  <si>
    <t>RR-2C</t>
  </si>
  <si>
    <t>Brita comercial</t>
  </si>
  <si>
    <t>Pedreira</t>
  </si>
  <si>
    <t>Drenagem</t>
  </si>
  <si>
    <t>Tubo</t>
  </si>
  <si>
    <t>PARTE 2</t>
  </si>
  <si>
    <t>Observações:  RP - Revestimento primário</t>
  </si>
  <si>
    <t xml:space="preserve">                         P - Pavimentado</t>
  </si>
  <si>
    <t xml:space="preserve">QUADRO DE RUAS </t>
  </si>
  <si>
    <t>LOGRADOURO</t>
  </si>
  <si>
    <t>COORDENADAS</t>
  </si>
  <si>
    <t>ESTACAS</t>
  </si>
  <si>
    <t>EXTENSÃO</t>
  </si>
  <si>
    <t>LARGURA</t>
  </si>
  <si>
    <t>ÁREA</t>
  </si>
  <si>
    <t>LIMPA RODAS E EMBOC.</t>
  </si>
  <si>
    <t>ÁREA TOTAL</t>
  </si>
  <si>
    <t>INICIAL</t>
  </si>
  <si>
    <t>FINAL</t>
  </si>
  <si>
    <t>(m)</t>
  </si>
  <si>
    <t>(m²)</t>
  </si>
  <si>
    <t>RUA MINAS GERAIS - T1</t>
  </si>
  <si>
    <t xml:space="preserve"> 10°11'14.52"S  59°25'54.88"O</t>
  </si>
  <si>
    <t xml:space="preserve"> 10°11'10.68"S  59°25'50.81"O</t>
  </si>
  <si>
    <t>+</t>
  </si>
  <si>
    <t>RUA MINAS GERAIS - T2</t>
  </si>
  <si>
    <t xml:space="preserve"> 10°11'10.51"S  59°25'50.62"O</t>
  </si>
  <si>
    <t xml:space="preserve"> 10°11'7.32"S  59°25'47.21"O</t>
  </si>
  <si>
    <t>RUA MINAS GERAIS - T3</t>
  </si>
  <si>
    <t xml:space="preserve"> 10°11'7.16"S  59°25'47.04"O</t>
  </si>
  <si>
    <t xml:space="preserve"> 10°11'5.64"S  59°25'45.46"O</t>
  </si>
  <si>
    <t>RUA MINAS GERAIS - T4</t>
  </si>
  <si>
    <t xml:space="preserve"> 10°11'5.48"S  59°25'45.22"O</t>
  </si>
  <si>
    <t xml:space="preserve"> 10°11'3.64"S  59°25'43.21"O</t>
  </si>
  <si>
    <t>RUA SÃO PAULO - T1</t>
  </si>
  <si>
    <t xml:space="preserve"> 10°11'12.59"S  59°25'56.44"O</t>
  </si>
  <si>
    <t xml:space="preserve"> 10°11'8.91"S  59°25'52.47"O</t>
  </si>
  <si>
    <t>RUA SÃO PAULO - T2</t>
  </si>
  <si>
    <t xml:space="preserve"> 10°11'8.74"S  59°25'52.34"O</t>
  </si>
  <si>
    <t xml:space="preserve"> 10°11'5.58"S  59°25'48.90"O</t>
  </si>
  <si>
    <t>RUA SÃO PAULO - T3</t>
  </si>
  <si>
    <t xml:space="preserve"> 10°11'5.39"S  59°25'48.70"O</t>
  </si>
  <si>
    <t xml:space="preserve"> 10°11'3.90"S  59°25'47.12"O</t>
  </si>
  <si>
    <t>RUA SÃO PAULO - T4</t>
  </si>
  <si>
    <t xml:space="preserve"> 10°11'3.74"S  59°25'46.95"O</t>
  </si>
  <si>
    <t xml:space="preserve"> 10°11'1.71"S  59°25'44.74"O</t>
  </si>
  <si>
    <t>RUA PARANÁ - T1</t>
  </si>
  <si>
    <t xml:space="preserve"> 10°11'10.66"S  59°25'57.95"O</t>
  </si>
  <si>
    <t xml:space="preserve"> 10°11'7.12"S  59°25'54.16"O</t>
  </si>
  <si>
    <t>RUA PARANÁ - T2</t>
  </si>
  <si>
    <t xml:space="preserve"> 10°11'6.94"S  59°25'54.00"O</t>
  </si>
  <si>
    <t xml:space="preserve"> 10°11'3.78"S  59°25'50.60"O</t>
  </si>
  <si>
    <t>RUA PARANÁ - T3</t>
  </si>
  <si>
    <t xml:space="preserve"> 10°11'3.60"S  59°25'50.38"O</t>
  </si>
  <si>
    <t xml:space="preserve"> 10°11'2.10"S  59°25'48.81"O</t>
  </si>
  <si>
    <t>RUA PARANÁ - T4</t>
  </si>
  <si>
    <t xml:space="preserve"> 10°11'1.93"S  59°25'48.59"O</t>
  </si>
  <si>
    <t xml:space="preserve"> 10°10'59.74"S  59°25'46.26"O</t>
  </si>
  <si>
    <t>RUA SANTA CATARINA - T1</t>
  </si>
  <si>
    <t xml:space="preserve"> 10°11'8.75"S  59°25'59.49"O</t>
  </si>
  <si>
    <t xml:space="preserve"> 10°11'2.01"S  59°25'52.25"O</t>
  </si>
  <si>
    <t>RUA SANTA CATARINA - T2</t>
  </si>
  <si>
    <t xml:space="preserve"> 10°11'1.85"S  59°25'52.05"O</t>
  </si>
  <si>
    <t xml:space="preserve"> 10°11'0.33"S  59°25'50.47"O</t>
  </si>
  <si>
    <t>RUA SANTA CATARINA - T3</t>
  </si>
  <si>
    <t xml:space="preserve"> 10°11'0.17"S  59°25'50.27"O</t>
  </si>
  <si>
    <t xml:space="preserve"> 10°10'57.82"S  59°25'47.78"O</t>
  </si>
  <si>
    <t>AV. SÃO JOSÉ MARELLO</t>
  </si>
  <si>
    <t xml:space="preserve"> 10°11'6.73"S  59°26'1.32"O</t>
  </si>
  <si>
    <t xml:space="preserve"> 10°11'16.94"S  59°25'53.13"O</t>
  </si>
  <si>
    <t>RUA MIS. PAULO LEIVAS MACALÃO</t>
  </si>
  <si>
    <t xml:space="preserve"> 10°11'5.36"S  59°25'55.65"O</t>
  </si>
  <si>
    <t xml:space="preserve"> 10°11'12.31"S  59°25'49.12"O</t>
  </si>
  <si>
    <t>RUA AMAZONAS</t>
  </si>
  <si>
    <t xml:space="preserve"> 10°11'1.58"S  59°25'55.83"O</t>
  </si>
  <si>
    <t xml:space="preserve"> 10°11'3.50"S  59°25'54.03"O</t>
  </si>
  <si>
    <t xml:space="preserve">RUA MATO GROSSO </t>
  </si>
  <si>
    <t xml:space="preserve"> 10°10'59.95"S  59°25'54.08"O</t>
  </si>
  <si>
    <t xml:space="preserve"> 10°11'8.99"S  59°25'45.51"O</t>
  </si>
  <si>
    <t xml:space="preserve">RUA MATO GROSSO DO SUL </t>
  </si>
  <si>
    <t xml:space="preserve"> 10°10'58.27"S  59°25'52.26"O</t>
  </si>
  <si>
    <t xml:space="preserve"> 10°11'7.31"S  59°25'43.69"O</t>
  </si>
  <si>
    <t>RUA MIS. DANIEL BERG - T1</t>
  </si>
  <si>
    <t xml:space="preserve"> 10°11'15.17"S  59°26'16.17"O</t>
  </si>
  <si>
    <t xml:space="preserve"> 10°11'3.88"S  59°26'4.06"O</t>
  </si>
  <si>
    <t>RUA MIS. DANIEL BERG - T2</t>
  </si>
  <si>
    <t xml:space="preserve"> 10°11'0.38"S  59°26'0.24"O</t>
  </si>
  <si>
    <t xml:space="preserve"> 10°10'52.71"S  59°25'52.09"O</t>
  </si>
  <si>
    <t>AV. PAPA JOÃO PAULO II</t>
  </si>
  <si>
    <t xml:space="preserve"> 10°11'13.14"S  59°26'17.69"O</t>
  </si>
  <si>
    <t xml:space="preserve"> 10°11'2.07"S  59°26'5.82"O</t>
  </si>
  <si>
    <t>RUA RIO GRANDE DO SUL - T1</t>
  </si>
  <si>
    <t xml:space="preserve"> 10°11'0.01"S  59°26'7.38"O</t>
  </si>
  <si>
    <t xml:space="preserve"> 10°10'58.49"S  59°26'5.74"O</t>
  </si>
  <si>
    <t>RUA RIO GRANDE DO SUL - T2</t>
  </si>
  <si>
    <t xml:space="preserve"> 10°10'56.62"S  59°26'3.81"O</t>
  </si>
  <si>
    <t xml:space="preserve"> 10°10'48.68"S  59°25'55.31"O</t>
  </si>
  <si>
    <t xml:space="preserve">RUA CEREJEIRAS </t>
  </si>
  <si>
    <t xml:space="preserve"> 10°11'7.78"S  59°26'21.89"O</t>
  </si>
  <si>
    <t xml:space="preserve"> 10°10'55.57"S  59°26'8.80"O</t>
  </si>
  <si>
    <t>RUA ESPÍRITO SANTO</t>
  </si>
  <si>
    <t xml:space="preserve"> 10°11'13.59"S  59°26'14.28"O</t>
  </si>
  <si>
    <t xml:space="preserve"> 10°11'16.18"S  59°26'11.91"O</t>
  </si>
  <si>
    <t>RUA BAHIA T1</t>
  </si>
  <si>
    <t xml:space="preserve"> 10°11'10.11"S  59°26'14.29"O</t>
  </si>
  <si>
    <t xml:space="preserve"> 10°11'11.78"S  59°26'12.66"O</t>
  </si>
  <si>
    <t>RUA BAHIA T2</t>
  </si>
  <si>
    <t xml:space="preserve"> 10°11'11.95"S  59°26'12.53"O</t>
  </si>
  <si>
    <t xml:space="preserve"> 10°11'14.44"S  59°26'10.12"O</t>
  </si>
  <si>
    <t>RUA SERGIPE</t>
  </si>
  <si>
    <t xml:space="preserve"> 10°11'10.27"S  59°26'10.71"O</t>
  </si>
  <si>
    <t xml:space="preserve"> 10°11'12.82"S  59°26'8.37"O</t>
  </si>
  <si>
    <t>RUA ALAGOAS T1</t>
  </si>
  <si>
    <t xml:space="preserve"> 10°11'6.75"S  59°26'10.68"O</t>
  </si>
  <si>
    <t xml:space="preserve"> 10°11'8.42"S  59°26'9.09"O</t>
  </si>
  <si>
    <t>RUA ALAGOAS T2</t>
  </si>
  <si>
    <t xml:space="preserve"> 10°11'8.62"S  59°26'8.92"O</t>
  </si>
  <si>
    <t xml:space="preserve"> 10°11'11.11"S  59°26'6.48"O</t>
  </si>
  <si>
    <t>RUA PERNAMBUCO</t>
  </si>
  <si>
    <t xml:space="preserve"> 10°11'6.91"S  59°26'7.11"O</t>
  </si>
  <si>
    <t xml:space="preserve"> 10°11'9.43"S  59°26'4.73"O</t>
  </si>
  <si>
    <t>RUA PARAÍBA T1</t>
  </si>
  <si>
    <t xml:space="preserve"> 10°11'3.43"S  59°26'7.11"O</t>
  </si>
  <si>
    <t xml:space="preserve"> 10°11'5.13"S  59°26'5.55"O</t>
  </si>
  <si>
    <t>RUA PARAÍBA T2</t>
  </si>
  <si>
    <t xml:space="preserve"> 10°11'5.30"S  59°26'5.39"O</t>
  </si>
  <si>
    <t xml:space="preserve"> 10°11'7.82"S  59°26'2.98"O</t>
  </si>
  <si>
    <t xml:space="preserve"> 10°10'57.09"S  59°26'10.29"O</t>
  </si>
  <si>
    <t xml:space="preserve"> 10°11'6.43"S  59°26'1.49"O</t>
  </si>
  <si>
    <t>RUA CEARÁ</t>
  </si>
  <si>
    <t xml:space="preserve"> 10°10'52.12"S  59°26'4.89"O</t>
  </si>
  <si>
    <t xml:space="preserve"> 10°10'54.98"S  59°26'2.19"O</t>
  </si>
  <si>
    <t xml:space="preserve"> 10°10'58.86"S  59°25'58.44"O</t>
  </si>
  <si>
    <t xml:space="preserve"> 10°11'1.40"S  59°25'56.10"O</t>
  </si>
  <si>
    <t>RUA MATO GROSSO T1</t>
  </si>
  <si>
    <t xml:space="preserve"> 10°10'50.45"S  59°26'3.14"O</t>
  </si>
  <si>
    <t xml:space="preserve"> 10°10'53.26"S  59°26'0.39"O</t>
  </si>
  <si>
    <t>RUA MATO GROSSO T2</t>
  </si>
  <si>
    <t xml:space="preserve"> 10°10'55.26"S  59°25'58.47"O</t>
  </si>
  <si>
    <t xml:space="preserve"> 10°10'57.03"S  59°25'56.85"O</t>
  </si>
  <si>
    <t>RUA MATO GROSSO T3</t>
  </si>
  <si>
    <t xml:space="preserve"> 10°10'57.20"S  59°25'56.65"O</t>
  </si>
  <si>
    <t xml:space="preserve"> 10°10'59.72"S  59°25'54.31"O</t>
  </si>
  <si>
    <t>RUA MATO GROSSO DO SUL T1</t>
  </si>
  <si>
    <t xml:space="preserve"> 10°10'48.74"S  59°26'1.35"O</t>
  </si>
  <si>
    <t xml:space="preserve"> 10°10'51.61"S  59°25'58.59"O</t>
  </si>
  <si>
    <t>RUA MATO GROSSO DO SUL T2</t>
  </si>
  <si>
    <t xml:space="preserve"> 10°10'53.64"S  59°25'56.66"O</t>
  </si>
  <si>
    <t xml:space="preserve"> 10°10'55.34"S  59°25'55.06"O</t>
  </si>
  <si>
    <t>RUA MATO GROSSO DO SUL T3</t>
  </si>
  <si>
    <t xml:space="preserve"> 10°10'55.54"S  59°25'54.89"O</t>
  </si>
  <si>
    <t xml:space="preserve"> 10°10'58.04"S  59°25'52.49"O</t>
  </si>
  <si>
    <t>RUA PARÁ</t>
  </si>
  <si>
    <t xml:space="preserve"> 10°10'47.06"S  59°25'59.57"O</t>
  </si>
  <si>
    <t xml:space="preserve"> 10°10'49.94"S  59°25'56.80"O</t>
  </si>
  <si>
    <t>RUA MARANHÃO</t>
  </si>
  <si>
    <t xml:space="preserve"> 10°10'53.84"S  59°25'53.06"O</t>
  </si>
  <si>
    <t xml:space="preserve"> 10°10'56.36"S  59°25'50.67"O</t>
  </si>
  <si>
    <t>TOTAL &gt;&gt;</t>
  </si>
  <si>
    <t>OBS: Áreas dos Limpa Rodas e Embocaduras discriminadas no Projeto Geométrico.</t>
  </si>
  <si>
    <t>SERVIÇOS DE TERRAPLENAGEM</t>
  </si>
  <si>
    <t>SEÇÕES (VOLUME)</t>
  </si>
  <si>
    <t>LIMPA RODAS E EMBOCADURAS</t>
  </si>
  <si>
    <t>ESCAVAÇÃO TOTAL</t>
  </si>
  <si>
    <t>COMPENSADO CORTE/ATERRO</t>
  </si>
  <si>
    <t>BOTA-FORA</t>
  </si>
  <si>
    <t>TRANSPORTE PARA BOTA FORA</t>
  </si>
  <si>
    <t>CORTE</t>
  </si>
  <si>
    <t>ATERRO</t>
  </si>
  <si>
    <t>PROF. DE ESCAVAÇÃO</t>
  </si>
  <si>
    <t>VOLUME</t>
  </si>
  <si>
    <t>FATOR EMPOL.</t>
  </si>
  <si>
    <t>DMT RP</t>
  </si>
  <si>
    <t>MOM. DE TRANSP.</t>
  </si>
  <si>
    <t>DMT                 P</t>
  </si>
  <si>
    <t>(m³)</t>
  </si>
  <si>
    <t>(km)</t>
  </si>
  <si>
    <t>(m³.km)</t>
  </si>
  <si>
    <t>TOTAL &gt;&gt;&gt;</t>
  </si>
  <si>
    <t>Quantitativos dos volumes de Corte e de Aterro foram retirados da planilha de Cálculo de Terraplenagem</t>
  </si>
  <si>
    <t>P - Transporte com caminhao basculante 10 m3, em via urbana pavimentada</t>
  </si>
  <si>
    <t>RP - Transporte com caminhao basculante 10 m3, em via urbana em revestimento primário</t>
  </si>
  <si>
    <t>REGULARIZAÇÃO DO SUBLEITO, BASE E SUB-BASE</t>
  </si>
  <si>
    <t>EXT.</t>
  </si>
  <si>
    <t>LARGURA MÉDIA</t>
  </si>
  <si>
    <t xml:space="preserve">ÁREA </t>
  </si>
  <si>
    <t>ÁREA LIMPA RODAS</t>
  </si>
  <si>
    <t>CAMADA DE   SUB BASE</t>
  </si>
  <si>
    <t>CAMADA DE BASE</t>
  </si>
  <si>
    <t>ESP.</t>
  </si>
  <si>
    <t>Rua Minas Gerais - Trecho 1</t>
  </si>
  <si>
    <t>Rua Minas Gerais - Trecho 2</t>
  </si>
  <si>
    <t>Rua Minas Gerais - Trecho 3</t>
  </si>
  <si>
    <t>Rua Minas Gerais - Trecho 4</t>
  </si>
  <si>
    <t>Rua São Paulo - Trecho 1</t>
  </si>
  <si>
    <t>Rua São Paulo - Trecho 2</t>
  </si>
  <si>
    <t>Rua São Paulo - Trecho 3</t>
  </si>
  <si>
    <t>Rua São Paulo - Trecho 4</t>
  </si>
  <si>
    <t>Rua Paraná - Trecho 1</t>
  </si>
  <si>
    <t>Rua Paraná - Trecho 2</t>
  </si>
  <si>
    <t>Rua Paraná - Trecho 3</t>
  </si>
  <si>
    <t>Rua Paraná - Trecho 4</t>
  </si>
  <si>
    <t>Rua Santa Catarina - Trecho 1</t>
  </si>
  <si>
    <t>Rua Santa Catarina - Trecho 2</t>
  </si>
  <si>
    <t>Rua Santa Catarina - Trecho 3</t>
  </si>
  <si>
    <t>Avenida São José Marello</t>
  </si>
  <si>
    <t>Rua Mis. Paulo Leivas Macalão</t>
  </si>
  <si>
    <t>Rua Amazonas</t>
  </si>
  <si>
    <t>Rua Mato Grosso</t>
  </si>
  <si>
    <t>Rua Mato Grosso do Sul</t>
  </si>
  <si>
    <t xml:space="preserve">SUB -TOTAL &gt;&gt;    </t>
  </si>
  <si>
    <t>Rua Mis. Daniel Berg - Trecho 1</t>
  </si>
  <si>
    <t>Rua Mis. Daniel Berg - Trecho 2</t>
  </si>
  <si>
    <t>Avenida Papa João Paulo II</t>
  </si>
  <si>
    <t>Rua Rio Grande do Sul - Trecho 1</t>
  </si>
  <si>
    <t>Rua Rio Grande do Sul - Trecho 2</t>
  </si>
  <si>
    <t>Rua Cerejeiras</t>
  </si>
  <si>
    <t>Rua Espírito Santo</t>
  </si>
  <si>
    <t>Rua Bahia - Trecho 1</t>
  </si>
  <si>
    <t>Rua Bahia - Trecho 2</t>
  </si>
  <si>
    <t>Rua Sergipe</t>
  </si>
  <si>
    <t>Rua Alagoas - Trecho 1</t>
  </si>
  <si>
    <t>Rua Alagoas - Trecho 2</t>
  </si>
  <si>
    <t>Rua Pernambuco</t>
  </si>
  <si>
    <t>Rua Paraíba - Trecho 1</t>
  </si>
  <si>
    <t>Rua Paraíba - Trecho 2</t>
  </si>
  <si>
    <t>avenida São José Marello</t>
  </si>
  <si>
    <t>Rua Ceará</t>
  </si>
  <si>
    <t>Rua Mato Grosso - Trecho 1</t>
  </si>
  <si>
    <t>Rua Mato Grosso - Trecho 2</t>
  </si>
  <si>
    <t>Rua Mato Grosso - Trecho 3</t>
  </si>
  <si>
    <t>Rua Mato Grosso do Sul - Trecho 1</t>
  </si>
  <si>
    <t>Rua Mato Grosso do Sul - Trecho 2</t>
  </si>
  <si>
    <t>Rua Mato Grosso do Sul - Trecho 3</t>
  </si>
  <si>
    <t>Rua Pará</t>
  </si>
  <si>
    <t>Rua Maranhão</t>
  </si>
  <si>
    <t xml:space="preserve">TOTAL &gt;&gt;    </t>
  </si>
  <si>
    <t>IMPRIMAÇÃO E TSD</t>
  </si>
  <si>
    <t>ASFALTO DILUÍDO CM-30</t>
  </si>
  <si>
    <t>EMULSÃO    ASFÁLTICA RR-2C</t>
  </si>
  <si>
    <t>(t/m²)</t>
  </si>
  <si>
    <t>TAREFA OU SERVIÇO</t>
  </si>
  <si>
    <t xml:space="preserve">QUANT. </t>
  </si>
  <si>
    <t>UND</t>
  </si>
  <si>
    <t>F. UTILIZAÇÃO</t>
  </si>
  <si>
    <t>PESO A</t>
  </si>
  <si>
    <t>MOMENTO DE</t>
  </si>
  <si>
    <t>FATOR</t>
  </si>
  <si>
    <t>TRANSPORTAR</t>
  </si>
  <si>
    <t>( Km )</t>
  </si>
  <si>
    <t>TRANSPORTE              ( m³.km )</t>
  </si>
  <si>
    <t>JAZIDA</t>
  </si>
  <si>
    <t>SUB-BASE</t>
  </si>
  <si>
    <t>SOLO</t>
  </si>
  <si>
    <t>m³</t>
  </si>
  <si>
    <t>m³/m³</t>
  </si>
  <si>
    <t>m³.Km</t>
  </si>
  <si>
    <t>BASE DE SOLO ESTABILIZADO GRANULOMETRICAMENTE SEM MISTURA COM MATERIAL DE JAZIDA</t>
  </si>
  <si>
    <t>TOTAL &gt;</t>
  </si>
  <si>
    <t>m²</t>
  </si>
  <si>
    <t>m³/m²</t>
  </si>
  <si>
    <t>TRANSPORTE COM CAMINHÃO BASCULANTE DE 10 M³, EM VIA URBANA PAVIMENTADA, ADICIONAL PARA DMT EXCEDENTE A 30 KM (UNIDADE: M3XKM). AF_07/2020</t>
  </si>
  <si>
    <t xml:space="preserve">TRANSPORTE COM CAMINHÃO TANQUE DE TRANSPORTE DE MATERIAL ASFÁLTICO DE 30000 L, EM VIA URBANA EM  REVESTIMENTO PRIMÁRIO </t>
  </si>
  <si>
    <t>EXECUÇÃO DE IMPRIMAÇÃO COM ASFALTO DILUÍDO CM-30. AF_11/2019</t>
  </si>
  <si>
    <t>t/m²</t>
  </si>
  <si>
    <t>t.Km</t>
  </si>
  <si>
    <t xml:space="preserve">TRANSPORTE COM CAMINHÃO TANQUE DE TRANSPORTE DE MATERIAL ASFÁLTICO DE 30000 L, EM VIA URBANA PAVIMENTADA, DMT ATÉ 30KM </t>
  </si>
  <si>
    <t xml:space="preserve">TRANSPORTE COM CAMINHÃO TANQUE DE TRANSPORTE DE MATERIAL ASFÁLTICO DE 30000 L, EM VIA URBANA PAVIMENTADA, ADICIONAL PARA DMT EXCEDENTE A 30 KM </t>
  </si>
  <si>
    <t>PASSEIO PÚBLICO</t>
  </si>
  <si>
    <t>VIA</t>
  </si>
  <si>
    <t>EXTENSÃO PARCIAL</t>
  </si>
  <si>
    <t>EXTENSÃO TOTAL</t>
  </si>
  <si>
    <t>ESPESSURA DE REGULARIZAÇÃO E COMPACTAÇÃO</t>
  </si>
  <si>
    <t>ESPESSURA CALÇADA</t>
  </si>
  <si>
    <t>VOLUME TOTAL</t>
  </si>
  <si>
    <t>LASTRO DE BRITA</t>
  </si>
  <si>
    <t>LADO ESQUERDO</t>
  </si>
  <si>
    <t>LADO DIREITO</t>
  </si>
  <si>
    <t>DETALHADA (m)</t>
  </si>
  <si>
    <t>4,65+161,78+4,37</t>
  </si>
  <si>
    <t>4,15+163,04+4,45</t>
  </si>
  <si>
    <t>4,4+134,33+4,4</t>
  </si>
  <si>
    <t>4,43+134,35+4,4</t>
  </si>
  <si>
    <t>4,44+59,03+4,36</t>
  </si>
  <si>
    <t>4,35+59,05+4,44</t>
  </si>
  <si>
    <t>4,35+76,01+4,4</t>
  </si>
  <si>
    <t>4,45+75,72+4,4</t>
  </si>
  <si>
    <t>4,61+155,72+4,41</t>
  </si>
  <si>
    <t>4,19+156,98+4,39</t>
  </si>
  <si>
    <t>4,4+134,23+4,4</t>
  </si>
  <si>
    <t>4,4+134,25+4,39</t>
  </si>
  <si>
    <t>4,41+58,94+4,39</t>
  </si>
  <si>
    <t>4,39+58,96+4,4</t>
  </si>
  <si>
    <t>4,4+83,26+4,4</t>
  </si>
  <si>
    <t>4,39+83,29+4,4</t>
  </si>
  <si>
    <t>4,63+149,87+4,39</t>
  </si>
  <si>
    <t>4,17+151,13+4,63</t>
  </si>
  <si>
    <t>4,41+134,14+4,39</t>
  </si>
  <si>
    <t>4,39+134,16+4,4</t>
  </si>
  <si>
    <t>4,4+58,85+4,4</t>
  </si>
  <si>
    <t>4,39+58,87+5,58</t>
  </si>
  <si>
    <t>4,4+90,04+4,4</t>
  </si>
  <si>
    <t>4,4+90,05+4,4</t>
  </si>
  <si>
    <t>4,62+68,88+4,4+4,4+59,92+4,45+4,29+60,54+58,64+4,4</t>
  </si>
  <si>
    <t>4,18+145,19+134,07+4,39</t>
  </si>
  <si>
    <t>4,4+58,77+4,44</t>
  </si>
  <si>
    <t>4,44+58,79+4,4</t>
  </si>
  <si>
    <t>4,42+96,76+4,4</t>
  </si>
  <si>
    <t>4,38+96,87+4,4</t>
  </si>
  <si>
    <t>4,4+70,82+59,48+58,37+60,89+57,57+5,91+4,17+10,82</t>
  </si>
  <si>
    <t>4,4+397,19</t>
  </si>
  <si>
    <t>4,4+58,46+59,05+58,77+59,80+4,39</t>
  </si>
  <si>
    <t>4,4+58,62+59,18+58,64+59,69+4,4</t>
  </si>
  <si>
    <t>4,4+72,54+4,39</t>
  </si>
  <si>
    <t>4,42+72,53+4,4</t>
  </si>
  <si>
    <t>4,4+72,73+58,03+59,41+58,94+60,36+4,38</t>
  </si>
  <si>
    <t>4,4+72,71+58,07+59,5+58,55+60,57+4,06</t>
  </si>
  <si>
    <t>4,4+72,49+58,20+59,34+58,64+61,27+4,38</t>
  </si>
  <si>
    <t>4,4+72,76+57,95+59,35+58,19+61,59+4,42</t>
  </si>
  <si>
    <t>5,88+136,72+130,73+4,31+133,27+26,54+19,82+4,4</t>
  </si>
  <si>
    <t>4,14+63,87+59,35+59,95+59,43+61,19+57,81+26,47+19,85+4,39</t>
  </si>
  <si>
    <t>4,4+134,28+34,2+25,5+110,23+4,4</t>
  </si>
  <si>
    <t>4,4+60,14+59,12+33,21+25,48+60,45+34,8+4,4</t>
  </si>
  <si>
    <t>4,68+128,03+4,32+4,47+136,39+4,4+4,4+133,18+4,38+4,42+46,56+4,38</t>
  </si>
  <si>
    <t>4,12+130,71+134,9+133,39+46,68+4,41</t>
  </si>
  <si>
    <t>4,44+63,88</t>
  </si>
  <si>
    <t>4,36+63,96</t>
  </si>
  <si>
    <t>4,39+59,59+58,6+58,89+59,94+46,86+4,4</t>
  </si>
  <si>
    <t>4,4+134,18+4,39+4,4+58,7+4,44+4,36+122,99+4,4</t>
  </si>
  <si>
    <t>227,74+106,78+70,92+142,5</t>
  </si>
  <si>
    <t>114,11+4,4+4,4+61,53+4,4+4,4+22,17+33,92+4,4+4,4+57,92+5,2+4,41+4,41+50,39+9,58+4,4+4,4+44,89+57,03</t>
  </si>
  <si>
    <t>4,38+98,98+4,49</t>
  </si>
  <si>
    <t>4,42+98,99+4,38</t>
  </si>
  <si>
    <t>4,4+61,57+4,38</t>
  </si>
  <si>
    <t>4,4+61,47+4,42</t>
  </si>
  <si>
    <t>4,4+97,52+4,37</t>
  </si>
  <si>
    <t>4,4+97,57+4,33</t>
  </si>
  <si>
    <t>4,38+98,29+4,42</t>
  </si>
  <si>
    <t>4,42+98,2+4,41</t>
  </si>
  <si>
    <t>4,4+62,45+4,4</t>
  </si>
  <si>
    <t>4,39+62,47+4,41</t>
  </si>
  <si>
    <t>4,43+98,17+4,36</t>
  </si>
  <si>
    <t>4,34+98,23+4,45</t>
  </si>
  <si>
    <t>4,4+98,71+4,4</t>
  </si>
  <si>
    <t>4,4+98,27+4,07</t>
  </si>
  <si>
    <t>4,4+62,16+4,4</t>
  </si>
  <si>
    <t>4,4+62,19+4,39</t>
  </si>
  <si>
    <t>4,4+98,7+4,38</t>
  </si>
  <si>
    <t>4,4+98,73+4,4</t>
  </si>
  <si>
    <t>4,43+115,02+45,09+4,6+11,64+4,42+4,38+62,29+4,42+4,38+98,79+4,32</t>
  </si>
  <si>
    <t>4,36+115,42+4,38+4,42+44,89+4,62+11,69+62,25+98,79+4,4</t>
  </si>
  <si>
    <t>4,38+112,51+4,4</t>
  </si>
  <si>
    <t>4,42+112,38+4,4</t>
  </si>
  <si>
    <t>4,39+98,07+4,4</t>
  </si>
  <si>
    <t>4,52+98,04+4,4</t>
  </si>
  <si>
    <t>4,38+113,08+4,4</t>
  </si>
  <si>
    <t>4,42+112,95+4,4</t>
  </si>
  <si>
    <t>4,4+65,31+4,42</t>
  </si>
  <si>
    <t>4,4+65,41+4,38</t>
  </si>
  <si>
    <t>4,4+98,19+4,39</t>
  </si>
  <si>
    <t>4,4+98,17+4,4</t>
  </si>
  <si>
    <t>4,38+113,65+4,4</t>
  </si>
  <si>
    <t>4,42+113,53+4,4</t>
  </si>
  <si>
    <t>4,4+63,57+4,4</t>
  </si>
  <si>
    <t>4,4+63,59+4,39</t>
  </si>
  <si>
    <t>4,39+98,31+4,4</t>
  </si>
  <si>
    <t>4,4+98,28+4,4</t>
  </si>
  <si>
    <t>4,4+114,21+4,38</t>
  </si>
  <si>
    <t>4,4+114,1+4,41</t>
  </si>
  <si>
    <t>4,4+98,41+4,39</t>
  </si>
  <si>
    <t>4,4+98,39+4,4</t>
  </si>
  <si>
    <t xml:space="preserve">TOTAL  &gt; </t>
  </si>
  <si>
    <t>TRANSPORTE DE MATERIAIS DE PASSEIO PUBLICO</t>
  </si>
  <si>
    <t>TRANSPORTE COM CAMINHÃO BASCULANTE DE 10 M³, EM VIA URBANA EM REVESTIMENTO PRIMÁRIO (UNIDADE: TXKM). AF_07/2020</t>
  </si>
  <si>
    <t>LASTRO DE BRITA COMERCIAL COMPACTADO COM SOQUETE VIBRATÓRIO - ESPALHAMENTO MANUAL</t>
  </si>
  <si>
    <t>t/m³</t>
  </si>
  <si>
    <t>TRANSPORTE COM CAMINHÃO BASCULANTE DE 10 M³, EM VIA URBANA PAVIMENTADA, DMT ATÉ 30 KM (UNIDADE: TXKM). AF_07/2020</t>
  </si>
  <si>
    <t>TRANSPORTE COM CAMINHÃO BASCULANTE DE 10 M³, EM VIA URBANA PAVIMENTADA, ADICIONAL PARA DMT EXCEDENTE A 30 KM (UNIDADE: TXKM). AF_07/2020</t>
  </si>
  <si>
    <t>PISO TÁTIL</t>
  </si>
  <si>
    <t>Item</t>
  </si>
  <si>
    <t>Via</t>
  </si>
  <si>
    <t>Área da Peça</t>
  </si>
  <si>
    <t>RAMPAS</t>
  </si>
  <si>
    <t>Qtde de rampas</t>
  </si>
  <si>
    <t>Extensão total por rampa</t>
  </si>
  <si>
    <t>Largura</t>
  </si>
  <si>
    <t>Área de Piso Alerta em Rampas</t>
  </si>
  <si>
    <t>(Und)</t>
  </si>
  <si>
    <t xml:space="preserve">TOTAL </t>
  </si>
  <si>
    <t>SERVIÇOS DE SINALIZAÇÃO</t>
  </si>
  <si>
    <t>CÓDIGO: R-1</t>
  </si>
  <si>
    <t>CÓDIGO: R-19</t>
  </si>
  <si>
    <t>CÓDIGO: A-32b</t>
  </si>
  <si>
    <t>TOTAL GERAL DE PLACAS &gt;&gt;</t>
  </si>
  <si>
    <t xml:space="preserve">NOTA:  </t>
  </si>
  <si>
    <t>Ver detalhes no Projeto de sinalização, pertencente ao Volume 2 - Projeto de Execução.</t>
  </si>
  <si>
    <t>LINHA SIMPLES CONTÍNUA                                               (LFO-1)</t>
  </si>
  <si>
    <t>LINHA SIMPLES SECCIONADA                                                      (LFO-2)</t>
  </si>
  <si>
    <t>LINHA DE RETENÇÃO (LRE)</t>
  </si>
  <si>
    <t>EXTENSÃO (m)</t>
  </si>
  <si>
    <t>ESPESSURA (m)</t>
  </si>
  <si>
    <t>ÁREA (m²)</t>
  </si>
  <si>
    <t>ÁREA                 (m²)</t>
  </si>
  <si>
    <t>LINHA DE BORDO                                                (LBO)</t>
  </si>
  <si>
    <t xml:space="preserve">LEGENDA "PARE" </t>
  </si>
  <si>
    <t>FAIXA DE TRAVESSIA DE                                                                         PEDESTRES (FTP-1)</t>
  </si>
  <si>
    <t>ÁREA TOTAL                (m²)</t>
  </si>
  <si>
    <t>PINTURA DE FAIXA COM TINTA ACRÍLICA - ESPESSURA DE 0,6 MM</t>
  </si>
  <si>
    <t>PINTURA DE SETAS E ZEBRADOS COM TINTA ACRÍLICA - ESPESSURA DE 0,6 MM</t>
  </si>
  <si>
    <t>MEIO-FIO E SARJETA CONJUGADOS</t>
  </si>
  <si>
    <t xml:space="preserve">TRECHOS RETOS </t>
  </si>
  <si>
    <t>TRECHOS CURVOS</t>
  </si>
  <si>
    <t>EXTENSÃO DETALHADA</t>
  </si>
  <si>
    <t>EXT. TOTAL</t>
  </si>
  <si>
    <t>LADO ESQUERDO (m)</t>
  </si>
  <si>
    <t>LADO DIREITO (m)</t>
  </si>
  <si>
    <t>(M)</t>
  </si>
  <si>
    <t>6,14+5,48+5,78+5,85</t>
  </si>
  <si>
    <t>5,82+5,81+5,81+5,81</t>
  </si>
  <si>
    <t>5,87+5,75+5,87+5,76</t>
  </si>
  <si>
    <t>5,75+5,88+5,81+5,81</t>
  </si>
  <si>
    <t>6,09+5,53+5,82+5,80</t>
  </si>
  <si>
    <t>5,81+5,81+5,82+5,81</t>
  </si>
  <si>
    <t>5,82+5,8+5,81+5,82</t>
  </si>
  <si>
    <t>5,58+5,81+5,81+5,81</t>
  </si>
  <si>
    <t>6,12+5,51+5,8+5,82</t>
  </si>
  <si>
    <t>5,82+5,8+5,57+5,82</t>
  </si>
  <si>
    <t>5,82+5,8+5,81+5,81</t>
  </si>
  <si>
    <t>5,81+5,81+5,81+5,81</t>
  </si>
  <si>
    <t>68,88+59,92+60,54+58,64</t>
  </si>
  <si>
    <t>145,19+134,07</t>
  </si>
  <si>
    <t>6,1+5,52+5,81+5,81+5,91+5,72+5,82+5,81</t>
  </si>
  <si>
    <t>5,84+5,79+5,81+5,81</t>
  </si>
  <si>
    <t>70,82+59,48+58,37+60,89+57,56+10,82</t>
  </si>
  <si>
    <t>5,81+5,81+6,09+5,54</t>
  </si>
  <si>
    <t>58,56+59,05+58,77+59,80</t>
  </si>
  <si>
    <t>58,62+59,18+58,64+59,69</t>
  </si>
  <si>
    <t>5,81+5,81+5,8+5,81</t>
  </si>
  <si>
    <t>5,81+5,83+5,8+5,82</t>
  </si>
  <si>
    <t>72,73+58,03+59,41+58,94+60,36</t>
  </si>
  <si>
    <t>72,71+58,07+59,5+58,55+60,57</t>
  </si>
  <si>
    <t>5,81+5,82+5,79+5,37</t>
  </si>
  <si>
    <t>72,49+58,20+59,34+58,64+61,27</t>
  </si>
  <si>
    <t>72,76+57,95+59,35+58,19+61,59</t>
  </si>
  <si>
    <t>5,81+5,81+5,79+5,84</t>
  </si>
  <si>
    <t>136,72+135,04+133,27+46,36</t>
  </si>
  <si>
    <t>63,87+59,35+59,95+59,43+61,19+57,81+46,32</t>
  </si>
  <si>
    <t>6,16+5,47+5,84+5,79+5,83+5,81+5,8+5,82+5,82+5,84</t>
  </si>
  <si>
    <t>134,28+59,7+110,23</t>
  </si>
  <si>
    <t>60,14+59,12+58,69+60,45+34,8</t>
  </si>
  <si>
    <t>128,03+136,39+133,18+46,56</t>
  </si>
  <si>
    <t>130,71+134,9+133,39+46,68</t>
  </si>
  <si>
    <t>6,18+5,45+5,71+5,91+5,81+5,81+5,78+5,84+5,79+5,84</t>
  </si>
  <si>
    <t>5,86+5,78</t>
  </si>
  <si>
    <t>59,59+58,6+58,89+59,94+46,86</t>
  </si>
  <si>
    <t>134,18+58,7+122,98</t>
  </si>
  <si>
    <t>5,81+5,82+5,82+5,81+5,82+5,81+5,82+5,81+5,81+5,81+5,76+5,87+5,83+5,79+5,81+5,81</t>
  </si>
  <si>
    <t>194,56+18,19+106,78+70,92+13,07+114,42</t>
  </si>
  <si>
    <t>114,11+61,53+56,08+63,12+50,39+9,58+44,89+57,03</t>
  </si>
  <si>
    <t>5,81+5,81+5,81+5,81+5,81+5,81+5,83+5,83+5,81+5,81+5,81+5,81+5,66+5,96</t>
  </si>
  <si>
    <t>5,84+5,78+5,82+5,93</t>
  </si>
  <si>
    <t>5,81+5,81</t>
  </si>
  <si>
    <t>5,81+5,81+5,73+5,77</t>
  </si>
  <si>
    <t>5,84+5,79+5,83+5,84</t>
  </si>
  <si>
    <t>5,8+5,82</t>
  </si>
  <si>
    <t>5,73+5,86+5,89+5,76</t>
  </si>
  <si>
    <t>5,81+5,81+5,81+5,82</t>
  </si>
  <si>
    <t>5,81+5,81+5,81+5,79</t>
  </si>
  <si>
    <t>115,02+61,33+62,29+98,79</t>
  </si>
  <si>
    <t>115,42+61,1+62,25+98,79</t>
  </si>
  <si>
    <t>5,76+5,86+5,84+5,76+5,83+5,78+5,81+5,78+5,81+5,82</t>
  </si>
  <si>
    <t>5,84+5,79</t>
  </si>
  <si>
    <t>5,81+5,82+5,81+5,81</t>
  </si>
  <si>
    <t>5,84+5,78</t>
  </si>
  <si>
    <t>5,82+5,81</t>
  </si>
  <si>
    <t>TOTAL DE MEIO FIO E SARJETA CONJUGADOS &gt;&gt;</t>
  </si>
  <si>
    <t>SERVIÇOS DE DRENAGEM</t>
  </si>
  <si>
    <t>RESULTADO DOS CÁLCULOS DAS SARJETAS</t>
  </si>
  <si>
    <t>Grupo</t>
  </si>
  <si>
    <t>Sarjeta</t>
  </si>
  <si>
    <t>Compr. (m)</t>
  </si>
  <si>
    <t>Decl. (m/m)</t>
  </si>
  <si>
    <t>Área Parcial (há)</t>
  </si>
  <si>
    <t>Decli-vidade</t>
  </si>
  <si>
    <t>Coef. Esc.</t>
  </si>
  <si>
    <t>tc (min)</t>
  </si>
  <si>
    <t>i (mm/h)</t>
  </si>
  <si>
    <t>Q mon/jus (m3/s)</t>
  </si>
  <si>
    <t>Q Engolida (m3/s)</t>
  </si>
  <si>
    <t>nº Bocas de Lobo</t>
  </si>
  <si>
    <t>Cap. Por Boca (m3/s)</t>
  </si>
  <si>
    <t>V mon/jus (m/s)</t>
  </si>
  <si>
    <t>y (mon/jus)</t>
  </si>
  <si>
    <t>Larg. Mon/jus (m)</t>
  </si>
  <si>
    <t>Cap. Sarj. (m3/s)</t>
  </si>
  <si>
    <t>Condição</t>
  </si>
  <si>
    <t>BLS</t>
  </si>
  <si>
    <t>BLD</t>
  </si>
  <si>
    <t>1</t>
  </si>
  <si>
    <t>S1</t>
  </si>
  <si>
    <t>91,11</t>
  </si>
  <si>
    <t xml:space="preserve"> 0,023</t>
  </si>
  <si>
    <t xml:space="preserve">    0,141</t>
  </si>
  <si>
    <t>0,70</t>
  </si>
  <si>
    <t>10,00</t>
  </si>
  <si>
    <t>182,10</t>
  </si>
  <si>
    <t xml:space="preserve">    0,0000</t>
  </si>
  <si>
    <t xml:space="preserve">    0,00</t>
  </si>
  <si>
    <t xml:space="preserve">    0,1403</t>
  </si>
  <si>
    <t xml:space="preserve">    0,0500</t>
  </si>
  <si>
    <t>2</t>
  </si>
  <si>
    <t xml:space="preserve">    0,040</t>
  </si>
  <si>
    <t xml:space="preserve">    0,92</t>
  </si>
  <si>
    <t xml:space="preserve">    0,07</t>
  </si>
  <si>
    <t xml:space="preserve">    2,26</t>
  </si>
  <si>
    <t>S2</t>
  </si>
  <si>
    <t>75,31</t>
  </si>
  <si>
    <t xml:space="preserve"> 0,030</t>
  </si>
  <si>
    <t xml:space="preserve">    0,155</t>
  </si>
  <si>
    <t xml:space="preserve">    0,1605</t>
  </si>
  <si>
    <t xml:space="preserve">    0,0547</t>
  </si>
  <si>
    <t xml:space="preserve">    1,04</t>
  </si>
  <si>
    <t xml:space="preserve">    2,21</t>
  </si>
  <si>
    <t>S3</t>
  </si>
  <si>
    <t>75,19</t>
  </si>
  <si>
    <t xml:space="preserve"> 0,032</t>
  </si>
  <si>
    <t xml:space="preserve">    0,156</t>
  </si>
  <si>
    <t xml:space="preserve">    0,1658</t>
  </si>
  <si>
    <t xml:space="preserve">    0,0551</t>
  </si>
  <si>
    <t xml:space="preserve">    1,07</t>
  </si>
  <si>
    <t xml:space="preserve">    2,19</t>
  </si>
  <si>
    <t>S4</t>
  </si>
  <si>
    <t>75,81</t>
  </si>
  <si>
    <t xml:space="preserve"> 0,041</t>
  </si>
  <si>
    <t xml:space="preserve">    0,168</t>
  </si>
  <si>
    <t xml:space="preserve">    0,1869</t>
  </si>
  <si>
    <t xml:space="preserve">    0,0595</t>
  </si>
  <si>
    <t xml:space="preserve">    1,20</t>
  </si>
  <si>
    <t xml:space="preserve">    2,15</t>
  </si>
  <si>
    <t>S5</t>
  </si>
  <si>
    <t>83,08</t>
  </si>
  <si>
    <t xml:space="preserve">    0,187</t>
  </si>
  <si>
    <t xml:space="preserve">    0,1398</t>
  </si>
  <si>
    <t xml:space="preserve">    0,0662</t>
  </si>
  <si>
    <t xml:space="preserve">    0,96</t>
  </si>
  <si>
    <t xml:space="preserve">    0,08</t>
  </si>
  <si>
    <t xml:space="preserve">    2,56</t>
  </si>
  <si>
    <t>S11</t>
  </si>
  <si>
    <t>67,48</t>
  </si>
  <si>
    <t xml:space="preserve"> 0,019</t>
  </si>
  <si>
    <t xml:space="preserve">    0,148</t>
  </si>
  <si>
    <t xml:space="preserve">    0,1273</t>
  </si>
  <si>
    <t xml:space="preserve">    0,0525</t>
  </si>
  <si>
    <t xml:space="preserve">    0,85</t>
  </si>
  <si>
    <t xml:space="preserve">    2,41</t>
  </si>
  <si>
    <t>3</t>
  </si>
  <si>
    <t>S12</t>
  </si>
  <si>
    <t>63,87</t>
  </si>
  <si>
    <t xml:space="preserve">    0,178</t>
  </si>
  <si>
    <t xml:space="preserve">    0,1288</t>
  </si>
  <si>
    <t xml:space="preserve">    0,0631</t>
  </si>
  <si>
    <t xml:space="preserve">    0,89</t>
  </si>
  <si>
    <t xml:space="preserve">    2,60</t>
  </si>
  <si>
    <t>4</t>
  </si>
  <si>
    <t>S13</t>
  </si>
  <si>
    <t>63,88</t>
  </si>
  <si>
    <t xml:space="preserve"> 0,027</t>
  </si>
  <si>
    <t xml:space="preserve">    0,174</t>
  </si>
  <si>
    <t xml:space="preserve">    0,1516</t>
  </si>
  <si>
    <t xml:space="preserve">    0,0616</t>
  </si>
  <si>
    <t xml:space="preserve">    1,01</t>
  </si>
  <si>
    <t xml:space="preserve">    2,39</t>
  </si>
  <si>
    <t>5</t>
  </si>
  <si>
    <t>S14</t>
  </si>
  <si>
    <t>63,58</t>
  </si>
  <si>
    <t xml:space="preserve"> 0,025</t>
  </si>
  <si>
    <t xml:space="preserve">    0,145</t>
  </si>
  <si>
    <t xml:space="preserve">    0,1475</t>
  </si>
  <si>
    <t xml:space="preserve">    0,0514</t>
  </si>
  <si>
    <t xml:space="preserve">    2,24</t>
  </si>
  <si>
    <t>6</t>
  </si>
  <si>
    <t>S15</t>
  </si>
  <si>
    <t>66,88</t>
  </si>
  <si>
    <t xml:space="preserve"> 0,021</t>
  </si>
  <si>
    <t xml:space="preserve">    0,170</t>
  </si>
  <si>
    <t xml:space="preserve">    0,1332</t>
  </si>
  <si>
    <t xml:space="preserve">    0,0602</t>
  </si>
  <si>
    <t xml:space="preserve">    0,91</t>
  </si>
  <si>
    <t xml:space="preserve">    2,51</t>
  </si>
  <si>
    <t>7</t>
  </si>
  <si>
    <t>S19</t>
  </si>
  <si>
    <t>77,62</t>
  </si>
  <si>
    <t xml:space="preserve">    0,169</t>
  </si>
  <si>
    <t xml:space="preserve">    0,1335</t>
  </si>
  <si>
    <t>Dispensa de Galeria</t>
  </si>
  <si>
    <t xml:space="preserve">    0,0597</t>
  </si>
  <si>
    <t xml:space="preserve">    2,49</t>
  </si>
  <si>
    <t>8</t>
  </si>
  <si>
    <t>S21</t>
  </si>
  <si>
    <t>65,84</t>
  </si>
  <si>
    <t xml:space="preserve"> 0,011</t>
  </si>
  <si>
    <t xml:space="preserve">    0,153</t>
  </si>
  <si>
    <t xml:space="preserve">    0,0980</t>
  </si>
  <si>
    <t xml:space="preserve">    0,0543</t>
  </si>
  <si>
    <t xml:space="preserve">    0,69</t>
  </si>
  <si>
    <t xml:space="preserve">    2,74</t>
  </si>
  <si>
    <t>9</t>
  </si>
  <si>
    <t>S26</t>
  </si>
  <si>
    <t>65,77</t>
  </si>
  <si>
    <t xml:space="preserve">    0,134</t>
  </si>
  <si>
    <t xml:space="preserve">    0,0475</t>
  </si>
  <si>
    <t xml:space="preserve">    0,68</t>
  </si>
  <si>
    <t xml:space="preserve">    2,58</t>
  </si>
  <si>
    <t>10</t>
  </si>
  <si>
    <t>S27</t>
  </si>
  <si>
    <t xml:space="preserve"> 0,017</t>
  </si>
  <si>
    <t xml:space="preserve">    0,135</t>
  </si>
  <si>
    <t xml:space="preserve">    0,1213</t>
  </si>
  <si>
    <t xml:space="preserve">    0,0478</t>
  </si>
  <si>
    <t xml:space="preserve">    0,81</t>
  </si>
  <si>
    <t xml:space="preserve">    2,36</t>
  </si>
  <si>
    <t>11</t>
  </si>
  <si>
    <t>S28</t>
  </si>
  <si>
    <t>65,24</t>
  </si>
  <si>
    <t xml:space="preserve"> 0,014</t>
  </si>
  <si>
    <t xml:space="preserve">    0,142</t>
  </si>
  <si>
    <t xml:space="preserve">    0,1097</t>
  </si>
  <si>
    <t xml:space="preserve">    0,0502</t>
  </si>
  <si>
    <t xml:space="preserve">    0,75</t>
  </si>
  <si>
    <t xml:space="preserve">    2,52</t>
  </si>
  <si>
    <t>12</t>
  </si>
  <si>
    <t>S29</t>
  </si>
  <si>
    <t>62,75</t>
  </si>
  <si>
    <t xml:space="preserve"> 0,013</t>
  </si>
  <si>
    <t xml:space="preserve">    0,132</t>
  </si>
  <si>
    <t xml:space="preserve">    0,1050</t>
  </si>
  <si>
    <t xml:space="preserve">    0,0467</t>
  </si>
  <si>
    <t xml:space="preserve">    0,71</t>
  </si>
  <si>
    <t>13</t>
  </si>
  <si>
    <t>S30</t>
  </si>
  <si>
    <t>77,90</t>
  </si>
  <si>
    <t xml:space="preserve">    0,154</t>
  </si>
  <si>
    <t xml:space="preserve">    0,1324</t>
  </si>
  <si>
    <t xml:space="preserve">    0,0544</t>
  </si>
  <si>
    <t xml:space="preserve">    2,40</t>
  </si>
  <si>
    <t>14</t>
  </si>
  <si>
    <t>S31</t>
  </si>
  <si>
    <t>67,71</t>
  </si>
  <si>
    <t xml:space="preserve"> 0,020</t>
  </si>
  <si>
    <t xml:space="preserve">    0,130</t>
  </si>
  <si>
    <t xml:space="preserve">    0,1319</t>
  </si>
  <si>
    <t xml:space="preserve">    0,0461</t>
  </si>
  <si>
    <t xml:space="preserve">    0,86</t>
  </si>
  <si>
    <t>15</t>
  </si>
  <si>
    <t>S36</t>
  </si>
  <si>
    <t>65,79</t>
  </si>
  <si>
    <t xml:space="preserve"> 0,016</t>
  </si>
  <si>
    <t xml:space="preserve">    0,151</t>
  </si>
  <si>
    <t xml:space="preserve">    0,1173</t>
  </si>
  <si>
    <t xml:space="preserve">    0,0534</t>
  </si>
  <si>
    <t xml:space="preserve">    0,80</t>
  </si>
  <si>
    <t>16</t>
  </si>
  <si>
    <t>S37</t>
  </si>
  <si>
    <t>64,96</t>
  </si>
  <si>
    <t xml:space="preserve">    0,158</t>
  </si>
  <si>
    <t xml:space="preserve">    0,1164</t>
  </si>
  <si>
    <t xml:space="preserve">    0,0560</t>
  </si>
  <si>
    <t>17</t>
  </si>
  <si>
    <t>S38</t>
  </si>
  <si>
    <t>65,23</t>
  </si>
  <si>
    <t xml:space="preserve">    0,165</t>
  </si>
  <si>
    <t xml:space="preserve">    0,1200</t>
  </si>
  <si>
    <t xml:space="preserve">    0,0582</t>
  </si>
  <si>
    <t xml:space="preserve">    0,83</t>
  </si>
  <si>
    <t xml:space="preserve">    2,59</t>
  </si>
  <si>
    <t>18</t>
  </si>
  <si>
    <t>S39</t>
  </si>
  <si>
    <t>63,85</t>
  </si>
  <si>
    <t xml:space="preserve">    0,1157</t>
  </si>
  <si>
    <t xml:space="preserve">    0,0584</t>
  </si>
  <si>
    <t xml:space="preserve">    2,63</t>
  </si>
  <si>
    <t>19</t>
  </si>
  <si>
    <t>S40</t>
  </si>
  <si>
    <t>78,98</t>
  </si>
  <si>
    <t xml:space="preserve">    0,181</t>
  </si>
  <si>
    <t xml:space="preserve">    0,1217</t>
  </si>
  <si>
    <t xml:space="preserve">    0,0641</t>
  </si>
  <si>
    <t xml:space="preserve">    2,68</t>
  </si>
  <si>
    <t>20</t>
  </si>
  <si>
    <t>S41</t>
  </si>
  <si>
    <t>79,45</t>
  </si>
  <si>
    <t xml:space="preserve">    0,249</t>
  </si>
  <si>
    <t xml:space="preserve">    0,0081</t>
  </si>
  <si>
    <t xml:space="preserve">    0,0800</t>
  </si>
  <si>
    <t xml:space="preserve">    0,09</t>
  </si>
  <si>
    <t xml:space="preserve">    3,20</t>
  </si>
  <si>
    <t>21</t>
  </si>
  <si>
    <t>S42</t>
  </si>
  <si>
    <t>88,33</t>
  </si>
  <si>
    <t xml:space="preserve"> 0,004</t>
  </si>
  <si>
    <t xml:space="preserve">    0,265</t>
  </si>
  <si>
    <t xml:space="preserve">    0,0937</t>
  </si>
  <si>
    <t xml:space="preserve">    0,060</t>
  </si>
  <si>
    <t xml:space="preserve">    0,50</t>
  </si>
  <si>
    <t xml:space="preserve">    0,11</t>
  </si>
  <si>
    <t xml:space="preserve">    4,38</t>
  </si>
  <si>
    <t>S43</t>
  </si>
  <si>
    <t>79,70</t>
  </si>
  <si>
    <t xml:space="preserve">    0,248</t>
  </si>
  <si>
    <t xml:space="preserve">    0,0971</t>
  </si>
  <si>
    <t xml:space="preserve">    0,0076</t>
  </si>
  <si>
    <t xml:space="preserve">    3,36</t>
  </si>
  <si>
    <t>22</t>
  </si>
  <si>
    <t>S45</t>
  </si>
  <si>
    <t>87,78</t>
  </si>
  <si>
    <t xml:space="preserve">    0,273</t>
  </si>
  <si>
    <t xml:space="preserve">    0,0965</t>
  </si>
  <si>
    <t xml:space="preserve">    4,44</t>
  </si>
  <si>
    <t>S46</t>
  </si>
  <si>
    <t>78,05</t>
  </si>
  <si>
    <t xml:space="preserve"> 0,018</t>
  </si>
  <si>
    <t xml:space="preserve">    0,246</t>
  </si>
  <si>
    <t xml:space="preserve">    0,1229</t>
  </si>
  <si>
    <t xml:space="preserve">    0,0072</t>
  </si>
  <si>
    <t xml:space="preserve">    3,04</t>
  </si>
  <si>
    <t>S7</t>
  </si>
  <si>
    <t>67,13</t>
  </si>
  <si>
    <t>12,05</t>
  </si>
  <si>
    <t xml:space="preserve">    0,79</t>
  </si>
  <si>
    <t xml:space="preserve">    0,04</t>
  </si>
  <si>
    <t xml:space="preserve">    0,74</t>
  </si>
  <si>
    <t xml:space="preserve">    0,188</t>
  </si>
  <si>
    <t xml:space="preserve">    0,0666</t>
  </si>
  <si>
    <t xml:space="preserve">    1,00</t>
  </si>
  <si>
    <t>23</t>
  </si>
  <si>
    <t>S44</t>
  </si>
  <si>
    <t>79,23</t>
  </si>
  <si>
    <t xml:space="preserve">    0,232</t>
  </si>
  <si>
    <t xml:space="preserve">    0,1099</t>
  </si>
  <si>
    <t xml:space="preserve">    0,0021</t>
  </si>
  <si>
    <t xml:space="preserve">    0,82</t>
  </si>
  <si>
    <t xml:space="preserve">    3,10</t>
  </si>
  <si>
    <t>S16</t>
  </si>
  <si>
    <t>64,14</t>
  </si>
  <si>
    <t xml:space="preserve">    0,175</t>
  </si>
  <si>
    <t>11,82</t>
  </si>
  <si>
    <t xml:space="preserve">    0,55</t>
  </si>
  <si>
    <t xml:space="preserve">    0,03</t>
  </si>
  <si>
    <t xml:space="preserve">    0,27</t>
  </si>
  <si>
    <t xml:space="preserve">    0,1227</t>
  </si>
  <si>
    <t xml:space="preserve">    0,0642</t>
  </si>
  <si>
    <t xml:space="preserve">    2,67</t>
  </si>
  <si>
    <t>24</t>
  </si>
  <si>
    <t>S47</t>
  </si>
  <si>
    <t>99,31</t>
  </si>
  <si>
    <t xml:space="preserve"> 0,009</t>
  </si>
  <si>
    <t xml:space="preserve">    0,274</t>
  </si>
  <si>
    <t xml:space="preserve">    0,0890</t>
  </si>
  <si>
    <t xml:space="preserve">    0,72</t>
  </si>
  <si>
    <t xml:space="preserve">    0,10</t>
  </si>
  <si>
    <t xml:space="preserve">    3,63</t>
  </si>
  <si>
    <t>25</t>
  </si>
  <si>
    <t>S48</t>
  </si>
  <si>
    <t>82,08</t>
  </si>
  <si>
    <t xml:space="preserve">    0,237</t>
  </si>
  <si>
    <t xml:space="preserve">    0,1035</t>
  </si>
  <si>
    <t xml:space="preserve">    0,0041</t>
  </si>
  <si>
    <t xml:space="preserve">    3,21</t>
  </si>
  <si>
    <t>S49</t>
  </si>
  <si>
    <t>79,90</t>
  </si>
  <si>
    <t xml:space="preserve">    0,211</t>
  </si>
  <si>
    <t>11,77</t>
  </si>
  <si>
    <t xml:space="preserve">    0,57</t>
  </si>
  <si>
    <t xml:space="preserve">    0,59</t>
  </si>
  <si>
    <t xml:space="preserve">    0,1074</t>
  </si>
  <si>
    <t xml:space="preserve">    0,222</t>
  </si>
  <si>
    <t xml:space="preserve">    0,0786</t>
  </si>
  <si>
    <t xml:space="preserve">    3,08</t>
  </si>
  <si>
    <t>26</t>
  </si>
  <si>
    <t>S51</t>
  </si>
  <si>
    <t>80,87</t>
  </si>
  <si>
    <t xml:space="preserve">    0,244</t>
  </si>
  <si>
    <t xml:space="preserve">    0,1043</t>
  </si>
  <si>
    <t xml:space="preserve">    0,0064</t>
  </si>
  <si>
    <t xml:space="preserve">    3,24</t>
  </si>
  <si>
    <t>S52</t>
  </si>
  <si>
    <t>78,79</t>
  </si>
  <si>
    <t xml:space="preserve"> 0,022</t>
  </si>
  <si>
    <t xml:space="preserve">    0,220</t>
  </si>
  <si>
    <t>11,46</t>
  </si>
  <si>
    <t xml:space="preserve">    0,73</t>
  </si>
  <si>
    <t xml:space="preserve">    0,1361</t>
  </si>
  <si>
    <t xml:space="preserve">    0,238</t>
  </si>
  <si>
    <t xml:space="preserve">    0,0042</t>
  </si>
  <si>
    <t xml:space="preserve">    0,98</t>
  </si>
  <si>
    <t xml:space="preserve">    2,87</t>
  </si>
  <si>
    <t>S8</t>
  </si>
  <si>
    <t>63,64</t>
  </si>
  <si>
    <t xml:space="preserve">    0,199</t>
  </si>
  <si>
    <t>12,33</t>
  </si>
  <si>
    <t xml:space="preserve">    0,70</t>
  </si>
  <si>
    <t xml:space="preserve">    0,49</t>
  </si>
  <si>
    <t xml:space="preserve">    0,1351</t>
  </si>
  <si>
    <t xml:space="preserve">    0,0747</t>
  </si>
  <si>
    <t xml:space="preserve">    0,95</t>
  </si>
  <si>
    <t xml:space="preserve">    2,73</t>
  </si>
  <si>
    <t>27</t>
  </si>
  <si>
    <t>S50</t>
  </si>
  <si>
    <t xml:space="preserve"> 0,012</t>
  </si>
  <si>
    <t xml:space="preserve">    0,307</t>
  </si>
  <si>
    <t xml:space="preserve">    0,1024</t>
  </si>
  <si>
    <t xml:space="preserve">    0,0286</t>
  </si>
  <si>
    <t xml:space="preserve">    3,59</t>
  </si>
  <si>
    <t>S17</t>
  </si>
  <si>
    <t xml:space="preserve">    0,177</t>
  </si>
  <si>
    <t>11,43</t>
  </si>
  <si>
    <t xml:space="preserve">    0,90</t>
  </si>
  <si>
    <t xml:space="preserve">    0,06</t>
  </si>
  <si>
    <t xml:space="preserve">    1,68</t>
  </si>
  <si>
    <t xml:space="preserve">    0,1517</t>
  </si>
  <si>
    <t xml:space="preserve">    0,258</t>
  </si>
  <si>
    <t xml:space="preserve">    0,0113</t>
  </si>
  <si>
    <t xml:space="preserve">    1,09</t>
  </si>
  <si>
    <t xml:space="preserve">    2,83</t>
  </si>
  <si>
    <t>28</t>
  </si>
  <si>
    <t>S53</t>
  </si>
  <si>
    <t>98,23</t>
  </si>
  <si>
    <t xml:space="preserve">    0,301</t>
  </si>
  <si>
    <t xml:space="preserve">    0,1179</t>
  </si>
  <si>
    <t xml:space="preserve">    0,0266</t>
  </si>
  <si>
    <t>29</t>
  </si>
  <si>
    <t>S54</t>
  </si>
  <si>
    <t>74,39</t>
  </si>
  <si>
    <t xml:space="preserve">    0,227</t>
  </si>
  <si>
    <t xml:space="preserve">    0,1347</t>
  </si>
  <si>
    <t xml:space="preserve">    0,0005</t>
  </si>
  <si>
    <t>S55</t>
  </si>
  <si>
    <t>79,59</t>
  </si>
  <si>
    <t xml:space="preserve">    0,193</t>
  </si>
  <si>
    <t>15,21</t>
  </si>
  <si>
    <t xml:space="preserve">    0,29</t>
  </si>
  <si>
    <t xml:space="preserve">    0,02</t>
  </si>
  <si>
    <t xml:space="preserve">    0,18</t>
  </si>
  <si>
    <t xml:space="preserve">    0,0867</t>
  </si>
  <si>
    <t xml:space="preserve">    0,194</t>
  </si>
  <si>
    <t xml:space="preserve">    0,0689</t>
  </si>
  <si>
    <t xml:space="preserve">    0,66</t>
  </si>
  <si>
    <t xml:space="preserve">    3,18</t>
  </si>
  <si>
    <t>30</t>
  </si>
  <si>
    <t>S57</t>
  </si>
  <si>
    <t>74,14</t>
  </si>
  <si>
    <t xml:space="preserve">    0,243</t>
  </si>
  <si>
    <t xml:space="preserve">    0,1349</t>
  </si>
  <si>
    <t xml:space="preserve">    0,0059</t>
  </si>
  <si>
    <t xml:space="preserve">    2,90</t>
  </si>
  <si>
    <t>S58</t>
  </si>
  <si>
    <t>78,23</t>
  </si>
  <si>
    <t xml:space="preserve"> 0,028</t>
  </si>
  <si>
    <t>11,33</t>
  </si>
  <si>
    <t xml:space="preserve">    0,60</t>
  </si>
  <si>
    <t xml:space="preserve">    0,1550</t>
  </si>
  <si>
    <t xml:space="preserve">    0,0080</t>
  </si>
  <si>
    <t xml:space="preserve">    1,10</t>
  </si>
  <si>
    <t xml:space="preserve">    2,76</t>
  </si>
  <si>
    <t>S9</t>
  </si>
  <si>
    <t>64,68</t>
  </si>
  <si>
    <t xml:space="preserve"> 0,024</t>
  </si>
  <si>
    <t>12,56</t>
  </si>
  <si>
    <t xml:space="preserve">    0,77</t>
  </si>
  <si>
    <t xml:space="preserve">    0,1435</t>
  </si>
  <si>
    <t xml:space="preserve">    0,200</t>
  </si>
  <si>
    <t xml:space="preserve">    0,0709</t>
  </si>
  <si>
    <t xml:space="preserve">    0,99</t>
  </si>
  <si>
    <t>31</t>
  </si>
  <si>
    <t>S56</t>
  </si>
  <si>
    <t>97,93</t>
  </si>
  <si>
    <t xml:space="preserve">    0,334</t>
  </si>
  <si>
    <t xml:space="preserve">    0,1185</t>
  </si>
  <si>
    <t xml:space="preserve">    0,0381</t>
  </si>
  <si>
    <t xml:space="preserve">    0,94</t>
  </si>
  <si>
    <t xml:space="preserve">    3,49</t>
  </si>
  <si>
    <t>S18</t>
  </si>
  <si>
    <t xml:space="preserve">    0,147</t>
  </si>
  <si>
    <t>11,02</t>
  </si>
  <si>
    <t xml:space="preserve">    1,96</t>
  </si>
  <si>
    <t xml:space="preserve">    0,1463</t>
  </si>
  <si>
    <t xml:space="preserve">    0,254</t>
  </si>
  <si>
    <t xml:space="preserve">    0,0101</t>
  </si>
  <si>
    <t xml:space="preserve">    1,05</t>
  </si>
  <si>
    <t xml:space="preserve">    2,86</t>
  </si>
  <si>
    <t>32</t>
  </si>
  <si>
    <t>S59</t>
  </si>
  <si>
    <t>97,76</t>
  </si>
  <si>
    <t xml:space="preserve"> 0,015</t>
  </si>
  <si>
    <t xml:space="preserve">    0,321</t>
  </si>
  <si>
    <t xml:space="preserve">    0,1141</t>
  </si>
  <si>
    <t xml:space="preserve">    0,0338</t>
  </si>
  <si>
    <t xml:space="preserve">    3,50</t>
  </si>
  <si>
    <t>33</t>
  </si>
  <si>
    <t>S60</t>
  </si>
  <si>
    <t>67,77</t>
  </si>
  <si>
    <t xml:space="preserve">    0,203</t>
  </si>
  <si>
    <t xml:space="preserve">    0,0719</t>
  </si>
  <si>
    <t xml:space="preserve">    0,93</t>
  </si>
  <si>
    <t xml:space="preserve">    2,72</t>
  </si>
  <si>
    <t>S61</t>
  </si>
  <si>
    <t>80,33</t>
  </si>
  <si>
    <t xml:space="preserve">    0,205</t>
  </si>
  <si>
    <t xml:space="preserve">    0,1462</t>
  </si>
  <si>
    <t xml:space="preserve">    0,0724</t>
  </si>
  <si>
    <t xml:space="preserve">    2,61</t>
  </si>
  <si>
    <t>34</t>
  </si>
  <si>
    <t>S63</t>
  </si>
  <si>
    <t xml:space="preserve">    0,152</t>
  </si>
  <si>
    <t xml:space="preserve">    0,1206</t>
  </si>
  <si>
    <t xml:space="preserve">    0,0537</t>
  </si>
  <si>
    <t>S64</t>
  </si>
  <si>
    <t>78,58</t>
  </si>
  <si>
    <t xml:space="preserve">    0,1383</t>
  </si>
  <si>
    <t xml:space="preserve">    0,0601</t>
  </si>
  <si>
    <t xml:space="preserve">    2,46</t>
  </si>
  <si>
    <t>S65</t>
  </si>
  <si>
    <t>78,37</t>
  </si>
  <si>
    <t xml:space="preserve"> 0,044</t>
  </si>
  <si>
    <t xml:space="preserve">    0,192</t>
  </si>
  <si>
    <t xml:space="preserve">    0,1939</t>
  </si>
  <si>
    <t xml:space="preserve">    0,0680</t>
  </si>
  <si>
    <t xml:space="preserve">    1,26</t>
  </si>
  <si>
    <t>S10</t>
  </si>
  <si>
    <t>79,38</t>
  </si>
  <si>
    <t xml:space="preserve">    0,1155</t>
  </si>
  <si>
    <t xml:space="preserve">    0,0679</t>
  </si>
  <si>
    <t xml:space="preserve">    2,81</t>
  </si>
  <si>
    <t>35</t>
  </si>
  <si>
    <t>S62</t>
  </si>
  <si>
    <t>23,91</t>
  </si>
  <si>
    <t xml:space="preserve">    0,069</t>
  </si>
  <si>
    <t xml:space="preserve">    0,1000</t>
  </si>
  <si>
    <t xml:space="preserve">    0,0246</t>
  </si>
  <si>
    <t xml:space="preserve">    0,62</t>
  </si>
  <si>
    <t xml:space="preserve">    1,90</t>
  </si>
  <si>
    <t>S20</t>
  </si>
  <si>
    <t>77,64</t>
  </si>
  <si>
    <t xml:space="preserve">    0,149</t>
  </si>
  <si>
    <t>11,20</t>
  </si>
  <si>
    <t xml:space="preserve">    1,66</t>
  </si>
  <si>
    <t xml:space="preserve">    0,218</t>
  </si>
  <si>
    <t xml:space="preserve">    0,0772</t>
  </si>
  <si>
    <t xml:space="preserve">    2,79</t>
  </si>
  <si>
    <t>36</t>
  </si>
  <si>
    <t>S66</t>
  </si>
  <si>
    <t>56,79</t>
  </si>
  <si>
    <t xml:space="preserve"> 0,006</t>
  </si>
  <si>
    <t xml:space="preserve">    0,0726</t>
  </si>
  <si>
    <t xml:space="preserve">    0,54</t>
  </si>
  <si>
    <t xml:space="preserve">    3,12</t>
  </si>
  <si>
    <t>37</t>
  </si>
  <si>
    <t>S67</t>
  </si>
  <si>
    <t>59,54</t>
  </si>
  <si>
    <t xml:space="preserve">    0,0519</t>
  </si>
  <si>
    <t>38</t>
  </si>
  <si>
    <t>S68</t>
  </si>
  <si>
    <t>77,57</t>
  </si>
  <si>
    <t xml:space="preserve"> 0,034</t>
  </si>
  <si>
    <t xml:space="preserve">    0,202</t>
  </si>
  <si>
    <t xml:space="preserve">    0,1711</t>
  </si>
  <si>
    <t xml:space="preserve">    0,0715</t>
  </si>
  <si>
    <t xml:space="preserve">    1,15</t>
  </si>
  <si>
    <t xml:space="preserve">    2,42</t>
  </si>
  <si>
    <t>39</t>
  </si>
  <si>
    <t>S69</t>
  </si>
  <si>
    <t>55,63</t>
  </si>
  <si>
    <t xml:space="preserve"> 0,010</t>
  </si>
  <si>
    <t xml:space="preserve">    0,0919</t>
  </si>
  <si>
    <t xml:space="preserve">    0,0618</t>
  </si>
  <si>
    <t xml:space="preserve">    0,67</t>
  </si>
  <si>
    <t xml:space="preserve">    2,97</t>
  </si>
  <si>
    <t>S22</t>
  </si>
  <si>
    <t>64,13</t>
  </si>
  <si>
    <t>11,28</t>
  </si>
  <si>
    <t xml:space="preserve">    2,62</t>
  </si>
  <si>
    <t xml:space="preserve">    0,1238</t>
  </si>
  <si>
    <t xml:space="preserve">    0,339</t>
  </si>
  <si>
    <t xml:space="preserve">    0,1201</t>
  </si>
  <si>
    <t xml:space="preserve">    3,46</t>
  </si>
  <si>
    <t>40</t>
  </si>
  <si>
    <t>S70</t>
  </si>
  <si>
    <t>59,00</t>
  </si>
  <si>
    <t xml:space="preserve">    0,138</t>
  </si>
  <si>
    <t xml:space="preserve">    0,1279</t>
  </si>
  <si>
    <t xml:space="preserve">    0,0487</t>
  </si>
  <si>
    <t xml:space="preserve">    0,84</t>
  </si>
  <si>
    <t xml:space="preserve">    2,33</t>
  </si>
  <si>
    <t>S32</t>
  </si>
  <si>
    <t xml:space="preserve">    0,140</t>
  </si>
  <si>
    <t>11,68</t>
  </si>
  <si>
    <t xml:space="preserve">    0,277</t>
  </si>
  <si>
    <t xml:space="preserve">    0,0982</t>
  </si>
  <si>
    <t>41</t>
  </si>
  <si>
    <t>S71</t>
  </si>
  <si>
    <t>77,31</t>
  </si>
  <si>
    <t xml:space="preserve">    0,217</t>
  </si>
  <si>
    <t xml:space="preserve">    0,1714</t>
  </si>
  <si>
    <t xml:space="preserve">    0,0770</t>
  </si>
  <si>
    <t xml:space="preserve">    1,16</t>
  </si>
  <si>
    <t xml:space="preserve">    2,50</t>
  </si>
  <si>
    <t>42</t>
  </si>
  <si>
    <t>S72</t>
  </si>
  <si>
    <t>35,47</t>
  </si>
  <si>
    <t xml:space="preserve">    0,074</t>
  </si>
  <si>
    <t xml:space="preserve">    0,0944</t>
  </si>
  <si>
    <t xml:space="preserve">    0,0261</t>
  </si>
  <si>
    <t xml:space="preserve">    2,01</t>
  </si>
  <si>
    <t>43</t>
  </si>
  <si>
    <t>S73</t>
  </si>
  <si>
    <t>60,09</t>
  </si>
  <si>
    <t xml:space="preserve">    0,1210</t>
  </si>
  <si>
    <t xml:space="preserve">    0,0497</t>
  </si>
  <si>
    <t>44</t>
  </si>
  <si>
    <t>S74</t>
  </si>
  <si>
    <t>83,18</t>
  </si>
  <si>
    <t xml:space="preserve"> 0,031</t>
  </si>
  <si>
    <t xml:space="preserve">    0,206</t>
  </si>
  <si>
    <t xml:space="preserve">    0,1621</t>
  </si>
  <si>
    <t xml:space="preserve">    0,0728</t>
  </si>
  <si>
    <t>45</t>
  </si>
  <si>
    <t>S75</t>
  </si>
  <si>
    <t>35,15</t>
  </si>
  <si>
    <t xml:space="preserve">    0,090</t>
  </si>
  <si>
    <t xml:space="preserve">    0,0948</t>
  </si>
  <si>
    <t xml:space="preserve">    0,0317</t>
  </si>
  <si>
    <t xml:space="preserve">    0,61</t>
  </si>
  <si>
    <t>S23</t>
  </si>
  <si>
    <t>64,70</t>
  </si>
  <si>
    <t>11,64</t>
  </si>
  <si>
    <t xml:space="preserve">    1,88</t>
  </si>
  <si>
    <t xml:space="preserve">    0,270</t>
  </si>
  <si>
    <t xml:space="preserve">    0,0956</t>
  </si>
  <si>
    <t xml:space="preserve">    3,05</t>
  </si>
  <si>
    <t>46</t>
  </si>
  <si>
    <t>S76</t>
  </si>
  <si>
    <t>59,77</t>
  </si>
  <si>
    <t xml:space="preserve">    0,1389</t>
  </si>
  <si>
    <t xml:space="preserve">    2,31</t>
  </si>
  <si>
    <t>S33</t>
  </si>
  <si>
    <t>64,41</t>
  </si>
  <si>
    <t xml:space="preserve"> 0,033</t>
  </si>
  <si>
    <t>11,55</t>
  </si>
  <si>
    <t xml:space="preserve">    2,12</t>
  </si>
  <si>
    <t xml:space="preserve">    0,1669</t>
  </si>
  <si>
    <t xml:space="preserve">    0,284</t>
  </si>
  <si>
    <t xml:space="preserve">    0,1006</t>
  </si>
  <si>
    <t xml:space="preserve">    2,84</t>
  </si>
  <si>
    <t>47</t>
  </si>
  <si>
    <t>S77</t>
  </si>
  <si>
    <t>82,36</t>
  </si>
  <si>
    <t xml:space="preserve">    0,1629</t>
  </si>
  <si>
    <t xml:space="preserve">    0,0044</t>
  </si>
  <si>
    <t xml:space="preserve">    1,14</t>
  </si>
  <si>
    <t xml:space="preserve">    2,66</t>
  </si>
  <si>
    <t>48</t>
  </si>
  <si>
    <t>S78</t>
  </si>
  <si>
    <t>36,53</t>
  </si>
  <si>
    <t xml:space="preserve">    0,071</t>
  </si>
  <si>
    <t xml:space="preserve">    0,0943</t>
  </si>
  <si>
    <t xml:space="preserve">    0,0252</t>
  </si>
  <si>
    <t xml:space="preserve">    1,98</t>
  </si>
  <si>
    <t>49</t>
  </si>
  <si>
    <t>S79</t>
  </si>
  <si>
    <t>58,89</t>
  </si>
  <si>
    <t xml:space="preserve"> 0,036</t>
  </si>
  <si>
    <t xml:space="preserve">    0,1745</t>
  </si>
  <si>
    <t xml:space="preserve">    0,0480</t>
  </si>
  <si>
    <t>50</t>
  </si>
  <si>
    <t>S80</t>
  </si>
  <si>
    <t>91,81</t>
  </si>
  <si>
    <t xml:space="preserve">    0,225</t>
  </si>
  <si>
    <t xml:space="preserve">    0,1673</t>
  </si>
  <si>
    <t xml:space="preserve">    0,0796</t>
  </si>
  <si>
    <t>51</t>
  </si>
  <si>
    <t>S81</t>
  </si>
  <si>
    <t>36,24</t>
  </si>
  <si>
    <t xml:space="preserve"> 0,038</t>
  </si>
  <si>
    <t xml:space="preserve">    0,072</t>
  </si>
  <si>
    <t xml:space="preserve">    0,1803</t>
  </si>
  <si>
    <t xml:space="preserve">    0,0256</t>
  </si>
  <si>
    <t xml:space="preserve">    0,05</t>
  </si>
  <si>
    <t xml:space="preserve">    1,45</t>
  </si>
  <si>
    <t>S24</t>
  </si>
  <si>
    <t>12,99</t>
  </si>
  <si>
    <t xml:space="preserve">    2,09</t>
  </si>
  <si>
    <t xml:space="preserve">    0,0858</t>
  </si>
  <si>
    <t xml:space="preserve">    0,221</t>
  </si>
  <si>
    <t xml:space="preserve">    0,0783</t>
  </si>
  <si>
    <t xml:space="preserve">    3,37</t>
  </si>
  <si>
    <t>52</t>
  </si>
  <si>
    <t>S82</t>
  </si>
  <si>
    <t>56,88</t>
  </si>
  <si>
    <t xml:space="preserve">    0,144</t>
  </si>
  <si>
    <t xml:space="preserve">    0,1342</t>
  </si>
  <si>
    <t xml:space="preserve">    0,0511</t>
  </si>
  <si>
    <t xml:space="preserve">    2,32</t>
  </si>
  <si>
    <t>S34</t>
  </si>
  <si>
    <t>63,35</t>
  </si>
  <si>
    <t xml:space="preserve">    0,139</t>
  </si>
  <si>
    <t xml:space="preserve">    2,45</t>
  </si>
  <si>
    <t xml:space="preserve">    0,1190</t>
  </si>
  <si>
    <t xml:space="preserve">    0,283</t>
  </si>
  <si>
    <t xml:space="preserve">    0,1002</t>
  </si>
  <si>
    <t xml:space="preserve">    3,26</t>
  </si>
  <si>
    <t>53</t>
  </si>
  <si>
    <t>S83</t>
  </si>
  <si>
    <t>92,03</t>
  </si>
  <si>
    <t xml:space="preserve">    0,1671</t>
  </si>
  <si>
    <t xml:space="preserve">    0,0071</t>
  </si>
  <si>
    <t xml:space="preserve">    1,17</t>
  </si>
  <si>
    <t>54</t>
  </si>
  <si>
    <t>S84</t>
  </si>
  <si>
    <t>36,75</t>
  </si>
  <si>
    <t xml:space="preserve"> 0,005</t>
  </si>
  <si>
    <t xml:space="preserve">    0,080</t>
  </si>
  <si>
    <t xml:space="preserve">    0,0682</t>
  </si>
  <si>
    <t xml:space="preserve">    0,0285</t>
  </si>
  <si>
    <t xml:space="preserve">    0,46</t>
  </si>
  <si>
    <t>55</t>
  </si>
  <si>
    <t>S85</t>
  </si>
  <si>
    <t>60,50</t>
  </si>
  <si>
    <t xml:space="preserve">    0,0994</t>
  </si>
  <si>
    <t xml:space="preserve">    0,0468</t>
  </si>
  <si>
    <t xml:space="preserve">    2,55</t>
  </si>
  <si>
    <t>56</t>
  </si>
  <si>
    <t>S86</t>
  </si>
  <si>
    <t>97,64</t>
  </si>
  <si>
    <t xml:space="preserve">    0,252</t>
  </si>
  <si>
    <t xml:space="preserve">    0,1525</t>
  </si>
  <si>
    <t xml:space="preserve">    0,0091</t>
  </si>
  <si>
    <t xml:space="preserve">    2,80</t>
  </si>
  <si>
    <t>57</t>
  </si>
  <si>
    <t>S87</t>
  </si>
  <si>
    <t>35,66</t>
  </si>
  <si>
    <t xml:space="preserve">    0,101</t>
  </si>
  <si>
    <t xml:space="preserve">    0,0692</t>
  </si>
  <si>
    <t xml:space="preserve">    0,0357</t>
  </si>
  <si>
    <t xml:space="preserve">    0,48</t>
  </si>
  <si>
    <t xml:space="preserve">    2,65</t>
  </si>
  <si>
    <t>S25</t>
  </si>
  <si>
    <t>78,74</t>
  </si>
  <si>
    <t xml:space="preserve">    0,163</t>
  </si>
  <si>
    <t>11,51</t>
  </si>
  <si>
    <t xml:space="preserve">    2,00</t>
  </si>
  <si>
    <t xml:space="preserve">    0,1309</t>
  </si>
  <si>
    <t xml:space="preserve">    0,264</t>
  </si>
  <si>
    <t xml:space="preserve">    0,0934</t>
  </si>
  <si>
    <t xml:space="preserve">    0,97</t>
  </si>
  <si>
    <t>58</t>
  </si>
  <si>
    <t>S88</t>
  </si>
  <si>
    <t>61,15</t>
  </si>
  <si>
    <t xml:space="preserve">    0,0989</t>
  </si>
  <si>
    <t xml:space="preserve">    0,0578</t>
  </si>
  <si>
    <t>S35</t>
  </si>
  <si>
    <t>79,57</t>
  </si>
  <si>
    <t>11,53</t>
  </si>
  <si>
    <t xml:space="preserve">    0,87</t>
  </si>
  <si>
    <t xml:space="preserve">    0,1277</t>
  </si>
  <si>
    <t xml:space="preserve">    0,319</t>
  </si>
  <si>
    <t xml:space="preserve">    0,1131</t>
  </si>
  <si>
    <t xml:space="preserve">    3,33</t>
  </si>
  <si>
    <t>59</t>
  </si>
  <si>
    <t>S89</t>
  </si>
  <si>
    <t>96,81</t>
  </si>
  <si>
    <t xml:space="preserve">    0,296</t>
  </si>
  <si>
    <t xml:space="preserve">    0,1532</t>
  </si>
  <si>
    <t xml:space="preserve">    0,0248</t>
  </si>
  <si>
    <t xml:space="preserve">    1,13</t>
  </si>
  <si>
    <t xml:space="preserve">    2,99</t>
  </si>
  <si>
    <t>60</t>
  </si>
  <si>
    <t>S6</t>
  </si>
  <si>
    <t>86,26</t>
  </si>
  <si>
    <t xml:space="preserve">    0,1353</t>
  </si>
  <si>
    <t xml:space="preserve">    2,48</t>
  </si>
  <si>
    <t>100,65</t>
  </si>
  <si>
    <t xml:space="preserve">    0,228</t>
  </si>
  <si>
    <t>0,80</t>
  </si>
  <si>
    <t xml:space="preserve">    0,1415</t>
  </si>
  <si>
    <t xml:space="preserve">    0,0922</t>
  </si>
  <si>
    <t xml:space="preserve">    1,03</t>
  </si>
  <si>
    <t xml:space="preserve">    2,93</t>
  </si>
  <si>
    <t>98,93</t>
  </si>
  <si>
    <t xml:space="preserve">    0,212</t>
  </si>
  <si>
    <t xml:space="preserve">    0,1427</t>
  </si>
  <si>
    <t xml:space="preserve">    0,0859</t>
  </si>
  <si>
    <t xml:space="preserve">    1,02</t>
  </si>
  <si>
    <t>98,40</t>
  </si>
  <si>
    <t xml:space="preserve">    0,1363</t>
  </si>
  <si>
    <t xml:space="preserve">    0,0782</t>
  </si>
  <si>
    <t xml:space="preserve">    2,78</t>
  </si>
  <si>
    <t>100,91</t>
  </si>
  <si>
    <t xml:space="preserve">    0,208</t>
  </si>
  <si>
    <t xml:space="preserve">    0,1346</t>
  </si>
  <si>
    <t xml:space="preserve">    0,0842</t>
  </si>
  <si>
    <t xml:space="preserve">    2,88</t>
  </si>
  <si>
    <t>101,24</t>
  </si>
  <si>
    <t xml:space="preserve">    0,1302</t>
  </si>
  <si>
    <t xml:space="preserve">    0,0785</t>
  </si>
  <si>
    <t>99,55</t>
  </si>
  <si>
    <t xml:space="preserve">    0,1313</t>
  </si>
  <si>
    <t xml:space="preserve">    0,0938</t>
  </si>
  <si>
    <t>99,26</t>
  </si>
  <si>
    <t xml:space="preserve">    0,189</t>
  </si>
  <si>
    <t xml:space="preserve">    0,1234</t>
  </si>
  <si>
    <t xml:space="preserve">    0,0764</t>
  </si>
  <si>
    <t>100,09</t>
  </si>
  <si>
    <t xml:space="preserve">    0,118</t>
  </si>
  <si>
    <t xml:space="preserve">    2,35</t>
  </si>
  <si>
    <t>69,20</t>
  </si>
  <si>
    <t xml:space="preserve">    0,0612</t>
  </si>
  <si>
    <t>67,18</t>
  </si>
  <si>
    <t xml:space="preserve">    0,1235</t>
  </si>
  <si>
    <t xml:space="preserve">    0,0628</t>
  </si>
  <si>
    <t xml:space="preserve">    2,64</t>
  </si>
  <si>
    <t>66,05</t>
  </si>
  <si>
    <t xml:space="preserve">    0,157</t>
  </si>
  <si>
    <t xml:space="preserve">    0,1137</t>
  </si>
  <si>
    <t xml:space="preserve">    0,0634</t>
  </si>
  <si>
    <t>114,12</t>
  </si>
  <si>
    <t xml:space="preserve">    0,224</t>
  </si>
  <si>
    <t xml:space="preserve">    0,1254</t>
  </si>
  <si>
    <t xml:space="preserve">    0,0906</t>
  </si>
  <si>
    <t xml:space="preserve">    3,06</t>
  </si>
  <si>
    <t>112,43</t>
  </si>
  <si>
    <t xml:space="preserve">    0,233</t>
  </si>
  <si>
    <t xml:space="preserve">    0,1293</t>
  </si>
  <si>
    <t xml:space="preserve">    0,0942</t>
  </si>
  <si>
    <t xml:space="preserve">    3,07</t>
  </si>
  <si>
    <t>112,47</t>
  </si>
  <si>
    <t xml:space="preserve">    0,234</t>
  </si>
  <si>
    <t xml:space="preserve">    0,0945</t>
  </si>
  <si>
    <t>113,57</t>
  </si>
  <si>
    <t xml:space="preserve">    0,240</t>
  </si>
  <si>
    <t xml:space="preserve">    0,1195</t>
  </si>
  <si>
    <t xml:space="preserve">    0,0969</t>
  </si>
  <si>
    <t>100,63</t>
  </si>
  <si>
    <t xml:space="preserve"> 0,039</t>
  </si>
  <si>
    <t xml:space="preserve">    0,1833</t>
  </si>
  <si>
    <t xml:space="preserve">    0,0614</t>
  </si>
  <si>
    <t xml:space="preserve">    1,19</t>
  </si>
  <si>
    <t xml:space="preserve">    2,20</t>
  </si>
  <si>
    <t>100,08</t>
  </si>
  <si>
    <t xml:space="preserve"> 0,040</t>
  </si>
  <si>
    <t xml:space="preserve">    0,164</t>
  </si>
  <si>
    <t xml:space="preserve">    0,1838</t>
  </si>
  <si>
    <t xml:space="preserve">    2,27</t>
  </si>
  <si>
    <t>64,10</t>
  </si>
  <si>
    <t xml:space="preserve">    0,1825</t>
  </si>
  <si>
    <t xml:space="preserve">    0,0596</t>
  </si>
  <si>
    <t xml:space="preserve">    2,17</t>
  </si>
  <si>
    <t>63,27</t>
  </si>
  <si>
    <t xml:space="preserve">    0,1515</t>
  </si>
  <si>
    <t xml:space="preserve">    0,0536</t>
  </si>
  <si>
    <t xml:space="preserve">    2,25</t>
  </si>
  <si>
    <t>117,01</t>
  </si>
  <si>
    <t xml:space="preserve">    0,1424</t>
  </si>
  <si>
    <t>98,97</t>
  </si>
  <si>
    <t xml:space="preserve"> 0,037</t>
  </si>
  <si>
    <t xml:space="preserve">    0,1787</t>
  </si>
  <si>
    <t xml:space="preserve">    2,38</t>
  </si>
  <si>
    <t>99,81</t>
  </si>
  <si>
    <t xml:space="preserve">    0,1779</t>
  </si>
  <si>
    <t xml:space="preserve">    0,0757</t>
  </si>
  <si>
    <t xml:space="preserve">    2,44</t>
  </si>
  <si>
    <t xml:space="preserve"> 0,045</t>
  </si>
  <si>
    <t xml:space="preserve">    0,122</t>
  </si>
  <si>
    <t xml:space="preserve">    0,1953</t>
  </si>
  <si>
    <t xml:space="preserve">    0,0492</t>
  </si>
  <si>
    <t xml:space="preserve">    1,21</t>
  </si>
  <si>
    <t xml:space="preserve">    1,93</t>
  </si>
  <si>
    <t>98,13</t>
  </si>
  <si>
    <t xml:space="preserve">    0,207</t>
  </si>
  <si>
    <t xml:space="preserve">    0,1795</t>
  </si>
  <si>
    <t xml:space="preserve">    0,0836</t>
  </si>
  <si>
    <t xml:space="preserve">    1,23</t>
  </si>
  <si>
    <t xml:space="preserve">    2,54</t>
  </si>
  <si>
    <t>98,95</t>
  </si>
  <si>
    <t xml:space="preserve">    0,0766</t>
  </si>
  <si>
    <t>96,70</t>
  </si>
  <si>
    <t xml:space="preserve"> 0,026</t>
  </si>
  <si>
    <t xml:space="preserve">    0,1480</t>
  </si>
  <si>
    <t xml:space="preserve">    0,0911</t>
  </si>
  <si>
    <t>96,40</t>
  </si>
  <si>
    <t xml:space="preserve">    0,1482</t>
  </si>
  <si>
    <t xml:space="preserve">    0,0807</t>
  </si>
  <si>
    <t>63,82</t>
  </si>
  <si>
    <t xml:space="preserve"> 0,042</t>
  </si>
  <si>
    <t xml:space="preserve">    0,119</t>
  </si>
  <si>
    <t xml:space="preserve">    0,1901</t>
  </si>
  <si>
    <t xml:space="preserve">    0,0483</t>
  </si>
  <si>
    <t xml:space="preserve">    1,18</t>
  </si>
  <si>
    <t xml:space="preserve">    1,94</t>
  </si>
  <si>
    <t>98,76</t>
  </si>
  <si>
    <t xml:space="preserve">    0,210</t>
  </si>
  <si>
    <t xml:space="preserve">    0,1212</t>
  </si>
  <si>
    <t xml:space="preserve">    0,0850</t>
  </si>
  <si>
    <t xml:space="preserve">    3,02</t>
  </si>
  <si>
    <t>97,06</t>
  </si>
  <si>
    <t xml:space="preserve">    0,1223</t>
  </si>
  <si>
    <t xml:space="preserve">    3,00</t>
  </si>
  <si>
    <t>98,42</t>
  </si>
  <si>
    <t xml:space="preserve">    0,201</t>
  </si>
  <si>
    <t xml:space="preserve">    0,1189</t>
  </si>
  <si>
    <t xml:space="preserve">    0,0814</t>
  </si>
  <si>
    <t>97,86</t>
  </si>
  <si>
    <t xml:space="preserve">    0,1193</t>
  </si>
  <si>
    <t xml:space="preserve">    0,0809</t>
  </si>
  <si>
    <t xml:space="preserve">    0,88</t>
  </si>
  <si>
    <t xml:space="preserve">    2,98</t>
  </si>
  <si>
    <t>61,56</t>
  </si>
  <si>
    <t xml:space="preserve">    0,1499</t>
  </si>
  <si>
    <t xml:space="preserve">    0,0565</t>
  </si>
  <si>
    <t>100,98</t>
  </si>
  <si>
    <t xml:space="preserve">    0,1268</t>
  </si>
  <si>
    <t xml:space="preserve">    0,0848</t>
  </si>
  <si>
    <t xml:space="preserve">    2,96</t>
  </si>
  <si>
    <t>101,50</t>
  </si>
  <si>
    <t xml:space="preserve">    0,1264</t>
  </si>
  <si>
    <t xml:space="preserve">    0,0765</t>
  </si>
  <si>
    <t>62,15</t>
  </si>
  <si>
    <t xml:space="preserve">    0,183</t>
  </si>
  <si>
    <t xml:space="preserve">    0,0741</t>
  </si>
  <si>
    <t xml:space="preserve">    0,0740</t>
  </si>
  <si>
    <t>62,25</t>
  </si>
  <si>
    <t xml:space="preserve">    0,1228</t>
  </si>
  <si>
    <t xml:space="preserve">    0,0683</t>
  </si>
  <si>
    <t>66,06</t>
  </si>
  <si>
    <t xml:space="preserve">    0,179</t>
  </si>
  <si>
    <t xml:space="preserve">    0,0722</t>
  </si>
  <si>
    <t xml:space="preserve">    3,51</t>
  </si>
  <si>
    <t>68,60</t>
  </si>
  <si>
    <t xml:space="preserve">    0,1170</t>
  </si>
  <si>
    <t xml:space="preserve">    0,365</t>
  </si>
  <si>
    <t xml:space="preserve">    0,1477</t>
  </si>
  <si>
    <t xml:space="preserve">    3,88</t>
  </si>
  <si>
    <t>60,65</t>
  </si>
  <si>
    <t xml:space="preserve"> 0,007</t>
  </si>
  <si>
    <t xml:space="preserve">    0,197</t>
  </si>
  <si>
    <t xml:space="preserve">    0,0750</t>
  </si>
  <si>
    <t xml:space="preserve">    0,0797</t>
  </si>
  <si>
    <t>64,82</t>
  </si>
  <si>
    <t xml:space="preserve">    0,226</t>
  </si>
  <si>
    <t xml:space="preserve">    0,1148</t>
  </si>
  <si>
    <t xml:space="preserve">    0,0915</t>
  </si>
  <si>
    <t xml:space="preserve">    3,19</t>
  </si>
  <si>
    <t>43,55</t>
  </si>
  <si>
    <t xml:space="preserve">    0,094</t>
  </si>
  <si>
    <t xml:space="preserve">    0,1085</t>
  </si>
  <si>
    <t>34,11</t>
  </si>
  <si>
    <t xml:space="preserve">    0,112</t>
  </si>
  <si>
    <t xml:space="preserve">    0,1226</t>
  </si>
  <si>
    <t xml:space="preserve">    0,0454</t>
  </si>
  <si>
    <t xml:space="preserve">    2,30</t>
  </si>
  <si>
    <t>44,50</t>
  </si>
  <si>
    <t xml:space="preserve"> 0,008</t>
  </si>
  <si>
    <t xml:space="preserve">    0,093</t>
  </si>
  <si>
    <t xml:space="preserve">    0,0808</t>
  </si>
  <si>
    <t xml:space="preserve">    0,0378</t>
  </si>
  <si>
    <t>68,43</t>
  </si>
  <si>
    <t xml:space="preserve">    0,190</t>
  </si>
  <si>
    <t xml:space="preserve">    0,1413</t>
  </si>
  <si>
    <t>67,86</t>
  </si>
  <si>
    <t>10,99</t>
  </si>
  <si>
    <t xml:space="preserve">    0,1505</t>
  </si>
  <si>
    <t xml:space="preserve">    0,345</t>
  </si>
  <si>
    <t xml:space="preserve">    0,1394</t>
  </si>
  <si>
    <t xml:space="preserve">    3,39</t>
  </si>
  <si>
    <t>61,67</t>
  </si>
  <si>
    <t xml:space="preserve">    0,1489</t>
  </si>
  <si>
    <t xml:space="preserve">    0,0946</t>
  </si>
  <si>
    <t xml:space="preserve">    1,08</t>
  </si>
  <si>
    <t>110,76</t>
  </si>
  <si>
    <t xml:space="preserve">    0,230</t>
  </si>
  <si>
    <t>11,15</t>
  </si>
  <si>
    <t xml:space="preserve">    3,16</t>
  </si>
  <si>
    <t xml:space="preserve">    0,463</t>
  </si>
  <si>
    <t xml:space="preserve">    0,1875</t>
  </si>
  <si>
    <t xml:space="preserve">    4,29</t>
  </si>
  <si>
    <t>55,71</t>
  </si>
  <si>
    <t xml:space="preserve">    3,31</t>
  </si>
  <si>
    <t>66,07</t>
  </si>
  <si>
    <t xml:space="preserve">    0,78</t>
  </si>
  <si>
    <t xml:space="preserve">    2,53</t>
  </si>
  <si>
    <t>62,53</t>
  </si>
  <si>
    <t xml:space="preserve">    0,1169</t>
  </si>
  <si>
    <t xml:space="preserve">    0,0823</t>
  </si>
  <si>
    <t xml:space="preserve">    3,03</t>
  </si>
  <si>
    <t>48,51</t>
  </si>
  <si>
    <t xml:space="preserve">    0,0774</t>
  </si>
  <si>
    <t xml:space="preserve">    0,0767</t>
  </si>
  <si>
    <t>113,34</t>
  </si>
  <si>
    <t xml:space="preserve">    0,235</t>
  </si>
  <si>
    <t>10,91</t>
  </si>
  <si>
    <t xml:space="preserve">    2,82</t>
  </si>
  <si>
    <t xml:space="preserve">    0,425</t>
  </si>
  <si>
    <t xml:space="preserve">    0,1718</t>
  </si>
  <si>
    <t xml:space="preserve">    3,98</t>
  </si>
  <si>
    <t>60,98</t>
  </si>
  <si>
    <t xml:space="preserve">    0,1588</t>
  </si>
  <si>
    <t xml:space="preserve">    0,0899</t>
  </si>
  <si>
    <t>10,90</t>
  </si>
  <si>
    <t xml:space="preserve">    0,031</t>
  </si>
  <si>
    <t xml:space="preserve">    0,1372</t>
  </si>
  <si>
    <t xml:space="preserve">    0,0126</t>
  </si>
  <si>
    <t xml:space="preserve">    0,76</t>
  </si>
  <si>
    <t xml:space="preserve">    0,068</t>
  </si>
  <si>
    <t xml:space="preserve">    0,1364</t>
  </si>
  <si>
    <t xml:space="preserve">    0,0274</t>
  </si>
  <si>
    <t xml:space="preserve">    1,73</t>
  </si>
  <si>
    <t>114,78</t>
  </si>
  <si>
    <t>11,70</t>
  </si>
  <si>
    <t xml:space="preserve">    1,79</t>
  </si>
  <si>
    <t xml:space="preserve">    0,1199</t>
  </si>
  <si>
    <t xml:space="preserve">    3,41</t>
  </si>
  <si>
    <t>72,58</t>
  </si>
  <si>
    <t xml:space="preserve">    0,0888</t>
  </si>
  <si>
    <t xml:space="preserve">    3,22</t>
  </si>
  <si>
    <t>53,40</t>
  </si>
  <si>
    <t xml:space="preserve">    0,096</t>
  </si>
  <si>
    <t xml:space="preserve">    0,0387</t>
  </si>
  <si>
    <t xml:space="preserve">    2,22</t>
  </si>
  <si>
    <t>47,05</t>
  </si>
  <si>
    <t xml:space="preserve">    0,1127</t>
  </si>
  <si>
    <t xml:space="preserve">    0,0805</t>
  </si>
  <si>
    <t>32,37</t>
  </si>
  <si>
    <t xml:space="preserve">    0,095</t>
  </si>
  <si>
    <t xml:space="preserve">    0,0385</t>
  </si>
  <si>
    <t>61,65</t>
  </si>
  <si>
    <t xml:space="preserve">    0,209</t>
  </si>
  <si>
    <t xml:space="preserve">    0,1393</t>
  </si>
  <si>
    <t xml:space="preserve">    0,0846</t>
  </si>
  <si>
    <t>61,09</t>
  </si>
  <si>
    <t xml:space="preserve">    0,1438</t>
  </si>
  <si>
    <t>63,81</t>
  </si>
  <si>
    <t xml:space="preserve">    0,0777</t>
  </si>
  <si>
    <t>51,48</t>
  </si>
  <si>
    <t xml:space="preserve"> 0,002</t>
  </si>
  <si>
    <t xml:space="preserve">    0,0407</t>
  </si>
  <si>
    <t xml:space="preserve">    0,35</t>
  </si>
  <si>
    <t xml:space="preserve">    0,12</t>
  </si>
  <si>
    <t xml:space="preserve">    4,62</t>
  </si>
  <si>
    <t>55,46</t>
  </si>
  <si>
    <t xml:space="preserve">    0,172</t>
  </si>
  <si>
    <t>11,89</t>
  </si>
  <si>
    <t xml:space="preserve">    0,1468</t>
  </si>
  <si>
    <t xml:space="preserve">    0,350</t>
  </si>
  <si>
    <t xml:space="preserve">    0,1418</t>
  </si>
  <si>
    <t xml:space="preserve">    3,45</t>
  </si>
  <si>
    <t>63,24</t>
  </si>
  <si>
    <t>12,86</t>
  </si>
  <si>
    <t xml:space="preserve">    3,44</t>
  </si>
  <si>
    <t xml:space="preserve">    0,1479</t>
  </si>
  <si>
    <t xml:space="preserve">    0,488</t>
  </si>
  <si>
    <t xml:space="preserve">    0,1975</t>
  </si>
  <si>
    <t xml:space="preserve">    1,24</t>
  </si>
  <si>
    <t>60,11</t>
  </si>
  <si>
    <t xml:space="preserve">    0,260</t>
  </si>
  <si>
    <t xml:space="preserve">    0,1250</t>
  </si>
  <si>
    <t xml:space="preserve">    0,1052</t>
  </si>
  <si>
    <t>115,53</t>
  </si>
  <si>
    <t xml:space="preserve">    0,242</t>
  </si>
  <si>
    <t xml:space="preserve">    0,1246</t>
  </si>
  <si>
    <t xml:space="preserve">    3,17</t>
  </si>
  <si>
    <t>65,00</t>
  </si>
  <si>
    <t xml:space="preserve">    0,1395</t>
  </si>
  <si>
    <t xml:space="preserve">    0,0880</t>
  </si>
  <si>
    <t xml:space="preserve">    2,89</t>
  </si>
  <si>
    <t>72,64</t>
  </si>
  <si>
    <t xml:space="preserve">    2,95</t>
  </si>
  <si>
    <t xml:space="preserve">    0,1328</t>
  </si>
  <si>
    <t xml:space="preserve">    0,454</t>
  </si>
  <si>
    <t xml:space="preserve">    1,12</t>
  </si>
  <si>
    <t xml:space="preserve">    4,05</t>
  </si>
  <si>
    <t>59,18</t>
  </si>
  <si>
    <t xml:space="preserve">    0,0832</t>
  </si>
  <si>
    <t xml:space="preserve">    3,01</t>
  </si>
  <si>
    <t>61</t>
  </si>
  <si>
    <t>65,20</t>
  </si>
  <si>
    <t xml:space="preserve">    0,241</t>
  </si>
  <si>
    <t xml:space="preserve">    0,0974</t>
  </si>
  <si>
    <t xml:space="preserve">    0,1128</t>
  </si>
  <si>
    <t xml:space="preserve">    0,0855</t>
  </si>
  <si>
    <t>63,83</t>
  </si>
  <si>
    <t xml:space="preserve">    0,127</t>
  </si>
  <si>
    <t xml:space="preserve">    1,33</t>
  </si>
  <si>
    <t xml:space="preserve">    0,1970</t>
  </si>
  <si>
    <t xml:space="preserve">    0,338</t>
  </si>
  <si>
    <t xml:space="preserve">    0,1368</t>
  </si>
  <si>
    <t>62</t>
  </si>
  <si>
    <t>63,71</t>
  </si>
  <si>
    <t xml:space="preserve">    0,1214</t>
  </si>
  <si>
    <t xml:space="preserve">    0,0835</t>
  </si>
  <si>
    <t>63</t>
  </si>
  <si>
    <t>45,76</t>
  </si>
  <si>
    <t xml:space="preserve">    0,0864</t>
  </si>
  <si>
    <t xml:space="preserve">    0,0723</t>
  </si>
  <si>
    <t xml:space="preserve">    3,25</t>
  </si>
  <si>
    <t>64</t>
  </si>
  <si>
    <t>46,69</t>
  </si>
  <si>
    <t xml:space="preserve">    2,75</t>
  </si>
  <si>
    <t>62,98</t>
  </si>
  <si>
    <t xml:space="preserve">    0,121</t>
  </si>
  <si>
    <t>10,95</t>
  </si>
  <si>
    <t xml:space="preserve">    1,95</t>
  </si>
  <si>
    <t xml:space="preserve">    0,1860</t>
  </si>
  <si>
    <t xml:space="preserve">    1,30</t>
  </si>
  <si>
    <t>65</t>
  </si>
  <si>
    <t>95,13</t>
  </si>
  <si>
    <t xml:space="preserve">    0,311</t>
  </si>
  <si>
    <t xml:space="preserve">    0,1258</t>
  </si>
  <si>
    <t xml:space="preserve">    4,17</t>
  </si>
  <si>
    <t>66</t>
  </si>
  <si>
    <t>65,41</t>
  </si>
  <si>
    <t>66,00</t>
  </si>
  <si>
    <t>11,87</t>
  </si>
  <si>
    <t xml:space="preserve">    0,390</t>
  </si>
  <si>
    <t xml:space="preserve">    0,1577</t>
  </si>
  <si>
    <t xml:space="preserve">    3,96</t>
  </si>
  <si>
    <t>67</t>
  </si>
  <si>
    <t>64,20</t>
  </si>
  <si>
    <t xml:space="preserve">    0,1142</t>
  </si>
  <si>
    <t xml:space="preserve">    0,0627</t>
  </si>
  <si>
    <t>65,81</t>
  </si>
  <si>
    <t xml:space="preserve">    0,133</t>
  </si>
  <si>
    <t>11,97</t>
  </si>
  <si>
    <t xml:space="preserve">    0,288</t>
  </si>
  <si>
    <t xml:space="preserve">    0,1163</t>
  </si>
  <si>
    <t>68</t>
  </si>
  <si>
    <t>S90</t>
  </si>
  <si>
    <t>39,83</t>
  </si>
  <si>
    <t xml:space="preserve">    0,1225</t>
  </si>
  <si>
    <t xml:space="preserve">    0,0298</t>
  </si>
  <si>
    <t>69</t>
  </si>
  <si>
    <t>S91</t>
  </si>
  <si>
    <t>69,41</t>
  </si>
  <si>
    <t xml:space="preserve">    0,253</t>
  </si>
  <si>
    <t xml:space="preserve">    0,1265</t>
  </si>
  <si>
    <t xml:space="preserve">    0,1025</t>
  </si>
  <si>
    <t>S92</t>
  </si>
  <si>
    <t>64,79</t>
  </si>
  <si>
    <t xml:space="preserve">    0,0810</t>
  </si>
  <si>
    <t>70</t>
  </si>
  <si>
    <t>S95</t>
  </si>
  <si>
    <t>46,83</t>
  </si>
  <si>
    <t xml:space="preserve"> 0,001</t>
  </si>
  <si>
    <t xml:space="preserve">    0,0302</t>
  </si>
  <si>
    <t xml:space="preserve">    0,26</t>
  </si>
  <si>
    <t xml:space="preserve">    4,41</t>
  </si>
  <si>
    <t>71</t>
  </si>
  <si>
    <t>S96</t>
  </si>
  <si>
    <t>50,19</t>
  </si>
  <si>
    <t xml:space="preserve">    0,125</t>
  </si>
  <si>
    <t xml:space="preserve">    0,0413</t>
  </si>
  <si>
    <t xml:space="preserve">    0,0504</t>
  </si>
  <si>
    <t xml:space="preserve">    0,34</t>
  </si>
  <si>
    <t xml:space="preserve">    3,82</t>
  </si>
  <si>
    <t>62,41</t>
  </si>
  <si>
    <t xml:space="preserve">    0,108</t>
  </si>
  <si>
    <t xml:space="preserve">    0,0437</t>
  </si>
  <si>
    <t xml:space="preserve">    2,04</t>
  </si>
  <si>
    <t>72</t>
  </si>
  <si>
    <t>92,17</t>
  </si>
  <si>
    <t xml:space="preserve">    0,245</t>
  </si>
  <si>
    <t xml:space="preserve">    0,0872</t>
  </si>
  <si>
    <t xml:space="preserve">    0,0993</t>
  </si>
  <si>
    <t xml:space="preserve">    3,70</t>
  </si>
  <si>
    <t>73</t>
  </si>
  <si>
    <t>40,71</t>
  </si>
  <si>
    <t xml:space="preserve">    0,099</t>
  </si>
  <si>
    <t xml:space="preserve">    0,0401</t>
  </si>
  <si>
    <t xml:space="preserve">    2,18</t>
  </si>
  <si>
    <t>74</t>
  </si>
  <si>
    <t>S93</t>
  </si>
  <si>
    <t>71,05</t>
  </si>
  <si>
    <t xml:space="preserve">    2,77</t>
  </si>
  <si>
    <t>S94</t>
  </si>
  <si>
    <t>62,76</t>
  </si>
  <si>
    <t xml:space="preserve">    0,1167</t>
  </si>
  <si>
    <t xml:space="preserve">    0,0685</t>
  </si>
  <si>
    <t>75</t>
  </si>
  <si>
    <t>S97</t>
  </si>
  <si>
    <t>78,69</t>
  </si>
  <si>
    <t xml:space="preserve">    0,0737</t>
  </si>
  <si>
    <t xml:space="preserve">    0,0852</t>
  </si>
  <si>
    <t xml:space="preserve">    3,73</t>
  </si>
  <si>
    <t>76</t>
  </si>
  <si>
    <t>S98</t>
  </si>
  <si>
    <t>80,68</t>
  </si>
  <si>
    <t xml:space="preserve">    0,269</t>
  </si>
  <si>
    <t xml:space="preserve">    0,1089</t>
  </si>
  <si>
    <t xml:space="preserve">    4,22</t>
  </si>
  <si>
    <t>77</t>
  </si>
  <si>
    <t>S99</t>
  </si>
  <si>
    <t>29,21</t>
  </si>
  <si>
    <t xml:space="preserve">    0,088</t>
  </si>
  <si>
    <t xml:space="preserve">    0,1081</t>
  </si>
  <si>
    <t xml:space="preserve">    0,0355</t>
  </si>
  <si>
    <t>78</t>
  </si>
  <si>
    <t>S100</t>
  </si>
  <si>
    <t>62,13</t>
  </si>
  <si>
    <t xml:space="preserve">    0,1172</t>
  </si>
  <si>
    <t xml:space="preserve">    0,0760</t>
  </si>
  <si>
    <t xml:space="preserve">    2,92</t>
  </si>
  <si>
    <t>79</t>
  </si>
  <si>
    <t>S101</t>
  </si>
  <si>
    <t>56,41</t>
  </si>
  <si>
    <t xml:space="preserve">    0,159</t>
  </si>
  <si>
    <t xml:space="preserve">    0,1134</t>
  </si>
  <si>
    <t xml:space="preserve">    0,0643</t>
  </si>
  <si>
    <t>80</t>
  </si>
  <si>
    <t>S102</t>
  </si>
  <si>
    <t>65,27</t>
  </si>
  <si>
    <t xml:space="preserve">    0,0886</t>
  </si>
  <si>
    <t xml:space="preserve">    0,0716</t>
  </si>
  <si>
    <t>81</t>
  </si>
  <si>
    <t>S103</t>
  </si>
  <si>
    <t>95,27</t>
  </si>
  <si>
    <t xml:space="preserve">    0,373</t>
  </si>
  <si>
    <t xml:space="preserve">    0,1037</t>
  </si>
  <si>
    <t xml:space="preserve">    0,1510</t>
  </si>
  <si>
    <t xml:space="preserve">    4,16</t>
  </si>
  <si>
    <t>S104</t>
  </si>
  <si>
    <t>90,91</t>
  </si>
  <si>
    <t>11,79</t>
  </si>
  <si>
    <t xml:space="preserve">    4,03</t>
  </si>
  <si>
    <t xml:space="preserve">    0,1105</t>
  </si>
  <si>
    <t xml:space="preserve">    0,525</t>
  </si>
  <si>
    <t xml:space="preserve">    0,1600</t>
  </si>
  <si>
    <t xml:space="preserve">    4,83</t>
  </si>
  <si>
    <t>S105</t>
  </si>
  <si>
    <t>88,35</t>
  </si>
  <si>
    <t xml:space="preserve">    0,186</t>
  </si>
  <si>
    <t>14,58</t>
  </si>
  <si>
    <t xml:space="preserve">    2,91</t>
  </si>
  <si>
    <t xml:space="preserve">    0,316</t>
  </si>
  <si>
    <t xml:space="preserve">    0,1278</t>
  </si>
  <si>
    <t xml:space="preserve">    4,30</t>
  </si>
  <si>
    <t>82</t>
  </si>
  <si>
    <t>S109</t>
  </si>
  <si>
    <t>59,26</t>
  </si>
  <si>
    <t xml:space="preserve">    0,204</t>
  </si>
  <si>
    <t xml:space="preserve">    0,1898</t>
  </si>
  <si>
    <t xml:space="preserve">    0,0824</t>
  </si>
  <si>
    <t xml:space="preserve">    1,28</t>
  </si>
  <si>
    <t>83</t>
  </si>
  <si>
    <t>S110</t>
  </si>
  <si>
    <t>44,39</t>
  </si>
  <si>
    <t xml:space="preserve">    0,0725</t>
  </si>
  <si>
    <t>84</t>
  </si>
  <si>
    <t>S111</t>
  </si>
  <si>
    <t>62,77</t>
  </si>
  <si>
    <t xml:space="preserve">    0,161</t>
  </si>
  <si>
    <t xml:space="preserve">    0,0738</t>
  </si>
  <si>
    <t xml:space="preserve">    0,0652</t>
  </si>
  <si>
    <t>85</t>
  </si>
  <si>
    <t>S112</t>
  </si>
  <si>
    <t>30,52</t>
  </si>
  <si>
    <t xml:space="preserve">    0,100</t>
  </si>
  <si>
    <t xml:space="preserve">    0,0916</t>
  </si>
  <si>
    <t xml:space="preserve">    0,0405</t>
  </si>
  <si>
    <t>86</t>
  </si>
  <si>
    <t>S113</t>
  </si>
  <si>
    <t>32,47</t>
  </si>
  <si>
    <t xml:space="preserve">    0,0324</t>
  </si>
  <si>
    <t xml:space="preserve">    0,58</t>
  </si>
  <si>
    <t xml:space="preserve">    2,28</t>
  </si>
  <si>
    <t>60,47</t>
  </si>
  <si>
    <t xml:space="preserve">    0,166</t>
  </si>
  <si>
    <t xml:space="preserve">    0,0672</t>
  </si>
  <si>
    <t xml:space="preserve">    1,27</t>
  </si>
  <si>
    <t>87</t>
  </si>
  <si>
    <t>S106</t>
  </si>
  <si>
    <t>65,13</t>
  </si>
  <si>
    <t xml:space="preserve">    0,173</t>
  </si>
  <si>
    <t xml:space="preserve">    0,1811</t>
  </si>
  <si>
    <t xml:space="preserve">    0,0701</t>
  </si>
  <si>
    <t xml:space="preserve">    2,34</t>
  </si>
  <si>
    <t>S107</t>
  </si>
  <si>
    <t>63,17</t>
  </si>
  <si>
    <t>12,48</t>
  </si>
  <si>
    <t xml:space="preserve">    0,0901</t>
  </si>
  <si>
    <t xml:space="preserve">    0,292</t>
  </si>
  <si>
    <t xml:space="preserve">    0,1180</t>
  </si>
  <si>
    <t xml:space="preserve">    3,95</t>
  </si>
  <si>
    <t>S108</t>
  </si>
  <si>
    <t>61,57</t>
  </si>
  <si>
    <t xml:space="preserve">    0,0745</t>
  </si>
  <si>
    <t>88</t>
  </si>
  <si>
    <t>S114</t>
  </si>
  <si>
    <t>63,80</t>
  </si>
  <si>
    <t xml:space="preserve">    0,1943</t>
  </si>
  <si>
    <t xml:space="preserve">    0,1004</t>
  </si>
  <si>
    <t xml:space="preserve">    1,35</t>
  </si>
  <si>
    <t>115,81</t>
  </si>
  <si>
    <t>11,50</t>
  </si>
  <si>
    <t xml:space="preserve">    1,06</t>
  </si>
  <si>
    <t xml:space="preserve">    0,1432</t>
  </si>
  <si>
    <t xml:space="preserve">    0,522</t>
  </si>
  <si>
    <t xml:space="preserve">    0,2114</t>
  </si>
  <si>
    <t xml:space="preserve">    1,22</t>
  </si>
  <si>
    <t xml:space="preserve">    4,19</t>
  </si>
  <si>
    <t>89</t>
  </si>
  <si>
    <t>S115</t>
  </si>
  <si>
    <t>66,36</t>
  </si>
  <si>
    <t xml:space="preserve"> 0,035</t>
  </si>
  <si>
    <t xml:space="preserve">    0,1721</t>
  </si>
  <si>
    <t xml:space="preserve">    0,0526</t>
  </si>
  <si>
    <t xml:space="preserve">    2,11</t>
  </si>
  <si>
    <t>RESULTADO DOS CÁLCULOS DAS GALERIAS</t>
  </si>
  <si>
    <t>Trecho</t>
  </si>
  <si>
    <t>Extensão (m)</t>
  </si>
  <si>
    <t>Vazão (m³/s)</t>
  </si>
  <si>
    <t>Diâmetro (m)</t>
  </si>
  <si>
    <t>Tirante</t>
  </si>
  <si>
    <t>Vel. Real (m/s)</t>
  </si>
  <si>
    <t>Q Seção Plena (m²/s)</t>
  </si>
  <si>
    <t>V Seção Pelna (m/s)</t>
  </si>
  <si>
    <t>Cota Ter. Montante</t>
  </si>
  <si>
    <t>Cota Ter. Jusante</t>
  </si>
  <si>
    <t>Cota GI Gal. Montante</t>
  </si>
  <si>
    <t>Cota GI Gal. Jusante</t>
  </si>
  <si>
    <t>Prof. Montante</t>
  </si>
  <si>
    <t>Prof. Jusante</t>
  </si>
  <si>
    <t>n Manning</t>
  </si>
  <si>
    <t>Larg. Vala (m)</t>
  </si>
  <si>
    <t>G1</t>
  </si>
  <si>
    <t>T1</t>
  </si>
  <si>
    <t xml:space="preserve"> 0,0182</t>
  </si>
  <si>
    <t xml:space="preserve">    0,285</t>
  </si>
  <si>
    <t xml:space="preserve">    2,24 </t>
  </si>
  <si>
    <t xml:space="preserve">    0,782</t>
  </si>
  <si>
    <t xml:space="preserve">2,76 </t>
  </si>
  <si>
    <t xml:space="preserve">277,810 </t>
  </si>
  <si>
    <t xml:space="preserve">276,440 </t>
  </si>
  <si>
    <t xml:space="preserve">276,210 </t>
  </si>
  <si>
    <t xml:space="preserve">274,840 </t>
  </si>
  <si>
    <t xml:space="preserve">1,600 </t>
  </si>
  <si>
    <t xml:space="preserve">0,013 </t>
  </si>
  <si>
    <t>T2</t>
  </si>
  <si>
    <t xml:space="preserve"> 0,0207</t>
  </si>
  <si>
    <t xml:space="preserve">    0,402</t>
  </si>
  <si>
    <t xml:space="preserve">    2,84 </t>
  </si>
  <si>
    <t xml:space="preserve">    0,866</t>
  </si>
  <si>
    <t xml:space="preserve">3,06 </t>
  </si>
  <si>
    <t xml:space="preserve">274,910 </t>
  </si>
  <si>
    <t xml:space="preserve">273,310 </t>
  </si>
  <si>
    <t>T3</t>
  </si>
  <si>
    <t xml:space="preserve">    0,461</t>
  </si>
  <si>
    <t xml:space="preserve"> 0,0108</t>
  </si>
  <si>
    <t xml:space="preserve">    0,631</t>
  </si>
  <si>
    <t xml:space="preserve">    2,45 </t>
  </si>
  <si>
    <t xml:space="preserve">    0,651</t>
  </si>
  <si>
    <t xml:space="preserve">2,30 </t>
  </si>
  <si>
    <t xml:space="preserve">274,110 </t>
  </si>
  <si>
    <t xml:space="preserve">272,510 </t>
  </si>
  <si>
    <t>T4</t>
  </si>
  <si>
    <t xml:space="preserve">    0,621</t>
  </si>
  <si>
    <t xml:space="preserve"> 0,0112</t>
  </si>
  <si>
    <t xml:space="preserve">    0,468</t>
  </si>
  <si>
    <t xml:space="preserve">    2,69 </t>
  </si>
  <si>
    <t xml:space="preserve">    1,380</t>
  </si>
  <si>
    <t xml:space="preserve">2,75 </t>
  </si>
  <si>
    <t xml:space="preserve">273,150 </t>
  </si>
  <si>
    <t xml:space="preserve">272,310 </t>
  </si>
  <si>
    <t xml:space="preserve">271,350 </t>
  </si>
  <si>
    <t xml:space="preserve">1,800 </t>
  </si>
  <si>
    <t>G2</t>
  </si>
  <si>
    <t>T6.2</t>
  </si>
  <si>
    <t xml:space="preserve"> 0,0038</t>
  </si>
  <si>
    <t xml:space="preserve">    0,632</t>
  </si>
  <si>
    <t xml:space="preserve">    1,45 </t>
  </si>
  <si>
    <t xml:space="preserve">    0,383</t>
  </si>
  <si>
    <t xml:space="preserve">1,36 </t>
  </si>
  <si>
    <t xml:space="preserve">281,030 </t>
  </si>
  <si>
    <t xml:space="preserve">280,680 </t>
  </si>
  <si>
    <t xml:space="preserve">279,430 </t>
  </si>
  <si>
    <t xml:space="preserve">279,080 </t>
  </si>
  <si>
    <t>T6.1</t>
  </si>
  <si>
    <t xml:space="preserve"> 0,0130</t>
  </si>
  <si>
    <t xml:space="preserve">    0,595</t>
  </si>
  <si>
    <t xml:space="preserve">    2,64 </t>
  </si>
  <si>
    <t xml:space="preserve">    0,711</t>
  </si>
  <si>
    <t xml:space="preserve">2,51 </t>
  </si>
  <si>
    <t xml:space="preserve">279,600 </t>
  </si>
  <si>
    <t xml:space="preserve">278,000 </t>
  </si>
  <si>
    <t>T6</t>
  </si>
  <si>
    <t xml:space="preserve">    0,732</t>
  </si>
  <si>
    <t xml:space="preserve"> 0,0281</t>
  </si>
  <si>
    <t xml:space="preserve">    0,624</t>
  </si>
  <si>
    <t xml:space="preserve">    3,95 </t>
  </si>
  <si>
    <t xml:space="preserve">    1,049</t>
  </si>
  <si>
    <t xml:space="preserve">3,71 </t>
  </si>
  <si>
    <t xml:space="preserve">277,500 </t>
  </si>
  <si>
    <t xml:space="preserve">275,900 </t>
  </si>
  <si>
    <t>T7</t>
  </si>
  <si>
    <t xml:space="preserve">    1,477</t>
  </si>
  <si>
    <t xml:space="preserve"> 0,0353</t>
  </si>
  <si>
    <t xml:space="preserve">    0,558</t>
  </si>
  <si>
    <t xml:space="preserve">    5,12 </t>
  </si>
  <si>
    <t xml:space="preserve">    2,489</t>
  </si>
  <si>
    <t xml:space="preserve">4,95 </t>
  </si>
  <si>
    <t xml:space="preserve">274,860 </t>
  </si>
  <si>
    <t xml:space="preserve">275,700 </t>
  </si>
  <si>
    <t xml:space="preserve">273,060 </t>
  </si>
  <si>
    <t>T8</t>
  </si>
  <si>
    <t xml:space="preserve">    2,217</t>
  </si>
  <si>
    <t xml:space="preserve"> 0,0423</t>
  </si>
  <si>
    <t xml:space="preserve">    0,693</t>
  </si>
  <si>
    <t xml:space="preserve">    5,97 </t>
  </si>
  <si>
    <t xml:space="preserve">    2,761</t>
  </si>
  <si>
    <t xml:space="preserve">5,49 </t>
  </si>
  <si>
    <t xml:space="preserve">271,800 </t>
  </si>
  <si>
    <t xml:space="preserve">270,000 </t>
  </si>
  <si>
    <t>T9</t>
  </si>
  <si>
    <t xml:space="preserve">    2,885</t>
  </si>
  <si>
    <t xml:space="preserve"> 0,0217</t>
  </si>
  <si>
    <t xml:space="preserve">    0,699</t>
  </si>
  <si>
    <t xml:space="preserve">    4,92 </t>
  </si>
  <si>
    <t xml:space="preserve">    3,550</t>
  </si>
  <si>
    <t xml:space="preserve">4,52 </t>
  </si>
  <si>
    <t xml:space="preserve">269,900 </t>
  </si>
  <si>
    <t xml:space="preserve">269,800 </t>
  </si>
  <si>
    <t xml:space="preserve">267,900 </t>
  </si>
  <si>
    <t xml:space="preserve">2,000 </t>
  </si>
  <si>
    <t>T10</t>
  </si>
  <si>
    <t xml:space="preserve">    3,019</t>
  </si>
  <si>
    <t xml:space="preserve"> 0,0190</t>
  </si>
  <si>
    <t xml:space="preserve">    0,766</t>
  </si>
  <si>
    <t xml:space="preserve">    4,68 </t>
  </si>
  <si>
    <t xml:space="preserve">    3,336</t>
  </si>
  <si>
    <t xml:space="preserve">4,25 </t>
  </si>
  <si>
    <t xml:space="preserve">269,500 </t>
  </si>
  <si>
    <t xml:space="preserve">266,800 </t>
  </si>
  <si>
    <t xml:space="preserve">2,700 </t>
  </si>
  <si>
    <t>T11</t>
  </si>
  <si>
    <t xml:space="preserve"> 0,0262</t>
  </si>
  <si>
    <t xml:space="preserve">    0,673</t>
  </si>
  <si>
    <t xml:space="preserve">    5,37 </t>
  </si>
  <si>
    <t xml:space="preserve">    3,900</t>
  </si>
  <si>
    <t xml:space="preserve">4,97 </t>
  </si>
  <si>
    <t xml:space="preserve">265,900 </t>
  </si>
  <si>
    <t xml:space="preserve">263,900 </t>
  </si>
  <si>
    <t>T12</t>
  </si>
  <si>
    <t xml:space="preserve"> 0,0376</t>
  </si>
  <si>
    <t xml:space="preserve">    0,594</t>
  </si>
  <si>
    <t xml:space="preserve">    6,21 </t>
  </si>
  <si>
    <t xml:space="preserve">    4,642</t>
  </si>
  <si>
    <t xml:space="preserve">5,91 </t>
  </si>
  <si>
    <t xml:space="preserve">263,000 </t>
  </si>
  <si>
    <t xml:space="preserve">261,000 </t>
  </si>
  <si>
    <t>T13</t>
  </si>
  <si>
    <t xml:space="preserve"> 0,0234</t>
  </si>
  <si>
    <t xml:space="preserve">    0,703</t>
  </si>
  <si>
    <t xml:space="preserve">    3,689</t>
  </si>
  <si>
    <t xml:space="preserve">4,70 </t>
  </si>
  <si>
    <t xml:space="preserve">261,250 </t>
  </si>
  <si>
    <t xml:space="preserve">259,250 </t>
  </si>
  <si>
    <t>T14</t>
  </si>
  <si>
    <t xml:space="preserve"> 0,0356</t>
  </si>
  <si>
    <t xml:space="preserve">    0,605</t>
  </si>
  <si>
    <t xml:space="preserve">    6,07 </t>
  </si>
  <si>
    <t xml:space="preserve">    4,516</t>
  </si>
  <si>
    <t xml:space="preserve">5,75 </t>
  </si>
  <si>
    <t xml:space="preserve">258,750 </t>
  </si>
  <si>
    <t xml:space="preserve">256,750 </t>
  </si>
  <si>
    <t>T15</t>
  </si>
  <si>
    <t xml:space="preserve"> 0,0205</t>
  </si>
  <si>
    <t xml:space="preserve">    0,741</t>
  </si>
  <si>
    <t xml:space="preserve">    4,84 </t>
  </si>
  <si>
    <t xml:space="preserve">    3,464</t>
  </si>
  <si>
    <t xml:space="preserve">4,41 </t>
  </si>
  <si>
    <t xml:space="preserve">257,500 </t>
  </si>
  <si>
    <t xml:space="preserve">255,500 </t>
  </si>
  <si>
    <t>T16</t>
  </si>
  <si>
    <t xml:space="preserve"> 0,0083</t>
  </si>
  <si>
    <t xml:space="preserve">    0,726</t>
  </si>
  <si>
    <t xml:space="preserve">    3,43 </t>
  </si>
  <si>
    <t xml:space="preserve">    3,547</t>
  </si>
  <si>
    <t xml:space="preserve">3,14 </t>
  </si>
  <si>
    <t xml:space="preserve">256,700 </t>
  </si>
  <si>
    <t xml:space="preserve">255,300 </t>
  </si>
  <si>
    <t xml:space="preserve">254,500 </t>
  </si>
  <si>
    <t xml:space="preserve">2,200 </t>
  </si>
  <si>
    <t>T17</t>
  </si>
  <si>
    <t xml:space="preserve"> 0,0091</t>
  </si>
  <si>
    <t xml:space="preserve">    0,700</t>
  </si>
  <si>
    <t xml:space="preserve">    3,57 </t>
  </si>
  <si>
    <t xml:space="preserve">    3,708</t>
  </si>
  <si>
    <t xml:space="preserve">3,28 </t>
  </si>
  <si>
    <t xml:space="preserve">255,800 </t>
  </si>
  <si>
    <t xml:space="preserve">253,600 </t>
  </si>
  <si>
    <t>T18</t>
  </si>
  <si>
    <t xml:space="preserve"> 0,0072</t>
  </si>
  <si>
    <t xml:space="preserve">    0,774</t>
  </si>
  <si>
    <t xml:space="preserve">    3,21 </t>
  </si>
  <si>
    <t xml:space="preserve">    3,299</t>
  </si>
  <si>
    <t xml:space="preserve">2,92 </t>
  </si>
  <si>
    <t xml:space="preserve">255,100 </t>
  </si>
  <si>
    <t xml:space="preserve">252,900 </t>
  </si>
  <si>
    <t>T19</t>
  </si>
  <si>
    <t xml:space="preserve"> 0,0071</t>
  </si>
  <si>
    <t xml:space="preserve">    0,778</t>
  </si>
  <si>
    <t xml:space="preserve">    3,20 </t>
  </si>
  <si>
    <t xml:space="preserve">    3,281</t>
  </si>
  <si>
    <t xml:space="preserve">2,90 </t>
  </si>
  <si>
    <t xml:space="preserve">252,200 </t>
  </si>
  <si>
    <t xml:space="preserve">2,300 </t>
  </si>
  <si>
    <t>T20</t>
  </si>
  <si>
    <t xml:space="preserve"> 0,0093</t>
  </si>
  <si>
    <t xml:space="preserve">    0,694</t>
  </si>
  <si>
    <t xml:space="preserve">    3,61 </t>
  </si>
  <si>
    <t xml:space="preserve">    3,752</t>
  </si>
  <si>
    <t xml:space="preserve">3,32 </t>
  </si>
  <si>
    <t xml:space="preserve">253,900 </t>
  </si>
  <si>
    <t xml:space="preserve">251,700 </t>
  </si>
  <si>
    <t>G3</t>
  </si>
  <si>
    <t>T7.2</t>
  </si>
  <si>
    <t xml:space="preserve">    0,304</t>
  </si>
  <si>
    <t xml:space="preserve"> 0,0103</t>
  </si>
  <si>
    <t xml:space="preserve">    0,492</t>
  </si>
  <si>
    <t xml:space="preserve">    2,20 </t>
  </si>
  <si>
    <t xml:space="preserve">    0,625</t>
  </si>
  <si>
    <t xml:space="preserve">2,21 </t>
  </si>
  <si>
    <t xml:space="preserve">279,570 </t>
  </si>
  <si>
    <t xml:space="preserve">278,670 </t>
  </si>
  <si>
    <t xml:space="preserve">277,970 </t>
  </si>
  <si>
    <t xml:space="preserve">277,070 </t>
  </si>
  <si>
    <t>T7.1</t>
  </si>
  <si>
    <t xml:space="preserve">    0,464</t>
  </si>
  <si>
    <t xml:space="preserve"> 0,0173</t>
  </si>
  <si>
    <t xml:space="preserve">    0,544</t>
  </si>
  <si>
    <t xml:space="preserve">    2,95 </t>
  </si>
  <si>
    <t xml:space="preserve">    0,814</t>
  </si>
  <si>
    <t xml:space="preserve">2,88 </t>
  </si>
  <si>
    <t xml:space="preserve">277,300 </t>
  </si>
  <si>
    <t>T7.1.1</t>
  </si>
  <si>
    <t xml:space="preserve"> 0,0516</t>
  </si>
  <si>
    <t xml:space="preserve">    0,396</t>
  </si>
  <si>
    <t xml:space="preserve">    4,46 </t>
  </si>
  <si>
    <t xml:space="preserve">    1,367</t>
  </si>
  <si>
    <t xml:space="preserve">4,84 </t>
  </si>
  <si>
    <t xml:space="preserve">275,520 </t>
  </si>
  <si>
    <t xml:space="preserve">1,980 </t>
  </si>
  <si>
    <t>G4</t>
  </si>
  <si>
    <t>T8.2</t>
  </si>
  <si>
    <t xml:space="preserve">    0,302</t>
  </si>
  <si>
    <t xml:space="preserve"> 0,0192</t>
  </si>
  <si>
    <t xml:space="preserve">    0,410</t>
  </si>
  <si>
    <t xml:space="preserve">    2,76 </t>
  </si>
  <si>
    <t xml:space="preserve">    0,837</t>
  </si>
  <si>
    <t xml:space="preserve">2,96 </t>
  </si>
  <si>
    <t xml:space="preserve">277,880 </t>
  </si>
  <si>
    <t xml:space="preserve">276,300 </t>
  </si>
  <si>
    <t xml:space="preserve">276,280 </t>
  </si>
  <si>
    <t xml:space="preserve">274,700 </t>
  </si>
  <si>
    <t>T8.1</t>
  </si>
  <si>
    <t xml:space="preserve">    0,462</t>
  </si>
  <si>
    <t xml:space="preserve"> 0,0203</t>
  </si>
  <si>
    <t xml:space="preserve">    0,516</t>
  </si>
  <si>
    <t xml:space="preserve">    3,14 </t>
  </si>
  <si>
    <t xml:space="preserve">    0,879</t>
  </si>
  <si>
    <t xml:space="preserve">3,11 </t>
  </si>
  <si>
    <t xml:space="preserve">273,100 </t>
  </si>
  <si>
    <t>T8.1.1</t>
  </si>
  <si>
    <t xml:space="preserve"> 0,0580</t>
  </si>
  <si>
    <t xml:space="preserve">    0,382</t>
  </si>
  <si>
    <t xml:space="preserve">    4,65 </t>
  </si>
  <si>
    <t xml:space="preserve">    1,444</t>
  </si>
  <si>
    <t xml:space="preserve">5,11 </t>
  </si>
  <si>
    <t xml:space="preserve">272,900 </t>
  </si>
  <si>
    <t xml:space="preserve">1,960 </t>
  </si>
  <si>
    <t>G5</t>
  </si>
  <si>
    <t>T9.2</t>
  </si>
  <si>
    <t xml:space="preserve"> 0,0258</t>
  </si>
  <si>
    <t xml:space="preserve">    0,353</t>
  </si>
  <si>
    <t xml:space="preserve">    2,98 </t>
  </si>
  <si>
    <t xml:space="preserve">    0,954</t>
  </si>
  <si>
    <t xml:space="preserve">3,37 </t>
  </si>
  <si>
    <t xml:space="preserve">276,320 </t>
  </si>
  <si>
    <t xml:space="preserve">274,460 </t>
  </si>
  <si>
    <t xml:space="preserve">274,720 </t>
  </si>
  <si>
    <t xml:space="preserve">272,860 </t>
  </si>
  <si>
    <t>T9.1</t>
  </si>
  <si>
    <t xml:space="preserve">    0,397</t>
  </si>
  <si>
    <t xml:space="preserve"> 0,0332</t>
  </si>
  <si>
    <t xml:space="preserve">    3,63 </t>
  </si>
  <si>
    <t xml:space="preserve">    1,100</t>
  </si>
  <si>
    <t xml:space="preserve">3,89 </t>
  </si>
  <si>
    <t xml:space="preserve">271,760 </t>
  </si>
  <si>
    <t xml:space="preserve">270,160 </t>
  </si>
  <si>
    <t>T9.1.1</t>
  </si>
  <si>
    <t xml:space="preserve"> 0,0505</t>
  </si>
  <si>
    <t xml:space="preserve">    0,366</t>
  </si>
  <si>
    <t xml:space="preserve">    4,24 </t>
  </si>
  <si>
    <t xml:space="preserve">    1,340</t>
  </si>
  <si>
    <t xml:space="preserve">4,74 </t>
  </si>
  <si>
    <t xml:space="preserve">269,970 </t>
  </si>
  <si>
    <t xml:space="preserve">1,830 </t>
  </si>
  <si>
    <t>T16.2</t>
  </si>
  <si>
    <t xml:space="preserve"> 0,0078</t>
  </si>
  <si>
    <t xml:space="preserve">    0,447</t>
  </si>
  <si>
    <t xml:space="preserve">    1,83 </t>
  </si>
  <si>
    <t xml:space="preserve">    0,538</t>
  </si>
  <si>
    <t xml:space="preserve">1,90 </t>
  </si>
  <si>
    <t xml:space="preserve">257,700 </t>
  </si>
  <si>
    <t xml:space="preserve">256,980 </t>
  </si>
  <si>
    <t xml:space="preserve">256,100 </t>
  </si>
  <si>
    <t xml:space="preserve">255,380 </t>
  </si>
  <si>
    <t xml:space="preserve">    0,557</t>
  </si>
  <si>
    <t xml:space="preserve"> 0,0047</t>
  </si>
  <si>
    <t xml:space="preserve">    0,570</t>
  </si>
  <si>
    <t xml:space="preserve">    1,88 </t>
  </si>
  <si>
    <t xml:space="preserve">    0,909</t>
  </si>
  <si>
    <t xml:space="preserve">1,81 </t>
  </si>
  <si>
    <t xml:space="preserve">255,180 </t>
  </si>
  <si>
    <t xml:space="preserve">254,900 </t>
  </si>
  <si>
    <t xml:space="preserve">2,600 </t>
  </si>
  <si>
    <t>T13.3</t>
  </si>
  <si>
    <t xml:space="preserve">    0,137</t>
  </si>
  <si>
    <t xml:space="preserve"> 0,0189</t>
  </si>
  <si>
    <t xml:space="preserve">    0,271</t>
  </si>
  <si>
    <t xml:space="preserve">    2,22 </t>
  </si>
  <si>
    <t xml:space="preserve">    0,792</t>
  </si>
  <si>
    <t xml:space="preserve">2,80 </t>
  </si>
  <si>
    <t xml:space="preserve">265,500 </t>
  </si>
  <si>
    <t xml:space="preserve">264,240 </t>
  </si>
  <si>
    <t xml:space="preserve">262,640 </t>
  </si>
  <si>
    <t>T13.2</t>
  </si>
  <si>
    <t xml:space="preserve"> 0,0143</t>
  </si>
  <si>
    <t xml:space="preserve">    2,49 </t>
  </si>
  <si>
    <t xml:space="preserve">    0,728</t>
  </si>
  <si>
    <t xml:space="preserve">2,57 </t>
  </si>
  <si>
    <t xml:space="preserve">263,200 </t>
  </si>
  <si>
    <t xml:space="preserve">261,600 </t>
  </si>
  <si>
    <t>T13.1</t>
  </si>
  <si>
    <t xml:space="preserve"> 0,0478</t>
  </si>
  <si>
    <t xml:space="preserve">    0,326</t>
  </si>
  <si>
    <t xml:space="preserve">    3,90 </t>
  </si>
  <si>
    <t xml:space="preserve">    1,288</t>
  </si>
  <si>
    <t xml:space="preserve">4,56 </t>
  </si>
  <si>
    <t xml:space="preserve">261,700 </t>
  </si>
  <si>
    <t xml:space="preserve">261,400 </t>
  </si>
  <si>
    <t xml:space="preserve">1,500 </t>
  </si>
  <si>
    <t>T12.3</t>
  </si>
  <si>
    <t xml:space="preserve"> 0,0160</t>
  </si>
  <si>
    <t xml:space="preserve">    0,384</t>
  </si>
  <si>
    <t xml:space="preserve">    2,44 </t>
  </si>
  <si>
    <t xml:space="preserve">    0,758</t>
  </si>
  <si>
    <t xml:space="preserve">2,68 </t>
  </si>
  <si>
    <t xml:space="preserve">268,130 </t>
  </si>
  <si>
    <t xml:space="preserve">266,950 </t>
  </si>
  <si>
    <t xml:space="preserve">266,530 </t>
  </si>
  <si>
    <t xml:space="preserve">265,350 </t>
  </si>
  <si>
    <t>T12.2</t>
  </si>
  <si>
    <t xml:space="preserve">    0,586</t>
  </si>
  <si>
    <t xml:space="preserve"> 0,0140</t>
  </si>
  <si>
    <t xml:space="preserve">    0,683</t>
  </si>
  <si>
    <t xml:space="preserve">    2,85 </t>
  </si>
  <si>
    <t xml:space="preserve">    0,743</t>
  </si>
  <si>
    <t xml:space="preserve">2,63 </t>
  </si>
  <si>
    <t xml:space="preserve">266,000 </t>
  </si>
  <si>
    <t xml:space="preserve">264,400 </t>
  </si>
  <si>
    <t>T12.1</t>
  </si>
  <si>
    <t xml:space="preserve">    4,484</t>
  </si>
  <si>
    <t xml:space="preserve">5,71 </t>
  </si>
  <si>
    <t xml:space="preserve">264,000 </t>
  </si>
  <si>
    <t xml:space="preserve">    0,320</t>
  </si>
  <si>
    <t xml:space="preserve">    0,722</t>
  </si>
  <si>
    <t xml:space="preserve">2,55 </t>
  </si>
  <si>
    <t xml:space="preserve">273,300 </t>
  </si>
  <si>
    <t xml:space="preserve">272,250 </t>
  </si>
  <si>
    <t xml:space="preserve">271,700 </t>
  </si>
  <si>
    <t xml:space="preserve">270,650 </t>
  </si>
  <si>
    <t xml:space="preserve">    0,618</t>
  </si>
  <si>
    <t xml:space="preserve"> 0,0132</t>
  </si>
  <si>
    <t xml:space="preserve">    0,729</t>
  </si>
  <si>
    <t xml:space="preserve">    2,80 </t>
  </si>
  <si>
    <t xml:space="preserve">    0,724</t>
  </si>
  <si>
    <t xml:space="preserve">2,56 </t>
  </si>
  <si>
    <t xml:space="preserve">271,600 </t>
  </si>
  <si>
    <t xml:space="preserve">    1,323</t>
  </si>
  <si>
    <t xml:space="preserve"> 0,0165</t>
  </si>
  <si>
    <t xml:space="preserve">    0,669</t>
  </si>
  <si>
    <t xml:space="preserve">    3,70 </t>
  </si>
  <si>
    <t xml:space="preserve">    1,723</t>
  </si>
  <si>
    <t xml:space="preserve">3,43 </t>
  </si>
  <si>
    <t xml:space="preserve">270,350 </t>
  </si>
  <si>
    <t xml:space="preserve">268,550 </t>
  </si>
  <si>
    <t xml:space="preserve">    0,659</t>
  </si>
  <si>
    <t xml:space="preserve">    3,77 </t>
  </si>
  <si>
    <t xml:space="preserve">    1,758</t>
  </si>
  <si>
    <t xml:space="preserve">3,50 </t>
  </si>
  <si>
    <t xml:space="preserve">269,000 </t>
  </si>
  <si>
    <t xml:space="preserve">267,200 </t>
  </si>
  <si>
    <t xml:space="preserve">    1,636</t>
  </si>
  <si>
    <t xml:space="preserve"> 0,0196</t>
  </si>
  <si>
    <t xml:space="preserve">    0,740</t>
  </si>
  <si>
    <t xml:space="preserve">    4,10 </t>
  </si>
  <si>
    <t xml:space="preserve">    1,881</t>
  </si>
  <si>
    <t xml:space="preserve">3,74 </t>
  </si>
  <si>
    <t xml:space="preserve">266,500 </t>
  </si>
  <si>
    <t xml:space="preserve">264,700 </t>
  </si>
  <si>
    <t xml:space="preserve"> 0,0225</t>
  </si>
  <si>
    <t xml:space="preserve">    4,36 </t>
  </si>
  <si>
    <t xml:space="preserve">    2,016</t>
  </si>
  <si>
    <t xml:space="preserve">4,01 </t>
  </si>
  <si>
    <t xml:space="preserve">264,250 </t>
  </si>
  <si>
    <t xml:space="preserve">262,450 </t>
  </si>
  <si>
    <t xml:space="preserve">    0,801</t>
  </si>
  <si>
    <t xml:space="preserve">    3,79 </t>
  </si>
  <si>
    <t xml:space="preserve">    1,727</t>
  </si>
  <si>
    <t xml:space="preserve">3,44 </t>
  </si>
  <si>
    <t xml:space="preserve">262,600 </t>
  </si>
  <si>
    <t xml:space="preserve">260,800 </t>
  </si>
  <si>
    <t xml:space="preserve"> 0,0150</t>
  </si>
  <si>
    <t xml:space="preserve">    0,539</t>
  </si>
  <si>
    <t xml:space="preserve">    2,909</t>
  </si>
  <si>
    <t xml:space="preserve">3,70 </t>
  </si>
  <si>
    <t xml:space="preserve">261,100 </t>
  </si>
  <si>
    <t xml:space="preserve">260,600 </t>
  </si>
  <si>
    <t xml:space="preserve">259,100 </t>
  </si>
  <si>
    <t xml:space="preserve"> 0,0110</t>
  </si>
  <si>
    <t xml:space="preserve">    3,36 </t>
  </si>
  <si>
    <t xml:space="preserve">    2,509</t>
  </si>
  <si>
    <t xml:space="preserve">3,19 </t>
  </si>
  <si>
    <t xml:space="preserve">260,000 </t>
  </si>
  <si>
    <t xml:space="preserve">258,000 </t>
  </si>
  <si>
    <t xml:space="preserve"> 0,0172</t>
  </si>
  <si>
    <t xml:space="preserve">    4,00 </t>
  </si>
  <si>
    <t xml:space="preserve">    3,109</t>
  </si>
  <si>
    <t xml:space="preserve">3,96 </t>
  </si>
  <si>
    <t xml:space="preserve">258,400 </t>
  </si>
  <si>
    <t xml:space="preserve">256,400 </t>
  </si>
  <si>
    <t xml:space="preserve"> 0,0070</t>
  </si>
  <si>
    <t xml:space="preserve">    0,697</t>
  </si>
  <si>
    <t xml:space="preserve">    2,022</t>
  </si>
  <si>
    <t xml:space="preserve">255,700 </t>
  </si>
  <si>
    <t xml:space="preserve">    2,506</t>
  </si>
  <si>
    <t xml:space="preserve">256,600 </t>
  </si>
  <si>
    <t xml:space="preserve">254,600 </t>
  </si>
  <si>
    <t xml:space="preserve"> 0,0227</t>
  </si>
  <si>
    <t xml:space="preserve">    0,476</t>
  </si>
  <si>
    <t xml:space="preserve">    4,44 </t>
  </si>
  <si>
    <t xml:space="preserve">    3,544</t>
  </si>
  <si>
    <t xml:space="preserve">4,51 </t>
  </si>
  <si>
    <t xml:space="preserve">254,400 </t>
  </si>
  <si>
    <t xml:space="preserve">252,400 </t>
  </si>
  <si>
    <t xml:space="preserve"> 0,0396</t>
  </si>
  <si>
    <t xml:space="preserve">    0,406</t>
  </si>
  <si>
    <t xml:space="preserve">    5,47 </t>
  </si>
  <si>
    <t xml:space="preserve">    4,615</t>
  </si>
  <si>
    <t xml:space="preserve">5,88 </t>
  </si>
  <si>
    <t xml:space="preserve">252,500 </t>
  </si>
  <si>
    <t xml:space="preserve">250,500 </t>
  </si>
  <si>
    <t xml:space="preserve"> 0,0052</t>
  </si>
  <si>
    <t xml:space="preserve">    0,795</t>
  </si>
  <si>
    <t xml:space="preserve">    1,740</t>
  </si>
  <si>
    <t xml:space="preserve">2,22 </t>
  </si>
  <si>
    <t xml:space="preserve">250,000 </t>
  </si>
  <si>
    <t xml:space="preserve">0,000 </t>
  </si>
  <si>
    <t>T5</t>
  </si>
  <si>
    <t xml:space="preserve"> 0,0135</t>
  </si>
  <si>
    <t xml:space="preserve">    2,83 </t>
  </si>
  <si>
    <t xml:space="preserve">    0,733</t>
  </si>
  <si>
    <t xml:space="preserve">2,59 </t>
  </si>
  <si>
    <t xml:space="preserve">271,550 </t>
  </si>
  <si>
    <t>G6</t>
  </si>
  <si>
    <t xml:space="preserve"> 0,0154</t>
  </si>
  <si>
    <t xml:space="preserve">    0,343</t>
  </si>
  <si>
    <t xml:space="preserve">    2,27 </t>
  </si>
  <si>
    <t xml:space="preserve">    0,734</t>
  </si>
  <si>
    <t xml:space="preserve">2,60 </t>
  </si>
  <si>
    <t xml:space="preserve">269,950 </t>
  </si>
  <si>
    <t xml:space="preserve">268,350 </t>
  </si>
  <si>
    <t xml:space="preserve">267,400 </t>
  </si>
  <si>
    <t>G7</t>
  </si>
  <si>
    <t>T16b4</t>
  </si>
  <si>
    <t xml:space="preserve">    0,216</t>
  </si>
  <si>
    <t xml:space="preserve"> 0,0285</t>
  </si>
  <si>
    <t xml:space="preserve">    0,308</t>
  </si>
  <si>
    <t xml:space="preserve">    2,92 </t>
  </si>
  <si>
    <t xml:space="preserve">    0,988</t>
  </si>
  <si>
    <t xml:space="preserve">3,49 </t>
  </si>
  <si>
    <t xml:space="preserve">272,000 </t>
  </si>
  <si>
    <t xml:space="preserve">269,700 </t>
  </si>
  <si>
    <t xml:space="preserve">270,400 </t>
  </si>
  <si>
    <t xml:space="preserve">268,100 </t>
  </si>
  <si>
    <t>T16b3</t>
  </si>
  <si>
    <t xml:space="preserve"> 0,0311</t>
  </si>
  <si>
    <t xml:space="preserve">    3,01 </t>
  </si>
  <si>
    <t xml:space="preserve">    1,029</t>
  </si>
  <si>
    <t xml:space="preserve">3,64 </t>
  </si>
  <si>
    <t xml:space="preserve">265,800 </t>
  </si>
  <si>
    <t>T16b2</t>
  </si>
  <si>
    <t xml:space="preserve">    0,445</t>
  </si>
  <si>
    <t xml:space="preserve"> 0,0508</t>
  </si>
  <si>
    <t xml:space="preserve">    0,389</t>
  </si>
  <si>
    <t xml:space="preserve">    4,39 </t>
  </si>
  <si>
    <t xml:space="preserve">    1,354</t>
  </si>
  <si>
    <t xml:space="preserve">4,79 </t>
  </si>
  <si>
    <t xml:space="preserve">263,510 </t>
  </si>
  <si>
    <t xml:space="preserve">261,910 </t>
  </si>
  <si>
    <t>T16b1</t>
  </si>
  <si>
    <t xml:space="preserve">    0,416</t>
  </si>
  <si>
    <t xml:space="preserve">    1,204</t>
  </si>
  <si>
    <t xml:space="preserve">4,26 </t>
  </si>
  <si>
    <t xml:space="preserve">260,700 </t>
  </si>
  <si>
    <t>T16b</t>
  </si>
  <si>
    <t xml:space="preserve">    0,702</t>
  </si>
  <si>
    <t xml:space="preserve">    0,654</t>
  </si>
  <si>
    <t xml:space="preserve">    3,58 </t>
  </si>
  <si>
    <t xml:space="preserve">    0,941</t>
  </si>
  <si>
    <t xml:space="preserve">3,33 </t>
  </si>
  <si>
    <t xml:space="preserve">259,220 </t>
  </si>
  <si>
    <t xml:space="preserve">257,620 </t>
  </si>
  <si>
    <t>T16c</t>
  </si>
  <si>
    <t xml:space="preserve"> 0,0210</t>
  </si>
  <si>
    <t xml:space="preserve">    0,672</t>
  </si>
  <si>
    <t xml:space="preserve">    3,48 </t>
  </si>
  <si>
    <t xml:space="preserve">    0,910</t>
  </si>
  <si>
    <t xml:space="preserve">3,22 </t>
  </si>
  <si>
    <t xml:space="preserve">257,900 </t>
  </si>
  <si>
    <t xml:space="preserve">256,300 </t>
  </si>
  <si>
    <t>T16d</t>
  </si>
  <si>
    <t xml:space="preserve"> 0,0069</t>
  </si>
  <si>
    <t xml:space="preserve">    2,29 </t>
  </si>
  <si>
    <t xml:space="preserve">    1,099</t>
  </si>
  <si>
    <t xml:space="preserve">2,19 </t>
  </si>
  <si>
    <t>G8</t>
  </si>
  <si>
    <t>T16a</t>
  </si>
  <si>
    <t xml:space="preserve">    0,256</t>
  </si>
  <si>
    <t xml:space="preserve"> 0,0298</t>
  </si>
  <si>
    <t xml:space="preserve">    0,333</t>
  </si>
  <si>
    <t xml:space="preserve">    3,11 </t>
  </si>
  <si>
    <t xml:space="preserve">    1,019</t>
  </si>
  <si>
    <t xml:space="preserve">3,60 </t>
  </si>
  <si>
    <t xml:space="preserve">262,930 </t>
  </si>
  <si>
    <t xml:space="preserve">261,330 </t>
  </si>
  <si>
    <t>TUBULAÇÃO PRINCIPAL</t>
  </si>
  <si>
    <t>Diâmetro dos tubos (m)</t>
  </si>
  <si>
    <t>Prof PV Montante (m)</t>
  </si>
  <si>
    <t>Prof PV Jusante (m)</t>
  </si>
  <si>
    <t>Comprimento da tubulação (m)</t>
  </si>
  <si>
    <t>Largura da Vala (m)</t>
  </si>
  <si>
    <t>Lastro de areia (m3) (0,10m de espessura)</t>
  </si>
  <si>
    <t>Volume Escavação (m3)</t>
  </si>
  <si>
    <t>Escoramento (m²)</t>
  </si>
  <si>
    <t>Volume de Reaterro (m3)</t>
  </si>
  <si>
    <t>SUB- TOTAL &gt;&gt;</t>
  </si>
  <si>
    <t>Até 1,5m de largura</t>
  </si>
  <si>
    <t>ESCORAMENTO</t>
  </si>
  <si>
    <t>1,5 a 3,0</t>
  </si>
  <si>
    <t>3,0 a 4,5</t>
  </si>
  <si>
    <t>ESCAVAÇÃO</t>
  </si>
  <si>
    <t>REATERRO</t>
  </si>
  <si>
    <t>TOTAL:</t>
  </si>
  <si>
    <t>BOCAS-DE-LOBO SIMPLES</t>
  </si>
  <si>
    <t>Descrição</t>
  </si>
  <si>
    <t>Profundidade (m)</t>
  </si>
  <si>
    <t>Comprimento (m)</t>
  </si>
  <si>
    <t>Largura (m)</t>
  </si>
  <si>
    <t>Profundidade de escavação            (m)</t>
  </si>
  <si>
    <t>Comprimento de escavação                (m)</t>
  </si>
  <si>
    <t>Largura de escavação            (m)</t>
  </si>
  <si>
    <t>Quantidade (unid)</t>
  </si>
  <si>
    <t>Volume de escavação (m3) ATÉ 1,5 M</t>
  </si>
  <si>
    <t>Prepraro de fundo (m2)</t>
  </si>
  <si>
    <t>BOCAS-DE-LOBO DUPLAS</t>
  </si>
  <si>
    <t>Volume de escavação (m3) ATÉ 1,5M</t>
  </si>
  <si>
    <t>CAIXA DE PASSAGEM</t>
  </si>
  <si>
    <t>TRECHO 1</t>
  </si>
  <si>
    <t>CLP02</t>
  </si>
  <si>
    <t>TRECHO 2</t>
  </si>
  <si>
    <t>POÇOS DE VISITA</t>
  </si>
  <si>
    <t>PV</t>
  </si>
  <si>
    <t>Diâmetro do coletor                              (Ø)</t>
  </si>
  <si>
    <t>Profundidade SINAPI (m)</t>
  </si>
  <si>
    <t>Largura de escavação             (m)</t>
  </si>
  <si>
    <t>Profundi-dade de escavação (m)</t>
  </si>
  <si>
    <t>Preparo de fundo            (m2)</t>
  </si>
  <si>
    <t>Acréscimo de PV            (m)</t>
  </si>
  <si>
    <t>SUB-TOTAL &gt;&gt;</t>
  </si>
  <si>
    <t>SUB - TOTAL &gt;&gt;</t>
  </si>
  <si>
    <t>TUBOS</t>
  </si>
  <si>
    <t>REDE</t>
  </si>
  <si>
    <t>Comprimento         (m)</t>
  </si>
  <si>
    <t>Largura de escavação (m)</t>
  </si>
  <si>
    <t>Profundidade de escavação (m)</t>
  </si>
  <si>
    <t>Volume Escavação                          (m3)</t>
  </si>
  <si>
    <t>Volume de reaterro (m3)</t>
  </si>
  <si>
    <t>Volume de bota fora (m3)</t>
  </si>
  <si>
    <t>Volume empolado (m³) + 25%</t>
  </si>
  <si>
    <t>Escoramento</t>
  </si>
  <si>
    <t>Lastro de areia (m3)                           (0,10 de espessura)</t>
  </si>
  <si>
    <t>Ø 400 mm</t>
  </si>
  <si>
    <t>var.</t>
  </si>
  <si>
    <t>Ø 600 mm - CLP/PV</t>
  </si>
  <si>
    <t>Ø 600 mm</t>
  </si>
  <si>
    <t>Ø 800 mm</t>
  </si>
  <si>
    <t>Ø 1000 mm</t>
  </si>
  <si>
    <t>Ø 1200 mm</t>
  </si>
  <si>
    <t>Ø 600 mm CLP-PV BL-PV</t>
  </si>
  <si>
    <t>TRANSPORTE DE MATERIAIS DE DRENAGEM</t>
  </si>
  <si>
    <t>TUBO DE CONCRETO, DIÂMETRO DE 400 MM</t>
  </si>
  <si>
    <t>TUBO</t>
  </si>
  <si>
    <t>m</t>
  </si>
  <si>
    <t>(t/m)</t>
  </si>
  <si>
    <t>TUBO DE CONCRETO, DIÂMETRO DE 600 MM</t>
  </si>
  <si>
    <t>TUBO DE CONCRETO, DIÂMETRO DE 800 MM</t>
  </si>
  <si>
    <t>TUBO DE CONCRETO, DIÂMETRO DE 1.000 MM</t>
  </si>
  <si>
    <t>TUBO DE CONCRETO, DIÂMETRO DE 1.200 MM</t>
  </si>
  <si>
    <t>TUBO DE CONCRETO, DIÂMETRO DE 1.500 MM</t>
  </si>
  <si>
    <t>BOTA FORA</t>
  </si>
  <si>
    <t>VALOR POR UNIDADE</t>
  </si>
  <si>
    <t>VALOR POR METRO</t>
  </si>
  <si>
    <t>DIÂMETRO                                           (mm)</t>
  </si>
  <si>
    <t>ALTURA                   (mm)</t>
  </si>
  <si>
    <t>ESPESSURA</t>
  </si>
  <si>
    <t>PESO                  (kg)</t>
  </si>
  <si>
    <t>PESO                                    (kg)</t>
  </si>
  <si>
    <t>PESO                                    (t/m)</t>
  </si>
  <si>
    <t>PA-1</t>
  </si>
  <si>
    <t>TUBO DE CONCRETO EM METRO COM COEFICIENTE CONFORME COMPOSIÇÕES ANALÍTICA DOS SERVIÇOS DOS TUBOS</t>
  </si>
  <si>
    <t>COMPOSIÇÃO DE CUSTO UNITÁRIO - NÃO DESONERADO</t>
  </si>
  <si>
    <t>BDI - BENEFICIOS E DESPESAS INDIRETAS (SERVIÇOS) - NÃO DESONERADO</t>
  </si>
  <si>
    <t>QUADRO DE COMPOSIÇÃO DE INVESTIMENTO - QCI - AQUISIÇÃO DE MATERIAIS -  NÃO DESONERADO</t>
  </si>
  <si>
    <t>RESUMO AQUISIÇÃO DE MATERIAIS POR SERVIÇOS - NÃO DESONERADO</t>
  </si>
  <si>
    <t>CRONOGRAMA FÍSICO FINANCEIRO - AQUISIÇÃO DE MATERIAIS - NÃO DESONERADO</t>
  </si>
  <si>
    <t>ENGENHEIRO CIVIL DE OBRA JUNIOR COM ENCARGOS COMPLEMENTARES</t>
  </si>
  <si>
    <t>ENCARREGADO GERAL COM ENCARGOS COMPLEMENTARES</t>
  </si>
  <si>
    <t>TOPOGRAFO COM ENCARGOS COMPLEMENTARES</t>
  </si>
  <si>
    <t>TÉCNICO DE LABORATÓRIO COM ENCARGOS COMPLEMENTARES</t>
  </si>
  <si>
    <t>AUXILIAR DE LABORATÓRIO COM ENCARGOS COMPLEMENTARES</t>
  </si>
  <si>
    <t>AUXILIAR DE TOPÓGRAFO COM ENCARGOS COMPLEMENTARES</t>
  </si>
  <si>
    <t>H</t>
  </si>
  <si>
    <t>PINTURA IMUNIZANTE PARA MADEIRA, 2 DEMÃOS. AF_01/2021</t>
  </si>
  <si>
    <t>CARPINTEIRO DE FORMAS COM ENCARGOS COMPLEMENTARES</t>
  </si>
  <si>
    <t>SERVENTE COM ENCARGOS COMPLEMENTARES</t>
  </si>
  <si>
    <t>PINTURA FUNDO NIVELADOR ALQUÍDICO BRANCO EM MADEIRA. AF_01/2021</t>
  </si>
  <si>
    <t>PINTURA TINTA DE ACABAMENTO (PIGMENTADA) ESMALTE SINTÉTICO FOSCO EM MADEIRA, 2 DEMÃOS. AF_01/2021</t>
  </si>
  <si>
    <t>CONCRETO FCK = 15MPA, TRAÇO 1:3,4:3,4 (EM MASSA SECA DE CIMENTO/ AREIA MÉDIA/ SEIXO ROLADO) - PREPARO MANUAL. AF_05/2021</t>
  </si>
  <si>
    <t>VASSOURA MECÂNICA REBOCÁVEL COM ESCOVA CILÍNDRICA, LARGURA ÚTIL DE VARRIMENTO DE 2,44 M - CHP DIURNO. AF_06/2014</t>
  </si>
  <si>
    <t>CHP</t>
  </si>
  <si>
    <t>VASSOURA MECÂNICA REBOCÁVEL COM ESCOVA CILÍNDRICA, LARGURA ÚTIL DE VARRIMENTO DE 2,44 M - CHI DIURNO. AF_06/2014</t>
  </si>
  <si>
    <t>CHI</t>
  </si>
  <si>
    <t>ESPARGIDOR DE ASFALTO PRESSURIZADO, TANQUE 6 M3 COM ISOLAÇÃO TÉRMICA, AQUECIDO COM 2 MAÇARICOS, COM BARRA ESPARGIDORA 3,60 M, MONTADO SOBRE CAMINHÃO  TOCO, PBT 14.300 KG, POTÊNCIA 185 CV - CHP DIURNO. AF_05/2023</t>
  </si>
  <si>
    <t>TRATOR DE PNEUS, POTÊNCIA 85 CV, TRAÇÃO 4X4, PESO COM LASTRO DE 4.675 KG - CHP DIURNO. AF_06/2014</t>
  </si>
  <si>
    <t>TRATOR DE PNEUS, POTÊNCIA 85 CV, TRAÇÃO 4X4, PESO COM LASTRO DE 4.675 KG - CHI DIURNO. AF_06/2014</t>
  </si>
  <si>
    <t>ESPARGIDOR DE ASFALTO PRESSURIZADO, TANQUE 6 M3 COM ISOLAÇÃO TÉRMICA, AQUECIDO COM 2 MAÇARICOS, COM BARRA ESPARGIDORA 3,60 M, MONTADO SOBRE CAMINHÃO  TOCO, PBT 14.300 KG, POTÊNCIA 185 CV - CHI DIURNO. AF_05/2023</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</si>
  <si>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</si>
  <si>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</si>
  <si>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AF_05/2023</t>
  </si>
  <si>
    <t>CAMINHÃO BASCULANTE 10 M3, TRUCADO CABINE SIMPLES, PESO BRUTO TOTAL 23.000 KG, CARGA ÚTIL MÁXIMA 15.935 KG, DISTÂNCIA ENTRE EIXOS 4,80 M, POTÊNCIA 230 CV INCLUSIVE CAÇAMBA METÁLICA - CHP DIURNO. AF_06/2014</t>
  </si>
  <si>
    <t xml:space="preserve">REJUNTE CIMENTICIO, QUALQUER COR                                                                                                                                                                                                                                                                                                                                                                                                                                                                          </t>
  </si>
  <si>
    <t xml:space="preserve">ARGAMASSA COLANTE AC II                                                                                                                                                                                                                                                                                                                                                                                                                                                                                   </t>
  </si>
  <si>
    <t xml:space="preserve">PISO PODOTATIL DE CONCRETO - DIRECIONAL E ALERTA, *40 X 40 X 2,5* CM                                                                                                                                                                                                                                                                                                                                                                                                                                      </t>
  </si>
  <si>
    <t>PEDREIRO COM ENCARGOS COMPLEMENTARES</t>
  </si>
  <si>
    <t>CARREGADEIRA DE PNEUS COM CAPACIDADE DE 3,40 M³ - 195 KW</t>
  </si>
  <si>
    <t>TANQUE DE ESTOCAGEM DE ASFALTO COM CAPACIDADE DE 30.000 L</t>
  </si>
  <si>
    <t>CAMINHÃO BASCULANTE 10 M3, TRUCADO, POTÊNCIA 230 CV, INCLUSIVE CAÇAMBA METÁLICA, COM DISTRIBUIDOR DE AGREGADOS ACOPLADO - CHP DIURNO. AF_02/2017</t>
  </si>
  <si>
    <t>CAMINHÃO BASCULANTE 18 M3, COM CAVALO MECÂNICO DE CAPACIDADE MÁXIMA DE TRAÇÃO COMBINADO DE 45000 KG, POTÊNCIA 330 CV, INCLUSIVE SEMIREBOQUE COM CAÇAMBA METÁLICA - CHP DIURNO. AF_12/2014</t>
  </si>
  <si>
    <t>CAMINHÃO BASCULANTE 14 M3, COM CAVALO MECÂNICO DE CAPACIDADE MÁXIMA DE TRAÇÃO COMBINADO DE 36000 KG, POTÊNCIA 286 CV, INCLUSIVE SEMIREBOQUE COM CAÇAMBA METÁLICA - CHP DIURNO. AF_12/2014</t>
  </si>
  <si>
    <t>TRANSPORTE COM CAMINHÃO BASCULANTE DE 14 M³, EM VIA URBANA EM REVESTIMENTO PRIMÁRIO (UNIDADE: M3XKM). AF_07/2020</t>
  </si>
  <si>
    <t>TRANSPORTE COM CAMINHÃO BASCULANTE DE 14 M³, EM VIA URBANA PAVIMENTADA, DMT ATÉ 30 KM (UNIDADE: M3XKM). AF_07/2020</t>
  </si>
  <si>
    <t>EXECUÇÃO E COMPACTAÇÃO DE ATERRO COM SOLO PREDOMINANTEMENTE ARGILOSO - EXCLUSIVE SOLO, ESCAVAÇÃO, CARGA E TRANSPORTE. AF_11/2019</t>
  </si>
  <si>
    <t>REGULARIZAÇÃO E COMPACTAÇÃO DE SUBLEITO DE SOLO PREDOMINANTEMENTE ARENOSO. AF_11/2019</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</si>
  <si>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</si>
  <si>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</si>
  <si>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</si>
  <si>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COMPACTAÇÃO MECÂNICA DE SOLO PARA EXECUÇÃO DE RADIER, PISO DE CONCRETO OU LAJE SOBRE SOLO, COM COMPACTADOR DE SOLOS A PERCUSSÃO. AF_09/2021</t>
  </si>
  <si>
    <t>EXECUÇÃO DE PASSEIO (CALÇADA) OU PISO DE CONCRETO COM CONCRETO MOLDADO IN LOCO, FEITO EM OBRA, ACABAMENTO CONVENCIONAL, NÃO ARMADO. AF_08/2022</t>
  </si>
  <si>
    <t>APLICAÇÃO DE LONA PLÁSTICA PARA EXECUÇÃO DE PAVIMENTOS DE CONCRETO. AF_04/2022</t>
  </si>
  <si>
    <t>PLACA DE REGULAMENTAÇÃO EM AÇO, R1 LADO 0,248 M - PELÍCULA RETRORREFLETIVA TIPO I + SI - FORNECIMENTO E IMPLANTAÇÃO</t>
  </si>
  <si>
    <t>PLACA DE REGULAMENTAÇÃO EM AÇO D = 0,60 M - PELÍCULA RETRORREFLETIVA TIPO I + SI - FORNECIMENTO E IMPLANTAÇÃO</t>
  </si>
  <si>
    <t>PLACA DE ADVERTÊNCIA EM AÇO, LADO DE 0,60 M - PELÍCULA RETRORREFLETIVA TIPO I + SI - FORNECIMENTO E IMPLANTAÇÃO</t>
  </si>
  <si>
    <t>SUPORTE METÁLICO GALVANIZADO PARA PLACA DE REGULAMENTAÇÃO - R1 - LADO DE 0,248 M - FORNECIMENTO E IMPLANTAÇÃO</t>
  </si>
  <si>
    <t>SUPORTE METÁLICO GALVANIZADO PARA PLACA DE ADVERTÊNCIA OU REGULAMENTAÇÃO - LADO OU DIÂMETRO DE 0,60 M - FORNECIMENTO E IMPLANTAÇÃO</t>
  </si>
  <si>
    <t xml:space="preserve">LONA PLASTICA EXTRA FORTE PRETA, E = 200 MICRA                                                                                                                                                                                                                                                                                                                                                                                                                                                            </t>
  </si>
  <si>
    <t xml:space="preserve">DESMOLDANTE PROTETOR PARA FORMAS DE MADEIRA, DE BASE OLEOSA EMULSIONADA EM AGUA                                                                                                                                                                                                                                                                                                                                                                                                                           </t>
  </si>
  <si>
    <t xml:space="preserve">SARRAFO *2,5 X 7,5* CM EM PINUS, MISTA OU EQUIVALENTE DA REGIAO - BRUTA                                                                                                                                                                                                                                                                                                                                                                                                                                   </t>
  </si>
  <si>
    <t xml:space="preserve">PEDRA BRITADA N. 1 (9,5 a 19 MM) POSTO PEDREIRA/FORNECEDOR, SEM FRETE                                                                                                                                                                                                                                                                                                                                                                                                                                     </t>
  </si>
  <si>
    <t xml:space="preserve">PREGO DE ACO POLIDO COM CABECA 17 X 21 (2 X 11)                                                                                                                                                                                                                                                                                                                                                                                                                                                           </t>
  </si>
  <si>
    <t>CONCRETO FCK = 20MPA, TRAÇO 1:2,7:3 (EM MASSA SECA DE CIMENTO/ AREIA MÉDIA/ BRITA 1) - PREPARO MECÂNICO COM BETONEIRA 400 L. AF_05/2021</t>
  </si>
  <si>
    <t>PLACA EM AÇO Nº 16 GALVANIZADO COM PELÍCULA RETRORREFLETIVA TIPO I + SI - CONFECÇÃO</t>
  </si>
  <si>
    <t>PINTURA ELETROSTÁTICA A PÓ COM TINTA POLIÉSTER EM CHAPA DE AÇO</t>
  </si>
  <si>
    <t>CONCRETO FCK = 20 MPA - CONFECÇÃO EM BETONEIRA E LANÇAMENTO MANUAL - AREIA E BRITA COMERCIAIS</t>
  </si>
  <si>
    <t>EQ</t>
  </si>
  <si>
    <t>CAMINHÃO BASCULANTE 14 M3, COM CAVALO MECÂNICO DE CAPACIDADE MÁXIMA DE TRAÇÃO COMBINADO DE 36000 KG, POTÊNCIA 286 CV, INCLUSIVE SEMIREBOQUE COM CAÇAMBA METÁLICA - MATERIAIS NA OPERAÇÃO. AF_12/2014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</si>
  <si>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</si>
  <si>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MATERIAIS NA OPERAÇÃO. AF_06/2014</t>
  </si>
  <si>
    <t>MOTONIVELADORA POTÊNCIA BÁSICA LÍQUIDA (PRIMEIRA MARCHA) 125 HP, PESO BRUTO 13032 KG, LARGURA DA LÂMINA DE 3,7 M - CHP DIURNO. AF_06/2014</t>
  </si>
  <si>
    <t>MOTONIVELADORA POTÊNCIA BÁSICA LÍQUIDA (PRIMEIRA MARCHA) 125 HP, PESO BRUTO 13032 KG, LARGURA DA LÂMINA DE 3,7 M - MATERIAIS NA OPERAÇÃO. AF_06/2014</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</si>
  <si>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</si>
  <si>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MATERIAIS NA OPERAÇÃO. AF_02/2016</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</si>
  <si>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</si>
  <si>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MATERIAIS NA OPERACAO. AF_06/2017</t>
  </si>
  <si>
    <t>CARGA, MANOBRA E DESCARGA DE AGREGADOS OU SOLOS EM CAMINHÃO BASCULANTE DE 10 M³ - CARGA COM ESCAVADEIRA DE 1,56 M³ (EXCLUSA) E DESCARGA LIVRE</t>
  </si>
  <si>
    <t>ESPARGIDOR DE ASFALTO PRESSURIZADO, TANQUE 6 M3 COM ISOLAÇÃO TÉRMICA, AQUECIDO COM 2 MAÇARICOS, COM BARRA ESPARGIDORA 3,60 M, MONTADO SOBRE CAMINHÃO  TOCO, PBT 14.300 KG, POTÊNCIA 185 CV - MATERIAIS NA OPERAÇÃO. AF_05/2023</t>
  </si>
  <si>
    <t>TRATOR DE PNEUS, POTÊNCIA 85 CV, TRAÇÃO 4X4, PESO COM LASTRO DE 4.675 KG - MATERIAIS NA OPERAÇÃO. AF_06/2014</t>
  </si>
  <si>
    <t>ROLO COMPACTADOR DE PNEUS ESTÁTICO, PRESSÃO VARIÁVEL, POTÊNCIA 111 HP, PESO SEM/COM LASTRO 9,5 / 26 T, LARGURA DE TRABALHO 1,90 M - MATERIAIS NA OPERAÇÃO. AF_07/2014</t>
  </si>
  <si>
    <t>CAMINHÃO BASCULANTE 10 M3, TRUCADO CABINE SIMPLES, PESO BRUTO TOTAL 23.000 KG, CARGA ÚTIL MÁXIMA 15.935 KG, DISTÂNCIA ENTRE EIXOS 4,80 M, POTÊNCIA 230 CV INCLUSIVE CAÇAMBA METÁLICA - MATERIAIS NA OPERAÇÃO. AF_06/2014</t>
  </si>
  <si>
    <t>CAMINHÃO DE TRANSPORTE DE MATERIAL ASFÁLTICO 30.000 L, COM CAVALO MECÂNICO DE CAPACIDADE MÁXIMA DE TRAÇÃO COMBINADO DE 66.000 KG, POTÊNCIA 360 CV, INCLUSIVE TANQUE DE ASFALTO COM SERPENTINA - CHP DIURNO. AF_08/2015</t>
  </si>
  <si>
    <t>CAMINHÃO DEMARCADOR DE FAIXAS COM SISTEMA DE PINTURA A FRIO - 143 KW</t>
  </si>
  <si>
    <t>COMPOSIÇÃO PARAMÉTRICA DE EXECUÇÃO DE CENTRAL DE FÔRMAS, PRODUÇÃO DE ARGAMASSA OU CONCRETO EM CANTEIRO DE OBRAS, NÃO INCLUSO MOBILIÁRIO E EQUIPAMENTOS. AF_01/2024_PE</t>
  </si>
  <si>
    <t>MOBILIZAÇÃO</t>
  </si>
  <si>
    <t>DESMOBILIZAÇÃO</t>
  </si>
  <si>
    <t>GRADE DE 24 DISCOS REBOCÁVEL DE D = 60 CM (24")</t>
  </si>
  <si>
    <t>COMPACTADOR MANUAL COM SOQUETE VIBRATÓRIO - 4,10 KW</t>
  </si>
  <si>
    <t>SERVENTE</t>
  </si>
  <si>
    <r>
      <rPr>
        <b/>
        <sz val="11"/>
        <color theme="5" tint="-0.249977111117893"/>
        <rFont val="Arial"/>
        <family val="2"/>
      </rPr>
      <t>S. APROVADOS</t>
    </r>
    <r>
      <rPr>
        <b/>
        <sz val="11"/>
        <color theme="0"/>
        <rFont val="Arial"/>
        <family val="2"/>
      </rPr>
      <t xml:space="preserve">
E 
</t>
    </r>
    <r>
      <rPr>
        <b/>
        <sz val="11"/>
        <color rgb="FF0070C0"/>
        <rFont val="Arial"/>
        <family val="2"/>
      </rPr>
      <t>S. NOVOS</t>
    </r>
  </si>
  <si>
    <t>NOVO</t>
  </si>
  <si>
    <t>APROVADO</t>
  </si>
  <si>
    <t>TOTAL SEM BDI</t>
  </si>
  <si>
    <t>UN. COM BDI</t>
  </si>
  <si>
    <t>DIFERENÇA COM BDI
 APLICADO EM SERVIÇOS 
APROVADOS</t>
  </si>
  <si>
    <t>ACRESCIMO DE SERVIÇOS NOVOS</t>
  </si>
  <si>
    <t>RECURSO PROPRIO</t>
  </si>
  <si>
    <t>CONTRAPARTIDA</t>
  </si>
  <si>
    <t>RECURSO PRÓPRIO</t>
  </si>
  <si>
    <t>REPASSE</t>
  </si>
  <si>
    <t>TOTAL COM BDI</t>
  </si>
  <si>
    <t>UN S/ BDI</t>
  </si>
  <si>
    <t>UN C/ BDI</t>
  </si>
  <si>
    <t>Repasse + Contrapartida</t>
  </si>
  <si>
    <t xml:space="preserve"> Execução Direta</t>
  </si>
  <si>
    <t>Recurso Próprio</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</si>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</sst>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4" formatCode="_-&quot;R$&quot;\ * #,##0.00_-;\-&quot;R$&quot;\ * #,##0.00_-;_-&quot;R$&quot;\ * &quot;-&quot;??_-;_-@_-"/>
    <numFmt numFmtId="43" formatCode="_-* #,##0.00_-;\-* #,##0.00_-;_-* &quot;-&quot;??_-;_-@_-"/>
    <numFmt numFmtId="164" formatCode="#,##0.00\ "/>
    <numFmt numFmtId="165" formatCode="&quot;R$&quot;\ #,##0.00"/>
    <numFmt numFmtId="166" formatCode="#,##0.0000"/>
    <numFmt numFmtId="167" formatCode="#,##0.00000"/>
    <numFmt numFmtId="168" formatCode="_-[$R$-416]\ * #,##0.00_-;\-[$R$-416]\ * #,##0.00_-;_-[$R$-416]\ * &quot;-&quot;??_-;_-@_-"/>
    <numFmt numFmtId="169" formatCode="_(* #,##0.00_);_(* \(#,##0.00\);_(* &quot;-&quot;??_);_(@_)"/>
    <numFmt numFmtId="170" formatCode="_(* #,##0.00000_);_(* \(#,##0.00000\);_(* &quot;-&quot;??_);_(@_)"/>
    <numFmt numFmtId="171" formatCode="0.00000"/>
    <numFmt numFmtId="172" formatCode="0.0000"/>
    <numFmt numFmtId="173" formatCode="&quot;R$&quot;#,##0.0000"/>
    <numFmt numFmtId="174" formatCode="_(* #,##0.0000_);_(* \(#,##0.0000\);_(* &quot;-&quot;??_);_(@_)"/>
    <numFmt numFmtId="175" formatCode="0.000"/>
    <numFmt numFmtId="176" formatCode="&quot;R$&quot;#,##0.00"/>
    <numFmt numFmtId="177" formatCode="_(* #,##0.000_);_(* \(#,##0.000\);_(* &quot;-&quot;??_);_(@_)"/>
    <numFmt numFmtId="178" formatCode="@&quot; (R$)&quot;"/>
    <numFmt numFmtId="179" formatCode="&quot;( &quot;0.00%&quot; )&quot;"/>
    <numFmt numFmtId="180" formatCode="&quot;R$ &quot;#,##0.00"/>
    <numFmt numFmtId="181" formatCode="_-* #,##0.000_-;\-* #,##0.000_-;_-* &quot;-&quot;??_-;_-@_-"/>
    <numFmt numFmtId="182" formatCode="0.0"/>
    <numFmt numFmtId="183" formatCode="_-* #,##0.0000_-;\-* #,##0.0000_-;_-* &quot;-&quot;??_-;_-@_-"/>
    <numFmt numFmtId="184" formatCode="#,##0.000"/>
    <numFmt numFmtId="185" formatCode="_-* #,##0.000000_-;\-* #,##0.000000_-;_-* &quot;-&quot;??_-;_-@_-"/>
    <numFmt numFmtId="186" formatCode="#,##0.000000"/>
    <numFmt numFmtId="187" formatCode="_-* #,##0.00000_-;\-* #,##0.00000_-;_-* &quot;-&quot;??_-;_-@_-"/>
    <numFmt numFmtId="188" formatCode="_-* #,##0.00000_-;\-* #,##0.00000_-;_-* &quot;-&quot;?????_-;_-@_-"/>
    <numFmt numFmtId="189" formatCode="#,###\ &quot;dias&quot;"/>
    <numFmt numFmtId="190" formatCode="_-* #,##0.000000_-;\-* #,##0.000000_-;_-* &quot;-&quot;?????_-;_-@_-"/>
    <numFmt numFmtId="191" formatCode="[$-416]mmm\-yy;@"/>
    <numFmt numFmtId="192" formatCode="#,##0_ ;\-#,##0\ "/>
    <numFmt numFmtId="193" formatCode="#,##0.00\ &quot;unidades&quot;"/>
    <numFmt numFmtId="194" formatCode="0.00\ &quot;m²&quot;"/>
  </numFmts>
  <fonts count="73" x14ac:knownFonts="1">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b/>
      <sz val="11"/>
      <name val="Arial"/>
      <family val="2"/>
    </font>
    <font>
      <b/>
      <sz val="11"/>
      <color theme="4" tint="-0.499984740745262"/>
      <name val="Arial"/>
      <family val="2"/>
    </font>
    <font>
      <b/>
      <sz val="14"/>
      <color theme="4" tint="-0.499984740745262"/>
      <name val="Arial"/>
      <family val="2"/>
    </font>
    <font>
      <sz val="11"/>
      <name val="Arial"/>
      <family val="2"/>
    </font>
    <font>
      <sz val="11"/>
      <color theme="1"/>
      <name val="Arial"/>
      <family val="2"/>
    </font>
    <font>
      <b/>
      <sz val="12"/>
      <color theme="0"/>
      <name val="Arial"/>
      <family val="2"/>
    </font>
    <font>
      <b/>
      <sz val="11"/>
      <color theme="0"/>
      <name val="Arial"/>
      <family val="2"/>
    </font>
    <font>
      <b/>
      <sz val="12"/>
      <color theme="4" tint="-0.499984740745262"/>
      <name val="Arial"/>
      <family val="2"/>
    </font>
    <font>
      <b/>
      <sz val="10"/>
      <name val="Arial"/>
      <family val="2"/>
    </font>
    <font>
      <sz val="11"/>
      <name val="Calibri"/>
      <family val="2"/>
      <scheme val="minor"/>
    </font>
    <font>
      <b/>
      <sz val="14"/>
      <color theme="0"/>
      <name val="Arial"/>
      <family val="2"/>
    </font>
    <font>
      <sz val="14"/>
      <name val="Arial"/>
      <family val="2"/>
    </font>
    <font>
      <sz val="11"/>
      <color theme="0"/>
      <name val="Arial"/>
      <family val="2"/>
    </font>
    <font>
      <b/>
      <sz val="11"/>
      <color theme="1"/>
      <name val="Arial"/>
      <family val="2"/>
    </font>
    <font>
      <b/>
      <i/>
      <sz val="11"/>
      <color theme="1"/>
      <name val="Arial"/>
      <family val="2"/>
    </font>
    <font>
      <b/>
      <sz val="9"/>
      <color theme="0"/>
      <name val="Tahoma"/>
      <family val="2"/>
    </font>
    <font>
      <b/>
      <sz val="10"/>
      <color theme="0"/>
      <name val="Arial"/>
      <family val="2"/>
    </font>
    <font>
      <b/>
      <sz val="8"/>
      <color theme="0"/>
      <name val="Tahoma"/>
      <family val="2"/>
    </font>
    <font>
      <b/>
      <sz val="8"/>
      <name val="Tahoma"/>
      <family val="2"/>
    </font>
    <font>
      <sz val="10"/>
      <name val="Tahoma"/>
      <family val="2"/>
    </font>
    <font>
      <sz val="8"/>
      <name val="Tahoma"/>
      <family val="2"/>
    </font>
    <font>
      <b/>
      <sz val="9"/>
      <name val="Times New Roman"/>
      <family val="1"/>
    </font>
    <font>
      <sz val="8"/>
      <name val="Arial"/>
      <family val="2"/>
    </font>
    <font>
      <sz val="9"/>
      <color theme="0"/>
      <name val="Arial"/>
      <family val="2"/>
    </font>
    <font>
      <sz val="9"/>
      <color theme="0"/>
      <name val="Tahoma"/>
      <family val="2"/>
    </font>
    <font>
      <sz val="11"/>
      <color indexed="10"/>
      <name val="Arial"/>
      <family val="2"/>
    </font>
    <font>
      <b/>
      <sz val="18"/>
      <color theme="4" tint="-0.499984740745262"/>
      <name val="Arial"/>
      <family val="2"/>
    </font>
    <font>
      <sz val="12"/>
      <color theme="1"/>
      <name val="Arial"/>
      <family val="2"/>
    </font>
    <font>
      <b/>
      <sz val="11"/>
      <color indexed="8"/>
      <name val="Arial"/>
      <family val="2"/>
    </font>
    <font>
      <b/>
      <sz val="11"/>
      <color rgb="FFFF0000"/>
      <name val="Arial"/>
      <family val="2"/>
    </font>
    <font>
      <sz val="12"/>
      <name val="Times New Roman"/>
      <family val="1"/>
    </font>
    <font>
      <b/>
      <sz val="12"/>
      <name val="Times New Roman"/>
      <family val="1"/>
    </font>
    <font>
      <sz val="10"/>
      <color theme="1"/>
      <name val="Arial"/>
      <family val="2"/>
    </font>
    <font>
      <sz val="11"/>
      <name val="Times New Roman"/>
      <family val="1"/>
    </font>
    <font>
      <b/>
      <sz val="11"/>
      <name val="Times New Roman"/>
      <family val="1"/>
    </font>
    <font>
      <sz val="12"/>
      <name val="Arial"/>
      <family val="2"/>
    </font>
    <font>
      <b/>
      <sz val="12"/>
      <name val="Arial"/>
      <family val="2"/>
    </font>
    <font>
      <b/>
      <sz val="15"/>
      <color rgb="FFFF0000"/>
      <name val="Arial"/>
      <family val="2"/>
    </font>
    <font>
      <sz val="10"/>
      <color indexed="8"/>
      <name val="Arial"/>
      <family val="2"/>
    </font>
    <font>
      <b/>
      <sz val="10"/>
      <color theme="1"/>
      <name val="Arial"/>
      <family val="2"/>
    </font>
    <font>
      <b/>
      <sz val="9"/>
      <color indexed="81"/>
      <name val="Segoe UI"/>
      <family val="2"/>
    </font>
    <font>
      <sz val="9"/>
      <color indexed="81"/>
      <name val="Segoe UI"/>
      <family val="2"/>
    </font>
    <font>
      <sz val="11"/>
      <color indexed="8"/>
      <name val="Arial"/>
      <family val="2"/>
    </font>
    <font>
      <sz val="11"/>
      <color rgb="FFFF0000"/>
      <name val="Arial"/>
      <family val="2"/>
    </font>
    <font>
      <sz val="11"/>
      <color theme="1"/>
      <name val="Arial Narrow"/>
      <family val="2"/>
    </font>
    <font>
      <b/>
      <sz val="12"/>
      <color indexed="8"/>
      <name val="Arial Narrow"/>
      <family val="2"/>
    </font>
    <font>
      <b/>
      <sz val="12"/>
      <color indexed="8"/>
      <name val="Arial"/>
      <family val="2"/>
    </font>
    <font>
      <b/>
      <sz val="11"/>
      <color theme="0"/>
      <name val="Arial Narrow"/>
      <family val="2"/>
    </font>
    <font>
      <b/>
      <sz val="11"/>
      <name val="Calibri"/>
      <family val="2"/>
      <scheme val="minor"/>
    </font>
    <font>
      <sz val="10"/>
      <color theme="1"/>
      <name val="Arial Narrow"/>
      <family val="2"/>
    </font>
    <font>
      <sz val="10"/>
      <name val="Arial Narrow"/>
      <family val="2"/>
    </font>
    <font>
      <b/>
      <i/>
      <sz val="12"/>
      <color theme="0"/>
      <name val="Arial"/>
      <family val="2"/>
    </font>
    <font>
      <b/>
      <i/>
      <sz val="10"/>
      <name val="Arial"/>
      <family val="2"/>
    </font>
    <font>
      <i/>
      <sz val="12"/>
      <name val="Arial"/>
      <family val="2"/>
    </font>
    <font>
      <b/>
      <sz val="10"/>
      <color indexed="8"/>
      <name val="Arial"/>
      <family val="2"/>
    </font>
    <font>
      <b/>
      <sz val="12"/>
      <color rgb="FFFF0000"/>
      <name val="Arial"/>
      <family val="2"/>
    </font>
    <font>
      <sz val="10"/>
      <color theme="0"/>
      <name val="Arial"/>
      <family val="2"/>
    </font>
    <font>
      <i/>
      <sz val="10"/>
      <color indexed="8"/>
      <name val="Arial"/>
      <family val="2"/>
    </font>
    <font>
      <i/>
      <sz val="10"/>
      <name val="Arial"/>
      <family val="2"/>
    </font>
    <font>
      <sz val="11"/>
      <color indexed="8"/>
      <name val="Arial Narrow"/>
      <family val="2"/>
    </font>
    <font>
      <b/>
      <sz val="10"/>
      <name val="Arial Narrow"/>
      <family val="2"/>
    </font>
    <font>
      <b/>
      <sz val="10"/>
      <color indexed="8"/>
      <name val="Arial Narrow"/>
      <family val="2"/>
    </font>
    <font>
      <sz val="10"/>
      <color indexed="8"/>
      <name val="Arial Narrow"/>
      <family val="2"/>
    </font>
    <font>
      <b/>
      <sz val="10"/>
      <color theme="0"/>
      <name val="Arial Narrow"/>
      <family val="2"/>
    </font>
    <font>
      <sz val="10"/>
      <name val="Calibri"/>
      <family val="2"/>
      <scheme val="minor"/>
    </font>
    <font>
      <sz val="10"/>
      <color indexed="0"/>
      <name val="Arial"/>
      <family val="2"/>
    </font>
    <font>
      <sz val="10"/>
      <color theme="1"/>
      <name val="Calibri"/>
      <family val="2"/>
      <scheme val="minor"/>
    </font>
    <font>
      <b/>
      <sz val="11"/>
      <color theme="5" tint="-0.249977111117893"/>
      <name val="Arial"/>
      <family val="2"/>
    </font>
    <font>
      <b/>
      <sz val="11"/>
      <color rgb="FF0070C0"/>
      <name val="Arial"/>
      <family val="2"/>
    </font>
  </fonts>
  <fills count="17">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indexed="9"/>
        <bgColor indexed="64"/>
      </patternFill>
    </fill>
    <fill>
      <patternFill patternType="solid">
        <fgColor theme="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24"/>
      </patternFill>
    </fill>
    <fill>
      <patternFill patternType="solid">
        <fgColor theme="4" tint="-0.499984740745262"/>
        <bgColor indexed="24"/>
      </patternFill>
    </fill>
    <fill>
      <patternFill patternType="solid">
        <fgColor theme="0" tint="-4.9989318521683403E-2"/>
        <bgColor indexed="64"/>
      </patternFill>
    </fill>
    <fill>
      <patternFill patternType="solid">
        <fgColor indexed="9"/>
      </patternFill>
    </fill>
    <fill>
      <patternFill patternType="solid">
        <fgColor theme="8" tint="0.59999389629810485"/>
        <bgColor indexed="64"/>
      </patternFill>
    </fill>
    <fill>
      <patternFill patternType="solid">
        <fgColor rgb="FFFFFF00"/>
        <bgColor indexed="64"/>
      </patternFill>
    </fill>
  </fills>
  <borders count="4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17"/>
      </left>
      <right style="double">
        <color indexed="17"/>
      </right>
      <top/>
      <bottom style="double">
        <color indexed="17"/>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ck">
        <color rgb="FFFF0000"/>
      </bottom>
      <diagonal/>
    </border>
    <border>
      <left/>
      <right style="thick">
        <color rgb="FFFF0000"/>
      </right>
      <top style="thick">
        <color rgb="FFFF0000"/>
      </top>
      <bottom/>
      <diagonal/>
    </border>
    <border>
      <left/>
      <right style="thick">
        <color rgb="FFFF0000"/>
      </right>
      <top/>
      <bottom/>
      <diagonal/>
    </border>
    <border>
      <left/>
      <right style="thick">
        <color rgb="FFFF0000"/>
      </right>
      <top/>
      <bottom style="thick">
        <color rgb="FFFF0000"/>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top style="medium">
        <color indexed="64"/>
      </top>
      <bottom style="medium">
        <color indexed="64"/>
      </bottom>
      <diagonal/>
    </border>
  </borders>
  <cellStyleXfs count="39">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9" fontId="3" fillId="0" borderId="0" applyFont="0" applyFill="0" applyBorder="0" applyAlignment="0" applyProtection="0"/>
    <xf numFmtId="0" fontId="3" fillId="0" borderId="0"/>
    <xf numFmtId="0" fontId="31" fillId="0" borderId="0"/>
    <xf numFmtId="9" fontId="3" fillId="0" borderId="0" applyFont="0" applyFill="0" applyBorder="0" applyAlignment="0" applyProtection="0"/>
    <xf numFmtId="0" fontId="3" fillId="0" borderId="0"/>
    <xf numFmtId="0" fontId="3" fillId="0" borderId="0"/>
    <xf numFmtId="169" fontId="3" fillId="0" borderId="0" applyFont="0" applyFill="0" applyBorder="0" applyAlignment="0" applyProtection="0"/>
    <xf numFmtId="0" fontId="3" fillId="0" borderId="0"/>
    <xf numFmtId="44" fontId="1" fillId="0" borderId="0" applyFont="0" applyFill="0" applyBorder="0" applyAlignment="0" applyProtection="0"/>
    <xf numFmtId="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43" fontId="1" fillId="0" borderId="0" applyFont="0" applyFill="0" applyBorder="0" applyAlignment="0" applyProtection="0"/>
    <xf numFmtId="0" fontId="3" fillId="0" borderId="0"/>
    <xf numFmtId="0" fontId="3" fillId="0" borderId="0"/>
    <xf numFmtId="0" fontId="3" fillId="0" borderId="0"/>
    <xf numFmtId="169" fontId="46" fillId="0" borderId="0" applyFont="0" applyFill="0" applyBorder="0" applyAlignment="0" applyProtection="0"/>
    <xf numFmtId="169" fontId="3" fillId="0" borderId="0" applyFont="0" applyFill="0" applyBorder="0" applyAlignment="0" applyProtection="0"/>
    <xf numFmtId="0" fontId="1" fillId="0" borderId="0"/>
    <xf numFmtId="43" fontId="1" fillId="0" borderId="0" applyFont="0" applyFill="0" applyBorder="0" applyAlignment="0" applyProtection="0"/>
    <xf numFmtId="0" fontId="3" fillId="0" borderId="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cellStyleXfs>
  <cellXfs count="1682">
    <xf numFmtId="0" fontId="0" fillId="0" borderId="0" xfId="0"/>
    <xf numFmtId="0" fontId="4" fillId="2" borderId="1" xfId="3" applyFont="1" applyFill="1" applyBorder="1" applyAlignment="1">
      <alignment horizontal="left" vertical="center"/>
    </xf>
    <xf numFmtId="0" fontId="5" fillId="0" borderId="2" xfId="4" applyFont="1" applyBorder="1" applyAlignment="1">
      <alignment horizontal="left" vertical="center"/>
    </xf>
    <xf numFmtId="0" fontId="6" fillId="2" borderId="2" xfId="3" applyFont="1" applyFill="1" applyBorder="1" applyAlignment="1">
      <alignment vertical="center" wrapText="1"/>
    </xf>
    <xf numFmtId="0" fontId="5" fillId="0" borderId="2" xfId="4" applyFont="1" applyBorder="1" applyAlignment="1">
      <alignment vertical="center"/>
    </xf>
    <xf numFmtId="0" fontId="5" fillId="0" borderId="3" xfId="4" applyFont="1" applyBorder="1" applyAlignment="1">
      <alignment vertical="center"/>
    </xf>
    <xf numFmtId="0" fontId="7" fillId="0" borderId="0" xfId="5" applyFont="1" applyAlignment="1">
      <alignment vertical="center"/>
    </xf>
    <xf numFmtId="0" fontId="8" fillId="0" borderId="4" xfId="0" applyFont="1" applyBorder="1" applyAlignment="1">
      <alignment vertical="center"/>
    </xf>
    <xf numFmtId="0" fontId="4" fillId="2" borderId="5" xfId="3" applyFont="1" applyFill="1" applyBorder="1" applyAlignment="1">
      <alignment horizontal="left" vertical="center"/>
    </xf>
    <xf numFmtId="0" fontId="5" fillId="0" borderId="0" xfId="3" applyFont="1" applyAlignment="1">
      <alignment horizontal="left" vertical="center"/>
    </xf>
    <xf numFmtId="0" fontId="6" fillId="2" borderId="0" xfId="3" applyFont="1" applyFill="1" applyAlignment="1">
      <alignment vertical="center" wrapText="1"/>
    </xf>
    <xf numFmtId="0" fontId="5" fillId="0" borderId="0" xfId="3" applyFont="1" applyAlignment="1">
      <alignment vertical="center"/>
    </xf>
    <xf numFmtId="0" fontId="5" fillId="0" borderId="6" xfId="3" applyFont="1" applyBorder="1" applyAlignment="1">
      <alignment vertical="center"/>
    </xf>
    <xf numFmtId="0" fontId="7" fillId="2" borderId="7" xfId="3" applyFont="1" applyFill="1" applyBorder="1" applyAlignment="1">
      <alignment horizontal="left" vertical="center"/>
    </xf>
    <xf numFmtId="0" fontId="4" fillId="2" borderId="8" xfId="3" applyFont="1" applyFill="1" applyBorder="1" applyAlignment="1">
      <alignment horizontal="left" vertical="center"/>
    </xf>
    <xf numFmtId="14" fontId="5" fillId="0" borderId="9" xfId="3" applyNumberFormat="1" applyFont="1" applyBorder="1" applyAlignment="1">
      <alignment horizontal="left" vertical="center"/>
    </xf>
    <xf numFmtId="0" fontId="6" fillId="2" borderId="9" xfId="3" applyFont="1" applyFill="1" applyBorder="1" applyAlignment="1">
      <alignment vertical="center" wrapText="1"/>
    </xf>
    <xf numFmtId="14" fontId="5" fillId="0" borderId="9" xfId="3" applyNumberFormat="1" applyFont="1" applyBorder="1" applyAlignment="1">
      <alignment vertical="center"/>
    </xf>
    <xf numFmtId="14" fontId="5" fillId="0" borderId="10" xfId="3" applyNumberFormat="1" applyFont="1" applyBorder="1" applyAlignment="1">
      <alignment vertical="center"/>
    </xf>
    <xf numFmtId="0" fontId="7" fillId="0" borderId="7" xfId="5" applyFont="1" applyBorder="1" applyAlignment="1">
      <alignment horizontal="left" vertical="center"/>
    </xf>
    <xf numFmtId="0" fontId="7" fillId="0" borderId="1" xfId="5" applyFont="1" applyBorder="1" applyAlignment="1">
      <alignment vertical="center"/>
    </xf>
    <xf numFmtId="0" fontId="7" fillId="0" borderId="2" xfId="5" applyFont="1" applyBorder="1" applyAlignment="1">
      <alignment vertical="center"/>
    </xf>
    <xf numFmtId="0" fontId="4" fillId="0" borderId="2" xfId="5" applyFont="1" applyBorder="1" applyAlignment="1">
      <alignment vertical="center" wrapText="1"/>
    </xf>
    <xf numFmtId="0" fontId="4" fillId="0" borderId="3" xfId="5" applyFont="1" applyBorder="1" applyAlignment="1">
      <alignment vertical="center" wrapText="1"/>
    </xf>
    <xf numFmtId="1" fontId="4" fillId="0" borderId="8" xfId="5" applyNumberFormat="1" applyFont="1" applyBorder="1" applyAlignment="1">
      <alignment horizontal="center" vertical="center" wrapText="1"/>
    </xf>
    <xf numFmtId="0" fontId="4" fillId="0" borderId="8" xfId="5" applyFont="1" applyBorder="1" applyAlignment="1">
      <alignment vertical="center"/>
    </xf>
    <xf numFmtId="0" fontId="4" fillId="0" borderId="9" xfId="5" applyFont="1" applyBorder="1" applyAlignment="1">
      <alignment vertical="center" wrapText="1"/>
    </xf>
    <xf numFmtId="164" fontId="7" fillId="0" borderId="8" xfId="5" applyNumberFormat="1" applyFont="1" applyBorder="1" applyAlignment="1">
      <alignment vertical="center"/>
    </xf>
    <xf numFmtId="0" fontId="4" fillId="0" borderId="10" xfId="5" applyFont="1" applyBorder="1" applyAlignment="1">
      <alignment horizontal="center" vertical="center"/>
    </xf>
    <xf numFmtId="0" fontId="7" fillId="0" borderId="11" xfId="5" applyFont="1" applyBorder="1" applyAlignment="1">
      <alignment vertical="center"/>
    </xf>
    <xf numFmtId="0" fontId="7" fillId="0" borderId="12" xfId="5" applyFont="1" applyBorder="1" applyAlignment="1">
      <alignment vertical="center"/>
    </xf>
    <xf numFmtId="1" fontId="7" fillId="0" borderId="12" xfId="5" applyNumberFormat="1" applyFont="1" applyBorder="1" applyAlignment="1">
      <alignment vertical="center" wrapText="1"/>
    </xf>
    <xf numFmtId="0" fontId="4" fillId="0" borderId="12" xfId="5" applyFont="1" applyBorder="1" applyAlignment="1">
      <alignment horizontal="left" vertical="top"/>
    </xf>
    <xf numFmtId="0" fontId="4" fillId="0" borderId="12" xfId="5" applyFont="1" applyBorder="1" applyAlignment="1">
      <alignment vertical="center"/>
    </xf>
    <xf numFmtId="164" fontId="7" fillId="0" borderId="13" xfId="5" applyNumberFormat="1" applyFont="1" applyBorder="1" applyAlignment="1">
      <alignment horizontal="center" vertical="center"/>
    </xf>
    <xf numFmtId="0" fontId="8" fillId="0" borderId="14" xfId="0" applyFont="1" applyBorder="1" applyAlignment="1">
      <alignment vertical="center"/>
    </xf>
    <xf numFmtId="164" fontId="4" fillId="2" borderId="3" xfId="5" applyNumberFormat="1" applyFont="1" applyFill="1" applyBorder="1" applyAlignment="1">
      <alignment horizontal="center" vertical="center"/>
    </xf>
    <xf numFmtId="164" fontId="4" fillId="2" borderId="2" xfId="5" applyNumberFormat="1" applyFont="1" applyFill="1" applyBorder="1" applyAlignment="1">
      <alignment horizontal="centerContinuous" vertical="center"/>
    </xf>
    <xf numFmtId="164" fontId="4" fillId="2" borderId="3" xfId="5" applyNumberFormat="1" applyFont="1" applyFill="1" applyBorder="1" applyAlignment="1">
      <alignment horizontal="centerContinuous" vertical="center"/>
    </xf>
    <xf numFmtId="164" fontId="4" fillId="2" borderId="9" xfId="5" applyNumberFormat="1" applyFont="1" applyFill="1" applyBorder="1" applyAlignment="1">
      <alignment horizontal="centerContinuous" vertical="center"/>
    </xf>
    <xf numFmtId="164" fontId="4" fillId="2" borderId="10" xfId="5" applyNumberFormat="1" applyFont="1" applyFill="1" applyBorder="1" applyAlignment="1">
      <alignment horizontal="centerContinuous" vertical="center"/>
    </xf>
    <xf numFmtId="164" fontId="4" fillId="2" borderId="14" xfId="5" applyNumberFormat="1" applyFont="1" applyFill="1" applyBorder="1" applyAlignment="1">
      <alignment horizontal="center" vertical="center"/>
    </xf>
    <xf numFmtId="0" fontId="7" fillId="2" borderId="11" xfId="5" applyFont="1" applyFill="1" applyBorder="1" applyAlignment="1">
      <alignment horizontal="center" vertical="center"/>
    </xf>
    <xf numFmtId="0" fontId="7" fillId="2" borderId="11" xfId="5" applyFont="1" applyFill="1" applyBorder="1" applyAlignment="1">
      <alignment horizontal="center" vertical="center" wrapText="1"/>
    </xf>
    <xf numFmtId="0" fontId="7" fillId="2" borderId="15" xfId="5" applyFont="1" applyFill="1" applyBorder="1" applyAlignment="1">
      <alignment horizontal="left" vertical="center" wrapText="1"/>
    </xf>
    <xf numFmtId="4" fontId="7" fillId="2" borderId="13" xfId="5" applyNumberFormat="1" applyFont="1" applyFill="1" applyBorder="1" applyAlignment="1">
      <alignment horizontal="center" vertical="center"/>
    </xf>
    <xf numFmtId="4" fontId="7" fillId="2" borderId="15" xfId="5" applyNumberFormat="1" applyFont="1" applyFill="1" applyBorder="1" applyAlignment="1">
      <alignment horizontal="center" vertical="center"/>
    </xf>
    <xf numFmtId="165" fontId="7" fillId="2" borderId="15" xfId="5" applyNumberFormat="1" applyFont="1" applyFill="1" applyBorder="1" applyAlignment="1">
      <alignment horizontal="center" vertical="center"/>
    </xf>
    <xf numFmtId="0" fontId="7" fillId="2" borderId="15" xfId="5" applyFont="1" applyFill="1" applyBorder="1" applyAlignment="1">
      <alignment horizontal="center" vertical="center"/>
    </xf>
    <xf numFmtId="0" fontId="7" fillId="2" borderId="5" xfId="5" applyFont="1" applyFill="1" applyBorder="1" applyAlignment="1">
      <alignment horizontal="center" vertical="center"/>
    </xf>
    <xf numFmtId="10" fontId="7" fillId="0" borderId="11" xfId="2" applyNumberFormat="1" applyFont="1" applyFill="1" applyBorder="1" applyAlignment="1">
      <alignment horizontal="center" vertical="center" wrapText="1"/>
    </xf>
    <xf numFmtId="10" fontId="7" fillId="0" borderId="13" xfId="2" applyNumberFormat="1" applyFont="1" applyFill="1" applyBorder="1" applyAlignment="1">
      <alignment horizontal="center" vertical="center" wrapText="1"/>
    </xf>
    <xf numFmtId="165" fontId="10" fillId="3" borderId="15" xfId="5" applyNumberFormat="1" applyFont="1" applyFill="1" applyBorder="1" applyAlignment="1">
      <alignment horizontal="center" vertical="center"/>
    </xf>
    <xf numFmtId="164" fontId="7" fillId="0" borderId="0" xfId="5" applyNumberFormat="1" applyFont="1" applyAlignment="1">
      <alignment vertical="center"/>
    </xf>
    <xf numFmtId="0" fontId="8" fillId="0" borderId="0" xfId="0" applyFont="1" applyAlignment="1">
      <alignment vertical="center"/>
    </xf>
    <xf numFmtId="0" fontId="11" fillId="2" borderId="2" xfId="3" applyFont="1" applyFill="1" applyBorder="1" applyAlignment="1">
      <alignment vertical="center" wrapText="1"/>
    </xf>
    <xf numFmtId="0" fontId="11" fillId="2" borderId="0" xfId="3" applyFont="1" applyFill="1" applyAlignment="1">
      <alignment vertical="center" wrapText="1"/>
    </xf>
    <xf numFmtId="0" fontId="11" fillId="2" borderId="9" xfId="3" applyFont="1" applyFill="1" applyBorder="1" applyAlignment="1">
      <alignment vertical="center" wrapText="1"/>
    </xf>
    <xf numFmtId="0" fontId="8" fillId="0" borderId="10" xfId="0" applyFont="1" applyBorder="1" applyAlignment="1">
      <alignment horizontal="left" vertical="center"/>
    </xf>
    <xf numFmtId="0" fontId="4" fillId="0" borderId="11" xfId="5" applyFont="1" applyBorder="1" applyAlignment="1">
      <alignment horizontal="left" vertical="center"/>
    </xf>
    <xf numFmtId="0" fontId="4" fillId="0" borderId="1" xfId="5" applyFont="1" applyBorder="1" applyAlignment="1">
      <alignment vertical="center"/>
    </xf>
    <xf numFmtId="0" fontId="4" fillId="0" borderId="3" xfId="5" applyFont="1" applyBorder="1" applyAlignment="1">
      <alignment vertical="center"/>
    </xf>
    <xf numFmtId="0" fontId="4" fillId="0" borderId="10" xfId="5" applyFont="1" applyBorder="1" applyAlignment="1">
      <alignment vertical="center" wrapText="1"/>
    </xf>
    <xf numFmtId="0" fontId="4" fillId="0" borderId="8" xfId="5" applyFont="1" applyBorder="1" applyAlignment="1">
      <alignment vertical="center" wrapText="1"/>
    </xf>
    <xf numFmtId="0" fontId="4" fillId="0" borderId="10" xfId="5" applyFont="1" applyBorder="1" applyAlignment="1">
      <alignment horizontal="left" vertical="center"/>
    </xf>
    <xf numFmtId="1" fontId="4" fillId="0" borderId="12" xfId="5" applyNumberFormat="1" applyFont="1" applyBorder="1" applyAlignment="1">
      <alignment vertical="center" wrapText="1"/>
    </xf>
    <xf numFmtId="164" fontId="4" fillId="0" borderId="13" xfId="5" applyNumberFormat="1" applyFont="1" applyBorder="1" applyAlignment="1">
      <alignment horizontal="center" vertical="center"/>
    </xf>
    <xf numFmtId="164" fontId="12" fillId="2" borderId="7" xfId="5" applyNumberFormat="1" applyFont="1" applyFill="1" applyBorder="1" applyAlignment="1">
      <alignment horizontal="centerContinuous" vertical="center"/>
    </xf>
    <xf numFmtId="164" fontId="12" fillId="2" borderId="7" xfId="5" applyNumberFormat="1" applyFont="1" applyFill="1" applyBorder="1" applyAlignment="1">
      <alignment horizontal="center" vertical="center"/>
    </xf>
    <xf numFmtId="164" fontId="12" fillId="2" borderId="14" xfId="5" applyNumberFormat="1" applyFont="1" applyFill="1" applyBorder="1" applyAlignment="1">
      <alignment horizontal="centerContinuous" vertical="center"/>
    </xf>
    <xf numFmtId="164" fontId="12" fillId="2" borderId="14" xfId="5" applyNumberFormat="1" applyFont="1" applyFill="1" applyBorder="1" applyAlignment="1">
      <alignment horizontal="center" vertical="center"/>
    </xf>
    <xf numFmtId="0" fontId="7" fillId="2" borderId="15" xfId="5" applyFont="1" applyFill="1" applyBorder="1" applyAlignment="1">
      <alignment horizontal="center" vertical="center" wrapText="1"/>
    </xf>
    <xf numFmtId="0" fontId="7" fillId="2" borderId="11" xfId="5" applyFont="1" applyFill="1" applyBorder="1" applyAlignment="1">
      <alignment horizontal="left" vertical="center" wrapText="1"/>
    </xf>
    <xf numFmtId="166" fontId="7" fillId="2" borderId="15" xfId="5" applyNumberFormat="1" applyFont="1" applyFill="1" applyBorder="1" applyAlignment="1">
      <alignment horizontal="center" vertical="center"/>
    </xf>
    <xf numFmtId="0" fontId="0" fillId="0" borderId="1" xfId="0" applyBorder="1"/>
    <xf numFmtId="0" fontId="0" fillId="0" borderId="2" xfId="0" applyBorder="1"/>
    <xf numFmtId="0" fontId="0" fillId="0" borderId="3" xfId="0" applyBorder="1"/>
    <xf numFmtId="0" fontId="0" fillId="0" borderId="5" xfId="0" applyBorder="1"/>
    <xf numFmtId="164" fontId="7" fillId="0" borderId="0" xfId="6" applyNumberFormat="1" applyFont="1" applyAlignment="1">
      <alignment vertical="center"/>
    </xf>
    <xf numFmtId="0" fontId="0" fillId="0" borderId="6" xfId="0" applyBorder="1"/>
    <xf numFmtId="0" fontId="13" fillId="2" borderId="0" xfId="0" applyFont="1" applyFill="1"/>
    <xf numFmtId="0" fontId="13" fillId="2" borderId="0" xfId="0" applyFont="1" applyFill="1" applyAlignment="1">
      <alignment horizontal="left"/>
    </xf>
    <xf numFmtId="0" fontId="7" fillId="0" borderId="0" xfId="6" applyFont="1" applyAlignment="1">
      <alignment vertical="center"/>
    </xf>
    <xf numFmtId="0" fontId="13" fillId="2" borderId="5" xfId="0" applyFont="1" applyFill="1" applyBorder="1"/>
    <xf numFmtId="0" fontId="7" fillId="2" borderId="0" xfId="6" applyFont="1" applyFill="1" applyAlignment="1">
      <alignment vertical="center"/>
    </xf>
    <xf numFmtId="0" fontId="13" fillId="2" borderId="6" xfId="0" applyFont="1" applyFill="1" applyBorder="1"/>
    <xf numFmtId="0" fontId="13" fillId="2" borderId="8" xfId="0" applyFont="1" applyFill="1" applyBorder="1"/>
    <xf numFmtId="0" fontId="13" fillId="2" borderId="9" xfId="0" applyFont="1" applyFill="1" applyBorder="1"/>
    <xf numFmtId="0" fontId="7" fillId="2" borderId="9" xfId="6" applyFont="1" applyFill="1" applyBorder="1" applyAlignment="1">
      <alignment vertical="center"/>
    </xf>
    <xf numFmtId="0" fontId="13" fillId="2" borderId="10" xfId="0" applyFont="1" applyFill="1" applyBorder="1"/>
    <xf numFmtId="165" fontId="10" fillId="3" borderId="7" xfId="5" applyNumberFormat="1" applyFont="1" applyFill="1" applyBorder="1" applyAlignment="1">
      <alignment horizontal="center" vertical="center"/>
    </xf>
    <xf numFmtId="0" fontId="4" fillId="0" borderId="7" xfId="5" applyFont="1" applyBorder="1" applyAlignment="1">
      <alignment horizontal="left" vertical="center"/>
    </xf>
    <xf numFmtId="0" fontId="7" fillId="0" borderId="3" xfId="5" applyFont="1" applyBorder="1" applyAlignment="1">
      <alignment vertical="center"/>
    </xf>
    <xf numFmtId="0" fontId="4" fillId="0" borderId="11" xfId="5" applyFont="1" applyBorder="1" applyAlignment="1">
      <alignment vertical="center"/>
    </xf>
    <xf numFmtId="164" fontId="4" fillId="2" borderId="7" xfId="5" applyNumberFormat="1" applyFont="1" applyFill="1" applyBorder="1" applyAlignment="1">
      <alignment horizontal="centerContinuous" vertical="center"/>
    </xf>
    <xf numFmtId="164" fontId="4" fillId="2" borderId="7" xfId="5" applyNumberFormat="1" applyFont="1" applyFill="1" applyBorder="1" applyAlignment="1">
      <alignment horizontal="center" vertical="center"/>
    </xf>
    <xf numFmtId="164" fontId="4" fillId="2" borderId="14" xfId="5" applyNumberFormat="1" applyFont="1" applyFill="1" applyBorder="1" applyAlignment="1">
      <alignment horizontal="centerContinuous" vertical="center"/>
    </xf>
    <xf numFmtId="167" fontId="7" fillId="2" borderId="15" xfId="5" applyNumberFormat="1" applyFont="1" applyFill="1" applyBorder="1" applyAlignment="1">
      <alignment horizontal="center" vertical="center"/>
    </xf>
    <xf numFmtId="0" fontId="7" fillId="0" borderId="15" xfId="5" applyFont="1" applyBorder="1" applyAlignment="1">
      <alignment horizontal="center" vertical="center"/>
    </xf>
    <xf numFmtId="0" fontId="7" fillId="0" borderId="15" xfId="5" applyFont="1" applyBorder="1" applyAlignment="1">
      <alignment horizontal="center" vertical="center" wrapText="1"/>
    </xf>
    <xf numFmtId="0" fontId="7" fillId="0" borderId="15" xfId="5" applyFont="1" applyBorder="1" applyAlignment="1">
      <alignment horizontal="left" vertical="center" wrapText="1"/>
    </xf>
    <xf numFmtId="4" fontId="7" fillId="0" borderId="15" xfId="5" applyNumberFormat="1" applyFont="1" applyBorder="1" applyAlignment="1">
      <alignment horizontal="center" vertical="center"/>
    </xf>
    <xf numFmtId="167" fontId="7" fillId="0" borderId="15" xfId="5" applyNumberFormat="1" applyFont="1" applyBorder="1" applyAlignment="1">
      <alignment horizontal="center" vertical="center"/>
    </xf>
    <xf numFmtId="165" fontId="7" fillId="0" borderId="15" xfId="5" applyNumberFormat="1" applyFont="1" applyBorder="1" applyAlignment="1">
      <alignment horizontal="center" vertical="center"/>
    </xf>
    <xf numFmtId="164" fontId="7" fillId="0" borderId="2" xfId="6" applyNumberFormat="1" applyFont="1" applyBorder="1" applyAlignment="1">
      <alignment vertical="center"/>
    </xf>
    <xf numFmtId="14" fontId="5" fillId="0" borderId="0" xfId="3" applyNumberFormat="1" applyFont="1" applyAlignment="1">
      <alignment horizontal="left" vertical="center"/>
    </xf>
    <xf numFmtId="0" fontId="7" fillId="3" borderId="2" xfId="6" applyFont="1" applyFill="1" applyBorder="1" applyAlignment="1">
      <alignment vertical="center"/>
    </xf>
    <xf numFmtId="0" fontId="7" fillId="3" borderId="3" xfId="6" applyFont="1" applyFill="1" applyBorder="1" applyAlignment="1">
      <alignment vertical="center"/>
    </xf>
    <xf numFmtId="0" fontId="7" fillId="0" borderId="7" xfId="6" applyFont="1" applyBorder="1" applyAlignment="1">
      <alignment horizontal="left" vertical="center"/>
    </xf>
    <xf numFmtId="0" fontId="7" fillId="0" borderId="7" xfId="6" applyFont="1" applyBorder="1" applyAlignment="1">
      <alignment vertical="center"/>
    </xf>
    <xf numFmtId="0" fontId="7" fillId="0" borderId="7" xfId="4" applyFont="1" applyBorder="1" applyAlignment="1">
      <alignment vertical="center"/>
    </xf>
    <xf numFmtId="0" fontId="7" fillId="0" borderId="1" xfId="4" applyFont="1" applyBorder="1" applyAlignment="1">
      <alignment horizontal="left" vertical="center" indent="1"/>
    </xf>
    <xf numFmtId="0" fontId="7" fillId="0" borderId="2" xfId="4" applyFont="1" applyBorder="1" applyAlignment="1">
      <alignment vertical="center"/>
    </xf>
    <xf numFmtId="0" fontId="8" fillId="0" borderId="6" xfId="0" applyFont="1" applyBorder="1" applyAlignment="1">
      <alignment vertical="center"/>
    </xf>
    <xf numFmtId="1" fontId="4" fillId="0" borderId="14" xfId="6" applyNumberFormat="1" applyFont="1" applyBorder="1" applyAlignment="1">
      <alignment horizontal="left" vertical="center" wrapText="1" indent="1"/>
    </xf>
    <xf numFmtId="0" fontId="4" fillId="0" borderId="14" xfId="6" applyFont="1" applyBorder="1" applyAlignment="1">
      <alignment horizontal="left" vertical="center" indent="1"/>
    </xf>
    <xf numFmtId="0" fontId="4" fillId="0" borderId="14" xfId="6" applyFont="1" applyBorder="1" applyAlignment="1">
      <alignment vertical="center"/>
    </xf>
    <xf numFmtId="0" fontId="7" fillId="0" borderId="14" xfId="3" applyFont="1" applyBorder="1" applyAlignment="1">
      <alignment vertical="center"/>
    </xf>
    <xf numFmtId="0" fontId="7" fillId="0" borderId="5" xfId="3" applyFont="1" applyBorder="1" applyAlignment="1">
      <alignment horizontal="left" vertical="center" indent="1"/>
    </xf>
    <xf numFmtId="0" fontId="7" fillId="0" borderId="0" xfId="3" applyFont="1" applyAlignment="1">
      <alignment vertical="center"/>
    </xf>
    <xf numFmtId="0" fontId="7" fillId="0" borderId="7" xfId="3" applyFont="1" applyBorder="1" applyAlignment="1">
      <alignment vertical="center"/>
    </xf>
    <xf numFmtId="164" fontId="4" fillId="2" borderId="15" xfId="6" applyNumberFormat="1" applyFont="1" applyFill="1" applyBorder="1" applyAlignment="1">
      <alignment horizontal="center" vertical="center" wrapText="1"/>
    </xf>
    <xf numFmtId="166" fontId="7" fillId="2" borderId="15" xfId="6" applyNumberFormat="1" applyFont="1" applyFill="1" applyBorder="1" applyAlignment="1">
      <alignment horizontal="center" vertical="center"/>
    </xf>
    <xf numFmtId="0" fontId="7" fillId="2" borderId="15" xfId="6" applyFont="1" applyFill="1" applyBorder="1" applyAlignment="1">
      <alignment horizontal="center" vertical="center" wrapText="1"/>
    </xf>
    <xf numFmtId="166" fontId="7" fillId="2" borderId="15" xfId="6" applyNumberFormat="1" applyFont="1" applyFill="1" applyBorder="1" applyAlignment="1">
      <alignment horizontal="left" vertical="center" wrapText="1"/>
    </xf>
    <xf numFmtId="4" fontId="7" fillId="2" borderId="15" xfId="6" applyNumberFormat="1" applyFont="1" applyFill="1" applyBorder="1" applyAlignment="1">
      <alignment horizontal="center" vertical="center"/>
    </xf>
    <xf numFmtId="1" fontId="16" fillId="3" borderId="11" xfId="6" applyNumberFormat="1" applyFont="1" applyFill="1" applyBorder="1" applyAlignment="1">
      <alignment vertical="center" wrapText="1"/>
    </xf>
    <xf numFmtId="1" fontId="16" fillId="3" borderId="12" xfId="6" applyNumberFormat="1" applyFont="1" applyFill="1" applyBorder="1" applyAlignment="1">
      <alignment vertical="center" wrapText="1"/>
    </xf>
    <xf numFmtId="0" fontId="16" fillId="3" borderId="12" xfId="6" applyFont="1" applyFill="1" applyBorder="1" applyAlignment="1">
      <alignment vertical="center"/>
    </xf>
    <xf numFmtId="0" fontId="10" fillId="3" borderId="12" xfId="6" applyFont="1" applyFill="1" applyBorder="1" applyAlignment="1">
      <alignment vertical="center"/>
    </xf>
    <xf numFmtId="164" fontId="16" fillId="3" borderId="13" xfId="6" applyNumberFormat="1" applyFont="1" applyFill="1" applyBorder="1" applyAlignment="1">
      <alignment horizontal="center" vertical="center"/>
    </xf>
    <xf numFmtId="0" fontId="7" fillId="3" borderId="12" xfId="6" applyFont="1" applyFill="1" applyBorder="1" applyAlignment="1">
      <alignment vertical="center"/>
    </xf>
    <xf numFmtId="0" fontId="7" fillId="3" borderId="13" xfId="6" applyFont="1" applyFill="1" applyBorder="1" applyAlignment="1">
      <alignment vertical="center"/>
    </xf>
    <xf numFmtId="1" fontId="7" fillId="2" borderId="15" xfId="6" applyNumberFormat="1" applyFont="1" applyFill="1" applyBorder="1" applyAlignment="1">
      <alignment horizontal="center" vertical="center"/>
    </xf>
    <xf numFmtId="166" fontId="4" fillId="2" borderId="15" xfId="6" applyNumberFormat="1" applyFont="1" applyFill="1" applyBorder="1" applyAlignment="1">
      <alignment horizontal="left" vertical="center" wrapText="1"/>
    </xf>
    <xf numFmtId="1" fontId="7" fillId="2" borderId="15" xfId="6" applyNumberFormat="1" applyFont="1" applyFill="1" applyBorder="1" applyAlignment="1">
      <alignment horizontal="center" vertical="center" wrapText="1"/>
    </xf>
    <xf numFmtId="0" fontId="8" fillId="0" borderId="0" xfId="0" applyFont="1" applyProtection="1">
      <protection locked="0"/>
    </xf>
    <xf numFmtId="165" fontId="10" fillId="3" borderId="15" xfId="6" applyNumberFormat="1" applyFont="1" applyFill="1" applyBorder="1" applyAlignment="1">
      <alignment horizontal="center" vertical="center"/>
    </xf>
    <xf numFmtId="0" fontId="7" fillId="3" borderId="1" xfId="6" applyFont="1" applyFill="1" applyBorder="1" applyAlignment="1">
      <alignment vertical="center"/>
    </xf>
    <xf numFmtId="0" fontId="7" fillId="3" borderId="5" xfId="6" applyFont="1" applyFill="1" applyBorder="1" applyAlignment="1">
      <alignment vertical="center"/>
    </xf>
    <xf numFmtId="0" fontId="7" fillId="3" borderId="6" xfId="6" applyFont="1" applyFill="1" applyBorder="1" applyAlignment="1">
      <alignment vertical="center"/>
    </xf>
    <xf numFmtId="0" fontId="7" fillId="3" borderId="8" xfId="6" applyFont="1" applyFill="1" applyBorder="1" applyAlignment="1">
      <alignment vertical="center"/>
    </xf>
    <xf numFmtId="0" fontId="7" fillId="3" borderId="10" xfId="6" applyFont="1" applyFill="1" applyBorder="1" applyAlignment="1">
      <alignment vertical="center"/>
    </xf>
    <xf numFmtId="0" fontId="17" fillId="0" borderId="1" xfId="0" applyFont="1" applyBorder="1" applyAlignment="1">
      <alignment horizontal="left" vertical="center"/>
    </xf>
    <xf numFmtId="0" fontId="8" fillId="0" borderId="2" xfId="0" applyFont="1" applyBorder="1" applyProtection="1">
      <protection locked="0"/>
    </xf>
    <xf numFmtId="0" fontId="8" fillId="0" borderId="2" xfId="0" applyFont="1" applyBorder="1" applyAlignment="1">
      <alignment vertical="center" wrapText="1"/>
    </xf>
    <xf numFmtId="0" fontId="8" fillId="0" borderId="3" xfId="0" applyFont="1" applyBorder="1" applyProtection="1">
      <protection locked="0"/>
    </xf>
    <xf numFmtId="0" fontId="18" fillId="0" borderId="5" xfId="0" applyFont="1" applyBorder="1" applyAlignment="1" applyProtection="1">
      <alignment horizontal="left" vertical="center" wrapText="1"/>
      <protection locked="0"/>
    </xf>
    <xf numFmtId="0" fontId="8" fillId="0" borderId="0" xfId="0" applyFont="1" applyAlignment="1" applyProtection="1">
      <alignment vertical="center"/>
      <protection locked="0"/>
    </xf>
    <xf numFmtId="0" fontId="8" fillId="0" borderId="0" xfId="0" applyFont="1" applyAlignment="1" applyProtection="1">
      <alignment vertical="center" wrapText="1"/>
      <protection locked="0"/>
    </xf>
    <xf numFmtId="0" fontId="8" fillId="0" borderId="6" xfId="0" applyFont="1" applyBorder="1" applyProtection="1">
      <protection locked="0"/>
    </xf>
    <xf numFmtId="0" fontId="8" fillId="0" borderId="5" xfId="0" applyFont="1" applyBorder="1" applyAlignment="1" applyProtection="1">
      <alignment vertical="center" wrapText="1"/>
      <protection locked="0"/>
    </xf>
    <xf numFmtId="168" fontId="8" fillId="0" borderId="0" xfId="0" applyNumberFormat="1" applyFont="1" applyAlignment="1" applyProtection="1">
      <alignment vertical="center" wrapText="1"/>
      <protection locked="0"/>
    </xf>
    <xf numFmtId="0" fontId="8" fillId="0" borderId="8" xfId="0" applyFont="1" applyBorder="1" applyAlignment="1" applyProtection="1">
      <alignment vertical="center" wrapText="1"/>
      <protection locked="0"/>
    </xf>
    <xf numFmtId="0" fontId="8" fillId="0" borderId="9" xfId="0" applyFont="1" applyBorder="1" applyProtection="1">
      <protection locked="0"/>
    </xf>
    <xf numFmtId="0" fontId="8" fillId="0" borderId="9" xfId="0" applyFont="1" applyBorder="1" applyAlignment="1" applyProtection="1">
      <alignment vertical="center" wrapText="1"/>
      <protection locked="0"/>
    </xf>
    <xf numFmtId="168" fontId="8" fillId="0" borderId="9" xfId="0" applyNumberFormat="1" applyFont="1" applyBorder="1" applyAlignment="1" applyProtection="1">
      <alignment vertical="center" wrapText="1"/>
      <protection locked="0"/>
    </xf>
    <xf numFmtId="0" fontId="8" fillId="0" borderId="10" xfId="0" applyFont="1" applyBorder="1" applyProtection="1">
      <protection locked="0"/>
    </xf>
    <xf numFmtId="0" fontId="3" fillId="0" borderId="0" xfId="7"/>
    <xf numFmtId="0" fontId="19" fillId="4" borderId="11" xfId="7" applyFont="1" applyFill="1" applyBorder="1" applyAlignment="1">
      <alignment vertical="center"/>
    </xf>
    <xf numFmtId="0" fontId="19" fillId="4" borderId="12" xfId="7" applyFont="1" applyFill="1" applyBorder="1" applyAlignment="1">
      <alignment vertical="center"/>
    </xf>
    <xf numFmtId="0" fontId="19" fillId="4" borderId="12" xfId="7" applyFont="1" applyFill="1" applyBorder="1" applyAlignment="1">
      <alignment horizontal="right" vertical="center"/>
    </xf>
    <xf numFmtId="0" fontId="20" fillId="4" borderId="12" xfId="7" applyFont="1" applyFill="1" applyBorder="1" applyAlignment="1">
      <alignment horizontal="left" vertical="center"/>
    </xf>
    <xf numFmtId="49" fontId="19" fillId="4" borderId="12" xfId="7" applyNumberFormat="1" applyFont="1" applyFill="1" applyBorder="1" applyAlignment="1">
      <alignment horizontal="left" vertical="center"/>
    </xf>
    <xf numFmtId="17" fontId="19" fillId="4" borderId="13" xfId="7" applyNumberFormat="1" applyFont="1" applyFill="1" applyBorder="1" applyAlignment="1">
      <alignment horizontal="left" vertical="center"/>
    </xf>
    <xf numFmtId="0" fontId="19" fillId="4" borderId="11" xfId="7" applyFont="1" applyFill="1" applyBorder="1" applyAlignment="1">
      <alignment horizontal="center" vertical="center"/>
    </xf>
    <xf numFmtId="0" fontId="20" fillId="4" borderId="0" xfId="7" applyFont="1" applyFill="1" applyAlignment="1">
      <alignment horizontal="left" vertical="center"/>
    </xf>
    <xf numFmtId="0" fontId="3" fillId="4" borderId="0" xfId="7" applyFill="1"/>
    <xf numFmtId="0" fontId="21" fillId="4" borderId="12" xfId="7" applyFont="1" applyFill="1" applyBorder="1" applyAlignment="1">
      <alignment vertical="center"/>
    </xf>
    <xf numFmtId="170" fontId="21" fillId="4" borderId="12" xfId="8" applyNumberFormat="1" applyFont="1" applyFill="1" applyBorder="1" applyAlignment="1">
      <alignment vertical="center"/>
    </xf>
    <xf numFmtId="0" fontId="21" fillId="4" borderId="13" xfId="7" applyFont="1" applyFill="1" applyBorder="1" applyAlignment="1">
      <alignment horizontal="left" vertical="center"/>
    </xf>
    <xf numFmtId="0" fontId="22" fillId="2" borderId="2" xfId="7" applyFont="1" applyFill="1" applyBorder="1" applyAlignment="1">
      <alignment horizontal="center" vertical="center"/>
    </xf>
    <xf numFmtId="0" fontId="23" fillId="2" borderId="2" xfId="7" applyFont="1" applyFill="1" applyBorder="1" applyAlignment="1">
      <alignment vertical="center"/>
    </xf>
    <xf numFmtId="0" fontId="22" fillId="2" borderId="3" xfId="7" applyFont="1" applyFill="1" applyBorder="1" applyAlignment="1">
      <alignment horizontal="center" vertical="center"/>
    </xf>
    <xf numFmtId="0" fontId="22" fillId="2" borderId="11" xfId="7" applyFont="1" applyFill="1" applyBorder="1" applyAlignment="1">
      <alignment horizontal="center" vertical="center"/>
    </xf>
    <xf numFmtId="0" fontId="22" fillId="2" borderId="12" xfId="7" applyFont="1" applyFill="1" applyBorder="1" applyAlignment="1">
      <alignment horizontal="center" vertical="center"/>
    </xf>
    <xf numFmtId="0" fontId="22" fillId="2" borderId="0" xfId="7" applyFont="1" applyFill="1" applyAlignment="1">
      <alignment horizontal="center" vertical="center"/>
    </xf>
    <xf numFmtId="0" fontId="22" fillId="2" borderId="0" xfId="7" applyFont="1" applyFill="1"/>
    <xf numFmtId="0" fontId="22" fillId="2" borderId="9" xfId="7" applyFont="1" applyFill="1" applyBorder="1" applyAlignment="1">
      <alignment horizontal="center" vertical="center"/>
    </xf>
    <xf numFmtId="0" fontId="22" fillId="2" borderId="7" xfId="7" applyFont="1" applyFill="1" applyBorder="1" applyAlignment="1">
      <alignment horizontal="center" vertical="center"/>
    </xf>
    <xf numFmtId="0" fontId="22" fillId="2" borderId="8" xfId="7" applyFont="1" applyFill="1" applyBorder="1" applyAlignment="1">
      <alignment horizontal="center" vertical="center"/>
    </xf>
    <xf numFmtId="0" fontId="22" fillId="2" borderId="9" xfId="7" applyFont="1" applyFill="1" applyBorder="1"/>
    <xf numFmtId="0" fontId="22" fillId="2" borderId="15" xfId="7" applyFont="1" applyFill="1" applyBorder="1" applyAlignment="1">
      <alignment horizontal="center" vertical="center"/>
    </xf>
    <xf numFmtId="0" fontId="22" fillId="2" borderId="14" xfId="7" applyFont="1" applyFill="1" applyBorder="1" applyAlignment="1">
      <alignment horizontal="center" vertical="center"/>
    </xf>
    <xf numFmtId="0" fontId="24" fillId="2" borderId="5" xfId="7" applyFont="1" applyFill="1" applyBorder="1" applyAlignment="1">
      <alignment horizontal="center" vertical="center"/>
    </xf>
    <xf numFmtId="0" fontId="24" fillId="2" borderId="2" xfId="7" applyFont="1" applyFill="1" applyBorder="1" applyAlignment="1">
      <alignment horizontal="left" vertical="center" wrapText="1"/>
    </xf>
    <xf numFmtId="171" fontId="24" fillId="2" borderId="0" xfId="7" applyNumberFormat="1" applyFont="1" applyFill="1" applyAlignment="1">
      <alignment horizontal="center" vertical="center"/>
    </xf>
    <xf numFmtId="2" fontId="24" fillId="2" borderId="0" xfId="7" applyNumberFormat="1" applyFont="1" applyFill="1" applyAlignment="1">
      <alignment horizontal="center" vertical="center"/>
    </xf>
    <xf numFmtId="0" fontId="24" fillId="2" borderId="0" xfId="7" applyFont="1" applyFill="1" applyAlignment="1">
      <alignment horizontal="center" vertical="center"/>
    </xf>
    <xf numFmtId="166" fontId="24" fillId="0" borderId="4" xfId="8" applyNumberFormat="1" applyFont="1" applyBorder="1" applyAlignment="1">
      <alignment horizontal="center" vertical="center"/>
    </xf>
    <xf numFmtId="172" fontId="24" fillId="2" borderId="0" xfId="7" applyNumberFormat="1" applyFont="1" applyFill="1" applyAlignment="1">
      <alignment horizontal="center" vertical="center"/>
    </xf>
    <xf numFmtId="0" fontId="24" fillId="2" borderId="4" xfId="7" applyFont="1" applyFill="1" applyBorder="1" applyAlignment="1">
      <alignment horizontal="center" vertical="center"/>
    </xf>
    <xf numFmtId="0" fontId="24" fillId="2" borderId="0" xfId="7" applyFont="1" applyFill="1" applyAlignment="1">
      <alignment horizontal="left" vertical="center" wrapText="1"/>
    </xf>
    <xf numFmtId="0" fontId="22" fillId="2" borderId="0" xfId="7" applyFont="1" applyFill="1" applyAlignment="1">
      <alignment wrapText="1"/>
    </xf>
    <xf numFmtId="173" fontId="22" fillId="0" borderId="15" xfId="8" applyNumberFormat="1" applyFont="1" applyBorder="1" applyAlignment="1">
      <alignment horizontal="right" vertical="center"/>
    </xf>
    <xf numFmtId="0" fontId="22" fillId="0" borderId="12" xfId="7" applyFont="1" applyBorder="1" applyAlignment="1">
      <alignment horizontal="center"/>
    </xf>
    <xf numFmtId="174" fontId="22" fillId="0" borderId="12" xfId="8" applyNumberFormat="1" applyFont="1" applyBorder="1" applyAlignment="1">
      <alignment horizontal="right"/>
    </xf>
    <xf numFmtId="173" fontId="22" fillId="0" borderId="15" xfId="8" applyNumberFormat="1" applyFont="1" applyBorder="1" applyAlignment="1">
      <alignment horizontal="center" vertical="center"/>
    </xf>
    <xf numFmtId="169" fontId="3" fillId="0" borderId="0" xfId="7" applyNumberFormat="1"/>
    <xf numFmtId="0" fontId="22" fillId="2" borderId="2" xfId="7" applyFont="1" applyFill="1" applyBorder="1" applyAlignment="1">
      <alignment horizontal="right" vertical="center"/>
    </xf>
    <xf numFmtId="0" fontId="3" fillId="2" borderId="9" xfId="7" applyFill="1" applyBorder="1"/>
    <xf numFmtId="0" fontId="24" fillId="0" borderId="1" xfId="7" applyFont="1" applyBorder="1" applyAlignment="1">
      <alignment horizontal="center" wrapText="1"/>
    </xf>
    <xf numFmtId="0" fontId="24" fillId="2" borderId="2" xfId="7" applyFont="1" applyFill="1" applyBorder="1" applyAlignment="1">
      <alignment horizontal="left" vertical="center"/>
    </xf>
    <xf numFmtId="0" fontId="24" fillId="0" borderId="2" xfId="7" applyFont="1" applyBorder="1"/>
    <xf numFmtId="171" fontId="24" fillId="0" borderId="2" xfId="7" applyNumberFormat="1" applyFont="1" applyBorder="1" applyAlignment="1">
      <alignment horizontal="center" vertical="center"/>
    </xf>
    <xf numFmtId="175" fontId="24" fillId="2" borderId="2" xfId="7" applyNumberFormat="1" applyFont="1" applyFill="1" applyBorder="1" applyAlignment="1">
      <alignment horizontal="center" vertical="center"/>
    </xf>
    <xf numFmtId="0" fontId="3" fillId="0" borderId="2" xfId="7" applyBorder="1"/>
    <xf numFmtId="172" fontId="24" fillId="2" borderId="1" xfId="7" applyNumberFormat="1" applyFont="1" applyFill="1" applyBorder="1" applyAlignment="1">
      <alignment horizontal="center" vertical="center"/>
    </xf>
    <xf numFmtId="0" fontId="24" fillId="0" borderId="5" xfId="7" applyFont="1" applyBorder="1" applyAlignment="1">
      <alignment horizontal="center"/>
    </xf>
    <xf numFmtId="0" fontId="24" fillId="2" borderId="0" xfId="7" applyFont="1" applyFill="1" applyAlignment="1">
      <alignment horizontal="left" vertical="center"/>
    </xf>
    <xf numFmtId="0" fontId="24" fillId="0" borderId="0" xfId="7" applyFont="1"/>
    <xf numFmtId="175" fontId="24" fillId="0" borderId="0" xfId="7" applyNumberFormat="1" applyFont="1" applyAlignment="1">
      <alignment horizontal="center" vertical="center"/>
    </xf>
    <xf numFmtId="175" fontId="24" fillId="2" borderId="0" xfId="7" applyNumberFormat="1" applyFont="1" applyFill="1" applyAlignment="1">
      <alignment horizontal="center" vertical="center"/>
    </xf>
    <xf numFmtId="172" fontId="24" fillId="2" borderId="5" xfId="7" applyNumberFormat="1" applyFont="1" applyFill="1" applyBorder="1" applyAlignment="1">
      <alignment horizontal="center" vertical="center"/>
    </xf>
    <xf numFmtId="0" fontId="22" fillId="0" borderId="1" xfId="7" applyFont="1" applyBorder="1" applyAlignment="1">
      <alignment horizontal="left"/>
    </xf>
    <xf numFmtId="0" fontId="22" fillId="0" borderId="8" xfId="7" applyFont="1" applyBorder="1" applyAlignment="1">
      <alignment horizontal="left"/>
    </xf>
    <xf numFmtId="0" fontId="22" fillId="2" borderId="1" xfId="7" applyFont="1" applyFill="1" applyBorder="1" applyAlignment="1">
      <alignment vertical="center"/>
    </xf>
    <xf numFmtId="0" fontId="22" fillId="2" borderId="5" xfId="7" applyFont="1" applyFill="1" applyBorder="1" applyAlignment="1">
      <alignment vertical="center"/>
    </xf>
    <xf numFmtId="0" fontId="3" fillId="2" borderId="12" xfId="7" applyFill="1" applyBorder="1"/>
    <xf numFmtId="0" fontId="22" fillId="2" borderId="12" xfId="7" applyFont="1" applyFill="1" applyBorder="1" applyAlignment="1">
      <alignment vertical="center"/>
    </xf>
    <xf numFmtId="0" fontId="3" fillId="0" borderId="0" xfId="7" applyAlignment="1">
      <alignment horizontal="center" vertical="center"/>
    </xf>
    <xf numFmtId="0" fontId="24" fillId="2" borderId="1" xfId="7" applyFont="1" applyFill="1" applyBorder="1" applyAlignment="1">
      <alignment horizontal="center" vertical="center"/>
    </xf>
    <xf numFmtId="0" fontId="3" fillId="2" borderId="2" xfId="7" applyFill="1" applyBorder="1"/>
    <xf numFmtId="171" fontId="24" fillId="2" borderId="2" xfId="7" applyNumberFormat="1" applyFont="1" applyFill="1" applyBorder="1" applyAlignment="1">
      <alignment horizontal="center" vertical="center"/>
    </xf>
    <xf numFmtId="0" fontId="24" fillId="2" borderId="2" xfId="7" applyFont="1" applyFill="1" applyBorder="1" applyAlignment="1">
      <alignment horizontal="center" vertical="center"/>
    </xf>
    <xf numFmtId="0" fontId="24" fillId="2" borderId="5" xfId="7" applyFont="1" applyFill="1" applyBorder="1" applyAlignment="1">
      <alignment horizontal="center" vertical="center" wrapText="1"/>
    </xf>
    <xf numFmtId="0" fontId="3" fillId="2" borderId="0" xfId="7" applyFill="1"/>
    <xf numFmtId="2" fontId="25" fillId="0" borderId="0" xfId="8" applyNumberFormat="1" applyFont="1" applyBorder="1" applyAlignment="1"/>
    <xf numFmtId="172" fontId="24" fillId="2" borderId="2" xfId="7" applyNumberFormat="1" applyFont="1" applyFill="1" applyBorder="1" applyAlignment="1">
      <alignment horizontal="center" vertical="center"/>
    </xf>
    <xf numFmtId="0" fontId="24" fillId="2" borderId="8" xfId="7" applyFont="1" applyFill="1" applyBorder="1" applyAlignment="1">
      <alignment horizontal="center" vertical="center"/>
    </xf>
    <xf numFmtId="0" fontId="24" fillId="2" borderId="9" xfId="7" applyFont="1" applyFill="1" applyBorder="1" applyAlignment="1">
      <alignment horizontal="left" vertical="center" wrapText="1"/>
    </xf>
    <xf numFmtId="0" fontId="24" fillId="2" borderId="9" xfId="7" applyFont="1" applyFill="1" applyBorder="1" applyAlignment="1">
      <alignment horizontal="center" vertical="center"/>
    </xf>
    <xf numFmtId="171" fontId="24" fillId="2" borderId="9" xfId="7" applyNumberFormat="1" applyFont="1" applyFill="1" applyBorder="1" applyAlignment="1">
      <alignment horizontal="center" vertical="center"/>
    </xf>
    <xf numFmtId="172" fontId="24" fillId="2" borderId="9" xfId="7" applyNumberFormat="1" applyFont="1" applyFill="1" applyBorder="1" applyAlignment="1">
      <alignment horizontal="center" vertical="center"/>
    </xf>
    <xf numFmtId="172" fontId="24" fillId="2" borderId="8" xfId="7" applyNumberFormat="1" applyFont="1" applyFill="1" applyBorder="1" applyAlignment="1">
      <alignment horizontal="center" vertical="center"/>
    </xf>
    <xf numFmtId="0" fontId="22" fillId="2" borderId="11" xfId="7" applyFont="1" applyFill="1" applyBorder="1" applyAlignment="1">
      <alignment vertical="center"/>
    </xf>
    <xf numFmtId="0" fontId="22" fillId="0" borderId="11" xfId="7" applyFont="1" applyBorder="1" applyAlignment="1">
      <alignment vertical="center"/>
    </xf>
    <xf numFmtId="0" fontId="24" fillId="0" borderId="2" xfId="7" applyFont="1" applyBorder="1" applyAlignment="1">
      <alignment horizontal="center" vertical="center"/>
    </xf>
    <xf numFmtId="172" fontId="24" fillId="0" borderId="1" xfId="7" applyNumberFormat="1" applyFont="1" applyBorder="1" applyAlignment="1">
      <alignment horizontal="center" vertical="center"/>
    </xf>
    <xf numFmtId="172" fontId="24" fillId="0" borderId="2" xfId="7" applyNumberFormat="1" applyFont="1" applyBorder="1" applyAlignment="1">
      <alignment horizontal="center" vertical="center"/>
    </xf>
    <xf numFmtId="0" fontId="24" fillId="0" borderId="0" xfId="7" applyFont="1" applyAlignment="1">
      <alignment horizontal="center" vertical="center"/>
    </xf>
    <xf numFmtId="171" fontId="24" fillId="0" borderId="0" xfId="7" applyNumberFormat="1" applyFont="1" applyAlignment="1">
      <alignment horizontal="center" vertical="center"/>
    </xf>
    <xf numFmtId="172" fontId="24" fillId="0" borderId="5" xfId="7" applyNumberFormat="1" applyFont="1" applyBorder="1" applyAlignment="1">
      <alignment horizontal="center" vertical="center"/>
    </xf>
    <xf numFmtId="172" fontId="24" fillId="0" borderId="0" xfId="7" applyNumberFormat="1" applyFont="1" applyAlignment="1">
      <alignment horizontal="center" vertical="center"/>
    </xf>
    <xf numFmtId="172" fontId="22" fillId="0" borderId="12" xfId="7" applyNumberFormat="1" applyFont="1" applyBorder="1" applyAlignment="1">
      <alignment vertical="center"/>
    </xf>
    <xf numFmtId="0" fontId="22" fillId="2" borderId="2" xfId="7" applyFont="1" applyFill="1" applyBorder="1"/>
    <xf numFmtId="0" fontId="24" fillId="2" borderId="0" xfId="7" applyFont="1" applyFill="1" applyAlignment="1">
      <alignment vertical="center" wrapText="1"/>
    </xf>
    <xf numFmtId="0" fontId="22" fillId="0" borderId="0" xfId="7" applyFont="1" applyAlignment="1">
      <alignment horizontal="right"/>
    </xf>
    <xf numFmtId="0" fontId="22" fillId="0" borderId="0" xfId="7" applyFont="1"/>
    <xf numFmtId="2" fontId="22" fillId="0" borderId="6" xfId="8" applyNumberFormat="1" applyFont="1" applyBorder="1" applyAlignment="1"/>
    <xf numFmtId="0" fontId="27" fillId="4" borderId="12" xfId="7" applyFont="1" applyFill="1" applyBorder="1"/>
    <xf numFmtId="177" fontId="21" fillId="4" borderId="12" xfId="8" applyNumberFormat="1" applyFont="1" applyFill="1" applyBorder="1" applyAlignment="1">
      <alignment vertical="center"/>
    </xf>
    <xf numFmtId="172" fontId="24" fillId="2" borderId="5" xfId="7" applyNumberFormat="1" applyFont="1" applyFill="1" applyBorder="1" applyAlignment="1">
      <alignment horizontal="center"/>
    </xf>
    <xf numFmtId="172" fontId="24" fillId="2" borderId="0" xfId="7" applyNumberFormat="1" applyFont="1" applyFill="1" applyAlignment="1">
      <alignment horizontal="center"/>
    </xf>
    <xf numFmtId="166" fontId="24" fillId="2" borderId="4" xfId="8" applyNumberFormat="1" applyFont="1" applyFill="1" applyBorder="1" applyAlignment="1">
      <alignment horizontal="center"/>
    </xf>
    <xf numFmtId="172" fontId="24" fillId="2" borderId="4" xfId="8" applyNumberFormat="1" applyFont="1" applyFill="1" applyBorder="1" applyAlignment="1">
      <alignment horizontal="center"/>
    </xf>
    <xf numFmtId="173" fontId="22" fillId="2" borderId="15" xfId="8" applyNumberFormat="1" applyFont="1" applyFill="1" applyBorder="1" applyAlignment="1">
      <alignment horizontal="right" vertical="center"/>
    </xf>
    <xf numFmtId="0" fontId="22" fillId="2" borderId="12" xfId="7" applyFont="1" applyFill="1" applyBorder="1" applyAlignment="1">
      <alignment horizontal="center"/>
    </xf>
    <xf numFmtId="174" fontId="22" fillId="2" borderId="12" xfId="8" applyNumberFormat="1" applyFont="1" applyFill="1" applyBorder="1" applyAlignment="1">
      <alignment horizontal="right"/>
    </xf>
    <xf numFmtId="173" fontId="22" fillId="2" borderId="15" xfId="8" applyNumberFormat="1" applyFont="1" applyFill="1" applyBorder="1" applyAlignment="1">
      <alignment horizontal="center" vertical="center"/>
    </xf>
    <xf numFmtId="0" fontId="24" fillId="2" borderId="5" xfId="7" applyFont="1" applyFill="1" applyBorder="1" applyAlignment="1">
      <alignment horizontal="center"/>
    </xf>
    <xf numFmtId="0" fontId="24" fillId="2" borderId="0" xfId="7" applyFont="1" applyFill="1"/>
    <xf numFmtId="0" fontId="22" fillId="2" borderId="11" xfId="7" applyFont="1" applyFill="1" applyBorder="1" applyAlignment="1">
      <alignment horizontal="left"/>
    </xf>
    <xf numFmtId="0" fontId="24" fillId="2" borderId="11" xfId="7" applyFont="1" applyFill="1" applyBorder="1" applyAlignment="1">
      <alignment horizontal="center" vertical="center"/>
    </xf>
    <xf numFmtId="0" fontId="24" fillId="2" borderId="12" xfId="7" applyFont="1" applyFill="1" applyBorder="1" applyAlignment="1">
      <alignment horizontal="center" vertical="center"/>
    </xf>
    <xf numFmtId="2" fontId="24" fillId="2" borderId="9" xfId="7" applyNumberFormat="1" applyFont="1" applyFill="1" applyBorder="1" applyAlignment="1">
      <alignment horizontal="center" vertical="center"/>
    </xf>
    <xf numFmtId="172" fontId="24" fillId="2" borderId="11" xfId="7" applyNumberFormat="1" applyFont="1" applyFill="1" applyBorder="1" applyAlignment="1">
      <alignment horizontal="center" vertical="center"/>
    </xf>
    <xf numFmtId="172" fontId="22" fillId="2" borderId="12" xfId="7" applyNumberFormat="1" applyFont="1" applyFill="1" applyBorder="1" applyAlignment="1">
      <alignment vertical="center"/>
    </xf>
    <xf numFmtId="0" fontId="22" fillId="2" borderId="9" xfId="7" applyFont="1" applyFill="1" applyBorder="1" applyAlignment="1">
      <alignment horizontal="right"/>
    </xf>
    <xf numFmtId="2" fontId="22" fillId="2" borderId="10" xfId="8" applyNumberFormat="1" applyFont="1" applyFill="1" applyBorder="1" applyAlignment="1"/>
    <xf numFmtId="2" fontId="24" fillId="2" borderId="2" xfId="7" applyNumberFormat="1" applyFont="1" applyFill="1" applyBorder="1" applyAlignment="1">
      <alignment horizontal="center"/>
    </xf>
    <xf numFmtId="172" fontId="24" fillId="2" borderId="1" xfId="7" applyNumberFormat="1" applyFont="1" applyFill="1" applyBorder="1" applyAlignment="1">
      <alignment horizontal="center"/>
    </xf>
    <xf numFmtId="172" fontId="24" fillId="2" borderId="2" xfId="7" applyNumberFormat="1" applyFont="1" applyFill="1" applyBorder="1" applyAlignment="1">
      <alignment horizontal="center"/>
    </xf>
    <xf numFmtId="166" fontId="24" fillId="2" borderId="7" xfId="8" applyNumberFormat="1" applyFont="1" applyFill="1" applyBorder="1" applyAlignment="1">
      <alignment horizontal="center"/>
    </xf>
    <xf numFmtId="172" fontId="24" fillId="2" borderId="7" xfId="8" applyNumberFormat="1" applyFont="1" applyFill="1" applyBorder="1" applyAlignment="1">
      <alignment horizontal="center"/>
    </xf>
    <xf numFmtId="169" fontId="24" fillId="0" borderId="0" xfId="8" applyFont="1" applyBorder="1" applyAlignment="1">
      <alignment horizontal="center"/>
    </xf>
    <xf numFmtId="2" fontId="24" fillId="2" borderId="0" xfId="7" applyNumberFormat="1" applyFont="1" applyFill="1" applyAlignment="1">
      <alignment horizontal="center"/>
    </xf>
    <xf numFmtId="2" fontId="24" fillId="2" borderId="9" xfId="7" applyNumberFormat="1" applyFont="1" applyFill="1" applyBorder="1" applyAlignment="1">
      <alignment horizontal="center"/>
    </xf>
    <xf numFmtId="172" fontId="24" fillId="2" borderId="8" xfId="7" applyNumberFormat="1" applyFont="1" applyFill="1" applyBorder="1" applyAlignment="1">
      <alignment horizontal="center"/>
    </xf>
    <xf numFmtId="172" fontId="24" fillId="2" borderId="9" xfId="7" applyNumberFormat="1" applyFont="1" applyFill="1" applyBorder="1" applyAlignment="1">
      <alignment horizontal="center"/>
    </xf>
    <xf numFmtId="166" fontId="24" fillId="2" borderId="14" xfId="8" applyNumberFormat="1" applyFont="1" applyFill="1" applyBorder="1" applyAlignment="1">
      <alignment horizontal="center"/>
    </xf>
    <xf numFmtId="172" fontId="24" fillId="2" borderId="14" xfId="8" applyNumberFormat="1" applyFont="1" applyFill="1" applyBorder="1" applyAlignment="1">
      <alignment horizontal="center"/>
    </xf>
    <xf numFmtId="0" fontId="24" fillId="2" borderId="1" xfId="7" applyFont="1" applyFill="1" applyBorder="1" applyAlignment="1">
      <alignment horizontal="center"/>
    </xf>
    <xf numFmtId="0" fontId="24" fillId="2" borderId="2" xfId="7" applyFont="1" applyFill="1" applyBorder="1"/>
    <xf numFmtId="0" fontId="3" fillId="2" borderId="2" xfId="7" applyFill="1" applyBorder="1" applyAlignment="1">
      <alignment vertical="center"/>
    </xf>
    <xf numFmtId="0" fontId="22" fillId="2" borderId="2" xfId="7" applyFont="1" applyFill="1" applyBorder="1" applyAlignment="1">
      <alignment horizontal="right"/>
    </xf>
    <xf numFmtId="2" fontId="22" fillId="2" borderId="3" xfId="8" applyNumberFormat="1" applyFont="1" applyFill="1" applyBorder="1" applyAlignment="1"/>
    <xf numFmtId="0" fontId="24" fillId="0" borderId="1" xfId="7" applyFont="1" applyBorder="1" applyAlignment="1">
      <alignment horizontal="center"/>
    </xf>
    <xf numFmtId="175" fontId="24" fillId="0" borderId="2" xfId="7" applyNumberFormat="1" applyFont="1" applyBorder="1" applyAlignment="1">
      <alignment horizontal="center" vertical="center"/>
    </xf>
    <xf numFmtId="0" fontId="7" fillId="0" borderId="0" xfId="9" applyFont="1"/>
    <xf numFmtId="0" fontId="7" fillId="0" borderId="16" xfId="9" applyFont="1" applyBorder="1"/>
    <xf numFmtId="0" fontId="4" fillId="0" borderId="0" xfId="9" applyFont="1" applyAlignment="1">
      <alignment horizontal="center"/>
    </xf>
    <xf numFmtId="0" fontId="7" fillId="0" borderId="17" xfId="9" applyFont="1" applyBorder="1"/>
    <xf numFmtId="0" fontId="29" fillId="5" borderId="18" xfId="9" applyFont="1" applyFill="1" applyBorder="1" applyAlignment="1">
      <alignment horizontal="center" vertical="center"/>
    </xf>
    <xf numFmtId="0" fontId="7" fillId="0" borderId="0" xfId="9" applyFont="1" applyAlignment="1">
      <alignment horizontal="center"/>
    </xf>
    <xf numFmtId="0" fontId="30" fillId="2" borderId="2" xfId="3" applyFont="1" applyFill="1" applyBorder="1" applyAlignment="1">
      <alignment vertical="center" wrapText="1"/>
    </xf>
    <xf numFmtId="0" fontId="7" fillId="0" borderId="2" xfId="9" applyFont="1" applyBorder="1"/>
    <xf numFmtId="0" fontId="7" fillId="2" borderId="5" xfId="0" applyFont="1" applyFill="1" applyBorder="1" applyAlignment="1">
      <alignment vertical="center" wrapText="1"/>
    </xf>
    <xf numFmtId="0" fontId="30" fillId="2" borderId="0" xfId="3" applyFont="1" applyFill="1" applyAlignment="1">
      <alignment vertical="center" wrapText="1"/>
    </xf>
    <xf numFmtId="10" fontId="7" fillId="0" borderId="5" xfId="2" applyNumberFormat="1" applyFont="1" applyFill="1" applyBorder="1" applyAlignment="1">
      <alignment vertical="center" wrapText="1"/>
    </xf>
    <xf numFmtId="0" fontId="29" fillId="5" borderId="19" xfId="9" applyFont="1" applyFill="1" applyBorder="1" applyAlignment="1">
      <alignment horizontal="center" vertical="center"/>
    </xf>
    <xf numFmtId="0" fontId="30" fillId="2" borderId="9" xfId="3" applyFont="1" applyFill="1" applyBorder="1" applyAlignment="1">
      <alignment vertical="center" wrapText="1"/>
    </xf>
    <xf numFmtId="0" fontId="7" fillId="0" borderId="9" xfId="9" applyFont="1" applyBorder="1"/>
    <xf numFmtId="0" fontId="29" fillId="5" borderId="0" xfId="9" applyFont="1" applyFill="1" applyAlignment="1">
      <alignment horizontal="center" vertical="center"/>
    </xf>
    <xf numFmtId="10" fontId="7" fillId="0" borderId="0" xfId="2" applyNumberFormat="1" applyFont="1" applyFill="1" applyBorder="1" applyAlignment="1">
      <alignment vertical="center" wrapText="1"/>
    </xf>
    <xf numFmtId="0" fontId="4" fillId="6" borderId="0" xfId="9" applyFont="1" applyFill="1" applyAlignment="1">
      <alignment horizontal="center" vertical="center"/>
    </xf>
    <xf numFmtId="0" fontId="4" fillId="0" borderId="0" xfId="9" applyFont="1" applyAlignment="1">
      <alignment horizontal="center" vertical="center"/>
    </xf>
    <xf numFmtId="0" fontId="4" fillId="0" borderId="11" xfId="9" applyFont="1" applyBorder="1" applyAlignment="1">
      <alignment horizontal="center" vertical="center"/>
    </xf>
    <xf numFmtId="4" fontId="4" fillId="0" borderId="0" xfId="9" applyNumberFormat="1" applyFont="1" applyAlignment="1">
      <alignment horizontal="center" vertical="center"/>
    </xf>
    <xf numFmtId="2" fontId="7" fillId="0" borderId="20" xfId="10" applyNumberFormat="1" applyFont="1" applyBorder="1" applyAlignment="1">
      <alignment horizontal="center" vertical="center"/>
    </xf>
    <xf numFmtId="2" fontId="7" fillId="0" borderId="21" xfId="10" applyNumberFormat="1" applyFont="1" applyBorder="1" applyAlignment="1">
      <alignment horizontal="center" vertical="center"/>
    </xf>
    <xf numFmtId="2" fontId="7" fillId="0" borderId="0" xfId="10" applyNumberFormat="1" applyFont="1" applyAlignment="1">
      <alignment horizontal="center" vertical="center"/>
    </xf>
    <xf numFmtId="0" fontId="7" fillId="0" borderId="15" xfId="9" applyFont="1" applyBorder="1" applyAlignment="1">
      <alignment horizontal="center"/>
    </xf>
    <xf numFmtId="4" fontId="7" fillId="0" borderId="0" xfId="9" applyNumberFormat="1" applyFont="1" applyAlignment="1">
      <alignment horizontal="center"/>
    </xf>
    <xf numFmtId="0" fontId="7" fillId="0" borderId="11" xfId="9" applyFont="1" applyBorder="1" applyAlignment="1">
      <alignment horizontal="center"/>
    </xf>
    <xf numFmtId="0" fontId="7" fillId="0" borderId="0" xfId="10" applyFont="1" applyAlignment="1">
      <alignment horizontal="center" vertical="center"/>
    </xf>
    <xf numFmtId="10" fontId="7" fillId="0" borderId="0" xfId="11" applyNumberFormat="1" applyFont="1" applyFill="1"/>
    <xf numFmtId="0" fontId="7" fillId="0" borderId="19" xfId="9" applyFont="1" applyBorder="1" applyAlignment="1">
      <alignment horizontal="center" vertical="center"/>
    </xf>
    <xf numFmtId="0" fontId="7" fillId="0" borderId="0" xfId="9" applyFont="1" applyAlignment="1">
      <alignment horizontal="center" vertical="center"/>
    </xf>
    <xf numFmtId="10" fontId="4" fillId="6" borderId="0" xfId="9" applyNumberFormat="1" applyFont="1" applyFill="1" applyAlignment="1">
      <alignment horizontal="center" vertical="center"/>
    </xf>
    <xf numFmtId="10" fontId="29" fillId="5" borderId="22" xfId="11" applyNumberFormat="1" applyFont="1" applyFill="1" applyBorder="1" applyAlignment="1">
      <alignment horizontal="center" vertical="center"/>
    </xf>
    <xf numFmtId="1" fontId="4" fillId="0" borderId="0" xfId="9" applyNumberFormat="1" applyFont="1" applyAlignment="1">
      <alignment horizontal="center" vertical="center"/>
    </xf>
    <xf numFmtId="0" fontId="32" fillId="0" borderId="1" xfId="9" applyFont="1" applyBorder="1" applyAlignment="1">
      <alignment vertical="center"/>
    </xf>
    <xf numFmtId="0" fontId="32" fillId="0" borderId="2" xfId="9" applyFont="1" applyBorder="1" applyAlignment="1">
      <alignment vertical="center"/>
    </xf>
    <xf numFmtId="0" fontId="32" fillId="0" borderId="3" xfId="9" applyFont="1" applyBorder="1" applyAlignment="1">
      <alignment vertical="center"/>
    </xf>
    <xf numFmtId="0" fontId="32" fillId="0" borderId="0" xfId="9" applyFont="1" applyAlignment="1">
      <alignment horizontal="center" vertical="center"/>
    </xf>
    <xf numFmtId="0" fontId="7" fillId="0" borderId="5" xfId="9" applyFont="1" applyBorder="1"/>
    <xf numFmtId="0" fontId="32" fillId="0" borderId="0" xfId="9" applyFont="1" applyAlignment="1">
      <alignment vertical="center"/>
    </xf>
    <xf numFmtId="0" fontId="7" fillId="0" borderId="0" xfId="9" applyFont="1" applyAlignment="1">
      <alignment vertical="center"/>
    </xf>
    <xf numFmtId="10" fontId="4" fillId="0" borderId="0" xfId="2" applyNumberFormat="1" applyFont="1" applyBorder="1" applyAlignment="1">
      <alignment horizontal="right" vertical="center"/>
    </xf>
    <xf numFmtId="0" fontId="7" fillId="0" borderId="6" xfId="9" applyFont="1" applyBorder="1"/>
    <xf numFmtId="40" fontId="7" fillId="0" borderId="0" xfId="9" applyNumberFormat="1" applyFont="1" applyAlignment="1">
      <alignment vertical="center"/>
    </xf>
    <xf numFmtId="40" fontId="7" fillId="0" borderId="0" xfId="9" applyNumberFormat="1" applyFont="1" applyAlignment="1">
      <alignment horizontal="center" vertical="center"/>
    </xf>
    <xf numFmtId="0" fontId="32" fillId="0" borderId="0" xfId="9" applyFont="1" applyAlignment="1">
      <alignment horizontal="right" vertical="center"/>
    </xf>
    <xf numFmtId="0" fontId="7" fillId="0" borderId="0" xfId="9" applyFont="1" applyAlignment="1">
      <alignment horizontal="left" vertical="center"/>
    </xf>
    <xf numFmtId="0" fontId="7" fillId="0" borderId="8" xfId="9" applyFont="1" applyBorder="1"/>
    <xf numFmtId="0" fontId="32" fillId="0" borderId="9" xfId="9" applyFont="1" applyBorder="1" applyAlignment="1">
      <alignment horizontal="right" vertical="center"/>
    </xf>
    <xf numFmtId="40" fontId="7" fillId="0" borderId="9" xfId="9" applyNumberFormat="1" applyFont="1" applyBorder="1" applyAlignment="1">
      <alignment horizontal="center" vertical="center"/>
    </xf>
    <xf numFmtId="0" fontId="7" fillId="0" borderId="9" xfId="9" applyFont="1" applyBorder="1" applyAlignment="1">
      <alignment horizontal="left" vertical="center"/>
    </xf>
    <xf numFmtId="0" fontId="7" fillId="0" borderId="10" xfId="9" applyFont="1" applyBorder="1"/>
    <xf numFmtId="0" fontId="8" fillId="0" borderId="0" xfId="0" applyFont="1" applyAlignment="1">
      <alignment horizontal="center" vertical="center"/>
    </xf>
    <xf numFmtId="0" fontId="10" fillId="3" borderId="1" xfId="0" applyFont="1" applyFill="1" applyBorder="1" applyAlignment="1">
      <alignment horizontal="center" vertical="center"/>
    </xf>
    <xf numFmtId="0" fontId="10" fillId="3" borderId="2" xfId="0" applyFont="1" applyFill="1" applyBorder="1" applyAlignment="1">
      <alignment horizontal="center" vertical="center"/>
    </xf>
    <xf numFmtId="179" fontId="16" fillId="3" borderId="1" xfId="0" applyNumberFormat="1" applyFont="1" applyFill="1" applyBorder="1" applyAlignment="1">
      <alignment horizontal="center" vertical="center" wrapText="1"/>
    </xf>
    <xf numFmtId="179" fontId="16" fillId="3" borderId="2" xfId="0" applyNumberFormat="1" applyFont="1" applyFill="1" applyBorder="1" applyAlignment="1">
      <alignment horizontal="center" vertical="center" wrapText="1"/>
    </xf>
    <xf numFmtId="178" fontId="16" fillId="3" borderId="2" xfId="0" applyNumberFormat="1" applyFont="1" applyFill="1" applyBorder="1" applyAlignment="1">
      <alignment horizontal="center" vertical="center" wrapText="1"/>
    </xf>
    <xf numFmtId="179" fontId="16" fillId="3" borderId="7" xfId="0" applyNumberFormat="1" applyFont="1" applyFill="1" applyBorder="1" applyAlignment="1">
      <alignment horizontal="center" vertical="center" wrapText="1"/>
    </xf>
    <xf numFmtId="0" fontId="10" fillId="3" borderId="8" xfId="0" applyFont="1" applyFill="1" applyBorder="1" applyAlignment="1">
      <alignment horizontal="center" vertical="center"/>
    </xf>
    <xf numFmtId="0" fontId="10" fillId="3" borderId="9" xfId="0" applyFont="1" applyFill="1" applyBorder="1" applyAlignment="1">
      <alignment horizontal="center" vertical="center"/>
    </xf>
    <xf numFmtId="4" fontId="10" fillId="3" borderId="8" xfId="0" applyNumberFormat="1" applyFont="1" applyFill="1" applyBorder="1" applyAlignment="1">
      <alignment horizontal="center" vertical="center" wrapText="1"/>
    </xf>
    <xf numFmtId="4" fontId="10" fillId="3" borderId="9" xfId="0" applyNumberFormat="1" applyFont="1" applyFill="1" applyBorder="1" applyAlignment="1">
      <alignment horizontal="center" vertical="center" wrapText="1"/>
    </xf>
    <xf numFmtId="178" fontId="10" fillId="3" borderId="9" xfId="0" applyNumberFormat="1" applyFont="1" applyFill="1" applyBorder="1" applyAlignment="1">
      <alignment horizontal="center" vertical="center" wrapText="1"/>
    </xf>
    <xf numFmtId="4" fontId="10" fillId="3" borderId="14" xfId="0" applyNumberFormat="1" applyFont="1" applyFill="1" applyBorder="1" applyAlignment="1">
      <alignment horizontal="center" vertical="center" wrapText="1"/>
    </xf>
    <xf numFmtId="0" fontId="8" fillId="7" borderId="15" xfId="0" applyFont="1" applyFill="1" applyBorder="1" applyAlignment="1">
      <alignment horizontal="center" vertical="center"/>
    </xf>
    <xf numFmtId="0" fontId="17" fillId="7" borderId="15" xfId="0" applyFont="1" applyFill="1" applyBorder="1" applyAlignment="1">
      <alignment horizontal="left" vertical="center" wrapText="1"/>
    </xf>
    <xf numFmtId="4" fontId="10" fillId="4" borderId="15" xfId="0" applyNumberFormat="1" applyFont="1" applyFill="1" applyBorder="1" applyAlignment="1">
      <alignment horizontal="center" vertical="center"/>
    </xf>
    <xf numFmtId="9" fontId="10" fillId="4" borderId="15" xfId="2" applyFont="1" applyFill="1" applyBorder="1" applyAlignment="1">
      <alignment horizontal="center" vertical="center"/>
    </xf>
    <xf numFmtId="0" fontId="8" fillId="0" borderId="15" xfId="0" applyFont="1" applyBorder="1" applyAlignment="1">
      <alignment horizontal="center" vertical="center"/>
    </xf>
    <xf numFmtId="0" fontId="7" fillId="7" borderId="15" xfId="12" applyFont="1" applyFill="1" applyBorder="1" applyAlignment="1">
      <alignment horizontal="left" vertical="center" wrapText="1"/>
    </xf>
    <xf numFmtId="4" fontId="7" fillId="0" borderId="15" xfId="12" applyNumberFormat="1" applyFont="1" applyBorder="1" applyAlignment="1">
      <alignment horizontal="center" vertical="center"/>
    </xf>
    <xf numFmtId="49" fontId="4" fillId="0" borderId="0" xfId="12" applyNumberFormat="1" applyFont="1" applyAlignment="1">
      <alignment horizontal="center" vertical="center"/>
    </xf>
    <xf numFmtId="0" fontId="4" fillId="0" borderId="0" xfId="12" applyFont="1" applyAlignment="1">
      <alignment horizontal="center" vertical="center"/>
    </xf>
    <xf numFmtId="180" fontId="4" fillId="0" borderId="0" xfId="12" applyNumberFormat="1" applyFont="1" applyAlignment="1">
      <alignment horizontal="center" vertical="center"/>
    </xf>
    <xf numFmtId="0" fontId="8" fillId="0" borderId="2" xfId="0" applyFont="1" applyBorder="1" applyAlignment="1">
      <alignment horizontal="center" vertical="center"/>
    </xf>
    <xf numFmtId="0" fontId="8" fillId="0" borderId="2" xfId="0" applyFont="1" applyBorder="1" applyAlignment="1">
      <alignment horizontal="left" vertical="center" wrapText="1"/>
    </xf>
    <xf numFmtId="0" fontId="8" fillId="0" borderId="12" xfId="0" applyFont="1" applyBorder="1" applyAlignment="1">
      <alignment horizontal="center" vertical="center"/>
    </xf>
    <xf numFmtId="0" fontId="17" fillId="0" borderId="23" xfId="0" applyFont="1" applyBorder="1" applyAlignment="1">
      <alignment vertical="center" wrapText="1"/>
    </xf>
    <xf numFmtId="44" fontId="4" fillId="0" borderId="24" xfId="0" applyNumberFormat="1" applyFont="1" applyBorder="1" applyAlignment="1">
      <alignment vertical="center"/>
    </xf>
    <xf numFmtId="44" fontId="17" fillId="0" borderId="0" xfId="0" applyNumberFormat="1" applyFont="1" applyAlignment="1">
      <alignment horizontal="center" vertical="center"/>
    </xf>
    <xf numFmtId="0" fontId="8" fillId="0" borderId="2" xfId="0" applyFont="1" applyBorder="1" applyAlignment="1">
      <alignment vertical="center"/>
    </xf>
    <xf numFmtId="181" fontId="8" fillId="0" borderId="3" xfId="1" applyNumberFormat="1" applyFont="1" applyBorder="1" applyAlignment="1">
      <alignment vertical="center"/>
    </xf>
    <xf numFmtId="0" fontId="7" fillId="2" borderId="1" xfId="0" applyFont="1" applyFill="1" applyBorder="1" applyAlignment="1">
      <alignment horizontal="center" vertical="center" wrapText="1"/>
    </xf>
    <xf numFmtId="0" fontId="17" fillId="0" borderId="25" xfId="0" applyFont="1" applyBorder="1" applyAlignment="1">
      <alignment horizontal="center" vertical="center"/>
    </xf>
    <xf numFmtId="0" fontId="8" fillId="0" borderId="7" xfId="0" applyFont="1" applyBorder="1" applyAlignment="1">
      <alignment vertical="center"/>
    </xf>
    <xf numFmtId="181" fontId="8" fillId="0" borderId="6" xfId="1" applyNumberFormat="1" applyFont="1" applyBorder="1" applyAlignment="1">
      <alignment vertical="center"/>
    </xf>
    <xf numFmtId="0" fontId="4" fillId="2" borderId="11" xfId="0" applyFont="1" applyFill="1" applyBorder="1" applyAlignment="1">
      <alignment horizontal="center" vertical="center" wrapText="1"/>
    </xf>
    <xf numFmtId="0" fontId="4" fillId="2" borderId="14" xfId="3" applyFont="1" applyFill="1" applyBorder="1" applyAlignment="1">
      <alignment horizontal="center" vertical="center"/>
    </xf>
    <xf numFmtId="10" fontId="7" fillId="0" borderId="1" xfId="2" applyNumberFormat="1" applyFont="1" applyFill="1" applyBorder="1" applyAlignment="1">
      <alignment horizontal="center" vertical="center" wrapText="1"/>
    </xf>
    <xf numFmtId="0" fontId="8" fillId="0" borderId="9" xfId="0" applyFont="1" applyBorder="1" applyAlignment="1">
      <alignment vertical="center"/>
    </xf>
    <xf numFmtId="0" fontId="8" fillId="0" borderId="9" xfId="0" applyFont="1" applyBorder="1" applyAlignment="1">
      <alignment horizontal="center" vertical="center"/>
    </xf>
    <xf numFmtId="181" fontId="8" fillId="0" borderId="10" xfId="1" applyNumberFormat="1" applyFont="1" applyBorder="1" applyAlignment="1">
      <alignment vertical="center"/>
    </xf>
    <xf numFmtId="0" fontId="14" fillId="3" borderId="11" xfId="4" applyFont="1" applyFill="1" applyBorder="1" applyAlignment="1">
      <alignment vertical="center"/>
    </xf>
    <xf numFmtId="0" fontId="14" fillId="3" borderId="12" xfId="4" applyFont="1" applyFill="1" applyBorder="1" applyAlignment="1">
      <alignment vertical="center"/>
    </xf>
    <xf numFmtId="0" fontId="14" fillId="3" borderId="12" xfId="4" applyFont="1" applyFill="1" applyBorder="1" applyAlignment="1">
      <alignment horizontal="center" vertical="center"/>
    </xf>
    <xf numFmtId="181" fontId="14" fillId="3" borderId="12" xfId="4" applyNumberFormat="1" applyFont="1" applyFill="1" applyBorder="1" applyAlignment="1">
      <alignment vertical="center"/>
    </xf>
    <xf numFmtId="0" fontId="8" fillId="0" borderId="0" xfId="0" applyFont="1" applyAlignment="1">
      <alignment horizontal="center" vertical="center" wrapText="1"/>
    </xf>
    <xf numFmtId="0" fontId="10" fillId="3" borderId="7" xfId="4" applyFont="1" applyFill="1" applyBorder="1" applyAlignment="1">
      <alignment horizontal="center" vertical="center" wrapText="1"/>
    </xf>
    <xf numFmtId="0" fontId="34" fillId="0" borderId="0" xfId="13" applyFont="1"/>
    <xf numFmtId="0" fontId="35" fillId="0" borderId="0" xfId="13" applyFont="1" applyAlignment="1">
      <alignment horizontal="right" wrapText="1"/>
    </xf>
    <xf numFmtId="0" fontId="4" fillId="0" borderId="0" xfId="13" applyFont="1" applyAlignment="1">
      <alignment horizontal="right" vertical="center" wrapText="1"/>
    </xf>
    <xf numFmtId="182" fontId="4" fillId="0" borderId="0" xfId="13" applyNumberFormat="1" applyFont="1" applyAlignment="1">
      <alignment horizontal="right" vertical="center" wrapText="1"/>
    </xf>
    <xf numFmtId="2" fontId="4" fillId="8" borderId="11" xfId="4" applyNumberFormat="1" applyFont="1" applyFill="1" applyBorder="1" applyAlignment="1">
      <alignment horizontal="center" vertical="center" wrapText="1"/>
    </xf>
    <xf numFmtId="0" fontId="4" fillId="8" borderId="12" xfId="4" applyFont="1" applyFill="1" applyBorder="1" applyAlignment="1">
      <alignment horizontal="center" vertical="center"/>
    </xf>
    <xf numFmtId="2" fontId="4" fillId="8" borderId="12" xfId="4" applyNumberFormat="1" applyFont="1" applyFill="1" applyBorder="1" applyAlignment="1">
      <alignment horizontal="center" vertical="center"/>
    </xf>
    <xf numFmtId="182" fontId="4" fillId="8" borderId="12" xfId="4" applyNumberFormat="1" applyFont="1" applyFill="1" applyBorder="1" applyAlignment="1">
      <alignment horizontal="center" vertical="center"/>
    </xf>
    <xf numFmtId="0" fontId="4" fillId="8" borderId="12" xfId="4" applyFont="1" applyFill="1" applyBorder="1" applyAlignment="1">
      <alignment vertical="center"/>
    </xf>
    <xf numFmtId="0" fontId="7" fillId="8" borderId="12" xfId="4" applyFont="1" applyFill="1" applyBorder="1" applyAlignment="1">
      <alignment horizontal="center" vertical="center"/>
    </xf>
    <xf numFmtId="181" fontId="7" fillId="8" borderId="12" xfId="1" applyNumberFormat="1" applyFont="1" applyFill="1" applyBorder="1" applyAlignment="1">
      <alignment vertical="center"/>
    </xf>
    <xf numFmtId="165" fontId="4" fillId="8" borderId="9" xfId="14" applyNumberFormat="1" applyFont="1" applyFill="1" applyBorder="1" applyAlignment="1">
      <alignment vertical="center"/>
    </xf>
    <xf numFmtId="165" fontId="4" fillId="8" borderId="12" xfId="14" applyNumberFormat="1" applyFont="1" applyFill="1" applyBorder="1" applyAlignment="1">
      <alignment vertical="center"/>
    </xf>
    <xf numFmtId="0" fontId="7" fillId="0" borderId="0" xfId="0" applyFont="1" applyAlignment="1">
      <alignment vertical="center"/>
    </xf>
    <xf numFmtId="0" fontId="7" fillId="0" borderId="4" xfId="0" applyFont="1" applyBorder="1" applyAlignment="1">
      <alignment vertical="center"/>
    </xf>
    <xf numFmtId="2" fontId="7" fillId="0" borderId="15" xfId="4" applyNumberFormat="1" applyFont="1" applyBorder="1" applyAlignment="1">
      <alignment horizontal="center" vertical="center" wrapText="1"/>
    </xf>
    <xf numFmtId="1" fontId="7" fillId="0" borderId="15" xfId="15" applyNumberFormat="1" applyFont="1" applyBorder="1" applyAlignment="1">
      <alignment horizontal="center" vertical="center" wrapText="1"/>
    </xf>
    <xf numFmtId="2" fontId="7" fillId="0" borderId="15" xfId="4" applyNumberFormat="1" applyFont="1" applyBorder="1" applyAlignment="1">
      <alignment horizontal="center" vertical="center"/>
    </xf>
    <xf numFmtId="0" fontId="7" fillId="0" borderId="7" xfId="15" applyFont="1" applyBorder="1" applyAlignment="1">
      <alignment vertical="center" wrapText="1"/>
    </xf>
    <xf numFmtId="0" fontId="7" fillId="0" borderId="7" xfId="15" applyFont="1" applyBorder="1" applyAlignment="1">
      <alignment horizontal="center" vertical="center" wrapText="1"/>
    </xf>
    <xf numFmtId="181" fontId="7" fillId="0" borderId="15" xfId="1" applyNumberFormat="1" applyFont="1" applyFill="1" applyBorder="1" applyAlignment="1">
      <alignment horizontal="right" vertical="center"/>
    </xf>
    <xf numFmtId="165" fontId="7" fillId="0" borderId="7" xfId="15" applyNumberFormat="1" applyFont="1" applyBorder="1" applyAlignment="1">
      <alignment horizontal="right" vertical="center" wrapText="1"/>
    </xf>
    <xf numFmtId="165" fontId="7" fillId="0" borderId="15" xfId="14" applyNumberFormat="1" applyFont="1" applyFill="1" applyBorder="1" applyAlignment="1">
      <alignment horizontal="right" vertical="center"/>
    </xf>
    <xf numFmtId="165" fontId="7" fillId="0" borderId="15" xfId="4" applyNumberFormat="1" applyFont="1" applyBorder="1" applyAlignment="1">
      <alignment vertical="center"/>
    </xf>
    <xf numFmtId="1" fontId="7" fillId="2" borderId="7" xfId="15" applyNumberFormat="1" applyFont="1" applyFill="1" applyBorder="1" applyAlignment="1">
      <alignment horizontal="center" vertical="center" wrapText="1"/>
    </xf>
    <xf numFmtId="165" fontId="7" fillId="0" borderId="0" xfId="0" applyNumberFormat="1" applyFont="1" applyAlignment="1">
      <alignment vertical="center"/>
    </xf>
    <xf numFmtId="2" fontId="4" fillId="8" borderId="1" xfId="4" applyNumberFormat="1" applyFont="1" applyFill="1" applyBorder="1" applyAlignment="1">
      <alignment horizontal="center" vertical="center" wrapText="1"/>
    </xf>
    <xf numFmtId="0" fontId="4" fillId="8" borderId="2" xfId="4" applyFont="1" applyFill="1" applyBorder="1" applyAlignment="1">
      <alignment horizontal="center" vertical="center"/>
    </xf>
    <xf numFmtId="2" fontId="4" fillId="8" borderId="2" xfId="4" applyNumberFormat="1" applyFont="1" applyFill="1" applyBorder="1" applyAlignment="1">
      <alignment horizontal="center" vertical="center"/>
    </xf>
    <xf numFmtId="0" fontId="4" fillId="8" borderId="2" xfId="4" applyFont="1" applyFill="1" applyBorder="1" applyAlignment="1">
      <alignment vertical="center"/>
    </xf>
    <xf numFmtId="0" fontId="7" fillId="8" borderId="2" xfId="4" applyFont="1" applyFill="1" applyBorder="1" applyAlignment="1">
      <alignment horizontal="center" vertical="center"/>
    </xf>
    <xf numFmtId="181" fontId="7" fillId="8" borderId="2" xfId="1" applyNumberFormat="1" applyFont="1" applyFill="1" applyBorder="1" applyAlignment="1">
      <alignment vertical="center"/>
    </xf>
    <xf numFmtId="165" fontId="4" fillId="8" borderId="2" xfId="14" applyNumberFormat="1" applyFont="1" applyFill="1" applyBorder="1" applyAlignment="1">
      <alignment vertical="center"/>
    </xf>
    <xf numFmtId="2" fontId="4" fillId="8" borderId="8" xfId="4" applyNumberFormat="1" applyFont="1" applyFill="1" applyBorder="1" applyAlignment="1">
      <alignment horizontal="center" vertical="center" wrapText="1"/>
    </xf>
    <xf numFmtId="0" fontId="4" fillId="8" borderId="9" xfId="4" applyFont="1" applyFill="1" applyBorder="1" applyAlignment="1">
      <alignment horizontal="center" vertical="center"/>
    </xf>
    <xf numFmtId="2" fontId="4" fillId="8" borderId="9" xfId="4" applyNumberFormat="1" applyFont="1" applyFill="1" applyBorder="1" applyAlignment="1">
      <alignment horizontal="center" vertical="center"/>
    </xf>
    <xf numFmtId="0" fontId="4" fillId="8" borderId="9" xfId="4" applyFont="1" applyFill="1" applyBorder="1" applyAlignment="1">
      <alignment horizontal="left" vertical="center"/>
    </xf>
    <xf numFmtId="0" fontId="7" fillId="8" borderId="9" xfId="4" applyFont="1" applyFill="1" applyBorder="1" applyAlignment="1">
      <alignment horizontal="center" vertical="center"/>
    </xf>
    <xf numFmtId="181" fontId="7" fillId="8" borderId="9" xfId="1" applyNumberFormat="1" applyFont="1" applyFill="1" applyBorder="1" applyAlignment="1">
      <alignment vertical="center"/>
    </xf>
    <xf numFmtId="165" fontId="7" fillId="8" borderId="9" xfId="14" applyNumberFormat="1" applyFont="1" applyFill="1" applyBorder="1" applyAlignment="1">
      <alignment vertical="center"/>
    </xf>
    <xf numFmtId="165" fontId="7" fillId="8" borderId="9" xfId="14" applyNumberFormat="1" applyFont="1" applyFill="1" applyBorder="1" applyAlignment="1">
      <alignment horizontal="right" vertical="center"/>
    </xf>
    <xf numFmtId="0" fontId="4" fillId="8" borderId="12" xfId="4" applyFont="1" applyFill="1" applyBorder="1" applyAlignment="1">
      <alignment horizontal="left" vertical="center"/>
    </xf>
    <xf numFmtId="165" fontId="7" fillId="8" borderId="12" xfId="14" applyNumberFormat="1" applyFont="1" applyFill="1" applyBorder="1" applyAlignment="1">
      <alignment vertical="center"/>
    </xf>
    <xf numFmtId="165" fontId="7" fillId="8" borderId="12" xfId="14" applyNumberFormat="1" applyFont="1" applyFill="1" applyBorder="1" applyAlignment="1">
      <alignment horizontal="right" vertical="center"/>
    </xf>
    <xf numFmtId="181" fontId="7" fillId="0" borderId="0" xfId="1" applyNumberFormat="1" applyFont="1" applyFill="1" applyBorder="1" applyAlignment="1">
      <alignment vertical="center"/>
    </xf>
    <xf numFmtId="165" fontId="7" fillId="0" borderId="7" xfId="15" applyNumberFormat="1" applyFont="1" applyBorder="1" applyAlignment="1">
      <alignment vertical="center" wrapText="1"/>
    </xf>
    <xf numFmtId="0" fontId="7" fillId="0" borderId="15" xfId="15" applyFont="1" applyBorder="1" applyAlignment="1">
      <alignment vertical="center" wrapText="1"/>
    </xf>
    <xf numFmtId="0" fontId="7" fillId="0" borderId="15" xfId="15" applyFont="1" applyBorder="1" applyAlignment="1">
      <alignment horizontal="center" vertical="center" wrapText="1"/>
    </xf>
    <xf numFmtId="165" fontId="7" fillId="0" borderId="15" xfId="15" applyNumberFormat="1" applyFont="1" applyBorder="1" applyAlignment="1">
      <alignment vertical="center" wrapText="1"/>
    </xf>
    <xf numFmtId="165" fontId="7" fillId="8" borderId="2" xfId="14" applyNumberFormat="1" applyFont="1" applyFill="1" applyBorder="1" applyAlignment="1">
      <alignment vertical="center"/>
    </xf>
    <xf numFmtId="181" fontId="7" fillId="8" borderId="12" xfId="1" applyNumberFormat="1" applyFont="1" applyFill="1" applyBorder="1" applyAlignment="1">
      <alignment horizontal="center" vertical="center"/>
    </xf>
    <xf numFmtId="165" fontId="7" fillId="8" borderId="2" xfId="14" applyNumberFormat="1" applyFont="1" applyFill="1" applyBorder="1" applyAlignment="1">
      <alignment horizontal="center" vertical="center"/>
    </xf>
    <xf numFmtId="165" fontId="7" fillId="8" borderId="12" xfId="14" applyNumberFormat="1" applyFont="1" applyFill="1" applyBorder="1" applyAlignment="1">
      <alignment horizontal="center" vertical="center"/>
    </xf>
    <xf numFmtId="165" fontId="4" fillId="8" borderId="12" xfId="14" applyNumberFormat="1" applyFont="1" applyFill="1" applyBorder="1" applyAlignment="1">
      <alignment horizontal="center" vertical="center"/>
    </xf>
    <xf numFmtId="183" fontId="7" fillId="0" borderId="0" xfId="0" applyNumberFormat="1" applyFont="1" applyAlignment="1">
      <alignment vertical="center"/>
    </xf>
    <xf numFmtId="165" fontId="7" fillId="0" borderId="15" xfId="15" applyNumberFormat="1" applyFont="1" applyBorder="1" applyAlignment="1">
      <alignment horizontal="right" vertical="center" wrapText="1"/>
    </xf>
    <xf numFmtId="2" fontId="4" fillId="0" borderId="11" xfId="4" applyNumberFormat="1" applyFont="1" applyBorder="1" applyAlignment="1">
      <alignment horizontal="center" vertical="center"/>
    </xf>
    <xf numFmtId="0" fontId="4" fillId="0" borderId="12" xfId="4" applyFont="1" applyBorder="1" applyAlignment="1">
      <alignment horizontal="center" vertical="center"/>
    </xf>
    <xf numFmtId="2" fontId="4" fillId="0" borderId="12" xfId="4" applyNumberFormat="1" applyFont="1" applyBorder="1" applyAlignment="1">
      <alignment horizontal="center" vertical="center"/>
    </xf>
    <xf numFmtId="0" fontId="4" fillId="0" borderId="12" xfId="4" applyFont="1" applyBorder="1" applyAlignment="1">
      <alignment vertical="center"/>
    </xf>
    <xf numFmtId="0" fontId="7" fillId="0" borderId="12" xfId="4" applyFont="1" applyBorder="1" applyAlignment="1">
      <alignment horizontal="center" vertical="center"/>
    </xf>
    <xf numFmtId="43" fontId="7" fillId="0" borderId="12" xfId="1" applyFont="1" applyFill="1" applyBorder="1" applyAlignment="1">
      <alignment vertical="center"/>
    </xf>
    <xf numFmtId="165" fontId="7" fillId="0" borderId="12" xfId="14" applyNumberFormat="1" applyFont="1" applyFill="1" applyBorder="1" applyAlignment="1">
      <alignment vertical="center"/>
    </xf>
    <xf numFmtId="165" fontId="7" fillId="0" borderId="12" xfId="14" applyNumberFormat="1" applyFont="1" applyFill="1" applyBorder="1" applyAlignment="1">
      <alignment horizontal="right" vertical="center"/>
    </xf>
    <xf numFmtId="165" fontId="4" fillId="0" borderId="12" xfId="14" applyNumberFormat="1" applyFont="1" applyFill="1" applyBorder="1" applyAlignment="1">
      <alignment vertical="center"/>
    </xf>
    <xf numFmtId="10" fontId="4" fillId="0" borderId="13" xfId="2" applyNumberFormat="1" applyFont="1" applyFill="1" applyBorder="1" applyAlignment="1">
      <alignment vertical="center"/>
    </xf>
    <xf numFmtId="0" fontId="7" fillId="0" borderId="0" xfId="0" applyFont="1" applyAlignment="1">
      <alignment horizontal="left" vertical="center" wrapText="1"/>
    </xf>
    <xf numFmtId="0" fontId="33" fillId="2" borderId="0" xfId="13" applyFont="1" applyFill="1" applyAlignment="1">
      <alignment horizontal="right" vertical="center" wrapText="1"/>
    </xf>
    <xf numFmtId="182" fontId="33" fillId="2" borderId="0" xfId="13" applyNumberFormat="1" applyFont="1" applyFill="1" applyAlignment="1">
      <alignment horizontal="right" vertical="center" wrapText="1"/>
    </xf>
    <xf numFmtId="2" fontId="10" fillId="3" borderId="11" xfId="4" applyNumberFormat="1" applyFont="1" applyFill="1" applyBorder="1" applyAlignment="1">
      <alignment vertical="center"/>
    </xf>
    <xf numFmtId="2" fontId="10" fillId="3" borderId="12" xfId="4" applyNumberFormat="1" applyFont="1" applyFill="1" applyBorder="1" applyAlignment="1">
      <alignment vertical="center"/>
    </xf>
    <xf numFmtId="2" fontId="10" fillId="3" borderId="12" xfId="4" applyNumberFormat="1" applyFont="1" applyFill="1" applyBorder="1" applyAlignment="1">
      <alignment horizontal="right" vertical="center"/>
    </xf>
    <xf numFmtId="165" fontId="10" fillId="3" borderId="12" xfId="14" applyNumberFormat="1" applyFont="1" applyFill="1" applyBorder="1" applyAlignment="1">
      <alignment vertical="center"/>
    </xf>
    <xf numFmtId="0" fontId="8" fillId="0" borderId="0" xfId="0" applyFont="1" applyAlignment="1">
      <alignment vertical="center" wrapText="1"/>
    </xf>
    <xf numFmtId="181" fontId="8" fillId="0" borderId="0" xfId="1" applyNumberFormat="1" applyFont="1" applyAlignment="1">
      <alignment vertical="center"/>
    </xf>
    <xf numFmtId="0" fontId="8" fillId="0" borderId="0" xfId="0" applyFont="1" applyAlignment="1">
      <alignment horizontal="right" vertical="center"/>
    </xf>
    <xf numFmtId="165" fontId="8" fillId="0" borderId="0" xfId="0" applyNumberFormat="1" applyFont="1" applyAlignment="1">
      <alignment vertical="center"/>
    </xf>
    <xf numFmtId="0" fontId="4" fillId="0" borderId="11" xfId="12" applyFont="1" applyBorder="1" applyAlignment="1">
      <alignment horizontal="center" vertical="center"/>
    </xf>
    <xf numFmtId="0" fontId="4" fillId="0" borderId="13" xfId="12" applyFont="1" applyBorder="1" applyAlignment="1">
      <alignment horizontal="center" vertical="center"/>
    </xf>
    <xf numFmtId="0" fontId="7" fillId="0" borderId="0" xfId="0" applyFont="1" applyAlignment="1">
      <alignment horizontal="center"/>
    </xf>
    <xf numFmtId="0" fontId="4" fillId="0" borderId="15" xfId="12" applyFont="1" applyBorder="1" applyAlignment="1">
      <alignment horizontal="center" vertical="center"/>
    </xf>
    <xf numFmtId="0" fontId="7" fillId="0" borderId="15" xfId="12" applyFont="1" applyBorder="1" applyAlignment="1">
      <alignment horizontal="center" vertical="center"/>
    </xf>
    <xf numFmtId="0" fontId="7" fillId="0" borderId="15" xfId="4" applyFont="1" applyBorder="1" applyAlignment="1">
      <alignment horizontal="center" vertical="center" wrapText="1"/>
    </xf>
    <xf numFmtId="0" fontId="7" fillId="0" borderId="15" xfId="12" applyFont="1" applyBorder="1" applyAlignment="1">
      <alignment vertical="center" wrapText="1"/>
    </xf>
    <xf numFmtId="4" fontId="7" fillId="0" borderId="15" xfId="12" applyNumberFormat="1" applyFont="1" applyBorder="1" applyAlignment="1">
      <alignment vertical="center"/>
    </xf>
    <xf numFmtId="0" fontId="7" fillId="0" borderId="0" xfId="0" applyFont="1"/>
    <xf numFmtId="0" fontId="7" fillId="0" borderId="14" xfId="0" applyFont="1" applyBorder="1" applyAlignment="1">
      <alignment vertical="center"/>
    </xf>
    <xf numFmtId="1" fontId="3" fillId="2" borderId="15" xfId="15" applyNumberFormat="1" applyFill="1" applyBorder="1" applyAlignment="1">
      <alignment horizontal="center" vertical="center" wrapText="1"/>
    </xf>
    <xf numFmtId="0" fontId="15" fillId="0" borderId="0" xfId="0" applyFont="1"/>
    <xf numFmtId="0" fontId="15" fillId="2" borderId="7" xfId="3" applyFont="1" applyFill="1" applyBorder="1" applyAlignment="1">
      <alignment horizontal="left" vertical="center"/>
    </xf>
    <xf numFmtId="0" fontId="7" fillId="0" borderId="0" xfId="0" applyFont="1" applyAlignment="1">
      <alignment wrapText="1"/>
    </xf>
    <xf numFmtId="4" fontId="7" fillId="0" borderId="0" xfId="0" applyNumberFormat="1" applyFont="1"/>
    <xf numFmtId="0" fontId="7" fillId="0" borderId="0" xfId="0" applyFont="1" applyAlignment="1">
      <alignment horizontal="center" wrapText="1"/>
    </xf>
    <xf numFmtId="4" fontId="14" fillId="3" borderId="2" xfId="16" applyNumberFormat="1" applyFont="1" applyFill="1" applyBorder="1" applyAlignment="1">
      <alignment horizontal="right" vertical="center"/>
    </xf>
    <xf numFmtId="4" fontId="14" fillId="3" borderId="2" xfId="2" applyNumberFormat="1" applyFont="1" applyFill="1" applyBorder="1" applyAlignment="1">
      <alignment horizontal="center" vertical="center"/>
    </xf>
    <xf numFmtId="184" fontId="14" fillId="3" borderId="0" xfId="16" applyNumberFormat="1" applyFont="1" applyFill="1" applyBorder="1" applyAlignment="1">
      <alignment horizontal="right" vertical="center"/>
    </xf>
    <xf numFmtId="4" fontId="14" fillId="3" borderId="0" xfId="2" applyNumberFormat="1" applyFont="1" applyFill="1" applyBorder="1" applyAlignment="1">
      <alignment horizontal="center" vertical="center"/>
    </xf>
    <xf numFmtId="4" fontId="14" fillId="3" borderId="9" xfId="16" applyNumberFormat="1" applyFont="1" applyFill="1" applyBorder="1" applyAlignment="1">
      <alignment horizontal="right" vertical="center"/>
    </xf>
    <xf numFmtId="4" fontId="14" fillId="3" borderId="9" xfId="2" applyNumberFormat="1" applyFont="1" applyFill="1" applyBorder="1" applyAlignment="1">
      <alignment horizontal="center" vertical="center"/>
    </xf>
    <xf numFmtId="43" fontId="8" fillId="0" borderId="3" xfId="1" applyFont="1" applyBorder="1" applyAlignment="1">
      <alignment vertical="center"/>
    </xf>
    <xf numFmtId="43" fontId="8" fillId="0" borderId="3" xfId="1" applyFont="1" applyBorder="1" applyAlignment="1">
      <alignment vertical="center" wrapText="1"/>
    </xf>
    <xf numFmtId="0" fontId="4" fillId="0" borderId="3" xfId="0" applyFont="1" applyBorder="1" applyAlignment="1">
      <alignment horizontal="center" vertical="center" wrapText="1"/>
    </xf>
    <xf numFmtId="0" fontId="5" fillId="0" borderId="0" xfId="4" applyFont="1" applyAlignment="1">
      <alignment horizontal="left" vertical="center"/>
    </xf>
    <xf numFmtId="43" fontId="8" fillId="0" borderId="6" xfId="1" applyFont="1" applyBorder="1" applyAlignment="1">
      <alignment vertical="center"/>
    </xf>
    <xf numFmtId="43" fontId="8" fillId="0" borderId="6" xfId="1" applyFont="1" applyBorder="1" applyAlignment="1">
      <alignment vertical="center" wrapText="1"/>
    </xf>
    <xf numFmtId="0" fontId="4" fillId="0" borderId="6" xfId="0" applyFont="1" applyBorder="1" applyAlignment="1">
      <alignment horizontal="center" vertical="center" wrapText="1"/>
    </xf>
    <xf numFmtId="0" fontId="17" fillId="0" borderId="0" xfId="0" applyFont="1" applyAlignment="1">
      <alignment horizontal="center" vertical="center"/>
    </xf>
    <xf numFmtId="0" fontId="7" fillId="2" borderId="15" xfId="0" applyFont="1" applyFill="1" applyBorder="1" applyAlignment="1">
      <alignment horizontal="center" vertical="center" wrapText="1"/>
    </xf>
    <xf numFmtId="10" fontId="7" fillId="0" borderId="7" xfId="2" applyNumberFormat="1" applyFont="1" applyFill="1" applyBorder="1" applyAlignment="1">
      <alignment horizontal="center" vertical="center" wrapText="1"/>
    </xf>
    <xf numFmtId="43" fontId="8" fillId="0" borderId="10" xfId="1" applyFont="1" applyBorder="1" applyAlignment="1">
      <alignment vertical="center"/>
    </xf>
    <xf numFmtId="10" fontId="7" fillId="0" borderId="15" xfId="2" applyNumberFormat="1" applyFont="1" applyFill="1" applyBorder="1" applyAlignment="1">
      <alignment horizontal="center" vertical="center" wrapText="1"/>
    </xf>
    <xf numFmtId="0" fontId="14" fillId="3" borderId="13" xfId="4" applyFont="1" applyFill="1" applyBorder="1" applyAlignment="1">
      <alignment vertical="center"/>
    </xf>
    <xf numFmtId="169" fontId="10" fillId="3" borderId="7" xfId="14" applyFont="1" applyFill="1" applyBorder="1" applyAlignment="1">
      <alignment horizontal="center" vertical="center" wrapText="1"/>
    </xf>
    <xf numFmtId="43" fontId="7" fillId="8" borderId="12" xfId="1" applyFont="1" applyFill="1" applyBorder="1" applyAlignment="1">
      <alignment vertical="center"/>
    </xf>
    <xf numFmtId="165" fontId="4" fillId="8" borderId="13" xfId="14" applyNumberFormat="1" applyFont="1" applyFill="1" applyBorder="1" applyAlignment="1">
      <alignment vertical="center"/>
    </xf>
    <xf numFmtId="165" fontId="8" fillId="0" borderId="0" xfId="0" applyNumberFormat="1" applyFont="1" applyAlignment="1">
      <alignment horizontal="center" vertical="center" wrapText="1"/>
    </xf>
    <xf numFmtId="2" fontId="7" fillId="9" borderId="15" xfId="4" applyNumberFormat="1" applyFont="1" applyFill="1" applyBorder="1" applyAlignment="1">
      <alignment horizontal="center" vertical="center" wrapText="1"/>
    </xf>
    <xf numFmtId="1" fontId="7" fillId="9" borderId="15" xfId="15" applyNumberFormat="1" applyFont="1" applyFill="1" applyBorder="1" applyAlignment="1">
      <alignment horizontal="center" vertical="center" wrapText="1"/>
    </xf>
    <xf numFmtId="2" fontId="7" fillId="9" borderId="15" xfId="4" applyNumberFormat="1" applyFont="1" applyFill="1" applyBorder="1" applyAlignment="1">
      <alignment horizontal="center" vertical="center"/>
    </xf>
    <xf numFmtId="0" fontId="7" fillId="9" borderId="15" xfId="15" applyFont="1" applyFill="1" applyBorder="1" applyAlignment="1">
      <alignment vertical="center" wrapText="1"/>
    </xf>
    <xf numFmtId="0" fontId="7" fillId="9" borderId="7" xfId="15" applyFont="1" applyFill="1" applyBorder="1" applyAlignment="1">
      <alignment horizontal="center" vertical="center" wrapText="1"/>
    </xf>
    <xf numFmtId="43" fontId="7" fillId="9" borderId="15" xfId="1" applyFont="1" applyFill="1" applyBorder="1" applyAlignment="1">
      <alignment horizontal="right" vertical="center"/>
    </xf>
    <xf numFmtId="165" fontId="7" fillId="9" borderId="7" xfId="15" applyNumberFormat="1" applyFont="1" applyFill="1" applyBorder="1" applyAlignment="1">
      <alignment horizontal="right" vertical="center" wrapText="1"/>
    </xf>
    <xf numFmtId="165" fontId="7" fillId="9" borderId="15" xfId="14" applyNumberFormat="1" applyFont="1" applyFill="1" applyBorder="1" applyAlignment="1">
      <alignment horizontal="right" vertical="center"/>
    </xf>
    <xf numFmtId="165" fontId="7" fillId="9" borderId="15" xfId="4" applyNumberFormat="1" applyFont="1" applyFill="1" applyBorder="1" applyAlignment="1">
      <alignment vertical="center"/>
    </xf>
    <xf numFmtId="43" fontId="8" fillId="0" borderId="0" xfId="0" applyNumberFormat="1" applyFont="1" applyAlignment="1">
      <alignment horizontal="center" vertical="center" wrapText="1"/>
    </xf>
    <xf numFmtId="1" fontId="3" fillId="0" borderId="15" xfId="15" applyNumberFormat="1" applyBorder="1" applyAlignment="1">
      <alignment horizontal="center" vertical="center" wrapText="1"/>
    </xf>
    <xf numFmtId="185" fontId="3" fillId="0" borderId="11" xfId="1" applyNumberFormat="1" applyFont="1" applyFill="1" applyBorder="1" applyAlignment="1">
      <alignment horizontal="right" vertical="center"/>
    </xf>
    <xf numFmtId="186" fontId="36" fillId="2" borderId="7" xfId="15" applyNumberFormat="1" applyFont="1" applyFill="1" applyBorder="1" applyAlignment="1">
      <alignment vertical="center" wrapText="1"/>
    </xf>
    <xf numFmtId="0" fontId="7" fillId="10" borderId="15" xfId="5" applyFont="1" applyFill="1" applyBorder="1" applyAlignment="1">
      <alignment horizontal="center" vertical="center" wrapText="1"/>
    </xf>
    <xf numFmtId="1" fontId="3" fillId="10" borderId="15" xfId="15" applyNumberFormat="1" applyFill="1" applyBorder="1" applyAlignment="1">
      <alignment horizontal="center" vertical="center" wrapText="1"/>
    </xf>
    <xf numFmtId="2" fontId="7" fillId="10" borderId="15" xfId="4" applyNumberFormat="1" applyFont="1" applyFill="1" applyBorder="1" applyAlignment="1">
      <alignment horizontal="center" vertical="center"/>
    </xf>
    <xf numFmtId="2" fontId="7" fillId="10" borderId="2" xfId="4" applyNumberFormat="1" applyFont="1" applyFill="1" applyBorder="1" applyAlignment="1">
      <alignment horizontal="center" vertical="center"/>
    </xf>
    <xf numFmtId="0" fontId="7" fillId="10" borderId="15" xfId="15" applyFont="1" applyFill="1" applyBorder="1" applyAlignment="1">
      <alignment vertical="center" wrapText="1"/>
    </xf>
    <xf numFmtId="0" fontId="7" fillId="10" borderId="15" xfId="15" applyFont="1" applyFill="1" applyBorder="1" applyAlignment="1">
      <alignment horizontal="center" vertical="center" wrapText="1"/>
    </xf>
    <xf numFmtId="185" fontId="3" fillId="10" borderId="11" xfId="1" applyNumberFormat="1" applyFont="1" applyFill="1" applyBorder="1" applyAlignment="1">
      <alignment horizontal="right" vertical="center"/>
    </xf>
    <xf numFmtId="186" fontId="36" fillId="10" borderId="7" xfId="15" applyNumberFormat="1" applyFont="1" applyFill="1" applyBorder="1" applyAlignment="1">
      <alignment vertical="center" wrapText="1"/>
    </xf>
    <xf numFmtId="165" fontId="7" fillId="10" borderId="15" xfId="15" applyNumberFormat="1" applyFont="1" applyFill="1" applyBorder="1" applyAlignment="1">
      <alignment horizontal="right" vertical="center" wrapText="1"/>
    </xf>
    <xf numFmtId="165" fontId="7" fillId="10" borderId="15" xfId="14" applyNumberFormat="1" applyFont="1" applyFill="1" applyBorder="1" applyAlignment="1">
      <alignment horizontal="right" vertical="center"/>
    </xf>
    <xf numFmtId="165" fontId="7" fillId="10" borderId="15" xfId="4" applyNumberFormat="1" applyFont="1" applyFill="1" applyBorder="1" applyAlignment="1">
      <alignment vertical="center"/>
    </xf>
    <xf numFmtId="0" fontId="7" fillId="2" borderId="15" xfId="6" applyFont="1" applyFill="1" applyBorder="1" applyAlignment="1">
      <alignment horizontal="center" vertical="center"/>
    </xf>
    <xf numFmtId="2" fontId="7" fillId="0" borderId="2" xfId="4" applyNumberFormat="1" applyFont="1" applyBorder="1" applyAlignment="1">
      <alignment horizontal="center" vertical="center"/>
    </xf>
    <xf numFmtId="0" fontId="7" fillId="10" borderId="15" xfId="6" applyFont="1" applyFill="1" applyBorder="1" applyAlignment="1">
      <alignment horizontal="center" vertical="center"/>
    </xf>
    <xf numFmtId="185" fontId="3" fillId="0" borderId="2" xfId="1" applyNumberFormat="1" applyFont="1" applyFill="1" applyBorder="1" applyAlignment="1">
      <alignment horizontal="right" vertical="center"/>
    </xf>
    <xf numFmtId="2" fontId="7" fillId="0" borderId="12" xfId="4" applyNumberFormat="1" applyFont="1" applyBorder="1" applyAlignment="1">
      <alignment horizontal="center" vertical="center"/>
    </xf>
    <xf numFmtId="185" fontId="3" fillId="0" borderId="12" xfId="1" applyNumberFormat="1" applyFont="1" applyFill="1" applyBorder="1" applyAlignment="1">
      <alignment horizontal="right" vertical="center"/>
    </xf>
    <xf numFmtId="186" fontId="36" fillId="2" borderId="15" xfId="15" applyNumberFormat="1" applyFont="1" applyFill="1" applyBorder="1" applyAlignment="1">
      <alignment vertical="center" wrapText="1"/>
    </xf>
    <xf numFmtId="0" fontId="7" fillId="9" borderId="7" xfId="15" applyFont="1" applyFill="1" applyBorder="1" applyAlignment="1">
      <alignment vertical="center" wrapText="1"/>
    </xf>
    <xf numFmtId="0" fontId="37" fillId="0" borderId="0" xfId="13" applyFont="1"/>
    <xf numFmtId="0" fontId="38" fillId="0" borderId="0" xfId="13" applyFont="1" applyAlignment="1">
      <alignment horizontal="right" wrapText="1"/>
    </xf>
    <xf numFmtId="167" fontId="7" fillId="0" borderId="15" xfId="1" applyNumberFormat="1" applyFont="1" applyFill="1" applyBorder="1" applyAlignment="1">
      <alignment vertical="center"/>
    </xf>
    <xf numFmtId="43" fontId="7" fillId="0" borderId="15" xfId="1" applyFont="1" applyFill="1" applyBorder="1" applyAlignment="1">
      <alignment horizontal="right" vertical="center"/>
    </xf>
    <xf numFmtId="43" fontId="7" fillId="8" borderId="2" xfId="1" applyFont="1" applyFill="1" applyBorder="1" applyAlignment="1">
      <alignment vertical="center"/>
    </xf>
    <xf numFmtId="165" fontId="7" fillId="8" borderId="2" xfId="14" applyNumberFormat="1" applyFont="1" applyFill="1" applyBorder="1" applyAlignment="1">
      <alignment horizontal="right" vertical="center"/>
    </xf>
    <xf numFmtId="165" fontId="4" fillId="8" borderId="3" xfId="14" applyNumberFormat="1" applyFont="1" applyFill="1" applyBorder="1" applyAlignment="1">
      <alignment vertical="center"/>
    </xf>
    <xf numFmtId="43" fontId="7" fillId="8" borderId="9" xfId="1" applyFont="1" applyFill="1" applyBorder="1" applyAlignment="1">
      <alignment vertical="center"/>
    </xf>
    <xf numFmtId="165" fontId="4" fillId="8" borderId="10" xfId="14" applyNumberFormat="1" applyFont="1" applyFill="1" applyBorder="1" applyAlignment="1">
      <alignment vertical="center"/>
    </xf>
    <xf numFmtId="0" fontId="7" fillId="0" borderId="11" xfId="15" applyFont="1" applyBorder="1" applyAlignment="1">
      <alignment horizontal="center" vertical="center" wrapText="1"/>
    </xf>
    <xf numFmtId="0" fontId="7" fillId="0" borderId="12" xfId="15" applyFont="1" applyBorder="1" applyAlignment="1">
      <alignment horizontal="center" vertical="center" wrapText="1"/>
    </xf>
    <xf numFmtId="185" fontId="7" fillId="0" borderId="15" xfId="1" applyNumberFormat="1" applyFont="1" applyFill="1" applyBorder="1" applyAlignment="1">
      <alignment horizontal="right" vertical="center"/>
    </xf>
    <xf numFmtId="165" fontId="7" fillId="0" borderId="12" xfId="15" applyNumberFormat="1" applyFont="1" applyBorder="1" applyAlignment="1">
      <alignment horizontal="right" vertical="center" wrapText="1"/>
    </xf>
    <xf numFmtId="43" fontId="7" fillId="9" borderId="0" xfId="1" applyFont="1" applyFill="1" applyBorder="1" applyAlignment="1">
      <alignment vertical="center"/>
    </xf>
    <xf numFmtId="43" fontId="7" fillId="9" borderId="15" xfId="1" applyFont="1" applyFill="1" applyBorder="1" applyAlignment="1">
      <alignment vertical="center"/>
    </xf>
    <xf numFmtId="165" fontId="7" fillId="9" borderId="7" xfId="15" applyNumberFormat="1" applyFont="1" applyFill="1" applyBorder="1" applyAlignment="1">
      <alignment vertical="center" wrapText="1"/>
    </xf>
    <xf numFmtId="0" fontId="7" fillId="9" borderId="15" xfId="15" applyFont="1" applyFill="1" applyBorder="1" applyAlignment="1">
      <alignment horizontal="center" vertical="center" wrapText="1"/>
    </xf>
    <xf numFmtId="165" fontId="7" fillId="9" borderId="15" xfId="15" applyNumberFormat="1" applyFont="1" applyFill="1" applyBorder="1" applyAlignment="1">
      <alignment vertical="center" wrapText="1"/>
    </xf>
    <xf numFmtId="10" fontId="4" fillId="8" borderId="13" xfId="2" applyNumberFormat="1" applyFont="1" applyFill="1" applyBorder="1" applyAlignment="1">
      <alignment vertical="center"/>
    </xf>
    <xf numFmtId="10" fontId="4" fillId="8" borderId="13" xfId="2" applyNumberFormat="1" applyFont="1" applyFill="1" applyBorder="1" applyAlignment="1">
      <alignment horizontal="center" vertical="center"/>
    </xf>
    <xf numFmtId="181" fontId="7" fillId="9" borderId="15" xfId="1" applyNumberFormat="1" applyFont="1" applyFill="1" applyBorder="1" applyAlignment="1">
      <alignment horizontal="right" vertical="center"/>
    </xf>
    <xf numFmtId="165" fontId="7" fillId="9" borderId="15" xfId="15" applyNumberFormat="1" applyFont="1" applyFill="1" applyBorder="1" applyAlignment="1">
      <alignment horizontal="right" vertical="center" wrapText="1"/>
    </xf>
    <xf numFmtId="0" fontId="7" fillId="0" borderId="0" xfId="13" applyFont="1"/>
    <xf numFmtId="0" fontId="4" fillId="0" borderId="0" xfId="13" applyFont="1" applyAlignment="1">
      <alignment horizontal="right" wrapText="1"/>
    </xf>
    <xf numFmtId="0" fontId="7" fillId="10" borderId="0" xfId="13" applyFont="1" applyFill="1"/>
    <xf numFmtId="0" fontId="4" fillId="10" borderId="0" xfId="13" applyFont="1" applyFill="1" applyAlignment="1">
      <alignment horizontal="right" wrapText="1"/>
    </xf>
    <xf numFmtId="0" fontId="4" fillId="10" borderId="0" xfId="13" applyFont="1" applyFill="1" applyAlignment="1">
      <alignment horizontal="right" vertical="center" wrapText="1"/>
    </xf>
    <xf numFmtId="182" fontId="4" fillId="10" borderId="0" xfId="13" applyNumberFormat="1" applyFont="1" applyFill="1" applyAlignment="1">
      <alignment horizontal="right" vertical="center" wrapText="1"/>
    </xf>
    <xf numFmtId="2" fontId="7" fillId="10" borderId="15" xfId="4" applyNumberFormat="1" applyFont="1" applyFill="1" applyBorder="1" applyAlignment="1">
      <alignment horizontal="center" vertical="center" wrapText="1"/>
    </xf>
    <xf numFmtId="0" fontId="7" fillId="10" borderId="15" xfId="0" applyFont="1" applyFill="1" applyBorder="1" applyAlignment="1">
      <alignment horizontal="center" vertical="center"/>
    </xf>
    <xf numFmtId="167" fontId="7" fillId="10" borderId="15" xfId="1" applyNumberFormat="1" applyFont="1" applyFill="1" applyBorder="1" applyAlignment="1">
      <alignment vertical="center"/>
    </xf>
    <xf numFmtId="43" fontId="7" fillId="10" borderId="15" xfId="1" applyFont="1" applyFill="1" applyBorder="1" applyAlignment="1">
      <alignment horizontal="right" vertical="center"/>
    </xf>
    <xf numFmtId="0" fontId="7" fillId="10" borderId="0" xfId="0" applyFont="1" applyFill="1" applyAlignment="1">
      <alignment vertical="center"/>
    </xf>
    <xf numFmtId="187" fontId="7" fillId="0" borderId="15" xfId="1" applyNumberFormat="1" applyFont="1" applyFill="1" applyBorder="1" applyAlignment="1">
      <alignment horizontal="right" vertical="center"/>
    </xf>
    <xf numFmtId="188" fontId="7" fillId="0" borderId="0" xfId="0" applyNumberFormat="1" applyFont="1" applyAlignment="1">
      <alignment vertical="center"/>
    </xf>
    <xf numFmtId="0" fontId="39" fillId="0" borderId="0" xfId="13" applyFont="1"/>
    <xf numFmtId="0" fontId="40" fillId="0" borderId="0" xfId="13" applyFont="1" applyAlignment="1">
      <alignment horizontal="right" wrapText="1"/>
    </xf>
    <xf numFmtId="2" fontId="7" fillId="0" borderId="14" xfId="4" applyNumberFormat="1" applyFont="1" applyBorder="1" applyAlignment="1">
      <alignment horizontal="center" vertical="center"/>
    </xf>
    <xf numFmtId="167" fontId="7" fillId="0" borderId="15" xfId="15" applyNumberFormat="1" applyFont="1" applyBorder="1" applyAlignment="1">
      <alignment vertical="center" wrapText="1"/>
    </xf>
    <xf numFmtId="167" fontId="7" fillId="0" borderId="15" xfId="1" applyNumberFormat="1" applyFont="1" applyFill="1" applyBorder="1" applyAlignment="1">
      <alignment horizontal="right" vertical="center"/>
    </xf>
    <xf numFmtId="166" fontId="7" fillId="0" borderId="15" xfId="15" applyNumberFormat="1" applyFont="1" applyBorder="1" applyAlignment="1">
      <alignment horizontal="right" vertical="center" wrapText="1"/>
    </xf>
    <xf numFmtId="165" fontId="7" fillId="0" borderId="14" xfId="4" applyNumberFormat="1" applyFont="1" applyBorder="1" applyAlignment="1">
      <alignment vertical="center"/>
    </xf>
    <xf numFmtId="4" fontId="7" fillId="0" borderId="0" xfId="0" applyNumberFormat="1" applyFont="1" applyAlignment="1">
      <alignment vertical="center"/>
    </xf>
    <xf numFmtId="4" fontId="8" fillId="0" borderId="0" xfId="0" applyNumberFormat="1" applyFont="1" applyAlignment="1">
      <alignment vertical="center"/>
    </xf>
    <xf numFmtId="165" fontId="10" fillId="3" borderId="13" xfId="14" applyNumberFormat="1" applyFont="1" applyFill="1" applyBorder="1" applyAlignment="1">
      <alignment vertical="center"/>
    </xf>
    <xf numFmtId="0" fontId="41" fillId="0" borderId="0" xfId="12" applyFont="1" applyAlignment="1">
      <alignment vertical="center"/>
    </xf>
    <xf numFmtId="43" fontId="8" fillId="0" borderId="0" xfId="1" applyFont="1" applyAlignment="1">
      <alignment vertical="center"/>
    </xf>
    <xf numFmtId="49" fontId="12" fillId="0" borderId="0" xfId="12" applyNumberFormat="1" applyFont="1" applyAlignment="1">
      <alignment horizontal="right" vertical="center"/>
    </xf>
    <xf numFmtId="4" fontId="42" fillId="0" borderId="15" xfId="12" applyNumberFormat="1" applyFont="1" applyBorder="1" applyAlignment="1">
      <alignment horizontal="center" vertical="center"/>
    </xf>
    <xf numFmtId="10" fontId="3" fillId="0" borderId="0" xfId="2" applyNumberFormat="1" applyFont="1" applyFill="1" applyBorder="1" applyAlignment="1">
      <alignment horizontal="left" vertical="center"/>
    </xf>
    <xf numFmtId="0" fontId="43" fillId="0" borderId="0" xfId="0" applyFont="1" applyAlignment="1">
      <alignment horizontal="right"/>
    </xf>
    <xf numFmtId="4" fontId="36" fillId="0" borderId="15" xfId="0" applyNumberFormat="1" applyFont="1" applyBorder="1" applyAlignment="1">
      <alignment horizontal="center"/>
    </xf>
    <xf numFmtId="4" fontId="36" fillId="0" borderId="0" xfId="0" applyNumberFormat="1" applyFont="1"/>
    <xf numFmtId="4" fontId="43" fillId="0" borderId="15" xfId="0" applyNumberFormat="1" applyFont="1" applyBorder="1" applyAlignment="1">
      <alignment horizontal="center"/>
    </xf>
    <xf numFmtId="0" fontId="33" fillId="0" borderId="0" xfId="0" applyFont="1" applyAlignment="1">
      <alignment vertical="center"/>
    </xf>
    <xf numFmtId="0" fontId="8" fillId="0" borderId="2" xfId="0" applyFont="1" applyBorder="1"/>
    <xf numFmtId="0" fontId="5" fillId="0" borderId="2" xfId="4" applyFont="1" applyBorder="1" applyAlignment="1">
      <alignment vertical="center" wrapText="1"/>
    </xf>
    <xf numFmtId="0" fontId="5" fillId="0" borderId="2" xfId="4" applyFont="1" applyBorder="1" applyAlignment="1">
      <alignment horizontal="left" vertical="center" wrapText="1"/>
    </xf>
    <xf numFmtId="0" fontId="8" fillId="0" borderId="0" xfId="0" applyFont="1"/>
    <xf numFmtId="0" fontId="5" fillId="0" borderId="0" xfId="3" applyFont="1" applyAlignment="1">
      <alignment vertical="center" wrapText="1"/>
    </xf>
    <xf numFmtId="0" fontId="5" fillId="0" borderId="0" xfId="3" applyFont="1" applyAlignment="1">
      <alignment horizontal="left" vertical="center" wrapText="1"/>
    </xf>
    <xf numFmtId="0" fontId="4" fillId="0" borderId="6" xfId="0" applyFont="1" applyBorder="1" applyAlignment="1">
      <alignment horizontal="center" vertical="center"/>
    </xf>
    <xf numFmtId="0" fontId="8" fillId="0" borderId="9" xfId="0" applyFont="1" applyBorder="1"/>
    <xf numFmtId="14" fontId="5" fillId="0" borderId="9" xfId="3" applyNumberFormat="1" applyFont="1" applyBorder="1" applyAlignment="1">
      <alignment vertical="center" wrapText="1"/>
    </xf>
    <xf numFmtId="14" fontId="5" fillId="0" borderId="9" xfId="3" applyNumberFormat="1" applyFont="1" applyBorder="1" applyAlignment="1">
      <alignment horizontal="left" vertical="center" wrapText="1"/>
    </xf>
    <xf numFmtId="0" fontId="4" fillId="0" borderId="10" xfId="0" applyFont="1" applyBorder="1" applyAlignment="1">
      <alignment horizontal="center" vertical="center"/>
    </xf>
    <xf numFmtId="0" fontId="10" fillId="3" borderId="15" xfId="12" applyFont="1" applyFill="1" applyBorder="1" applyAlignment="1">
      <alignment horizontal="center" vertical="center"/>
    </xf>
    <xf numFmtId="180" fontId="10" fillId="3" borderId="15" xfId="12" applyNumberFormat="1" applyFont="1" applyFill="1" applyBorder="1" applyAlignment="1">
      <alignment horizontal="center" vertical="center" wrapText="1"/>
    </xf>
    <xf numFmtId="189" fontId="10" fillId="3" borderId="15" xfId="3" applyNumberFormat="1" applyFont="1" applyFill="1" applyBorder="1" applyAlignment="1">
      <alignment horizontal="center" vertical="center"/>
    </xf>
    <xf numFmtId="0" fontId="32" fillId="8" borderId="0" xfId="12" applyFont="1" applyFill="1" applyAlignment="1">
      <alignment horizontal="left" vertical="center" wrapText="1"/>
    </xf>
    <xf numFmtId="4" fontId="32" fillId="8" borderId="0" xfId="12" applyNumberFormat="1" applyFont="1" applyFill="1" applyAlignment="1">
      <alignment horizontal="center" vertical="center"/>
    </xf>
    <xf numFmtId="4" fontId="32" fillId="0" borderId="0" xfId="12" applyNumberFormat="1" applyFont="1" applyAlignment="1">
      <alignment horizontal="center" vertical="center"/>
    </xf>
    <xf numFmtId="4" fontId="32" fillId="0" borderId="6" xfId="12" applyNumberFormat="1" applyFont="1" applyBorder="1" applyAlignment="1">
      <alignment horizontal="center" vertical="center"/>
    </xf>
    <xf numFmtId="10" fontId="46" fillId="8" borderId="0" xfId="2" applyNumberFormat="1" applyFont="1" applyFill="1" applyBorder="1" applyAlignment="1">
      <alignment horizontal="center" vertical="center"/>
    </xf>
    <xf numFmtId="10" fontId="46" fillId="8" borderId="6" xfId="2" applyNumberFormat="1" applyFont="1" applyFill="1" applyBorder="1" applyAlignment="1">
      <alignment horizontal="center" vertical="center"/>
    </xf>
    <xf numFmtId="2" fontId="8" fillId="0" borderId="0" xfId="0" applyNumberFormat="1" applyFont="1"/>
    <xf numFmtId="4" fontId="8" fillId="0" borderId="0" xfId="0" applyNumberFormat="1" applyFont="1"/>
    <xf numFmtId="10" fontId="8" fillId="0" borderId="0" xfId="0" applyNumberFormat="1" applyFont="1"/>
    <xf numFmtId="0" fontId="10" fillId="3" borderId="5" xfId="12" applyFont="1" applyFill="1" applyBorder="1" applyAlignment="1">
      <alignment horizontal="center" vertical="center"/>
    </xf>
    <xf numFmtId="0" fontId="10" fillId="3" borderId="0" xfId="12" applyFont="1" applyFill="1" applyAlignment="1">
      <alignment horizontal="left" vertical="center" wrapText="1"/>
    </xf>
    <xf numFmtId="0" fontId="10" fillId="3" borderId="0" xfId="12" applyFont="1" applyFill="1" applyAlignment="1">
      <alignment horizontal="right" vertical="center"/>
    </xf>
    <xf numFmtId="4" fontId="10" fillId="3" borderId="0" xfId="2" applyNumberFormat="1" applyFont="1" applyFill="1" applyBorder="1" applyAlignment="1">
      <alignment horizontal="center" vertical="center"/>
    </xf>
    <xf numFmtId="10" fontId="10" fillId="3" borderId="0" xfId="2" applyNumberFormat="1" applyFont="1" applyFill="1" applyBorder="1" applyAlignment="1">
      <alignment horizontal="right" vertical="center"/>
    </xf>
    <xf numFmtId="10" fontId="10" fillId="3" borderId="6" xfId="2" applyNumberFormat="1" applyFont="1" applyFill="1" applyBorder="1" applyAlignment="1">
      <alignment horizontal="right" vertical="center"/>
    </xf>
    <xf numFmtId="49" fontId="16" fillId="3" borderId="5" xfId="12" applyNumberFormat="1" applyFont="1" applyFill="1" applyBorder="1" applyAlignment="1">
      <alignment vertical="center"/>
    </xf>
    <xf numFmtId="49" fontId="16" fillId="3" borderId="0" xfId="12" applyNumberFormat="1" applyFont="1" applyFill="1" applyAlignment="1">
      <alignment vertical="center"/>
    </xf>
    <xf numFmtId="49" fontId="16" fillId="3" borderId="0" xfId="12" applyNumberFormat="1" applyFont="1" applyFill="1" applyAlignment="1">
      <alignment horizontal="right" vertical="center"/>
    </xf>
    <xf numFmtId="10" fontId="10" fillId="3" borderId="0" xfId="2" applyNumberFormat="1" applyFont="1" applyFill="1" applyBorder="1" applyAlignment="1">
      <alignment horizontal="center" vertical="center"/>
    </xf>
    <xf numFmtId="10" fontId="10" fillId="3" borderId="6" xfId="2" applyNumberFormat="1" applyFont="1" applyFill="1" applyBorder="1" applyAlignment="1">
      <alignment horizontal="center" vertical="center"/>
    </xf>
    <xf numFmtId="180" fontId="4" fillId="0" borderId="0" xfId="12" applyNumberFormat="1" applyFont="1" applyAlignment="1">
      <alignment vertical="center"/>
    </xf>
    <xf numFmtId="0" fontId="4" fillId="0" borderId="0" xfId="12" applyFont="1" applyAlignment="1">
      <alignment vertical="center"/>
    </xf>
    <xf numFmtId="4" fontId="4" fillId="0" borderId="0" xfId="12" applyNumberFormat="1" applyFont="1" applyAlignment="1">
      <alignment vertical="center"/>
    </xf>
    <xf numFmtId="49" fontId="4" fillId="0" borderId="0" xfId="12" applyNumberFormat="1" applyFont="1" applyAlignment="1">
      <alignment vertical="center"/>
    </xf>
    <xf numFmtId="4" fontId="10" fillId="3" borderId="0" xfId="12" applyNumberFormat="1" applyFont="1" applyFill="1" applyAlignment="1">
      <alignment horizontal="center" vertical="center"/>
    </xf>
    <xf numFmtId="4" fontId="10" fillId="3" borderId="6" xfId="2" applyNumberFormat="1" applyFont="1" applyFill="1" applyBorder="1" applyAlignment="1">
      <alignment horizontal="center" vertical="center"/>
    </xf>
    <xf numFmtId="49" fontId="10" fillId="3" borderId="0" xfId="12" applyNumberFormat="1" applyFont="1" applyFill="1" applyAlignment="1">
      <alignment horizontal="right" vertical="center"/>
    </xf>
    <xf numFmtId="49" fontId="16" fillId="3" borderId="8" xfId="12" applyNumberFormat="1" applyFont="1" applyFill="1" applyBorder="1" applyAlignment="1">
      <alignment vertical="center"/>
    </xf>
    <xf numFmtId="49" fontId="16" fillId="3" borderId="9" xfId="12" applyNumberFormat="1" applyFont="1" applyFill="1" applyBorder="1" applyAlignment="1">
      <alignment vertical="center"/>
    </xf>
    <xf numFmtId="49" fontId="16" fillId="3" borderId="9" xfId="12" applyNumberFormat="1" applyFont="1" applyFill="1" applyBorder="1" applyAlignment="1">
      <alignment horizontal="right" vertical="center"/>
    </xf>
    <xf numFmtId="49" fontId="10" fillId="3" borderId="9" xfId="12" applyNumberFormat="1" applyFont="1" applyFill="1" applyBorder="1" applyAlignment="1">
      <alignment horizontal="right" vertical="center"/>
    </xf>
    <xf numFmtId="4" fontId="10" fillId="3" borderId="9" xfId="12" applyNumberFormat="1" applyFont="1" applyFill="1" applyBorder="1" applyAlignment="1">
      <alignment horizontal="center" vertical="center"/>
    </xf>
    <xf numFmtId="4" fontId="10" fillId="3" borderId="9" xfId="2" applyNumberFormat="1" applyFont="1" applyFill="1" applyBorder="1" applyAlignment="1">
      <alignment horizontal="center" vertical="center"/>
    </xf>
    <xf numFmtId="4" fontId="10" fillId="3" borderId="10" xfId="12" applyNumberFormat="1" applyFont="1" applyFill="1" applyBorder="1" applyAlignment="1">
      <alignment horizontal="center" vertical="center"/>
    </xf>
    <xf numFmtId="0" fontId="20" fillId="3" borderId="15" xfId="0" applyFont="1" applyFill="1" applyBorder="1" applyAlignment="1">
      <alignment horizontal="center" vertical="center"/>
    </xf>
    <xf numFmtId="4" fontId="20" fillId="3" borderId="15" xfId="0" applyNumberFormat="1" applyFont="1" applyFill="1" applyBorder="1" applyAlignment="1">
      <alignment horizontal="center" vertical="center" wrapText="1"/>
    </xf>
    <xf numFmtId="0" fontId="43" fillId="0" borderId="0" xfId="0" applyFont="1" applyAlignment="1">
      <alignment horizontal="center" vertical="center"/>
    </xf>
    <xf numFmtId="2" fontId="3" fillId="0" borderId="15" xfId="4" applyNumberFormat="1" applyBorder="1" applyAlignment="1">
      <alignment horizontal="center" vertical="center" wrapText="1"/>
    </xf>
    <xf numFmtId="0" fontId="36" fillId="0" borderId="15" xfId="0" applyFont="1" applyBorder="1" applyAlignment="1">
      <alignment vertical="center"/>
    </xf>
    <xf numFmtId="0" fontId="36" fillId="0" borderId="15" xfId="0" applyFont="1" applyBorder="1" applyAlignment="1">
      <alignment vertical="center" wrapText="1"/>
    </xf>
    <xf numFmtId="4" fontId="36" fillId="0" borderId="15" xfId="0" applyNumberFormat="1" applyFont="1" applyBorder="1" applyAlignment="1">
      <alignment vertical="center" wrapText="1"/>
    </xf>
    <xf numFmtId="4" fontId="36" fillId="0" borderId="15" xfId="0" applyNumberFormat="1" applyFont="1" applyBorder="1" applyAlignment="1">
      <alignment vertical="center"/>
    </xf>
    <xf numFmtId="0" fontId="36" fillId="0" borderId="0" xfId="0" applyFont="1" applyAlignment="1">
      <alignment vertical="center"/>
    </xf>
    <xf numFmtId="4" fontId="36" fillId="0" borderId="0" xfId="0" applyNumberFormat="1" applyFont="1" applyAlignment="1">
      <alignment vertical="center"/>
    </xf>
    <xf numFmtId="0" fontId="4" fillId="2" borderId="0" xfId="3" applyFont="1" applyFill="1" applyAlignment="1">
      <alignment horizontal="left" vertical="center"/>
    </xf>
    <xf numFmtId="43" fontId="8" fillId="0" borderId="0" xfId="1" applyFont="1" applyBorder="1" applyAlignment="1">
      <alignment vertical="center"/>
    </xf>
    <xf numFmtId="0" fontId="4" fillId="0" borderId="0" xfId="0" applyFont="1" applyAlignment="1">
      <alignment vertical="center"/>
    </xf>
    <xf numFmtId="167" fontId="10" fillId="3" borderId="12" xfId="4" applyNumberFormat="1" applyFont="1" applyFill="1" applyBorder="1" applyAlignment="1">
      <alignment horizontal="center" vertical="center" wrapText="1"/>
    </xf>
    <xf numFmtId="0" fontId="8" fillId="0" borderId="4" xfId="0" applyFont="1" applyBorder="1" applyAlignment="1">
      <alignment vertical="center" wrapText="1"/>
    </xf>
    <xf numFmtId="167" fontId="10" fillId="3" borderId="15" xfId="14" applyNumberFormat="1" applyFont="1" applyFill="1" applyBorder="1" applyAlignment="1">
      <alignment horizontal="center" vertical="center" wrapText="1"/>
    </xf>
    <xf numFmtId="167" fontId="10" fillId="3" borderId="15" xfId="4" applyNumberFormat="1" applyFont="1" applyFill="1" applyBorder="1" applyAlignment="1">
      <alignment horizontal="center" vertical="center" wrapText="1"/>
    </xf>
    <xf numFmtId="4" fontId="10" fillId="3" borderId="15" xfId="4" applyNumberFormat="1" applyFont="1" applyFill="1" applyBorder="1" applyAlignment="1">
      <alignment horizontal="center" vertical="center" wrapText="1"/>
    </xf>
    <xf numFmtId="4" fontId="4" fillId="8" borderId="13" xfId="14" applyNumberFormat="1" applyFont="1" applyFill="1" applyBorder="1" applyAlignment="1">
      <alignment vertical="center"/>
    </xf>
    <xf numFmtId="43" fontId="7" fillId="9" borderId="7" xfId="1" applyFont="1" applyFill="1" applyBorder="1" applyAlignment="1">
      <alignment horizontal="right" vertical="center"/>
    </xf>
    <xf numFmtId="165" fontId="7" fillId="9" borderId="7" xfId="14" applyNumberFormat="1" applyFont="1" applyFill="1" applyBorder="1" applyAlignment="1">
      <alignment horizontal="right" vertical="center"/>
    </xf>
    <xf numFmtId="4" fontId="4" fillId="9" borderId="7" xfId="4" applyNumberFormat="1" applyFont="1" applyFill="1" applyBorder="1" applyAlignment="1">
      <alignment vertical="center"/>
    </xf>
    <xf numFmtId="2" fontId="3" fillId="0" borderId="15" xfId="4" applyNumberFormat="1" applyBorder="1" applyAlignment="1">
      <alignment horizontal="center" vertical="center"/>
    </xf>
    <xf numFmtId="0" fontId="36" fillId="2" borderId="15" xfId="15" applyFont="1" applyFill="1" applyBorder="1" applyAlignment="1">
      <alignment vertical="center" wrapText="1"/>
    </xf>
    <xf numFmtId="0" fontId="36" fillId="2" borderId="7" xfId="15" applyFont="1" applyFill="1" applyBorder="1" applyAlignment="1">
      <alignment horizontal="center" vertical="center" wrapText="1"/>
    </xf>
    <xf numFmtId="43" fontId="7" fillId="0" borderId="15" xfId="1" applyFont="1" applyFill="1" applyBorder="1" applyAlignment="1">
      <alignment vertical="center"/>
    </xf>
    <xf numFmtId="165" fontId="7" fillId="0" borderId="15" xfId="14" applyNumberFormat="1" applyFont="1" applyFill="1" applyBorder="1" applyAlignment="1">
      <alignment vertical="center"/>
    </xf>
    <xf numFmtId="4" fontId="4" fillId="0" borderId="15" xfId="14" applyNumberFormat="1" applyFont="1" applyFill="1" applyBorder="1" applyAlignment="1">
      <alignment vertical="center"/>
    </xf>
    <xf numFmtId="0" fontId="10" fillId="3" borderId="11" xfId="4" applyFont="1" applyFill="1" applyBorder="1" applyAlignment="1">
      <alignment horizontal="center" vertical="center" wrapText="1"/>
    </xf>
    <xf numFmtId="0" fontId="10" fillId="3" borderId="12" xfId="4" applyFont="1" applyFill="1" applyBorder="1" applyAlignment="1">
      <alignment horizontal="center" vertical="center" wrapText="1"/>
    </xf>
    <xf numFmtId="167" fontId="10" fillId="3" borderId="12" xfId="1" applyNumberFormat="1" applyFont="1" applyFill="1" applyBorder="1" applyAlignment="1">
      <alignment horizontal="center" vertical="center" wrapText="1"/>
    </xf>
    <xf numFmtId="167" fontId="10" fillId="3" borderId="12" xfId="14" applyNumberFormat="1" applyFont="1" applyFill="1" applyBorder="1" applyAlignment="1">
      <alignment horizontal="center" vertical="center" wrapText="1"/>
    </xf>
    <xf numFmtId="167" fontId="10" fillId="3" borderId="9" xfId="4" applyNumberFormat="1" applyFont="1" applyFill="1" applyBorder="1" applyAlignment="1">
      <alignment horizontal="center" vertical="center" wrapText="1"/>
    </xf>
    <xf numFmtId="4" fontId="10" fillId="3" borderId="13" xfId="4" applyNumberFormat="1" applyFont="1" applyFill="1" applyBorder="1" applyAlignment="1">
      <alignment horizontal="center" vertical="center" wrapText="1"/>
    </xf>
    <xf numFmtId="167" fontId="4" fillId="9" borderId="12" xfId="14" applyNumberFormat="1" applyFont="1" applyFill="1" applyBorder="1" applyAlignment="1">
      <alignment horizontal="right" vertical="center"/>
    </xf>
    <xf numFmtId="4" fontId="4" fillId="9" borderId="15" xfId="4" applyNumberFormat="1" applyFont="1" applyFill="1" applyBorder="1" applyAlignment="1">
      <alignment vertical="center"/>
    </xf>
    <xf numFmtId="167" fontId="7" fillId="0" borderId="15" xfId="15" applyNumberFormat="1" applyFont="1" applyBorder="1" applyAlignment="1">
      <alignment horizontal="right" vertical="center" wrapText="1"/>
    </xf>
    <xf numFmtId="167" fontId="7" fillId="0" borderId="15" xfId="14" applyNumberFormat="1" applyFont="1" applyFill="1" applyBorder="1" applyAlignment="1">
      <alignment horizontal="right" vertical="center"/>
    </xf>
    <xf numFmtId="4" fontId="7" fillId="0" borderId="15" xfId="4" applyNumberFormat="1" applyFont="1" applyBorder="1" applyAlignment="1">
      <alignment vertical="center"/>
    </xf>
    <xf numFmtId="0" fontId="7" fillId="10" borderId="4" xfId="0" applyFont="1" applyFill="1" applyBorder="1" applyAlignment="1">
      <alignment vertical="center"/>
    </xf>
    <xf numFmtId="1" fontId="7" fillId="10" borderId="15" xfId="15" applyNumberFormat="1" applyFont="1" applyFill="1" applyBorder="1" applyAlignment="1">
      <alignment horizontal="center" vertical="center" wrapText="1"/>
    </xf>
    <xf numFmtId="187" fontId="7" fillId="10" borderId="15" xfId="1" applyNumberFormat="1" applyFont="1" applyFill="1" applyBorder="1" applyAlignment="1">
      <alignment horizontal="right" vertical="center"/>
    </xf>
    <xf numFmtId="167" fontId="7" fillId="10" borderId="15" xfId="15" applyNumberFormat="1" applyFont="1" applyFill="1" applyBorder="1" applyAlignment="1">
      <alignment horizontal="right" vertical="center" wrapText="1"/>
    </xf>
    <xf numFmtId="167" fontId="7" fillId="10" borderId="15" xfId="14" applyNumberFormat="1" applyFont="1" applyFill="1" applyBorder="1" applyAlignment="1">
      <alignment horizontal="right" vertical="center"/>
    </xf>
    <xf numFmtId="4" fontId="7" fillId="10" borderId="15" xfId="4" applyNumberFormat="1" applyFont="1" applyFill="1" applyBorder="1" applyAlignment="1">
      <alignment vertical="center"/>
    </xf>
    <xf numFmtId="4" fontId="4" fillId="8" borderId="3" xfId="14" applyNumberFormat="1" applyFont="1" applyFill="1" applyBorder="1" applyAlignment="1">
      <alignment vertical="center"/>
    </xf>
    <xf numFmtId="4" fontId="4" fillId="8" borderId="10" xfId="14" applyNumberFormat="1" applyFont="1" applyFill="1" applyBorder="1" applyAlignment="1">
      <alignment vertical="center"/>
    </xf>
    <xf numFmtId="190" fontId="7" fillId="0" borderId="0" xfId="0" applyNumberFormat="1" applyFont="1" applyAlignment="1">
      <alignment vertical="center"/>
    </xf>
    <xf numFmtId="0" fontId="7" fillId="10" borderId="7" xfId="15" applyFont="1" applyFill="1" applyBorder="1" applyAlignment="1">
      <alignment vertical="center" wrapText="1"/>
    </xf>
    <xf numFmtId="0" fontId="7" fillId="10" borderId="7" xfId="15" applyFont="1" applyFill="1" applyBorder="1" applyAlignment="1">
      <alignment horizontal="center" vertical="center" wrapText="1"/>
    </xf>
    <xf numFmtId="167" fontId="4" fillId="10" borderId="12" xfId="14" applyNumberFormat="1" applyFont="1" applyFill="1" applyBorder="1" applyAlignment="1">
      <alignment horizontal="right" vertical="center"/>
    </xf>
    <xf numFmtId="165" fontId="7" fillId="10" borderId="7" xfId="15" applyNumberFormat="1" applyFont="1" applyFill="1" applyBorder="1" applyAlignment="1">
      <alignment horizontal="right" vertical="center" wrapText="1"/>
    </xf>
    <xf numFmtId="4" fontId="4" fillId="10" borderId="15" xfId="4" applyNumberFormat="1" applyFont="1" applyFill="1" applyBorder="1" applyAlignment="1">
      <alignment vertical="center"/>
    </xf>
    <xf numFmtId="2" fontId="47" fillId="10" borderId="15" xfId="4" applyNumberFormat="1" applyFont="1" applyFill="1" applyBorder="1" applyAlignment="1">
      <alignment horizontal="center" vertical="center"/>
    </xf>
    <xf numFmtId="0" fontId="0" fillId="10" borderId="15" xfId="15" applyFont="1" applyFill="1" applyBorder="1" applyAlignment="1">
      <alignment vertical="center" wrapText="1"/>
    </xf>
    <xf numFmtId="0" fontId="0" fillId="10" borderId="15" xfId="15" applyFont="1" applyFill="1" applyBorder="1" applyAlignment="1">
      <alignment horizontal="center" vertical="center" wrapText="1"/>
    </xf>
    <xf numFmtId="167" fontId="7" fillId="10" borderId="15" xfId="1" applyNumberFormat="1" applyFont="1" applyFill="1" applyBorder="1" applyAlignment="1">
      <alignment horizontal="right" vertical="center"/>
    </xf>
    <xf numFmtId="4" fontId="7" fillId="10" borderId="15" xfId="15" applyNumberFormat="1" applyFont="1" applyFill="1" applyBorder="1" applyAlignment="1">
      <alignment horizontal="right" vertical="center" wrapText="1"/>
    </xf>
    <xf numFmtId="4" fontId="7" fillId="10" borderId="15" xfId="14" applyNumberFormat="1" applyFont="1" applyFill="1" applyBorder="1" applyAlignment="1">
      <alignment horizontal="right" vertical="center"/>
    </xf>
    <xf numFmtId="171" fontId="7" fillId="10" borderId="15" xfId="15" applyNumberFormat="1" applyFont="1" applyFill="1" applyBorder="1" applyAlignment="1">
      <alignment horizontal="right" vertical="center" wrapText="1"/>
    </xf>
    <xf numFmtId="171" fontId="7" fillId="10" borderId="15" xfId="14" applyNumberFormat="1" applyFont="1" applyFill="1" applyBorder="1" applyAlignment="1">
      <alignment horizontal="right" vertical="center"/>
    </xf>
    <xf numFmtId="167" fontId="7" fillId="10" borderId="15" xfId="4" applyNumberFormat="1" applyFont="1" applyFill="1" applyBorder="1" applyAlignment="1">
      <alignment vertical="center"/>
    </xf>
    <xf numFmtId="4" fontId="4" fillId="10" borderId="15" xfId="17" applyNumberFormat="1" applyFont="1" applyFill="1" applyBorder="1" applyAlignment="1">
      <alignment horizontal="right" vertical="center" wrapText="1"/>
    </xf>
    <xf numFmtId="2" fontId="47" fillId="0" borderId="15" xfId="4" applyNumberFormat="1" applyFont="1" applyBorder="1" applyAlignment="1">
      <alignment horizontal="center" vertical="center"/>
    </xf>
    <xf numFmtId="0" fontId="0" fillId="0" borderId="15" xfId="15" applyFont="1" applyBorder="1" applyAlignment="1">
      <alignment vertical="center" wrapText="1"/>
    </xf>
    <xf numFmtId="0" fontId="0" fillId="0" borderId="15" xfId="15" applyFont="1" applyBorder="1" applyAlignment="1">
      <alignment horizontal="center" vertical="center" wrapText="1"/>
    </xf>
    <xf numFmtId="4" fontId="7" fillId="0" borderId="15" xfId="15" applyNumberFormat="1" applyFont="1" applyBorder="1" applyAlignment="1">
      <alignment horizontal="right" vertical="center" wrapText="1"/>
    </xf>
    <xf numFmtId="4" fontId="7" fillId="0" borderId="15" xfId="14" applyNumberFormat="1" applyFont="1" applyFill="1" applyBorder="1" applyAlignment="1">
      <alignment horizontal="right" vertical="center"/>
    </xf>
    <xf numFmtId="171" fontId="7" fillId="0" borderId="15" xfId="15" applyNumberFormat="1" applyFont="1" applyBorder="1" applyAlignment="1">
      <alignment horizontal="right" vertical="center" wrapText="1"/>
    </xf>
    <xf numFmtId="171" fontId="7" fillId="0" borderId="15" xfId="14" applyNumberFormat="1" applyFont="1" applyFill="1" applyBorder="1" applyAlignment="1">
      <alignment horizontal="right" vertical="center"/>
    </xf>
    <xf numFmtId="167" fontId="7" fillId="0" borderId="15" xfId="4" applyNumberFormat="1" applyFont="1" applyBorder="1" applyAlignment="1">
      <alignment vertical="center"/>
    </xf>
    <xf numFmtId="4" fontId="7" fillId="0" borderId="15" xfId="17" applyNumberFormat="1" applyFont="1" applyFill="1" applyBorder="1" applyAlignment="1">
      <alignment horizontal="right" vertical="center" wrapText="1"/>
    </xf>
    <xf numFmtId="0" fontId="0" fillId="10" borderId="12" xfId="15" applyFont="1" applyFill="1" applyBorder="1" applyAlignment="1">
      <alignment horizontal="center" vertical="center" wrapText="1"/>
    </xf>
    <xf numFmtId="0" fontId="0" fillId="0" borderId="12" xfId="15" applyFont="1" applyBorder="1" applyAlignment="1">
      <alignment horizontal="center" vertical="center" wrapText="1"/>
    </xf>
    <xf numFmtId="167" fontId="7" fillId="0" borderId="14" xfId="4" applyNumberFormat="1" applyFont="1" applyBorder="1" applyAlignment="1">
      <alignment vertical="center"/>
    </xf>
    <xf numFmtId="2" fontId="4" fillId="8" borderId="1" xfId="4" applyNumberFormat="1" applyFont="1" applyFill="1" applyBorder="1" applyAlignment="1">
      <alignment horizontal="center" vertical="center"/>
    </xf>
    <xf numFmtId="2" fontId="4" fillId="8" borderId="8" xfId="4" applyNumberFormat="1" applyFont="1" applyFill="1" applyBorder="1" applyAlignment="1">
      <alignment horizontal="center" vertical="center"/>
    </xf>
    <xf numFmtId="4" fontId="17" fillId="0" borderId="0" xfId="0" applyNumberFormat="1" applyFont="1" applyAlignment="1">
      <alignment vertical="center"/>
    </xf>
    <xf numFmtId="0" fontId="48" fillId="0" borderId="1" xfId="0" applyFont="1" applyBorder="1"/>
    <xf numFmtId="0" fontId="48" fillId="0" borderId="2" xfId="0" applyFont="1" applyBorder="1"/>
    <xf numFmtId="0" fontId="48" fillId="0" borderId="3" xfId="0" applyFont="1" applyBorder="1"/>
    <xf numFmtId="0" fontId="48" fillId="0" borderId="0" xfId="0" applyFont="1"/>
    <xf numFmtId="0" fontId="49" fillId="0" borderId="5" xfId="12" applyFont="1" applyBorder="1" applyAlignment="1">
      <alignment horizontal="center" vertical="center"/>
    </xf>
    <xf numFmtId="0" fontId="50" fillId="0" borderId="0" xfId="12" applyFont="1" applyAlignment="1">
      <alignment horizontal="left" vertical="center"/>
    </xf>
    <xf numFmtId="0" fontId="49" fillId="0" borderId="0" xfId="12" applyFont="1" applyAlignment="1">
      <alignment horizontal="center" vertical="center"/>
    </xf>
    <xf numFmtId="0" fontId="49" fillId="0" borderId="6" xfId="12" applyFont="1" applyBorder="1" applyAlignment="1">
      <alignment horizontal="center" vertical="center"/>
    </xf>
    <xf numFmtId="0" fontId="48" fillId="0" borderId="9" xfId="0" applyFont="1" applyBorder="1"/>
    <xf numFmtId="0" fontId="48" fillId="0" borderId="10" xfId="0" applyFont="1" applyBorder="1"/>
    <xf numFmtId="49" fontId="52" fillId="0" borderId="30" xfId="12" applyNumberFormat="1" applyFont="1" applyBorder="1" applyAlignment="1">
      <alignment horizontal="center" vertical="center" wrapText="1"/>
    </xf>
    <xf numFmtId="49" fontId="52" fillId="0" borderId="31" xfId="12" applyNumberFormat="1" applyFont="1" applyBorder="1" applyAlignment="1">
      <alignment horizontal="center" vertical="center" wrapText="1"/>
    </xf>
    <xf numFmtId="0" fontId="53" fillId="0" borderId="0" xfId="0" applyFont="1" applyAlignment="1">
      <alignment vertical="center" wrapText="1"/>
    </xf>
    <xf numFmtId="191" fontId="2" fillId="3" borderId="32" xfId="0" applyNumberFormat="1" applyFont="1" applyFill="1" applyBorder="1" applyAlignment="1">
      <alignment horizontal="center" vertical="center"/>
    </xf>
    <xf numFmtId="0" fontId="2" fillId="3" borderId="33" xfId="0" applyFont="1" applyFill="1" applyBorder="1" applyAlignment="1">
      <alignment horizontal="left" vertical="center"/>
    </xf>
    <xf numFmtId="171" fontId="2" fillId="3" borderId="33" xfId="0" applyNumberFormat="1" applyFont="1" applyFill="1" applyBorder="1" applyAlignment="1">
      <alignment horizontal="center"/>
    </xf>
    <xf numFmtId="10" fontId="2" fillId="3" borderId="33" xfId="2" applyNumberFormat="1" applyFont="1" applyFill="1" applyBorder="1" applyAlignment="1">
      <alignment horizontal="center"/>
    </xf>
    <xf numFmtId="171" fontId="2" fillId="3" borderId="34" xfId="0" applyNumberFormat="1" applyFont="1" applyFill="1" applyBorder="1" applyAlignment="1">
      <alignment horizontal="center"/>
    </xf>
    <xf numFmtId="0" fontId="53" fillId="0" borderId="0" xfId="0" applyFont="1"/>
    <xf numFmtId="191" fontId="0" fillId="0" borderId="32" xfId="0" applyNumberFormat="1" applyBorder="1" applyAlignment="1">
      <alignment horizontal="center" vertical="center"/>
    </xf>
    <xf numFmtId="0" fontId="0" fillId="0" borderId="33" xfId="0" applyBorder="1" applyAlignment="1">
      <alignment horizontal="left" vertical="center"/>
    </xf>
    <xf numFmtId="171" fontId="0" fillId="0" borderId="33" xfId="0" applyNumberFormat="1" applyBorder="1" applyAlignment="1">
      <alignment horizontal="center"/>
    </xf>
    <xf numFmtId="10" fontId="0" fillId="0" borderId="33" xfId="0" applyNumberFormat="1" applyBorder="1" applyAlignment="1">
      <alignment horizontal="center"/>
    </xf>
    <xf numFmtId="171" fontId="0" fillId="0" borderId="34" xfId="0" applyNumberFormat="1" applyBorder="1" applyAlignment="1">
      <alignment horizontal="center"/>
    </xf>
    <xf numFmtId="10" fontId="0" fillId="0" borderId="33" xfId="2" applyNumberFormat="1" applyFont="1" applyBorder="1" applyAlignment="1">
      <alignment horizontal="center"/>
    </xf>
    <xf numFmtId="191" fontId="13" fillId="0" borderId="32" xfId="0" applyNumberFormat="1" applyFont="1" applyBorder="1" applyAlignment="1">
      <alignment horizontal="center" vertical="center"/>
    </xf>
    <xf numFmtId="0" fontId="13" fillId="0" borderId="33" xfId="0" applyFont="1" applyBorder="1" applyAlignment="1">
      <alignment horizontal="left" vertical="center"/>
    </xf>
    <xf numFmtId="171" fontId="13" fillId="0" borderId="33" xfId="0" applyNumberFormat="1" applyFont="1" applyBorder="1" applyAlignment="1">
      <alignment horizontal="center"/>
    </xf>
    <xf numFmtId="10" fontId="13" fillId="0" borderId="33" xfId="2" applyNumberFormat="1" applyFont="1" applyFill="1" applyBorder="1" applyAlignment="1">
      <alignment horizontal="center"/>
    </xf>
    <xf numFmtId="0" fontId="54" fillId="0" borderId="0" xfId="0" applyFont="1"/>
    <xf numFmtId="191" fontId="2" fillId="3" borderId="35" xfId="0" applyNumberFormat="1" applyFont="1" applyFill="1" applyBorder="1" applyAlignment="1">
      <alignment horizontal="center" vertical="center"/>
    </xf>
    <xf numFmtId="0" fontId="2" fillId="3" borderId="36" xfId="0" applyFont="1" applyFill="1" applyBorder="1" applyAlignment="1">
      <alignment horizontal="left" vertical="center"/>
    </xf>
    <xf numFmtId="171" fontId="2" fillId="3" borderId="36" xfId="0" applyNumberFormat="1" applyFont="1" applyFill="1" applyBorder="1" applyAlignment="1">
      <alignment horizontal="center"/>
    </xf>
    <xf numFmtId="10" fontId="2" fillId="3" borderId="36" xfId="2" applyNumberFormat="1" applyFont="1" applyFill="1" applyBorder="1" applyAlignment="1">
      <alignment horizontal="center"/>
    </xf>
    <xf numFmtId="169" fontId="39" fillId="0" borderId="2" xfId="18" applyFont="1" applyBorder="1"/>
    <xf numFmtId="0" fontId="3" fillId="2" borderId="2" xfId="0" applyFont="1" applyFill="1" applyBorder="1" applyAlignment="1">
      <alignment horizontal="center" vertical="center" wrapText="1"/>
    </xf>
    <xf numFmtId="169" fontId="39" fillId="0" borderId="3" xfId="18" applyFont="1" applyBorder="1"/>
    <xf numFmtId="0" fontId="39" fillId="2" borderId="0" xfId="19" applyFont="1" applyFill="1"/>
    <xf numFmtId="169" fontId="39" fillId="0" borderId="0" xfId="18" applyFont="1" applyBorder="1"/>
    <xf numFmtId="0" fontId="3" fillId="2" borderId="0" xfId="0" applyFont="1" applyFill="1" applyAlignment="1">
      <alignment horizontal="center" vertical="center" wrapText="1"/>
    </xf>
    <xf numFmtId="169" fontId="39" fillId="0" borderId="6" xfId="18" applyFont="1" applyBorder="1"/>
    <xf numFmtId="10" fontId="3" fillId="0" borderId="0" xfId="2" applyNumberFormat="1" applyFont="1" applyFill="1" applyBorder="1" applyAlignment="1">
      <alignment horizontal="center" vertical="center" wrapText="1"/>
    </xf>
    <xf numFmtId="169" fontId="39" fillId="0" borderId="9" xfId="18" applyFont="1" applyBorder="1"/>
    <xf numFmtId="10" fontId="3" fillId="0" borderId="9" xfId="2" applyNumberFormat="1" applyFont="1" applyFill="1" applyBorder="1" applyAlignment="1">
      <alignment horizontal="center" vertical="center" wrapText="1"/>
    </xf>
    <xf numFmtId="169" fontId="39" fillId="0" borderId="10" xfId="18" applyFont="1" applyBorder="1"/>
    <xf numFmtId="0" fontId="39" fillId="2" borderId="0" xfId="19" applyFont="1" applyFill="1" applyAlignment="1">
      <alignment vertical="center"/>
    </xf>
    <xf numFmtId="169" fontId="12" fillId="0" borderId="14" xfId="18" applyFont="1" applyFill="1" applyBorder="1" applyAlignment="1">
      <alignment horizontal="center" vertical="center" wrapText="1"/>
    </xf>
    <xf numFmtId="43" fontId="12" fillId="0" borderId="10" xfId="21" applyFont="1" applyFill="1" applyBorder="1" applyAlignment="1">
      <alignment horizontal="center" vertical="center" wrapText="1"/>
    </xf>
    <xf numFmtId="0" fontId="39" fillId="2" borderId="0" xfId="19" applyFont="1" applyFill="1" applyAlignment="1">
      <alignment horizontal="center" vertical="center"/>
    </xf>
    <xf numFmtId="169" fontId="56" fillId="0" borderId="13" xfId="18" applyFont="1" applyFill="1" applyBorder="1" applyAlignment="1">
      <alignment horizontal="center" vertical="center"/>
    </xf>
    <xf numFmtId="170" fontId="56" fillId="0" borderId="15" xfId="18" applyNumberFormat="1" applyFont="1" applyFill="1" applyBorder="1" applyAlignment="1">
      <alignment horizontal="center" vertical="center"/>
    </xf>
    <xf numFmtId="169" fontId="56" fillId="0" borderId="15" xfId="18" applyFont="1" applyFill="1" applyBorder="1" applyAlignment="1">
      <alignment horizontal="center" vertical="center"/>
    </xf>
    <xf numFmtId="43" fontId="56" fillId="0" borderId="15" xfId="21" applyFont="1" applyFill="1" applyBorder="1" applyAlignment="1">
      <alignment horizontal="center" vertical="center"/>
    </xf>
    <xf numFmtId="0" fontId="12" fillId="0" borderId="15" xfId="19" applyFont="1" applyBorder="1" applyAlignment="1">
      <alignment horizontal="center" vertical="center"/>
    </xf>
    <xf numFmtId="0" fontId="57" fillId="2" borderId="0" xfId="19" applyFont="1" applyFill="1" applyAlignment="1">
      <alignment horizontal="center" vertical="center"/>
    </xf>
    <xf numFmtId="14" fontId="12" fillId="7" borderId="15" xfId="19" applyNumberFormat="1" applyFont="1" applyFill="1" applyBorder="1" applyAlignment="1">
      <alignment horizontal="center" vertical="center"/>
    </xf>
    <xf numFmtId="176" fontId="58" fillId="7" borderId="15" xfId="12" applyNumberFormat="1" applyFont="1" applyFill="1" applyBorder="1" applyAlignment="1">
      <alignment horizontal="center" vertical="center"/>
    </xf>
    <xf numFmtId="165" fontId="12" fillId="7" borderId="15" xfId="0" applyNumberFormat="1" applyFont="1" applyFill="1" applyBorder="1" applyAlignment="1">
      <alignment horizontal="center" vertical="center"/>
    </xf>
    <xf numFmtId="2" fontId="12" fillId="7" borderId="15" xfId="18" applyNumberFormat="1" applyFont="1" applyFill="1" applyBorder="1" applyAlignment="1">
      <alignment horizontal="center" vertical="center"/>
    </xf>
    <xf numFmtId="2" fontId="12" fillId="7" borderId="15" xfId="12" applyNumberFormat="1" applyFont="1" applyFill="1" applyBorder="1" applyAlignment="1">
      <alignment horizontal="center" vertical="center"/>
    </xf>
    <xf numFmtId="175" fontId="58" fillId="7" borderId="15" xfId="12" applyNumberFormat="1" applyFont="1" applyFill="1" applyBorder="1" applyAlignment="1">
      <alignment horizontal="center" vertical="center"/>
    </xf>
    <xf numFmtId="1" fontId="59" fillId="2" borderId="0" xfId="19" applyNumberFormat="1" applyFont="1" applyFill="1" applyAlignment="1">
      <alignment horizontal="center" vertical="center"/>
    </xf>
    <xf numFmtId="14" fontId="3" fillId="2" borderId="15" xfId="19" applyNumberFormat="1" applyFill="1" applyBorder="1" applyAlignment="1">
      <alignment horizontal="center" vertical="center"/>
    </xf>
    <xf numFmtId="176" fontId="42" fillId="0" borderId="15" xfId="12" applyNumberFormat="1" applyFont="1" applyBorder="1" applyAlignment="1">
      <alignment horizontal="center" vertical="center"/>
    </xf>
    <xf numFmtId="165" fontId="3" fillId="0" borderId="15" xfId="0" applyNumberFormat="1" applyFont="1" applyBorder="1" applyAlignment="1">
      <alignment horizontal="center" vertical="center"/>
    </xf>
    <xf numFmtId="2" fontId="3" fillId="0" borderId="15" xfId="18" applyNumberFormat="1" applyFont="1" applyFill="1" applyBorder="1" applyAlignment="1">
      <alignment horizontal="center" vertical="center"/>
    </xf>
    <xf numFmtId="2" fontId="3" fillId="0" borderId="15" xfId="12" applyNumberFormat="1" applyBorder="1" applyAlignment="1">
      <alignment horizontal="center" vertical="center" wrapText="1"/>
    </xf>
    <xf numFmtId="2" fontId="3" fillId="0" borderId="15" xfId="12" applyNumberFormat="1" applyBorder="1" applyAlignment="1">
      <alignment horizontal="center" vertical="center"/>
    </xf>
    <xf numFmtId="0" fontId="3" fillId="0" borderId="15" xfId="19" applyBorder="1" applyAlignment="1">
      <alignment horizontal="center" vertical="center"/>
    </xf>
    <xf numFmtId="2" fontId="3" fillId="2" borderId="15" xfId="18" applyNumberFormat="1" applyFont="1" applyFill="1" applyBorder="1" applyAlignment="1">
      <alignment horizontal="center" vertical="center"/>
    </xf>
    <xf numFmtId="2" fontId="3" fillId="2" borderId="15" xfId="12" applyNumberFormat="1" applyFill="1" applyBorder="1" applyAlignment="1">
      <alignment horizontal="center" vertical="center" wrapText="1"/>
    </xf>
    <xf numFmtId="2" fontId="3" fillId="2" borderId="15" xfId="12" applyNumberFormat="1" applyFill="1" applyBorder="1" applyAlignment="1">
      <alignment horizontal="center" vertical="center"/>
    </xf>
    <xf numFmtId="0" fontId="3" fillId="2" borderId="15" xfId="19" applyFill="1" applyBorder="1" applyAlignment="1">
      <alignment horizontal="center" vertical="center"/>
    </xf>
    <xf numFmtId="0" fontId="60" fillId="3" borderId="11" xfId="19" applyFont="1" applyFill="1" applyBorder="1" applyAlignment="1">
      <alignment horizontal="right" vertical="center"/>
    </xf>
    <xf numFmtId="165" fontId="60" fillId="3" borderId="12" xfId="19" applyNumberFormat="1" applyFont="1" applyFill="1" applyBorder="1" applyAlignment="1">
      <alignment horizontal="center" vertical="center"/>
    </xf>
    <xf numFmtId="165" fontId="60" fillId="3" borderId="12" xfId="18" applyNumberFormat="1" applyFont="1" applyFill="1" applyBorder="1" applyAlignment="1">
      <alignment horizontal="center" vertical="center"/>
    </xf>
    <xf numFmtId="10" fontId="16" fillId="3" borderId="12" xfId="18" applyNumberFormat="1" applyFont="1" applyFill="1" applyBorder="1" applyAlignment="1">
      <alignment horizontal="center" vertical="center"/>
    </xf>
    <xf numFmtId="169" fontId="16" fillId="3" borderId="12" xfId="18" applyFont="1" applyFill="1" applyBorder="1" applyAlignment="1">
      <alignment horizontal="center" vertical="center"/>
    </xf>
    <xf numFmtId="169" fontId="16" fillId="3" borderId="13" xfId="18" applyFont="1" applyFill="1" applyBorder="1" applyAlignment="1">
      <alignment horizontal="center" vertical="center"/>
    </xf>
    <xf numFmtId="2" fontId="58" fillId="7" borderId="15" xfId="12" applyNumberFormat="1" applyFont="1" applyFill="1" applyBorder="1" applyAlignment="1">
      <alignment horizontal="center" vertical="center"/>
    </xf>
    <xf numFmtId="2" fontId="42" fillId="0" borderId="15" xfId="12" applyNumberFormat="1" applyFont="1" applyBorder="1" applyAlignment="1">
      <alignment horizontal="center" vertical="center"/>
    </xf>
    <xf numFmtId="0" fontId="61" fillId="5" borderId="0" xfId="22" applyFont="1" applyFill="1" applyAlignment="1">
      <alignment wrapText="1"/>
    </xf>
    <xf numFmtId="0" fontId="61" fillId="5" borderId="6" xfId="22" applyFont="1" applyFill="1" applyBorder="1" applyAlignment="1">
      <alignment wrapText="1"/>
    </xf>
    <xf numFmtId="0" fontId="56" fillId="0" borderId="0" xfId="22" applyFont="1" applyAlignment="1">
      <alignment wrapText="1"/>
    </xf>
    <xf numFmtId="0" fontId="56" fillId="0" borderId="6" xfId="22" applyFont="1" applyBorder="1" applyAlignment="1">
      <alignment wrapText="1"/>
    </xf>
    <xf numFmtId="0" fontId="62" fillId="2" borderId="0" xfId="19" applyFont="1" applyFill="1"/>
    <xf numFmtId="0" fontId="39" fillId="2" borderId="0" xfId="19" applyFont="1" applyFill="1" applyAlignment="1">
      <alignment vertical="top" wrapText="1"/>
    </xf>
    <xf numFmtId="0" fontId="39" fillId="2" borderId="0" xfId="19" applyFont="1" applyFill="1" applyAlignment="1">
      <alignment horizontal="center"/>
    </xf>
    <xf numFmtId="170" fontId="31" fillId="2" borderId="0" xfId="18" applyNumberFormat="1" applyFont="1" applyFill="1"/>
    <xf numFmtId="169" fontId="39" fillId="2" borderId="0" xfId="18" applyFont="1" applyFill="1"/>
    <xf numFmtId="169" fontId="3" fillId="2" borderId="0" xfId="18" applyFont="1" applyFill="1"/>
    <xf numFmtId="0" fontId="39" fillId="0" borderId="0" xfId="19" applyFont="1" applyAlignment="1">
      <alignment horizontal="center"/>
    </xf>
    <xf numFmtId="170" fontId="31" fillId="0" borderId="0" xfId="18" applyNumberFormat="1" applyFont="1"/>
    <xf numFmtId="169" fontId="39" fillId="0" borderId="0" xfId="18" applyFont="1"/>
    <xf numFmtId="0" fontId="39" fillId="0" borderId="0" xfId="19" applyFont="1"/>
    <xf numFmtId="0" fontId="5" fillId="2" borderId="2" xfId="3" applyFont="1" applyFill="1" applyBorder="1" applyAlignment="1">
      <alignment horizontal="left" vertical="center"/>
    </xf>
    <xf numFmtId="0" fontId="8" fillId="0" borderId="3" xfId="0" applyFont="1" applyBorder="1"/>
    <xf numFmtId="0" fontId="7" fillId="2" borderId="3" xfId="0" applyFont="1" applyFill="1" applyBorder="1" applyAlignment="1">
      <alignment horizontal="center" vertical="center" wrapText="1"/>
    </xf>
    <xf numFmtId="0" fontId="8" fillId="0" borderId="1" xfId="0" applyFont="1" applyBorder="1" applyAlignment="1">
      <alignment vertical="center"/>
    </xf>
    <xf numFmtId="0" fontId="8" fillId="0" borderId="3" xfId="0" applyFont="1" applyBorder="1" applyAlignment="1">
      <alignment vertical="center"/>
    </xf>
    <xf numFmtId="0" fontId="5" fillId="2" borderId="0" xfId="3" applyFont="1" applyFill="1" applyAlignment="1">
      <alignment horizontal="left" vertical="center"/>
    </xf>
    <xf numFmtId="0" fontId="8" fillId="0" borderId="6" xfId="0" applyFont="1" applyBorder="1"/>
    <xf numFmtId="0" fontId="8" fillId="0" borderId="5" xfId="0" applyFont="1" applyBorder="1" applyAlignment="1">
      <alignment vertical="center"/>
    </xf>
    <xf numFmtId="14" fontId="5" fillId="2" borderId="9" xfId="3" applyNumberFormat="1" applyFont="1" applyFill="1" applyBorder="1" applyAlignment="1">
      <alignment horizontal="left" vertical="center"/>
    </xf>
    <xf numFmtId="0" fontId="8" fillId="0" borderId="10" xfId="0" applyFont="1" applyBorder="1"/>
    <xf numFmtId="0" fontId="8" fillId="0" borderId="8" xfId="0" applyFont="1" applyBorder="1" applyAlignment="1">
      <alignment vertical="center"/>
    </xf>
    <xf numFmtId="0" fontId="8" fillId="0" borderId="10" xfId="0" applyFont="1" applyBorder="1" applyAlignment="1">
      <alignment vertical="center"/>
    </xf>
    <xf numFmtId="0" fontId="4" fillId="0" borderId="0" xfId="0" applyFont="1" applyAlignment="1">
      <alignment horizontal="center" vertical="center"/>
    </xf>
    <xf numFmtId="10" fontId="7" fillId="0" borderId="0" xfId="2" applyNumberFormat="1" applyFont="1" applyFill="1" applyBorder="1" applyAlignment="1">
      <alignment horizontal="center" vertical="center" wrapText="1"/>
    </xf>
    <xf numFmtId="180" fontId="4" fillId="0" borderId="15" xfId="12" applyNumberFormat="1" applyFont="1" applyBorder="1" applyAlignment="1">
      <alignment horizontal="center" vertical="center" wrapText="1"/>
    </xf>
    <xf numFmtId="176" fontId="7" fillId="0" borderId="15" xfId="12" applyNumberFormat="1" applyFont="1" applyBorder="1" applyAlignment="1">
      <alignment horizontal="center" vertical="center"/>
    </xf>
    <xf numFmtId="10" fontId="7" fillId="0" borderId="15" xfId="12" applyNumberFormat="1" applyFont="1" applyBorder="1" applyAlignment="1">
      <alignment horizontal="center" vertical="center"/>
    </xf>
    <xf numFmtId="165" fontId="8" fillId="0" borderId="0" xfId="0" applyNumberFormat="1" applyFont="1"/>
    <xf numFmtId="0" fontId="46" fillId="0" borderId="15" xfId="12" applyFont="1" applyBorder="1" applyAlignment="1">
      <alignment horizontal="center" vertical="center"/>
    </xf>
    <xf numFmtId="176" fontId="46" fillId="0" borderId="15" xfId="12" applyNumberFormat="1" applyFont="1" applyBorder="1" applyAlignment="1">
      <alignment horizontal="center" vertical="center"/>
    </xf>
    <xf numFmtId="10" fontId="46" fillId="0" borderId="15" xfId="12" applyNumberFormat="1" applyFont="1" applyBorder="1" applyAlignment="1">
      <alignment horizontal="center" vertical="center"/>
    </xf>
    <xf numFmtId="176" fontId="10" fillId="3" borderId="15" xfId="12" applyNumberFormat="1" applyFont="1" applyFill="1" applyBorder="1" applyAlignment="1">
      <alignment horizontal="center" vertical="center"/>
    </xf>
    <xf numFmtId="10" fontId="10" fillId="3" borderId="13" xfId="2" applyNumberFormat="1" applyFont="1" applyFill="1" applyBorder="1" applyAlignment="1">
      <alignment horizontal="center" vertical="center"/>
    </xf>
    <xf numFmtId="0" fontId="4" fillId="2" borderId="13" xfId="0" applyFont="1" applyFill="1" applyBorder="1" applyAlignment="1">
      <alignment horizontal="center" vertical="center" wrapText="1"/>
    </xf>
    <xf numFmtId="10" fontId="7" fillId="0" borderId="15" xfId="17" applyNumberFormat="1" applyFont="1" applyFill="1" applyBorder="1" applyAlignment="1">
      <alignment horizontal="right" vertical="center" wrapText="1"/>
    </xf>
    <xf numFmtId="10" fontId="4" fillId="8" borderId="3" xfId="2" applyNumberFormat="1" applyFont="1" applyFill="1" applyBorder="1" applyAlignment="1">
      <alignment vertical="center"/>
    </xf>
    <xf numFmtId="10" fontId="4" fillId="8" borderId="10" xfId="2" applyNumberFormat="1" applyFont="1" applyFill="1" applyBorder="1" applyAlignment="1">
      <alignment vertical="center"/>
    </xf>
    <xf numFmtId="181" fontId="10" fillId="3" borderId="12" xfId="4" applyNumberFormat="1" applyFont="1" applyFill="1" applyBorder="1" applyAlignment="1">
      <alignment vertical="center"/>
    </xf>
    <xf numFmtId="10" fontId="10" fillId="3" borderId="13" xfId="2" applyNumberFormat="1" applyFont="1" applyFill="1" applyBorder="1" applyAlignment="1">
      <alignment vertical="center"/>
    </xf>
    <xf numFmtId="2" fontId="46" fillId="0" borderId="15" xfId="12" applyNumberFormat="1" applyFont="1" applyBorder="1" applyAlignment="1">
      <alignment horizontal="center" vertical="center"/>
    </xf>
    <xf numFmtId="43" fontId="14" fillId="3" borderId="12" xfId="4" applyNumberFormat="1" applyFont="1" applyFill="1" applyBorder="1" applyAlignment="1">
      <alignment vertical="center"/>
    </xf>
    <xf numFmtId="0" fontId="4" fillId="0" borderId="0" xfId="3" applyFont="1" applyAlignment="1">
      <alignment horizontal="center" vertical="center"/>
    </xf>
    <xf numFmtId="0" fontId="4" fillId="0" borderId="0" xfId="3" applyFont="1" applyAlignment="1">
      <alignment vertical="center"/>
    </xf>
    <xf numFmtId="43" fontId="7" fillId="0" borderId="0" xfId="1" applyFont="1" applyFill="1" applyBorder="1" applyAlignment="1">
      <alignment vertical="center"/>
    </xf>
    <xf numFmtId="2" fontId="7" fillId="0" borderId="1" xfId="4" applyNumberFormat="1" applyFont="1" applyBorder="1" applyAlignment="1">
      <alignment horizontal="center" vertical="center" wrapText="1"/>
    </xf>
    <xf numFmtId="1" fontId="7" fillId="0" borderId="2" xfId="15" applyNumberFormat="1" applyFont="1" applyBorder="1" applyAlignment="1">
      <alignment horizontal="center" vertical="center" wrapText="1"/>
    </xf>
    <xf numFmtId="0" fontId="7" fillId="0" borderId="2" xfId="15" applyFont="1" applyBorder="1" applyAlignment="1">
      <alignment vertical="center" wrapText="1"/>
    </xf>
    <xf numFmtId="0" fontId="7" fillId="0" borderId="2" xfId="15" applyFont="1" applyBorder="1" applyAlignment="1">
      <alignment horizontal="center" vertical="center" wrapText="1"/>
    </xf>
    <xf numFmtId="43" fontId="7" fillId="0" borderId="2" xfId="1" applyFont="1" applyFill="1" applyBorder="1" applyAlignment="1">
      <alignment horizontal="right" vertical="center"/>
    </xf>
    <xf numFmtId="165" fontId="7" fillId="0" borderId="2" xfId="15" applyNumberFormat="1" applyFont="1" applyBorder="1" applyAlignment="1">
      <alignment horizontal="right" vertical="center" wrapText="1"/>
    </xf>
    <xf numFmtId="165" fontId="7" fillId="0" borderId="2" xfId="14" applyNumberFormat="1" applyFont="1" applyFill="1" applyBorder="1" applyAlignment="1">
      <alignment horizontal="right" vertical="center"/>
    </xf>
    <xf numFmtId="165" fontId="7" fillId="0" borderId="2" xfId="4" applyNumberFormat="1" applyFont="1" applyBorder="1" applyAlignment="1">
      <alignment vertical="center"/>
    </xf>
    <xf numFmtId="10" fontId="7" fillId="0" borderId="3" xfId="17" applyNumberFormat="1" applyFont="1" applyFill="1" applyBorder="1" applyAlignment="1">
      <alignment horizontal="right" vertical="center" wrapText="1"/>
    </xf>
    <xf numFmtId="43" fontId="10" fillId="3" borderId="12" xfId="4" applyNumberFormat="1" applyFont="1" applyFill="1" applyBorder="1" applyAlignment="1">
      <alignment vertical="center"/>
    </xf>
    <xf numFmtId="0" fontId="4" fillId="0" borderId="15" xfId="23" applyFont="1" applyBorder="1" applyAlignment="1">
      <alignment horizontal="center" vertical="center"/>
    </xf>
    <xf numFmtId="2" fontId="4" fillId="0" borderId="15" xfId="23" applyNumberFormat="1" applyFont="1" applyBorder="1" applyAlignment="1">
      <alignment horizontal="center" vertical="center"/>
    </xf>
    <xf numFmtId="0" fontId="7" fillId="0" borderId="15" xfId="23" applyFont="1" applyBorder="1" applyAlignment="1">
      <alignment horizontal="center" vertical="center" wrapText="1"/>
    </xf>
    <xf numFmtId="0" fontId="7" fillId="0" borderId="15" xfId="23" applyFont="1" applyBorder="1" applyAlignment="1">
      <alignment horizontal="center" vertical="center"/>
    </xf>
    <xf numFmtId="0" fontId="7" fillId="0" borderId="15" xfId="24" applyFont="1" applyBorder="1" applyAlignment="1">
      <alignment horizontal="center" vertical="center"/>
    </xf>
    <xf numFmtId="2" fontId="7" fillId="0" borderId="15" xfId="25" applyNumberFormat="1" applyFont="1" applyFill="1" applyBorder="1" applyAlignment="1">
      <alignment horizontal="center" vertical="center"/>
    </xf>
    <xf numFmtId="2" fontId="7" fillId="0" borderId="15" xfId="26" applyNumberFormat="1" applyFont="1" applyFill="1" applyBorder="1" applyAlignment="1">
      <alignment horizontal="center" vertical="center"/>
    </xf>
    <xf numFmtId="0" fontId="7" fillId="0" borderId="15" xfId="24" applyFont="1" applyBorder="1" applyAlignment="1">
      <alignment horizontal="center" vertical="center" wrapText="1"/>
    </xf>
    <xf numFmtId="0" fontId="7" fillId="2" borderId="15" xfId="23" applyFont="1" applyFill="1" applyBorder="1" applyAlignment="1">
      <alignment horizontal="center" vertical="center" wrapText="1"/>
    </xf>
    <xf numFmtId="0" fontId="7" fillId="2" borderId="15" xfId="23" applyFont="1" applyFill="1" applyBorder="1" applyAlignment="1">
      <alignment horizontal="center" vertical="center"/>
    </xf>
    <xf numFmtId="0" fontId="8" fillId="2" borderId="15" xfId="24" applyFont="1" applyFill="1" applyBorder="1" applyAlignment="1">
      <alignment horizontal="center" vertical="center"/>
    </xf>
    <xf numFmtId="2" fontId="8" fillId="0" borderId="15" xfId="25" applyNumberFormat="1" applyFont="1" applyFill="1" applyBorder="1" applyAlignment="1">
      <alignment horizontal="center" vertical="center"/>
    </xf>
    <xf numFmtId="2" fontId="8" fillId="0" borderId="15" xfId="26" applyNumberFormat="1" applyFont="1" applyFill="1" applyBorder="1" applyAlignment="1">
      <alignment horizontal="center" vertical="center"/>
    </xf>
    <xf numFmtId="2" fontId="7" fillId="2" borderId="15" xfId="25" applyNumberFormat="1" applyFont="1" applyFill="1" applyBorder="1" applyAlignment="1">
      <alignment horizontal="center" vertical="center"/>
    </xf>
    <xf numFmtId="2" fontId="8" fillId="2" borderId="15" xfId="26" applyNumberFormat="1" applyFont="1" applyFill="1" applyBorder="1" applyAlignment="1">
      <alignment horizontal="center" vertical="center"/>
    </xf>
    <xf numFmtId="2" fontId="8" fillId="2" borderId="15" xfId="25" applyNumberFormat="1" applyFont="1" applyFill="1" applyBorder="1" applyAlignment="1">
      <alignment horizontal="center" vertical="center"/>
    </xf>
    <xf numFmtId="0" fontId="7" fillId="2" borderId="0" xfId="23" applyFont="1" applyFill="1" applyAlignment="1">
      <alignment horizontal="left" vertical="center"/>
    </xf>
    <xf numFmtId="0" fontId="32" fillId="0" borderId="0" xfId="12" applyFont="1"/>
    <xf numFmtId="180" fontId="4" fillId="0" borderId="15" xfId="12" applyNumberFormat="1" applyFont="1" applyBorder="1" applyAlignment="1">
      <alignment horizontal="center" vertical="center"/>
    </xf>
    <xf numFmtId="189" fontId="4" fillId="0" borderId="7" xfId="3" applyNumberFormat="1" applyFont="1" applyBorder="1" applyAlignment="1">
      <alignment horizontal="center" vertical="center"/>
    </xf>
    <xf numFmtId="189" fontId="4" fillId="0" borderId="7" xfId="3" applyNumberFormat="1" applyFont="1" applyBorder="1" applyAlignment="1">
      <alignment horizontal="center" vertical="center" wrapText="1"/>
    </xf>
    <xf numFmtId="189" fontId="4" fillId="0" borderId="14" xfId="3" applyNumberFormat="1" applyFont="1" applyBorder="1" applyAlignment="1">
      <alignment horizontal="center" vertical="center"/>
    </xf>
    <xf numFmtId="0" fontId="48" fillId="0" borderId="15" xfId="0" applyFont="1" applyBorder="1" applyAlignment="1">
      <alignment vertical="center"/>
    </xf>
    <xf numFmtId="0" fontId="46" fillId="2" borderId="15" xfId="12" applyFont="1" applyFill="1" applyBorder="1" applyAlignment="1">
      <alignment horizontal="center" vertical="center" wrapText="1"/>
    </xf>
    <xf numFmtId="1" fontId="46" fillId="0" borderId="1" xfId="12" applyNumberFormat="1" applyFont="1" applyBorder="1" applyAlignment="1">
      <alignment horizontal="center" vertical="center"/>
    </xf>
    <xf numFmtId="0" fontId="7" fillId="0" borderId="2" xfId="12" applyFont="1" applyBorder="1" applyAlignment="1">
      <alignment horizontal="center" vertical="center"/>
    </xf>
    <xf numFmtId="2" fontId="46" fillId="0" borderId="3" xfId="12" applyNumberFormat="1" applyFont="1" applyBorder="1" applyAlignment="1">
      <alignment horizontal="center" vertical="center"/>
    </xf>
    <xf numFmtId="175" fontId="46" fillId="0" borderId="3" xfId="12" applyNumberFormat="1" applyFont="1" applyBorder="1" applyAlignment="1">
      <alignment horizontal="center" vertical="center"/>
    </xf>
    <xf numFmtId="4" fontId="46" fillId="0" borderId="15" xfId="22" applyNumberFormat="1" applyFont="1" applyBorder="1" applyAlignment="1">
      <alignment horizontal="center" vertical="center"/>
    </xf>
    <xf numFmtId="4" fontId="46" fillId="0" borderId="15" xfId="12" applyNumberFormat="1" applyFont="1" applyBorder="1" applyAlignment="1">
      <alignment horizontal="center" vertical="center"/>
    </xf>
    <xf numFmtId="4" fontId="63" fillId="11" borderId="15" xfId="22" applyNumberFormat="1" applyFont="1" applyFill="1" applyBorder="1" applyAlignment="1">
      <alignment horizontal="center" vertical="center"/>
    </xf>
    <xf numFmtId="0" fontId="46" fillId="0" borderId="15" xfId="12" applyFont="1" applyBorder="1" applyAlignment="1">
      <alignment horizontal="center" vertical="center" wrapText="1"/>
    </xf>
    <xf numFmtId="4" fontId="63" fillId="0" borderId="15" xfId="22" applyNumberFormat="1" applyFont="1" applyBorder="1" applyAlignment="1">
      <alignment horizontal="center" vertical="center"/>
    </xf>
    <xf numFmtId="1" fontId="46" fillId="0" borderId="11" xfId="12" applyNumberFormat="1" applyFont="1" applyBorder="1" applyAlignment="1">
      <alignment horizontal="center" vertical="center"/>
    </xf>
    <xf numFmtId="0" fontId="7" fillId="0" borderId="12" xfId="12" applyFont="1" applyBorder="1" applyAlignment="1">
      <alignment horizontal="center" vertical="center"/>
    </xf>
    <xf numFmtId="2" fontId="46" fillId="0" borderId="13" xfId="12" applyNumberFormat="1" applyFont="1" applyBorder="1" applyAlignment="1">
      <alignment horizontal="center" vertical="center"/>
    </xf>
    <xf numFmtId="175" fontId="46" fillId="0" borderId="13" xfId="12" applyNumberFormat="1" applyFont="1" applyBorder="1" applyAlignment="1">
      <alignment horizontal="center" vertical="center"/>
    </xf>
    <xf numFmtId="0" fontId="3" fillId="0" borderId="15" xfId="0" applyFont="1" applyBorder="1" applyAlignment="1">
      <alignment vertical="center"/>
    </xf>
    <xf numFmtId="1" fontId="7" fillId="0" borderId="1" xfId="12" applyNumberFormat="1" applyFont="1" applyBorder="1" applyAlignment="1">
      <alignment horizontal="center" vertical="center"/>
    </xf>
    <xf numFmtId="175" fontId="7" fillId="0" borderId="3" xfId="12" applyNumberFormat="1" applyFont="1" applyBorder="1" applyAlignment="1">
      <alignment horizontal="center" vertical="center"/>
    </xf>
    <xf numFmtId="4" fontId="7" fillId="0" borderId="15" xfId="22" applyNumberFormat="1" applyFont="1" applyBorder="1" applyAlignment="1">
      <alignment horizontal="center" vertical="center"/>
    </xf>
    <xf numFmtId="0" fontId="7" fillId="0" borderId="15" xfId="12" applyFont="1" applyBorder="1" applyAlignment="1">
      <alignment horizontal="center" vertical="center" wrapText="1"/>
    </xf>
    <xf numFmtId="2" fontId="7" fillId="0" borderId="3" xfId="12" applyNumberFormat="1" applyFont="1" applyBorder="1" applyAlignment="1">
      <alignment horizontal="center" vertical="center"/>
    </xf>
    <xf numFmtId="2" fontId="7" fillId="0" borderId="15" xfId="12" applyNumberFormat="1" applyFont="1" applyBorder="1" applyAlignment="1">
      <alignment horizontal="center" vertical="center"/>
    </xf>
    <xf numFmtId="1" fontId="7" fillId="0" borderId="11" xfId="12" applyNumberFormat="1" applyFont="1" applyBorder="1" applyAlignment="1">
      <alignment horizontal="center" vertical="center"/>
    </xf>
    <xf numFmtId="2" fontId="7" fillId="0" borderId="13" xfId="12" applyNumberFormat="1" applyFont="1" applyBorder="1" applyAlignment="1">
      <alignment horizontal="center" vertical="center"/>
    </xf>
    <xf numFmtId="175" fontId="7" fillId="0" borderId="13" xfId="12" applyNumberFormat="1" applyFont="1" applyBorder="1" applyAlignment="1">
      <alignment horizontal="center" vertical="center"/>
    </xf>
    <xf numFmtId="0" fontId="3" fillId="2" borderId="15" xfId="0" applyFont="1" applyFill="1" applyBorder="1" applyAlignment="1">
      <alignment vertical="center"/>
    </xf>
    <xf numFmtId="0" fontId="7" fillId="2" borderId="15" xfId="12" applyFont="1" applyFill="1" applyBorder="1" applyAlignment="1">
      <alignment horizontal="center" vertical="center" wrapText="1"/>
    </xf>
    <xf numFmtId="1" fontId="7" fillId="2" borderId="1" xfId="12" applyNumberFormat="1" applyFont="1" applyFill="1" applyBorder="1" applyAlignment="1">
      <alignment horizontal="center" vertical="center"/>
    </xf>
    <xf numFmtId="0" fontId="7" fillId="2" borderId="2" xfId="12" applyFont="1" applyFill="1" applyBorder="1" applyAlignment="1">
      <alignment horizontal="center" vertical="center"/>
    </xf>
    <xf numFmtId="175" fontId="7" fillId="2" borderId="3" xfId="12" applyNumberFormat="1" applyFont="1" applyFill="1" applyBorder="1" applyAlignment="1">
      <alignment horizontal="center" vertical="center"/>
    </xf>
    <xf numFmtId="4" fontId="7" fillId="11" borderId="15" xfId="22" applyNumberFormat="1" applyFont="1" applyFill="1" applyBorder="1" applyAlignment="1">
      <alignment horizontal="center" vertical="center"/>
    </xf>
    <xf numFmtId="2" fontId="7" fillId="2" borderId="3" xfId="12" applyNumberFormat="1" applyFont="1" applyFill="1" applyBorder="1" applyAlignment="1">
      <alignment horizontal="center" vertical="center"/>
    </xf>
    <xf numFmtId="2" fontId="7" fillId="2" borderId="15" xfId="12" applyNumberFormat="1" applyFont="1" applyFill="1" applyBorder="1" applyAlignment="1">
      <alignment horizontal="center" vertical="center"/>
    </xf>
    <xf numFmtId="4" fontId="10" fillId="3" borderId="15" xfId="12" applyNumberFormat="1" applyFont="1" applyFill="1" applyBorder="1" applyAlignment="1">
      <alignment horizontal="center" vertical="center"/>
    </xf>
    <xf numFmtId="0" fontId="8" fillId="0" borderId="0" xfId="0" applyFont="1" applyAlignment="1">
      <alignment horizontal="left"/>
    </xf>
    <xf numFmtId="175" fontId="8" fillId="0" borderId="0" xfId="0" applyNumberFormat="1" applyFont="1"/>
    <xf numFmtId="189" fontId="4" fillId="0" borderId="1" xfId="3" applyNumberFormat="1" applyFont="1" applyBorder="1" applyAlignment="1">
      <alignment horizontal="center" vertical="center" wrapText="1"/>
    </xf>
    <xf numFmtId="189" fontId="4" fillId="0" borderId="8" xfId="3" applyNumberFormat="1" applyFont="1" applyBorder="1" applyAlignment="1">
      <alignment horizontal="center" vertical="center"/>
    </xf>
    <xf numFmtId="189" fontId="4" fillId="0" borderId="10" xfId="3" applyNumberFormat="1" applyFont="1" applyBorder="1" applyAlignment="1">
      <alignment horizontal="center" vertical="center"/>
    </xf>
    <xf numFmtId="189" fontId="4" fillId="0" borderId="14" xfId="3" applyNumberFormat="1" applyFont="1" applyBorder="1" applyAlignment="1">
      <alignment horizontal="center" vertical="center" wrapText="1"/>
    </xf>
    <xf numFmtId="0" fontId="46" fillId="0" borderId="7" xfId="12" applyFont="1" applyBorder="1" applyAlignment="1">
      <alignment horizontal="center" vertical="center"/>
    </xf>
    <xf numFmtId="0" fontId="0" fillId="0" borderId="15" xfId="0" applyBorder="1" applyAlignment="1">
      <alignment horizontal="left" vertical="center"/>
    </xf>
    <xf numFmtId="4" fontId="46" fillId="0" borderId="1" xfId="12" applyNumberFormat="1" applyFont="1" applyBorder="1" applyAlignment="1">
      <alignment horizontal="center" vertical="center"/>
    </xf>
    <xf numFmtId="184" fontId="46" fillId="0" borderId="15" xfId="12" applyNumberFormat="1" applyFont="1" applyBorder="1" applyAlignment="1">
      <alignment horizontal="center" vertical="center"/>
    </xf>
    <xf numFmtId="4" fontId="46" fillId="0" borderId="7" xfId="12" applyNumberFormat="1" applyFont="1" applyBorder="1" applyAlignment="1">
      <alignment horizontal="center" vertical="center"/>
    </xf>
    <xf numFmtId="4" fontId="46" fillId="2" borderId="7" xfId="12" applyNumberFormat="1" applyFont="1" applyFill="1" applyBorder="1" applyAlignment="1">
      <alignment horizontal="center" vertical="center"/>
    </xf>
    <xf numFmtId="4" fontId="7" fillId="0" borderId="7" xfId="12" applyNumberFormat="1" applyFont="1" applyBorder="1" applyAlignment="1">
      <alignment horizontal="center" vertical="center"/>
    </xf>
    <xf numFmtId="184" fontId="46" fillId="0" borderId="1" xfId="12" applyNumberFormat="1" applyFont="1" applyBorder="1" applyAlignment="1">
      <alignment horizontal="center" vertical="center"/>
    </xf>
    <xf numFmtId="4" fontId="46" fillId="0" borderId="11" xfId="12" applyNumberFormat="1" applyFont="1" applyBorder="1" applyAlignment="1">
      <alignment horizontal="center" vertical="center"/>
    </xf>
    <xf numFmtId="184" fontId="46" fillId="0" borderId="11" xfId="12" applyNumberFormat="1" applyFont="1" applyBorder="1" applyAlignment="1">
      <alignment horizontal="center" vertical="center"/>
    </xf>
    <xf numFmtId="4" fontId="46" fillId="2" borderId="15" xfId="12" applyNumberFormat="1" applyFont="1" applyFill="1" applyBorder="1" applyAlignment="1">
      <alignment horizontal="center" vertical="center"/>
    </xf>
    <xf numFmtId="0" fontId="46" fillId="0" borderId="0" xfId="12" applyFont="1" applyAlignment="1">
      <alignment horizontal="left" vertical="center"/>
    </xf>
    <xf numFmtId="184" fontId="8" fillId="0" borderId="0" xfId="0" applyNumberFormat="1" applyFont="1"/>
    <xf numFmtId="0" fontId="7" fillId="2" borderId="0" xfId="22" applyFont="1" applyFill="1"/>
    <xf numFmtId="0" fontId="4" fillId="0" borderId="14" xfId="22" applyFont="1" applyBorder="1" applyAlignment="1">
      <alignment horizontal="center" vertical="center"/>
    </xf>
    <xf numFmtId="0" fontId="4" fillId="0" borderId="4" xfId="22" applyFont="1" applyBorder="1" applyAlignment="1">
      <alignment horizontal="center" vertical="center"/>
    </xf>
    <xf numFmtId="0" fontId="7" fillId="0" borderId="0" xfId="22" applyFont="1"/>
    <xf numFmtId="0" fontId="4" fillId="0" borderId="14" xfId="22" applyFont="1" applyBorder="1" applyAlignment="1">
      <alignment horizontal="center" vertical="center" wrapText="1"/>
    </xf>
    <xf numFmtId="0" fontId="4" fillId="0" borderId="15" xfId="22" applyFont="1" applyBorder="1" applyAlignment="1">
      <alignment horizontal="center" vertical="center"/>
    </xf>
    <xf numFmtId="0" fontId="7" fillId="2" borderId="0" xfId="22" applyFont="1" applyFill="1" applyAlignment="1">
      <alignment vertical="center"/>
    </xf>
    <xf numFmtId="0" fontId="7" fillId="2" borderId="15" xfId="22" applyFont="1" applyFill="1" applyBorder="1" applyAlignment="1">
      <alignment horizontal="center" vertical="center"/>
    </xf>
    <xf numFmtId="0" fontId="46" fillId="11" borderId="15" xfId="22" applyFont="1" applyFill="1" applyBorder="1" applyAlignment="1">
      <alignment horizontal="left" vertical="center"/>
    </xf>
    <xf numFmtId="4" fontId="46" fillId="11" borderId="15" xfId="22" applyNumberFormat="1" applyFont="1" applyFill="1" applyBorder="1" applyAlignment="1">
      <alignment horizontal="center" vertical="center"/>
    </xf>
    <xf numFmtId="4" fontId="46" fillId="11" borderId="13" xfId="22" applyNumberFormat="1" applyFont="1" applyFill="1" applyBorder="1" applyAlignment="1">
      <alignment horizontal="center" vertical="center"/>
    </xf>
    <xf numFmtId="0" fontId="7" fillId="0" borderId="12" xfId="22" applyFont="1" applyBorder="1"/>
    <xf numFmtId="4" fontId="4" fillId="0" borderId="15" xfId="22" applyNumberFormat="1" applyFont="1" applyBorder="1" applyAlignment="1">
      <alignment horizontal="center" vertical="center"/>
    </xf>
    <xf numFmtId="0" fontId="7" fillId="2" borderId="9" xfId="22" applyFont="1" applyFill="1" applyBorder="1"/>
    <xf numFmtId="4" fontId="10" fillId="12" borderId="15" xfId="22" applyNumberFormat="1" applyFont="1" applyFill="1" applyBorder="1" applyAlignment="1">
      <alignment horizontal="center" vertical="center"/>
    </xf>
    <xf numFmtId="184" fontId="7" fillId="2" borderId="0" xfId="22" applyNumberFormat="1" applyFont="1" applyFill="1" applyAlignment="1">
      <alignment horizontal="center" vertical="center"/>
    </xf>
    <xf numFmtId="4" fontId="7" fillId="2" borderId="0" xfId="22" applyNumberFormat="1" applyFont="1" applyFill="1" applyAlignment="1">
      <alignment horizontal="center" vertical="center"/>
    </xf>
    <xf numFmtId="0" fontId="7" fillId="2" borderId="0" xfId="22" applyFont="1" applyFill="1" applyAlignment="1">
      <alignment horizontal="center" vertical="center"/>
    </xf>
    <xf numFmtId="184" fontId="7" fillId="2" borderId="0" xfId="22" applyNumberFormat="1" applyFont="1" applyFill="1" applyAlignment="1">
      <alignment horizontal="center"/>
    </xf>
    <xf numFmtId="4" fontId="7" fillId="2" borderId="0" xfId="22" applyNumberFormat="1" applyFont="1" applyFill="1" applyAlignment="1">
      <alignment horizontal="center"/>
    </xf>
    <xf numFmtId="0" fontId="7" fillId="2" borderId="0" xfId="22" applyFont="1" applyFill="1" applyAlignment="1">
      <alignment horizontal="center"/>
    </xf>
    <xf numFmtId="0" fontId="4" fillId="2" borderId="0" xfId="22" applyFont="1" applyFill="1" applyAlignment="1">
      <alignment horizontal="center" vertical="center"/>
    </xf>
    <xf numFmtId="0" fontId="4" fillId="0" borderId="7" xfId="22" applyFont="1" applyBorder="1" applyAlignment="1">
      <alignment horizontal="center" vertical="center"/>
    </xf>
    <xf numFmtId="0" fontId="4" fillId="0" borderId="7" xfId="22" applyFont="1" applyBorder="1" applyAlignment="1">
      <alignment horizontal="center" vertical="center" wrapText="1"/>
    </xf>
    <xf numFmtId="0" fontId="4" fillId="0" borderId="8" xfId="22" applyFont="1" applyBorder="1" applyAlignment="1">
      <alignment horizontal="center" vertical="center"/>
    </xf>
    <xf numFmtId="0" fontId="46" fillId="11" borderId="11" xfId="22" applyFont="1" applyFill="1" applyBorder="1" applyAlignment="1">
      <alignment horizontal="center" vertical="center"/>
    </xf>
    <xf numFmtId="0" fontId="46" fillId="11" borderId="11" xfId="22" applyFont="1" applyFill="1" applyBorder="1" applyAlignment="1">
      <alignment horizontal="left" vertical="center"/>
    </xf>
    <xf numFmtId="166" fontId="46" fillId="11" borderId="11" xfId="22" applyNumberFormat="1" applyFont="1" applyFill="1" applyBorder="1" applyAlignment="1">
      <alignment horizontal="center" vertical="center"/>
    </xf>
    <xf numFmtId="4" fontId="7" fillId="2" borderId="15" xfId="22" applyNumberFormat="1" applyFont="1" applyFill="1" applyBorder="1" applyAlignment="1">
      <alignment horizontal="center" vertical="center"/>
    </xf>
    <xf numFmtId="166" fontId="7" fillId="2" borderId="0" xfId="22" applyNumberFormat="1" applyFont="1" applyFill="1" applyAlignment="1">
      <alignment horizontal="center"/>
    </xf>
    <xf numFmtId="166" fontId="7" fillId="0" borderId="15" xfId="24" applyNumberFormat="1" applyFont="1" applyBorder="1" applyAlignment="1">
      <alignment horizontal="center" vertical="center"/>
    </xf>
    <xf numFmtId="0" fontId="7" fillId="0" borderId="7" xfId="24" applyFont="1" applyBorder="1" applyAlignment="1">
      <alignment horizontal="center" vertical="center"/>
    </xf>
    <xf numFmtId="0" fontId="7" fillId="0" borderId="14" xfId="24" applyFont="1" applyBorder="1" applyAlignment="1">
      <alignment horizontal="center" vertical="center"/>
    </xf>
    <xf numFmtId="0" fontId="7" fillId="0" borderId="14" xfId="24" applyFont="1" applyBorder="1" applyAlignment="1">
      <alignment horizontal="center" vertical="center" wrapText="1"/>
    </xf>
    <xf numFmtId="0" fontId="4" fillId="9" borderId="8" xfId="24" applyFont="1" applyFill="1" applyBorder="1" applyAlignment="1">
      <alignment horizontal="center" vertical="center"/>
    </xf>
    <xf numFmtId="0" fontId="7" fillId="0" borderId="15" xfId="24" applyFont="1" applyBorder="1" applyAlignment="1">
      <alignment horizontal="left" vertical="center" wrapText="1"/>
    </xf>
    <xf numFmtId="184" fontId="7" fillId="0" borderId="15" xfId="24" applyNumberFormat="1" applyFont="1" applyBorder="1" applyAlignment="1">
      <alignment horizontal="right" vertical="center" wrapText="1"/>
    </xf>
    <xf numFmtId="4" fontId="7" fillId="2" borderId="15" xfId="24" applyNumberFormat="1" applyFont="1" applyFill="1" applyBorder="1" applyAlignment="1">
      <alignment horizontal="center" vertical="center"/>
    </xf>
    <xf numFmtId="4" fontId="7" fillId="0" borderId="15" xfId="24" applyNumberFormat="1" applyFont="1" applyBorder="1" applyAlignment="1">
      <alignment horizontal="center" vertical="center"/>
    </xf>
    <xf numFmtId="4" fontId="7" fillId="2" borderId="37" xfId="24" applyNumberFormat="1" applyFont="1" applyFill="1" applyBorder="1" applyAlignment="1">
      <alignment vertical="center"/>
    </xf>
    <xf numFmtId="4" fontId="7" fillId="2" borderId="37" xfId="24" applyNumberFormat="1" applyFont="1" applyFill="1" applyBorder="1" applyAlignment="1">
      <alignment horizontal="center" vertical="center"/>
    </xf>
    <xf numFmtId="4" fontId="10" fillId="4" borderId="15" xfId="24" applyNumberFormat="1" applyFont="1" applyFill="1" applyBorder="1" applyAlignment="1">
      <alignment horizontal="right" vertical="center" indent="1"/>
    </xf>
    <xf numFmtId="4" fontId="10" fillId="4" borderId="15" xfId="24" applyNumberFormat="1" applyFont="1" applyFill="1" applyBorder="1" applyAlignment="1">
      <alignment horizontal="center" vertical="center"/>
    </xf>
    <xf numFmtId="49" fontId="10" fillId="4" borderId="8" xfId="24" applyNumberFormat="1" applyFont="1" applyFill="1" applyBorder="1" applyAlignment="1">
      <alignment horizontal="right" vertical="center"/>
    </xf>
    <xf numFmtId="49" fontId="10" fillId="4" borderId="12" xfId="24" applyNumberFormat="1" applyFont="1" applyFill="1" applyBorder="1" applyAlignment="1">
      <alignment horizontal="right" vertical="center"/>
    </xf>
    <xf numFmtId="4" fontId="10" fillId="4" borderId="12" xfId="24" applyNumberFormat="1" applyFont="1" applyFill="1" applyBorder="1" applyAlignment="1">
      <alignment horizontal="right" vertical="center" indent="1"/>
    </xf>
    <xf numFmtId="4" fontId="10" fillId="4" borderId="13" xfId="24" applyNumberFormat="1" applyFont="1" applyFill="1" applyBorder="1" applyAlignment="1">
      <alignment horizontal="center" vertical="center"/>
    </xf>
    <xf numFmtId="1" fontId="7" fillId="0" borderId="15" xfId="24" applyNumberFormat="1" applyFont="1" applyBorder="1" applyAlignment="1">
      <alignment horizontal="center" vertical="center"/>
    </xf>
    <xf numFmtId="0" fontId="7" fillId="2" borderId="37" xfId="24" applyFont="1" applyFill="1" applyBorder="1" applyAlignment="1">
      <alignment horizontal="center" vertical="center" wrapText="1"/>
    </xf>
    <xf numFmtId="4" fontId="7" fillId="0" borderId="15" xfId="3" applyNumberFormat="1" applyFont="1" applyBorder="1" applyAlignment="1">
      <alignment horizontal="center" vertical="center"/>
    </xf>
    <xf numFmtId="172" fontId="7" fillId="0" borderId="15" xfId="24" applyNumberFormat="1" applyFont="1" applyBorder="1" applyAlignment="1">
      <alignment horizontal="center" vertical="center" wrapText="1"/>
    </xf>
    <xf numFmtId="184" fontId="8" fillId="0" borderId="0" xfId="0" applyNumberFormat="1" applyFont="1" applyAlignment="1">
      <alignment vertical="center"/>
    </xf>
    <xf numFmtId="4" fontId="7" fillId="2" borderId="15" xfId="3" applyNumberFormat="1" applyFont="1" applyFill="1" applyBorder="1" applyAlignment="1">
      <alignment horizontal="center" vertical="center"/>
    </xf>
    <xf numFmtId="1" fontId="7" fillId="2" borderId="37" xfId="24" applyNumberFormat="1" applyFont="1" applyFill="1" applyBorder="1" applyAlignment="1">
      <alignment horizontal="center" vertical="center"/>
    </xf>
    <xf numFmtId="0" fontId="7" fillId="2" borderId="37" xfId="24" applyFont="1" applyFill="1" applyBorder="1" applyAlignment="1">
      <alignment vertical="center" wrapText="1"/>
    </xf>
    <xf numFmtId="0" fontId="7" fillId="2" borderId="37" xfId="24" applyFont="1" applyFill="1" applyBorder="1" applyAlignment="1">
      <alignment horizontal="center" vertical="center"/>
    </xf>
    <xf numFmtId="4" fontId="7" fillId="2" borderId="37" xfId="24" applyNumberFormat="1" applyFont="1" applyFill="1" applyBorder="1" applyAlignment="1">
      <alignment vertical="center" wrapText="1"/>
    </xf>
    <xf numFmtId="167" fontId="7" fillId="2" borderId="37" xfId="24" applyNumberFormat="1" applyFont="1" applyFill="1" applyBorder="1" applyAlignment="1">
      <alignment horizontal="center" vertical="center"/>
    </xf>
    <xf numFmtId="184" fontId="7" fillId="2" borderId="37" xfId="24" applyNumberFormat="1" applyFont="1" applyFill="1" applyBorder="1" applyAlignment="1">
      <alignment horizontal="center" vertical="center" wrapText="1"/>
    </xf>
    <xf numFmtId="4" fontId="7" fillId="2" borderId="38" xfId="3" applyNumberFormat="1" applyFont="1" applyFill="1" applyBorder="1" applyAlignment="1">
      <alignment horizontal="center" vertical="center"/>
    </xf>
    <xf numFmtId="4" fontId="10" fillId="4" borderId="15" xfId="24" applyNumberFormat="1" applyFont="1" applyFill="1" applyBorder="1" applyAlignment="1">
      <alignment vertical="center"/>
    </xf>
    <xf numFmtId="4" fontId="7" fillId="2" borderId="15" xfId="3" applyNumberFormat="1" applyFont="1" applyFill="1" applyBorder="1" applyAlignment="1">
      <alignment vertical="center"/>
    </xf>
    <xf numFmtId="4" fontId="7" fillId="2" borderId="38" xfId="3" applyNumberFormat="1" applyFont="1" applyFill="1" applyBorder="1" applyAlignment="1">
      <alignment vertical="center"/>
    </xf>
    <xf numFmtId="4" fontId="7" fillId="0" borderId="15" xfId="3" applyNumberFormat="1" applyFont="1" applyBorder="1" applyAlignment="1">
      <alignment vertical="center"/>
    </xf>
    <xf numFmtId="4" fontId="7" fillId="0" borderId="39" xfId="3" applyNumberFormat="1" applyFont="1" applyBorder="1" applyAlignment="1">
      <alignment vertical="center"/>
    </xf>
    <xf numFmtId="4" fontId="7" fillId="2" borderId="0" xfId="22" applyNumberFormat="1" applyFont="1" applyFill="1"/>
    <xf numFmtId="0" fontId="8" fillId="0" borderId="0" xfId="27" applyFont="1"/>
    <xf numFmtId="0" fontId="17" fillId="0" borderId="7" xfId="27" applyFont="1" applyBorder="1" applyAlignment="1">
      <alignment horizontal="center" vertical="center"/>
    </xf>
    <xf numFmtId="0" fontId="46" fillId="0" borderId="15" xfId="12" applyFont="1" applyBorder="1" applyAlignment="1">
      <alignment horizontal="left" vertical="center"/>
    </xf>
    <xf numFmtId="2" fontId="8" fillId="0" borderId="15" xfId="27" applyNumberFormat="1" applyFont="1" applyBorder="1" applyAlignment="1">
      <alignment horizontal="center" vertical="center"/>
    </xf>
    <xf numFmtId="4" fontId="46" fillId="0" borderId="15" xfId="12" applyNumberFormat="1" applyFont="1" applyBorder="1" applyAlignment="1">
      <alignment horizontal="center" vertical="center" wrapText="1"/>
    </xf>
    <xf numFmtId="4" fontId="7" fillId="2" borderId="15" xfId="12" applyNumberFormat="1" applyFont="1" applyFill="1" applyBorder="1" applyAlignment="1">
      <alignment horizontal="center" vertical="center" wrapText="1"/>
    </xf>
    <xf numFmtId="2" fontId="46" fillId="0" borderId="15" xfId="12" applyNumberFormat="1" applyFont="1" applyBorder="1" applyAlignment="1">
      <alignment horizontal="center" vertical="center" wrapText="1"/>
    </xf>
    <xf numFmtId="4" fontId="46" fillId="13" borderId="0" xfId="12" applyNumberFormat="1" applyFont="1" applyFill="1" applyAlignment="1">
      <alignment horizontal="center" vertical="center"/>
    </xf>
    <xf numFmtId="4" fontId="8" fillId="0" borderId="0" xfId="27" applyNumberFormat="1" applyFont="1"/>
    <xf numFmtId="2" fontId="10" fillId="3" borderId="15" xfId="12" applyNumberFormat="1" applyFont="1" applyFill="1" applyBorder="1" applyAlignment="1">
      <alignment horizontal="center" vertical="center"/>
    </xf>
    <xf numFmtId="0" fontId="8" fillId="0" borderId="0" xfId="27" applyFont="1" applyAlignment="1">
      <alignment horizontal="center"/>
    </xf>
    <xf numFmtId="0" fontId="4" fillId="0" borderId="7" xfId="27" applyFont="1" applyBorder="1" applyAlignment="1">
      <alignment horizontal="center" vertical="center" wrapText="1"/>
    </xf>
    <xf numFmtId="0" fontId="4" fillId="0" borderId="4" xfId="27" applyFont="1" applyBorder="1" applyAlignment="1">
      <alignment horizontal="center" vertical="center"/>
    </xf>
    <xf numFmtId="0" fontId="8" fillId="0" borderId="15" xfId="27" applyFont="1" applyBorder="1" applyAlignment="1">
      <alignment horizontal="center" vertical="center"/>
    </xf>
    <xf numFmtId="0" fontId="7" fillId="0" borderId="15" xfId="12" applyFont="1" applyBorder="1" applyAlignment="1">
      <alignment horizontal="left" vertical="center"/>
    </xf>
    <xf numFmtId="172" fontId="8" fillId="0" borderId="15" xfId="28" applyNumberFormat="1" applyFont="1" applyBorder="1" applyAlignment="1">
      <alignment horizontal="center" vertical="center"/>
    </xf>
    <xf numFmtId="1" fontId="8" fillId="0" borderId="15" xfId="28" applyNumberFormat="1" applyFont="1" applyFill="1" applyBorder="1" applyAlignment="1">
      <alignment horizontal="center" vertical="center"/>
    </xf>
    <xf numFmtId="2" fontId="8" fillId="0" borderId="15" xfId="28" applyNumberFormat="1" applyFont="1" applyBorder="1" applyAlignment="1">
      <alignment horizontal="center" vertical="center"/>
    </xf>
    <xf numFmtId="3" fontId="10" fillId="3" borderId="9" xfId="27" applyNumberFormat="1" applyFont="1" applyFill="1" applyBorder="1" applyAlignment="1">
      <alignment horizontal="center" vertical="center"/>
    </xf>
    <xf numFmtId="4" fontId="10" fillId="3" borderId="14" xfId="27" applyNumberFormat="1" applyFont="1" applyFill="1" applyBorder="1" applyAlignment="1">
      <alignment horizontal="right" vertical="center"/>
    </xf>
    <xf numFmtId="4" fontId="10" fillId="3" borderId="14" xfId="27" applyNumberFormat="1" applyFont="1" applyFill="1" applyBorder="1" applyAlignment="1">
      <alignment horizontal="center" vertical="center"/>
    </xf>
    <xf numFmtId="0" fontId="7" fillId="0" borderId="0" xfId="12" applyFont="1"/>
    <xf numFmtId="0" fontId="4" fillId="0" borderId="0" xfId="12" applyFont="1"/>
    <xf numFmtId="2" fontId="7" fillId="0" borderId="0" xfId="12" applyNumberFormat="1" applyFont="1"/>
    <xf numFmtId="0" fontId="7" fillId="0" borderId="0" xfId="12" applyFont="1" applyAlignment="1">
      <alignment horizontal="center"/>
    </xf>
    <xf numFmtId="0" fontId="65" fillId="2" borderId="11" xfId="12" applyFont="1" applyFill="1" applyBorder="1" applyAlignment="1">
      <alignment horizontal="center" vertical="center"/>
    </xf>
    <xf numFmtId="0" fontId="65" fillId="2" borderId="15" xfId="12" applyFont="1" applyFill="1" applyBorder="1" applyAlignment="1">
      <alignment horizontal="center" vertical="center"/>
    </xf>
    <xf numFmtId="0" fontId="64" fillId="0" borderId="14" xfId="12" applyFont="1" applyBorder="1" applyAlignment="1">
      <alignment horizontal="center" vertical="center"/>
    </xf>
    <xf numFmtId="0" fontId="8" fillId="0" borderId="15" xfId="27" applyFont="1" applyBorder="1"/>
    <xf numFmtId="192" fontId="7" fillId="0" borderId="15" xfId="12" applyNumberFormat="1" applyFont="1" applyBorder="1" applyAlignment="1">
      <alignment horizontal="center" vertical="center"/>
    </xf>
    <xf numFmtId="192" fontId="7" fillId="0" borderId="15" xfId="27" applyNumberFormat="1" applyFont="1" applyBorder="1" applyAlignment="1">
      <alignment horizontal="center"/>
    </xf>
    <xf numFmtId="0" fontId="7" fillId="0" borderId="11" xfId="12" applyFont="1" applyBorder="1" applyAlignment="1">
      <alignment horizontal="left" vertical="center"/>
    </xf>
    <xf numFmtId="192" fontId="7" fillId="2" borderId="15" xfId="12" applyNumberFormat="1" applyFont="1" applyFill="1" applyBorder="1" applyAlignment="1">
      <alignment horizontal="center" vertical="center"/>
    </xf>
    <xf numFmtId="192" fontId="4" fillId="0" borderId="15" xfId="27" applyNumberFormat="1" applyFont="1" applyBorder="1" applyAlignment="1">
      <alignment horizontal="center"/>
    </xf>
    <xf numFmtId="193" fontId="10" fillId="3" borderId="12" xfId="12" applyNumberFormat="1" applyFont="1" applyFill="1" applyBorder="1" applyAlignment="1">
      <alignment vertical="center"/>
    </xf>
    <xf numFmtId="0" fontId="36" fillId="0" borderId="0" xfId="27" applyFont="1"/>
    <xf numFmtId="0" fontId="7" fillId="0" borderId="0" xfId="27" applyFont="1"/>
    <xf numFmtId="189" fontId="64" fillId="0" borderId="15" xfId="3" applyNumberFormat="1" applyFont="1" applyBorder="1" applyAlignment="1">
      <alignment horizontal="center" vertical="center" wrapText="1"/>
    </xf>
    <xf numFmtId="0" fontId="54" fillId="0" borderId="15" xfId="12" applyFont="1" applyBorder="1" applyAlignment="1">
      <alignment horizontal="left" vertical="center"/>
    </xf>
    <xf numFmtId="4" fontId="54" fillId="2" borderId="15" xfId="12" applyNumberFormat="1" applyFont="1" applyFill="1" applyBorder="1" applyAlignment="1">
      <alignment horizontal="center" vertical="center"/>
    </xf>
    <xf numFmtId="4" fontId="54" fillId="0" borderId="15" xfId="12" applyNumberFormat="1" applyFont="1" applyBorder="1" applyAlignment="1">
      <alignment horizontal="center" vertical="center"/>
    </xf>
    <xf numFmtId="0" fontId="64" fillId="0" borderId="15" xfId="12" applyFont="1" applyBorder="1" applyAlignment="1">
      <alignment horizontal="center" vertical="center"/>
    </xf>
    <xf numFmtId="2" fontId="66" fillId="2" borderId="7" xfId="12" applyNumberFormat="1" applyFont="1" applyFill="1" applyBorder="1" applyAlignment="1">
      <alignment horizontal="center" vertical="center"/>
    </xf>
    <xf numFmtId="0" fontId="54" fillId="0" borderId="0" xfId="27" applyFont="1"/>
    <xf numFmtId="4" fontId="64" fillId="0" borderId="15" xfId="12" applyNumberFormat="1" applyFont="1" applyBorder="1" applyAlignment="1">
      <alignment horizontal="center" vertical="center"/>
    </xf>
    <xf numFmtId="180" fontId="64" fillId="0" borderId="0" xfId="12" applyNumberFormat="1" applyFont="1" applyAlignment="1">
      <alignment vertical="center"/>
    </xf>
    <xf numFmtId="49" fontId="64" fillId="0" borderId="0" xfId="12" applyNumberFormat="1" applyFont="1" applyAlignment="1">
      <alignment vertical="center"/>
    </xf>
    <xf numFmtId="0" fontId="64" fillId="0" borderId="0" xfId="12" applyFont="1" applyAlignment="1">
      <alignment vertical="center"/>
    </xf>
    <xf numFmtId="0" fontId="54" fillId="2" borderId="15" xfId="12" applyFont="1" applyFill="1" applyBorder="1" applyAlignment="1">
      <alignment horizontal="left" vertical="center"/>
    </xf>
    <xf numFmtId="1" fontId="54" fillId="2" borderId="7" xfId="12" applyNumberFormat="1" applyFont="1" applyFill="1" applyBorder="1" applyAlignment="1">
      <alignment horizontal="center" vertical="center"/>
    </xf>
    <xf numFmtId="2" fontId="54" fillId="2" borderId="7" xfId="12" applyNumberFormat="1" applyFont="1" applyFill="1" applyBorder="1" applyAlignment="1">
      <alignment horizontal="center" vertical="center"/>
    </xf>
    <xf numFmtId="49" fontId="64" fillId="0" borderId="15" xfId="12" applyNumberFormat="1" applyFont="1" applyBorder="1" applyAlignment="1">
      <alignment vertical="center"/>
    </xf>
    <xf numFmtId="49" fontId="64" fillId="0" borderId="15" xfId="12" applyNumberFormat="1" applyFont="1" applyBorder="1" applyAlignment="1">
      <alignment horizontal="right" vertical="center"/>
    </xf>
    <xf numFmtId="0" fontId="7" fillId="0" borderId="0" xfId="27" applyFont="1" applyAlignment="1">
      <alignment horizontal="center"/>
    </xf>
    <xf numFmtId="0" fontId="7" fillId="2" borderId="0" xfId="27" applyFont="1" applyFill="1"/>
    <xf numFmtId="0" fontId="7" fillId="2" borderId="0" xfId="27" applyFont="1" applyFill="1" applyAlignment="1">
      <alignment horizontal="center"/>
    </xf>
    <xf numFmtId="0" fontId="4" fillId="0" borderId="3" xfId="12" applyFont="1" applyBorder="1" applyAlignment="1">
      <alignment horizontal="center" vertical="center"/>
    </xf>
    <xf numFmtId="0" fontId="4" fillId="0" borderId="9" xfId="12" applyFont="1" applyBorder="1" applyAlignment="1">
      <alignment horizontal="center" vertical="center"/>
    </xf>
    <xf numFmtId="0" fontId="4" fillId="0" borderId="10" xfId="12" applyFont="1" applyBorder="1" applyAlignment="1">
      <alignment horizontal="center" vertical="center"/>
    </xf>
    <xf numFmtId="0" fontId="7" fillId="2" borderId="15" xfId="12" applyFont="1" applyFill="1" applyBorder="1" applyAlignment="1">
      <alignment horizontal="center" vertical="center"/>
    </xf>
    <xf numFmtId="0" fontId="7" fillId="2" borderId="15" xfId="12" applyFont="1" applyFill="1" applyBorder="1" applyAlignment="1">
      <alignment horizontal="left" vertical="center"/>
    </xf>
    <xf numFmtId="4" fontId="10" fillId="3" borderId="15" xfId="27" applyNumberFormat="1" applyFont="1" applyFill="1" applyBorder="1" applyAlignment="1">
      <alignment horizontal="center" vertical="center"/>
    </xf>
    <xf numFmtId="0" fontId="16" fillId="3" borderId="9" xfId="27" applyFont="1" applyFill="1" applyBorder="1"/>
    <xf numFmtId="0" fontId="7" fillId="0" borderId="0" xfId="29" applyFont="1"/>
    <xf numFmtId="0" fontId="4" fillId="0" borderId="15" xfId="29" applyFont="1" applyBorder="1" applyAlignment="1" applyProtection="1">
      <alignment horizontal="center" vertical="center" wrapText="1"/>
      <protection locked="0"/>
    </xf>
    <xf numFmtId="2" fontId="4" fillId="0" borderId="15" xfId="29" applyNumberFormat="1" applyFont="1" applyBorder="1" applyAlignment="1" applyProtection="1">
      <alignment horizontal="center" vertical="center" wrapText="1"/>
      <protection locked="0"/>
    </xf>
    <xf numFmtId="172" fontId="4" fillId="0" borderId="15" xfId="29" applyNumberFormat="1" applyFont="1" applyBorder="1" applyAlignment="1" applyProtection="1">
      <alignment horizontal="center" vertical="center" wrapText="1"/>
      <protection locked="0"/>
    </xf>
    <xf numFmtId="175" fontId="4" fillId="0" borderId="15" xfId="29" applyNumberFormat="1" applyFont="1" applyBorder="1" applyAlignment="1" applyProtection="1">
      <alignment horizontal="center" vertical="center" wrapText="1"/>
      <protection locked="0"/>
    </xf>
    <xf numFmtId="0" fontId="7" fillId="0" borderId="15" xfId="29" applyFont="1" applyBorder="1"/>
    <xf numFmtId="0" fontId="3" fillId="2" borderId="15" xfId="0" applyFont="1" applyFill="1" applyBorder="1" applyAlignment="1" applyProtection="1">
      <alignment horizontal="left" vertical="top"/>
      <protection locked="0"/>
    </xf>
    <xf numFmtId="0" fontId="3" fillId="2" borderId="15" xfId="0" applyFont="1" applyFill="1" applyBorder="1" applyAlignment="1" applyProtection="1">
      <alignment horizontal="center" vertical="top"/>
      <protection locked="0"/>
    </xf>
    <xf numFmtId="0" fontId="68" fillId="2" borderId="15" xfId="0" applyFont="1" applyFill="1" applyBorder="1" applyAlignment="1" applyProtection="1">
      <alignment horizontal="left" vertical="top"/>
      <protection locked="0"/>
    </xf>
    <xf numFmtId="0" fontId="68" fillId="2" borderId="15" xfId="0" applyFont="1" applyFill="1" applyBorder="1" applyAlignment="1" applyProtection="1">
      <alignment horizontal="center" vertical="top"/>
      <protection locked="0"/>
    </xf>
    <xf numFmtId="172" fontId="7" fillId="0" borderId="0" xfId="29" applyNumberFormat="1" applyFont="1"/>
    <xf numFmtId="0" fontId="32" fillId="0" borderId="0" xfId="12" applyFont="1" applyAlignment="1">
      <alignment vertical="center"/>
    </xf>
    <xf numFmtId="0" fontId="32" fillId="10" borderId="0" xfId="12" applyFont="1" applyFill="1"/>
    <xf numFmtId="189" fontId="4" fillId="0" borderId="15" xfId="3" applyNumberFormat="1" applyFont="1" applyBorder="1" applyAlignment="1">
      <alignment horizontal="center" vertical="center" wrapText="1"/>
    </xf>
    <xf numFmtId="189" fontId="32" fillId="0" borderId="0" xfId="3" applyNumberFormat="1" applyFont="1" applyAlignment="1">
      <alignment horizontal="center" vertical="center" wrapText="1"/>
    </xf>
    <xf numFmtId="0" fontId="69" fillId="14" borderId="15" xfId="0" applyFont="1" applyFill="1" applyBorder="1" applyAlignment="1" applyProtection="1">
      <alignment horizontal="center" vertical="center"/>
      <protection locked="0"/>
    </xf>
    <xf numFmtId="2" fontId="69" fillId="0" borderId="15" xfId="0" applyNumberFormat="1"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70" fillId="14" borderId="15" xfId="0" applyFont="1" applyFill="1" applyBorder="1" applyAlignment="1">
      <alignment horizontal="center" vertical="center"/>
    </xf>
    <xf numFmtId="2" fontId="3" fillId="2" borderId="15" xfId="0" applyNumberFormat="1" applyFont="1" applyFill="1" applyBorder="1" applyAlignment="1" applyProtection="1">
      <alignment horizontal="center" vertical="top"/>
      <protection locked="0"/>
    </xf>
    <xf numFmtId="0" fontId="68" fillId="2" borderId="15" xfId="0" applyFont="1" applyFill="1" applyBorder="1" applyAlignment="1">
      <alignment horizontal="left" vertical="top"/>
    </xf>
    <xf numFmtId="0" fontId="3" fillId="2" borderId="15" xfId="0" applyFont="1" applyFill="1" applyBorder="1" applyAlignment="1" applyProtection="1">
      <alignment horizontal="center" vertical="center"/>
      <protection locked="0"/>
    </xf>
    <xf numFmtId="0" fontId="3" fillId="2" borderId="14" xfId="0" applyFont="1" applyFill="1" applyBorder="1" applyAlignment="1" applyProtection="1">
      <alignment horizontal="center" vertical="top"/>
      <protection locked="0"/>
    </xf>
    <xf numFmtId="0" fontId="4" fillId="10" borderId="0" xfId="12" applyFont="1" applyFill="1"/>
    <xf numFmtId="189" fontId="4" fillId="0" borderId="0" xfId="3" applyNumberFormat="1" applyFont="1" applyAlignment="1">
      <alignment horizontal="center" vertical="center" wrapText="1"/>
    </xf>
    <xf numFmtId="0" fontId="7" fillId="2" borderId="15" xfId="0" applyFont="1" applyFill="1" applyBorder="1" applyAlignment="1">
      <alignment horizontal="center" vertical="center"/>
    </xf>
    <xf numFmtId="4" fontId="7" fillId="2" borderId="15" xfId="0" applyNumberFormat="1" applyFont="1" applyFill="1" applyBorder="1" applyAlignment="1">
      <alignment horizontal="center" vertical="center" wrapText="1"/>
    </xf>
    <xf numFmtId="2" fontId="7" fillId="0" borderId="15" xfId="0" applyNumberFormat="1" applyFont="1" applyBorder="1" applyAlignment="1">
      <alignment horizontal="center" vertical="center" wrapText="1"/>
    </xf>
    <xf numFmtId="2" fontId="7" fillId="2" borderId="15" xfId="0" applyNumberFormat="1" applyFont="1" applyFill="1" applyBorder="1" applyAlignment="1">
      <alignment horizontal="center" vertical="center" wrapText="1"/>
    </xf>
    <xf numFmtId="2" fontId="7" fillId="14" borderId="15" xfId="0" applyNumberFormat="1" applyFont="1" applyFill="1" applyBorder="1" applyAlignment="1" applyProtection="1">
      <alignment horizontal="center" vertical="center"/>
      <protection locked="0"/>
    </xf>
    <xf numFmtId="0" fontId="7" fillId="0" borderId="15" xfId="0" applyFont="1" applyBorder="1"/>
    <xf numFmtId="4" fontId="4" fillId="0" borderId="15" xfId="0" applyNumberFormat="1" applyFont="1" applyBorder="1" applyAlignment="1">
      <alignment horizontal="center" vertical="center" wrapText="1"/>
    </xf>
    <xf numFmtId="2" fontId="7" fillId="14" borderId="0" xfId="0" applyNumberFormat="1" applyFont="1" applyFill="1" applyAlignment="1" applyProtection="1">
      <alignment horizontal="center" vertical="center"/>
      <protection locked="0"/>
    </xf>
    <xf numFmtId="4" fontId="10" fillId="3" borderId="15" xfId="0" applyNumberFormat="1" applyFont="1" applyFill="1" applyBorder="1" applyAlignment="1">
      <alignment horizontal="center" vertical="center" wrapText="1"/>
    </xf>
    <xf numFmtId="4" fontId="4" fillId="0" borderId="15" xfId="0" applyNumberFormat="1" applyFont="1" applyBorder="1" applyAlignment="1">
      <alignment vertical="center"/>
    </xf>
    <xf numFmtId="4" fontId="10" fillId="3" borderId="15" xfId="0" applyNumberFormat="1" applyFont="1" applyFill="1" applyBorder="1" applyAlignment="1">
      <alignment vertical="center"/>
    </xf>
    <xf numFmtId="4" fontId="10" fillId="3" borderId="15" xfId="0" applyNumberFormat="1" applyFont="1" applyFill="1" applyBorder="1" applyAlignment="1">
      <alignment horizontal="right" vertical="center" wrapText="1"/>
    </xf>
    <xf numFmtId="4" fontId="7" fillId="0" borderId="15" xfId="0" applyNumberFormat="1" applyFont="1" applyBorder="1" applyAlignment="1">
      <alignment horizontal="center" vertical="center" wrapText="1"/>
    </xf>
    <xf numFmtId="2" fontId="10" fillId="3" borderId="15" xfId="0" applyNumberFormat="1" applyFont="1" applyFill="1" applyBorder="1" applyAlignment="1">
      <alignment horizontal="center" vertical="center" wrapText="1"/>
    </xf>
    <xf numFmtId="4" fontId="4" fillId="0" borderId="0" xfId="0" applyNumberFormat="1" applyFont="1" applyAlignment="1">
      <alignment vertical="center"/>
    </xf>
    <xf numFmtId="4" fontId="4" fillId="0" borderId="0" xfId="0" applyNumberFormat="1" applyFont="1" applyAlignment="1">
      <alignment vertical="center" wrapText="1"/>
    </xf>
    <xf numFmtId="4" fontId="4" fillId="0" borderId="14" xfId="0" applyNumberFormat="1" applyFont="1" applyBorder="1" applyAlignment="1">
      <alignment horizontal="right" vertical="center" wrapText="1"/>
    </xf>
    <xf numFmtId="4" fontId="4" fillId="0" borderId="14" xfId="0" applyNumberFormat="1" applyFont="1" applyBorder="1" applyAlignment="1">
      <alignment horizontal="center" vertical="center" wrapText="1"/>
    </xf>
    <xf numFmtId="4" fontId="4" fillId="0" borderId="0" xfId="0" applyNumberFormat="1" applyFont="1" applyAlignment="1">
      <alignment horizontal="center" vertical="center" wrapText="1"/>
    </xf>
    <xf numFmtId="2" fontId="3" fillId="0" borderId="15" xfId="0" applyNumberFormat="1" applyFont="1" applyBorder="1" applyAlignment="1">
      <alignment horizontal="center" vertical="center" wrapText="1"/>
    </xf>
    <xf numFmtId="4" fontId="10" fillId="3" borderId="15" xfId="0" applyNumberFormat="1" applyFont="1" applyFill="1" applyBorder="1" applyAlignment="1">
      <alignment horizontal="center" vertical="center"/>
    </xf>
    <xf numFmtId="0" fontId="4" fillId="0" borderId="8" xfId="24" applyFont="1" applyBorder="1" applyAlignment="1">
      <alignment horizontal="center" vertical="center"/>
    </xf>
    <xf numFmtId="4" fontId="7" fillId="0" borderId="15" xfId="24" applyNumberFormat="1" applyFont="1" applyBorder="1" applyAlignment="1">
      <alignment horizontal="right" vertical="center" wrapText="1"/>
    </xf>
    <xf numFmtId="4" fontId="7" fillId="0" borderId="15" xfId="24" applyNumberFormat="1" applyFont="1" applyBorder="1" applyAlignment="1">
      <alignment horizontal="center" vertical="center" wrapText="1"/>
    </xf>
    <xf numFmtId="4" fontId="10" fillId="3" borderId="15" xfId="24" applyNumberFormat="1" applyFont="1" applyFill="1" applyBorder="1" applyAlignment="1">
      <alignment horizontal="right" vertical="center" indent="1"/>
    </xf>
    <xf numFmtId="4" fontId="10" fillId="3" borderId="15" xfId="24" applyNumberFormat="1" applyFont="1" applyFill="1" applyBorder="1" applyAlignment="1">
      <alignment horizontal="center" vertical="center"/>
    </xf>
    <xf numFmtId="1" fontId="4" fillId="0" borderId="15" xfId="15" applyNumberFormat="1" applyFont="1" applyBorder="1" applyAlignment="1">
      <alignment horizontal="center" vertical="center" wrapText="1"/>
    </xf>
    <xf numFmtId="1" fontId="4" fillId="2" borderId="15" xfId="15" applyNumberFormat="1" applyFont="1" applyFill="1" applyBorder="1" applyAlignment="1">
      <alignment horizontal="center" vertical="center" wrapText="1"/>
    </xf>
    <xf numFmtId="3" fontId="7" fillId="2" borderId="15" xfId="22" applyNumberFormat="1" applyFont="1" applyFill="1" applyBorder="1" applyAlignment="1">
      <alignment horizontal="center" vertical="center"/>
    </xf>
    <xf numFmtId="2" fontId="72" fillId="15" borderId="15" xfId="4" applyNumberFormat="1" applyFont="1" applyFill="1" applyBorder="1" applyAlignment="1">
      <alignment horizontal="center" vertical="center"/>
    </xf>
    <xf numFmtId="2" fontId="71" fillId="0" borderId="15" xfId="4" applyNumberFormat="1" applyFont="1" applyBorder="1" applyAlignment="1">
      <alignment horizontal="center" vertical="center"/>
    </xf>
    <xf numFmtId="2" fontId="7" fillId="15" borderId="15" xfId="4" applyNumberFormat="1" applyFont="1" applyFill="1" applyBorder="1" applyAlignment="1">
      <alignment horizontal="center" vertical="center" wrapText="1"/>
    </xf>
    <xf numFmtId="1" fontId="7" fillId="15" borderId="15" xfId="15" applyNumberFormat="1" applyFont="1" applyFill="1" applyBorder="1" applyAlignment="1">
      <alignment horizontal="center" vertical="center" wrapText="1"/>
    </xf>
    <xf numFmtId="2" fontId="7" fillId="15" borderId="15" xfId="4" applyNumberFormat="1" applyFont="1" applyFill="1" applyBorder="1" applyAlignment="1">
      <alignment horizontal="center" vertical="center"/>
    </xf>
    <xf numFmtId="0" fontId="7" fillId="15" borderId="7" xfId="15" applyFont="1" applyFill="1" applyBorder="1" applyAlignment="1">
      <alignment vertical="center" wrapText="1"/>
    </xf>
    <xf numFmtId="0" fontId="7" fillId="15" borderId="7" xfId="15" applyFont="1" applyFill="1" applyBorder="1" applyAlignment="1">
      <alignment horizontal="center" vertical="center" wrapText="1"/>
    </xf>
    <xf numFmtId="43" fontId="7" fillId="15" borderId="15" xfId="1" applyFont="1" applyFill="1" applyBorder="1" applyAlignment="1">
      <alignment horizontal="right" vertical="center"/>
    </xf>
    <xf numFmtId="165" fontId="7" fillId="15" borderId="7" xfId="15" applyNumberFormat="1" applyFont="1" applyFill="1" applyBorder="1" applyAlignment="1">
      <alignment horizontal="right" vertical="center" wrapText="1"/>
    </xf>
    <xf numFmtId="165" fontId="7" fillId="15" borderId="15" xfId="14" applyNumberFormat="1" applyFont="1" applyFill="1" applyBorder="1" applyAlignment="1">
      <alignment horizontal="right" vertical="center"/>
    </xf>
    <xf numFmtId="165" fontId="7" fillId="15" borderId="15" xfId="4" applyNumberFormat="1" applyFont="1" applyFill="1" applyBorder="1" applyAlignment="1">
      <alignment vertical="center"/>
    </xf>
    <xf numFmtId="10" fontId="7" fillId="15" borderId="15" xfId="17" applyNumberFormat="1" applyFont="1" applyFill="1" applyBorder="1" applyAlignment="1">
      <alignment horizontal="right" vertical="center" wrapText="1"/>
    </xf>
    <xf numFmtId="10" fontId="4" fillId="8" borderId="12" xfId="2" applyNumberFormat="1" applyFont="1" applyFill="1" applyBorder="1" applyAlignment="1">
      <alignment vertical="center"/>
    </xf>
    <xf numFmtId="10" fontId="4" fillId="8" borderId="11" xfId="2" applyNumberFormat="1" applyFont="1" applyFill="1" applyBorder="1" applyAlignment="1">
      <alignment vertical="center"/>
    </xf>
    <xf numFmtId="10" fontId="4" fillId="8" borderId="15" xfId="2" applyNumberFormat="1" applyFont="1" applyFill="1" applyBorder="1" applyAlignment="1">
      <alignment vertical="center"/>
    </xf>
    <xf numFmtId="10" fontId="4" fillId="8" borderId="0" xfId="2" applyNumberFormat="1" applyFont="1" applyFill="1" applyBorder="1" applyAlignment="1">
      <alignment vertical="center"/>
    </xf>
    <xf numFmtId="10" fontId="4" fillId="8" borderId="12" xfId="2" applyNumberFormat="1" applyFont="1" applyFill="1" applyBorder="1" applyAlignment="1">
      <alignment horizontal="center" vertical="center"/>
    </xf>
    <xf numFmtId="10" fontId="4" fillId="8" borderId="11" xfId="2" applyNumberFormat="1" applyFont="1" applyFill="1" applyBorder="1" applyAlignment="1">
      <alignment horizontal="center" vertical="center"/>
    </xf>
    <xf numFmtId="10" fontId="4" fillId="8" borderId="15" xfId="2" applyNumberFormat="1" applyFont="1" applyFill="1" applyBorder="1" applyAlignment="1">
      <alignment horizontal="center" vertical="center"/>
    </xf>
    <xf numFmtId="10" fontId="4" fillId="8" borderId="0" xfId="2" applyNumberFormat="1" applyFont="1" applyFill="1" applyBorder="1" applyAlignment="1">
      <alignment horizontal="center" vertical="center"/>
    </xf>
    <xf numFmtId="0" fontId="7" fillId="2" borderId="2" xfId="0" applyFont="1" applyFill="1" applyBorder="1" applyAlignment="1">
      <alignment horizontal="center" vertical="center" wrapText="1"/>
    </xf>
    <xf numFmtId="0" fontId="4" fillId="2" borderId="12" xfId="0" applyFont="1" applyFill="1" applyBorder="1" applyAlignment="1">
      <alignment horizontal="center" vertical="center" wrapText="1"/>
    </xf>
    <xf numFmtId="10" fontId="7" fillId="0" borderId="12" xfId="2" applyNumberFormat="1" applyFont="1" applyFill="1" applyBorder="1" applyAlignment="1">
      <alignment horizontal="center" vertical="center" wrapText="1"/>
    </xf>
    <xf numFmtId="0" fontId="14" fillId="3" borderId="0" xfId="4" applyFont="1" applyFill="1" applyAlignment="1">
      <alignment vertical="center"/>
    </xf>
    <xf numFmtId="165" fontId="4" fillId="8" borderId="11" xfId="14" applyNumberFormat="1" applyFont="1" applyFill="1" applyBorder="1" applyAlignment="1">
      <alignment vertical="center"/>
    </xf>
    <xf numFmtId="165" fontId="4" fillId="8" borderId="15" xfId="14" applyNumberFormat="1" applyFont="1" applyFill="1" applyBorder="1" applyAlignment="1">
      <alignment vertical="center"/>
    </xf>
    <xf numFmtId="165" fontId="7" fillId="15" borderId="11" xfId="17" applyNumberFormat="1" applyFont="1" applyFill="1" applyBorder="1" applyAlignment="1">
      <alignment horizontal="right" vertical="center" wrapText="1"/>
    </xf>
    <xf numFmtId="165" fontId="7" fillId="15" borderId="15" xfId="17" applyNumberFormat="1" applyFont="1" applyFill="1" applyBorder="1" applyAlignment="1">
      <alignment horizontal="right" vertical="center" wrapText="1"/>
    </xf>
    <xf numFmtId="165" fontId="7" fillId="0" borderId="11" xfId="17" applyNumberFormat="1" applyFont="1" applyFill="1" applyBorder="1" applyAlignment="1">
      <alignment horizontal="right" vertical="center" wrapText="1"/>
    </xf>
    <xf numFmtId="165" fontId="7" fillId="0" borderId="15" xfId="17" applyNumberFormat="1" applyFont="1" applyFill="1" applyBorder="1" applyAlignment="1">
      <alignment horizontal="right" vertical="center" wrapText="1"/>
    </xf>
    <xf numFmtId="10" fontId="7" fillId="15" borderId="11" xfId="17" applyNumberFormat="1" applyFont="1" applyFill="1" applyBorder="1" applyAlignment="1">
      <alignment horizontal="right" vertical="center" wrapText="1"/>
    </xf>
    <xf numFmtId="165" fontId="4" fillId="8" borderId="1" xfId="14" applyNumberFormat="1" applyFont="1" applyFill="1" applyBorder="1" applyAlignment="1">
      <alignment vertical="center"/>
    </xf>
    <xf numFmtId="165" fontId="4" fillId="8" borderId="7" xfId="14" applyNumberFormat="1" applyFont="1" applyFill="1" applyBorder="1" applyAlignment="1">
      <alignment vertical="center"/>
    </xf>
    <xf numFmtId="10" fontId="7" fillId="0" borderId="1" xfId="17" applyNumberFormat="1" applyFont="1" applyFill="1" applyBorder="1" applyAlignment="1">
      <alignment horizontal="right" vertical="center" wrapText="1"/>
    </xf>
    <xf numFmtId="10" fontId="7" fillId="0" borderId="7" xfId="17" applyNumberFormat="1" applyFont="1" applyFill="1" applyBorder="1" applyAlignment="1">
      <alignment horizontal="right" vertical="center" wrapText="1"/>
    </xf>
    <xf numFmtId="10" fontId="4" fillId="8" borderId="8" xfId="2" applyNumberFormat="1" applyFont="1" applyFill="1" applyBorder="1" applyAlignment="1">
      <alignment vertical="center"/>
    </xf>
    <xf numFmtId="10" fontId="4" fillId="8" borderId="14" xfId="2" applyNumberFormat="1" applyFont="1" applyFill="1" applyBorder="1" applyAlignment="1">
      <alignment vertical="center"/>
    </xf>
    <xf numFmtId="165" fontId="7" fillId="0" borderId="8" xfId="17" applyNumberFormat="1" applyFont="1" applyFill="1" applyBorder="1" applyAlignment="1">
      <alignment horizontal="right" vertical="center" wrapText="1"/>
    </xf>
    <xf numFmtId="165" fontId="7" fillId="0" borderId="14" xfId="17" applyNumberFormat="1" applyFont="1" applyFill="1" applyBorder="1" applyAlignment="1">
      <alignment horizontal="right" vertical="center" wrapText="1"/>
    </xf>
    <xf numFmtId="166" fontId="7" fillId="16" borderId="15" xfId="6" applyNumberFormat="1" applyFont="1" applyFill="1" applyBorder="1" applyAlignment="1">
      <alignment horizontal="center" vertical="center" wrapText="1"/>
    </xf>
    <xf numFmtId="0" fontId="7" fillId="16" borderId="15" xfId="6" applyFont="1" applyFill="1" applyBorder="1" applyAlignment="1">
      <alignment horizontal="center" vertical="center" wrapText="1"/>
    </xf>
    <xf numFmtId="166" fontId="7" fillId="16" borderId="15" xfId="6" applyNumberFormat="1" applyFont="1" applyFill="1" applyBorder="1" applyAlignment="1">
      <alignment horizontal="left" vertical="center" wrapText="1"/>
    </xf>
    <xf numFmtId="4" fontId="7" fillId="16" borderId="15" xfId="6" applyNumberFormat="1" applyFont="1" applyFill="1" applyBorder="1" applyAlignment="1">
      <alignment horizontal="center" vertical="center"/>
    </xf>
    <xf numFmtId="166" fontId="7" fillId="16" borderId="15" xfId="6" applyNumberFormat="1" applyFont="1" applyFill="1" applyBorder="1" applyAlignment="1">
      <alignment horizontal="center" vertical="center"/>
    </xf>
    <xf numFmtId="0" fontId="7" fillId="2" borderId="0" xfId="0" applyFont="1" applyFill="1" applyAlignment="1">
      <alignment horizontal="center" vertical="center" wrapText="1"/>
    </xf>
    <xf numFmtId="0" fontId="4" fillId="0" borderId="14" xfId="12" applyFont="1" applyBorder="1" applyAlignment="1">
      <alignment horizontal="center" vertical="center"/>
    </xf>
    <xf numFmtId="4" fontId="4" fillId="0" borderId="14" xfId="12" applyNumberFormat="1" applyFont="1" applyBorder="1" applyAlignment="1">
      <alignment horizontal="center" vertical="center" wrapText="1"/>
    </xf>
    <xf numFmtId="0" fontId="4" fillId="0" borderId="14" xfId="4" applyFont="1" applyBorder="1" applyAlignment="1">
      <alignment horizontal="center" vertical="center" wrapText="1"/>
    </xf>
    <xf numFmtId="0" fontId="33" fillId="0" borderId="0" xfId="0" applyFont="1" applyAlignment="1">
      <alignment horizontal="center" vertical="center"/>
    </xf>
    <xf numFmtId="166" fontId="7" fillId="0" borderId="15" xfId="12" applyNumberFormat="1" applyFont="1" applyBorder="1" applyAlignment="1">
      <alignment horizontal="center" vertical="center"/>
    </xf>
    <xf numFmtId="0" fontId="4" fillId="0" borderId="14" xfId="12" applyFont="1" applyBorder="1" applyAlignment="1">
      <alignment horizontal="center" vertical="center" wrapText="1"/>
    </xf>
    <xf numFmtId="0" fontId="10" fillId="3" borderId="0" xfId="4" applyFont="1" applyFill="1" applyAlignment="1">
      <alignment horizontal="center" vertical="center" wrapText="1"/>
    </xf>
    <xf numFmtId="165" fontId="10" fillId="3" borderId="0" xfId="14" applyNumberFormat="1" applyFont="1" applyFill="1" applyBorder="1" applyAlignment="1">
      <alignment vertical="center"/>
    </xf>
    <xf numFmtId="165" fontId="4" fillId="8" borderId="13" xfId="2" applyNumberFormat="1" applyFont="1" applyFill="1" applyBorder="1" applyAlignment="1">
      <alignment horizontal="center" vertical="center"/>
    </xf>
    <xf numFmtId="4" fontId="4" fillId="0" borderId="14" xfId="12" applyNumberFormat="1" applyFont="1" applyBorder="1" applyAlignment="1">
      <alignment horizontal="center" vertical="center"/>
    </xf>
    <xf numFmtId="0" fontId="10" fillId="3" borderId="0" xfId="4" applyFont="1" applyFill="1" applyAlignment="1">
      <alignment horizontal="center" vertical="center"/>
    </xf>
    <xf numFmtId="0" fontId="4" fillId="0" borderId="13" xfId="0" applyFont="1" applyBorder="1" applyAlignment="1">
      <alignment horizontal="center" vertical="center"/>
    </xf>
    <xf numFmtId="0" fontId="4" fillId="0" borderId="13" xfId="0" applyFont="1" applyBorder="1" applyAlignment="1">
      <alignment horizontal="center" vertical="center" wrapText="1"/>
    </xf>
    <xf numFmtId="0" fontId="4" fillId="0" borderId="3" xfId="0" applyFont="1" applyBorder="1" applyAlignment="1">
      <alignment horizontal="center" vertical="center"/>
    </xf>
    <xf numFmtId="4" fontId="42" fillId="0" borderId="0" xfId="12" applyNumberFormat="1" applyFont="1" applyAlignment="1">
      <alignment horizontal="center" vertical="center"/>
    </xf>
    <xf numFmtId="4" fontId="36" fillId="0" borderId="0" xfId="0" applyNumberFormat="1" applyFont="1" applyAlignment="1">
      <alignment horizontal="center"/>
    </xf>
    <xf numFmtId="4" fontId="43" fillId="0" borderId="0" xfId="0" applyNumberFormat="1" applyFont="1" applyAlignment="1">
      <alignment horizontal="center"/>
    </xf>
    <xf numFmtId="165" fontId="8" fillId="0" borderId="0" xfId="0" applyNumberFormat="1" applyFont="1" applyAlignment="1">
      <alignment horizontal="right" vertical="center"/>
    </xf>
    <xf numFmtId="4" fontId="8" fillId="0" borderId="0" xfId="0" applyNumberFormat="1" applyFont="1" applyAlignment="1">
      <alignment horizontal="center" vertical="center"/>
    </xf>
    <xf numFmtId="164" fontId="7" fillId="2" borderId="11" xfId="5" applyNumberFormat="1" applyFont="1" applyFill="1" applyBorder="1" applyAlignment="1">
      <alignment horizontal="center" vertical="center"/>
    </xf>
    <xf numFmtId="164" fontId="7" fillId="2" borderId="13" xfId="5" applyNumberFormat="1" applyFont="1" applyFill="1" applyBorder="1" applyAlignment="1">
      <alignment horizontal="center" vertical="center"/>
    </xf>
    <xf numFmtId="165" fontId="7" fillId="2" borderId="11" xfId="5" applyNumberFormat="1" applyFont="1" applyFill="1" applyBorder="1" applyAlignment="1">
      <alignment horizontal="center" vertical="center"/>
    </xf>
    <xf numFmtId="165" fontId="7" fillId="2" borderId="13" xfId="5" applyNumberFormat="1" applyFont="1" applyFill="1" applyBorder="1" applyAlignment="1">
      <alignment horizontal="center" vertical="center"/>
    </xf>
    <xf numFmtId="0" fontId="4" fillId="0" borderId="11" xfId="0" applyFont="1" applyBorder="1" applyAlignment="1">
      <alignment horizontal="center" vertical="center"/>
    </xf>
    <xf numFmtId="0" fontId="4" fillId="0" borderId="13" xfId="0" applyFont="1" applyBorder="1" applyAlignment="1">
      <alignment horizontal="center" vertical="center"/>
    </xf>
    <xf numFmtId="10" fontId="7" fillId="0" borderId="11" xfId="2" applyNumberFormat="1" applyFont="1" applyFill="1" applyBorder="1" applyAlignment="1">
      <alignment horizontal="center" vertical="center" wrapText="1"/>
    </xf>
    <xf numFmtId="10" fontId="7" fillId="0" borderId="13" xfId="2" applyNumberFormat="1" applyFont="1" applyFill="1" applyBorder="1" applyAlignment="1">
      <alignment horizontal="center" vertical="center" wrapText="1"/>
    </xf>
    <xf numFmtId="164" fontId="10" fillId="3" borderId="11" xfId="5" applyNumberFormat="1" applyFont="1" applyFill="1" applyBorder="1" applyAlignment="1">
      <alignment horizontal="right" vertical="center"/>
    </xf>
    <xf numFmtId="164" fontId="10" fillId="3" borderId="12" xfId="5" applyNumberFormat="1" applyFont="1" applyFill="1" applyBorder="1" applyAlignment="1">
      <alignment horizontal="right" vertical="center"/>
    </xf>
    <xf numFmtId="164" fontId="10" fillId="3" borderId="13" xfId="5" applyNumberFormat="1" applyFont="1" applyFill="1" applyBorder="1" applyAlignment="1">
      <alignment horizontal="right" vertical="center"/>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7" fillId="2" borderId="11"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9" fillId="3" borderId="11" xfId="5" applyFont="1" applyFill="1" applyBorder="1" applyAlignment="1">
      <alignment horizontal="center" vertical="center"/>
    </xf>
    <xf numFmtId="0" fontId="9" fillId="3" borderId="12" xfId="5" applyFont="1" applyFill="1" applyBorder="1" applyAlignment="1">
      <alignment horizontal="center" vertical="center"/>
    </xf>
    <xf numFmtId="0" fontId="9" fillId="3" borderId="13" xfId="5" applyFont="1" applyFill="1" applyBorder="1" applyAlignment="1">
      <alignment horizontal="center" vertical="center"/>
    </xf>
    <xf numFmtId="0" fontId="4" fillId="2" borderId="7" xfId="5" applyFont="1" applyFill="1" applyBorder="1" applyAlignment="1">
      <alignment horizontal="center" vertical="center"/>
    </xf>
    <xf numFmtId="0" fontId="4" fillId="2" borderId="14" xfId="5" applyFont="1" applyFill="1" applyBorder="1" applyAlignment="1">
      <alignment horizontal="center" vertical="center"/>
    </xf>
    <xf numFmtId="0" fontId="4" fillId="2" borderId="1" xfId="5" applyFont="1" applyFill="1" applyBorder="1" applyAlignment="1">
      <alignment horizontal="center" vertical="center"/>
    </xf>
    <xf numFmtId="0" fontId="4" fillId="2" borderId="8" xfId="5" applyFont="1" applyFill="1" applyBorder="1" applyAlignment="1">
      <alignment horizontal="center" vertical="center"/>
    </xf>
    <xf numFmtId="164" fontId="4" fillId="2" borderId="7" xfId="5" applyNumberFormat="1" applyFont="1" applyFill="1" applyBorder="1" applyAlignment="1">
      <alignment horizontal="center" vertical="center" wrapText="1"/>
    </xf>
    <xf numFmtId="164" fontId="4" fillId="2" borderId="14" xfId="5" applyNumberFormat="1" applyFont="1" applyFill="1" applyBorder="1" applyAlignment="1">
      <alignment horizontal="center" vertical="center" wrapText="1"/>
    </xf>
    <xf numFmtId="164" fontId="4" fillId="2" borderId="1" xfId="5" applyNumberFormat="1" applyFont="1" applyFill="1" applyBorder="1" applyAlignment="1">
      <alignment horizontal="center" vertical="center"/>
    </xf>
    <xf numFmtId="164" fontId="4" fillId="2" borderId="3" xfId="5" applyNumberFormat="1" applyFont="1" applyFill="1" applyBorder="1" applyAlignment="1">
      <alignment horizontal="center" vertical="center"/>
    </xf>
    <xf numFmtId="164" fontId="4" fillId="2" borderId="8" xfId="5" applyNumberFormat="1" applyFont="1" applyFill="1" applyBorder="1" applyAlignment="1">
      <alignment horizontal="center" vertical="center"/>
    </xf>
    <xf numFmtId="164" fontId="4" fillId="2" borderId="10" xfId="5" applyNumberFormat="1" applyFont="1" applyFill="1" applyBorder="1" applyAlignment="1">
      <alignment horizontal="center" vertical="center"/>
    </xf>
    <xf numFmtId="164" fontId="10" fillId="3" borderId="15" xfId="5" applyNumberFormat="1" applyFont="1" applyFill="1" applyBorder="1" applyAlignment="1">
      <alignment horizontal="right" vertical="center"/>
    </xf>
    <xf numFmtId="0" fontId="10" fillId="4" borderId="11" xfId="0" applyFont="1" applyFill="1" applyBorder="1" applyAlignment="1">
      <alignment horizontal="center" vertical="center"/>
    </xf>
    <xf numFmtId="0" fontId="10" fillId="4" borderId="12" xfId="0" applyFont="1" applyFill="1" applyBorder="1" applyAlignment="1">
      <alignment horizontal="center" vertical="center"/>
    </xf>
    <xf numFmtId="0" fontId="10" fillId="4" borderId="13" xfId="0" applyFont="1" applyFill="1" applyBorder="1" applyAlignment="1">
      <alignment horizontal="center" vertical="center"/>
    </xf>
    <xf numFmtId="0" fontId="4" fillId="0" borderId="2" xfId="5" applyFont="1" applyBorder="1" applyAlignment="1">
      <alignment horizontal="center" vertical="center" wrapText="1"/>
    </xf>
    <xf numFmtId="0" fontId="4" fillId="0" borderId="9" xfId="5" applyFont="1" applyBorder="1" applyAlignment="1">
      <alignment horizontal="center" vertical="center" wrapText="1"/>
    </xf>
    <xf numFmtId="0" fontId="12" fillId="2" borderId="15" xfId="5" applyFont="1" applyFill="1" applyBorder="1" applyAlignment="1">
      <alignment horizontal="center" vertical="center"/>
    </xf>
    <xf numFmtId="164" fontId="12" fillId="2" borderId="15" xfId="5" applyNumberFormat="1" applyFont="1" applyFill="1" applyBorder="1" applyAlignment="1">
      <alignment horizontal="center" vertical="center" wrapText="1"/>
    </xf>
    <xf numFmtId="164" fontId="10" fillId="3" borderId="7" xfId="5" applyNumberFormat="1" applyFont="1" applyFill="1" applyBorder="1" applyAlignment="1">
      <alignment horizontal="right" vertical="center"/>
    </xf>
    <xf numFmtId="0" fontId="4" fillId="0" borderId="2" xfId="5" applyFont="1" applyBorder="1" applyAlignment="1">
      <alignment horizontal="left" vertical="center" wrapText="1"/>
    </xf>
    <xf numFmtId="0" fontId="4" fillId="0" borderId="3" xfId="5" applyFont="1" applyBorder="1" applyAlignment="1">
      <alignment horizontal="left" vertical="center" wrapText="1"/>
    </xf>
    <xf numFmtId="0" fontId="4" fillId="0" borderId="9" xfId="5" applyFont="1" applyBorder="1" applyAlignment="1">
      <alignment horizontal="left" vertical="center" wrapText="1"/>
    </xf>
    <xf numFmtId="0" fontId="4" fillId="0" borderId="10" xfId="5" applyFont="1" applyBorder="1" applyAlignment="1">
      <alignment horizontal="left" vertical="center" wrapText="1"/>
    </xf>
    <xf numFmtId="0" fontId="4" fillId="2" borderId="15" xfId="5" applyFont="1" applyFill="1" applyBorder="1" applyAlignment="1">
      <alignment horizontal="center" vertical="center"/>
    </xf>
    <xf numFmtId="164" fontId="4" fillId="2" borderId="15" xfId="5" applyNumberFormat="1" applyFont="1" applyFill="1" applyBorder="1" applyAlignment="1">
      <alignment horizontal="center" vertical="center" wrapText="1"/>
    </xf>
    <xf numFmtId="0" fontId="26" fillId="0" borderId="0" xfId="7" applyFont="1" applyAlignment="1">
      <alignment horizontal="left" vertical="center"/>
    </xf>
    <xf numFmtId="0" fontId="22" fillId="0" borderId="11" xfId="7" applyFont="1" applyBorder="1" applyAlignment="1">
      <alignment horizontal="right" vertical="center"/>
    </xf>
    <xf numFmtId="0" fontId="22" fillId="0" borderId="12" xfId="7" applyFont="1" applyBorder="1" applyAlignment="1">
      <alignment horizontal="right" vertical="center"/>
    </xf>
    <xf numFmtId="173" fontId="22" fillId="0" borderId="12" xfId="7" applyNumberFormat="1" applyFont="1" applyBorder="1" applyAlignment="1">
      <alignment horizontal="center" vertical="center"/>
    </xf>
    <xf numFmtId="173" fontId="22" fillId="0" borderId="13" xfId="7" applyNumberFormat="1" applyFont="1" applyBorder="1" applyAlignment="1">
      <alignment horizontal="center" vertical="center"/>
    </xf>
    <xf numFmtId="0" fontId="22" fillId="2" borderId="1" xfId="7" applyFont="1" applyFill="1" applyBorder="1" applyAlignment="1">
      <alignment horizontal="center" vertical="center"/>
    </xf>
    <xf numFmtId="0" fontId="22" fillId="2" borderId="8" xfId="7" applyFont="1" applyFill="1" applyBorder="1" applyAlignment="1">
      <alignment horizontal="center" vertical="center"/>
    </xf>
    <xf numFmtId="0" fontId="22" fillId="2" borderId="2" xfId="7" applyFont="1" applyFill="1" applyBorder="1" applyAlignment="1">
      <alignment horizontal="center" vertical="center"/>
    </xf>
    <xf numFmtId="0" fontId="22" fillId="2" borderId="9" xfId="7" applyFont="1" applyFill="1" applyBorder="1" applyAlignment="1">
      <alignment horizontal="center" vertical="center"/>
    </xf>
    <xf numFmtId="0" fontId="22" fillId="2" borderId="12" xfId="7" applyFont="1" applyFill="1" applyBorder="1" applyAlignment="1">
      <alignment horizontal="center" vertical="center"/>
    </xf>
    <xf numFmtId="0" fontId="22" fillId="2" borderId="3" xfId="7" applyFont="1" applyFill="1" applyBorder="1" applyAlignment="1">
      <alignment horizontal="center" vertical="center"/>
    </xf>
    <xf numFmtId="0" fontId="22" fillId="2" borderId="10" xfId="7" applyFont="1" applyFill="1" applyBorder="1" applyAlignment="1">
      <alignment horizontal="center" vertical="center"/>
    </xf>
    <xf numFmtId="0" fontId="21" fillId="4" borderId="1" xfId="7" applyFont="1" applyFill="1" applyBorder="1" applyAlignment="1">
      <alignment horizontal="right" vertical="center"/>
    </xf>
    <xf numFmtId="0" fontId="21" fillId="4" borderId="2" xfId="7" applyFont="1" applyFill="1" applyBorder="1" applyAlignment="1">
      <alignment horizontal="right" vertical="center"/>
    </xf>
    <xf numFmtId="0" fontId="21" fillId="4" borderId="3" xfId="7" applyFont="1" applyFill="1" applyBorder="1" applyAlignment="1">
      <alignment horizontal="right" vertical="center"/>
    </xf>
    <xf numFmtId="0" fontId="21" fillId="4" borderId="8" xfId="7" applyFont="1" applyFill="1" applyBorder="1" applyAlignment="1">
      <alignment horizontal="right" vertical="center"/>
    </xf>
    <xf numFmtId="0" fontId="21" fillId="4" borderId="9" xfId="7" applyFont="1" applyFill="1" applyBorder="1" applyAlignment="1">
      <alignment horizontal="right" vertical="center"/>
    </xf>
    <xf numFmtId="0" fontId="21" fillId="4" borderId="10" xfId="7" applyFont="1" applyFill="1" applyBorder="1" applyAlignment="1">
      <alignment horizontal="right" vertical="center"/>
    </xf>
    <xf numFmtId="0" fontId="21" fillId="4" borderId="11" xfId="7" applyFont="1" applyFill="1" applyBorder="1" applyAlignment="1">
      <alignment horizontal="center" vertical="center"/>
    </xf>
    <xf numFmtId="0" fontId="21" fillId="4" borderId="12" xfId="7" applyFont="1" applyFill="1" applyBorder="1" applyAlignment="1">
      <alignment horizontal="center" vertical="center"/>
    </xf>
    <xf numFmtId="0" fontId="21" fillId="4" borderId="13" xfId="7" applyFont="1" applyFill="1" applyBorder="1" applyAlignment="1">
      <alignment horizontal="center" vertical="center"/>
    </xf>
    <xf numFmtId="176" fontId="21" fillId="4" borderId="11" xfId="7" applyNumberFormat="1" applyFont="1" applyFill="1" applyBorder="1" applyAlignment="1">
      <alignment horizontal="center" vertical="center"/>
    </xf>
    <xf numFmtId="176" fontId="21" fillId="4" borderId="12" xfId="7" applyNumberFormat="1" applyFont="1" applyFill="1" applyBorder="1" applyAlignment="1">
      <alignment horizontal="center" vertical="center"/>
    </xf>
    <xf numFmtId="176" fontId="21" fillId="4" borderId="13" xfId="7" applyNumberFormat="1" applyFont="1" applyFill="1" applyBorder="1" applyAlignment="1">
      <alignment horizontal="center" vertical="center"/>
    </xf>
    <xf numFmtId="176" fontId="21" fillId="4" borderId="11" xfId="8" applyNumberFormat="1" applyFont="1" applyFill="1" applyBorder="1" applyAlignment="1">
      <alignment horizontal="center" vertical="center"/>
    </xf>
    <xf numFmtId="176" fontId="21" fillId="4" borderId="12" xfId="8" applyNumberFormat="1" applyFont="1" applyFill="1" applyBorder="1" applyAlignment="1">
      <alignment horizontal="center" vertical="center"/>
    </xf>
    <xf numFmtId="176" fontId="21" fillId="4" borderId="13" xfId="8" applyNumberFormat="1" applyFont="1" applyFill="1" applyBorder="1" applyAlignment="1">
      <alignment horizontal="center" vertical="center"/>
    </xf>
    <xf numFmtId="172" fontId="24" fillId="0" borderId="0" xfId="7" applyNumberFormat="1" applyFont="1" applyAlignment="1">
      <alignment horizontal="center" vertical="center"/>
    </xf>
    <xf numFmtId="172" fontId="24" fillId="0" borderId="6" xfId="7" applyNumberFormat="1" applyFont="1" applyBorder="1" applyAlignment="1">
      <alignment horizontal="center" vertical="center"/>
    </xf>
    <xf numFmtId="0" fontId="22" fillId="2" borderId="11" xfId="7" applyFont="1" applyFill="1" applyBorder="1" applyAlignment="1">
      <alignment horizontal="center" vertical="center"/>
    </xf>
    <xf numFmtId="0" fontId="22" fillId="2" borderId="13" xfId="7" applyFont="1" applyFill="1" applyBorder="1" applyAlignment="1">
      <alignment horizontal="center" vertical="center"/>
    </xf>
    <xf numFmtId="172" fontId="24" fillId="0" borderId="2" xfId="7" applyNumberFormat="1" applyFont="1" applyBorder="1" applyAlignment="1">
      <alignment horizontal="center" vertical="center"/>
    </xf>
    <xf numFmtId="172" fontId="24" fillId="0" borderId="3" xfId="7" applyNumberFormat="1" applyFont="1" applyBorder="1" applyAlignment="1">
      <alignment horizontal="center" vertical="center"/>
    </xf>
    <xf numFmtId="0" fontId="22" fillId="2" borderId="11" xfId="7" applyFont="1" applyFill="1" applyBorder="1" applyAlignment="1">
      <alignment horizontal="right" vertical="center"/>
    </xf>
    <xf numFmtId="0" fontId="22" fillId="2" borderId="12" xfId="7" applyFont="1" applyFill="1" applyBorder="1" applyAlignment="1">
      <alignment horizontal="right" vertical="center"/>
    </xf>
    <xf numFmtId="173" fontId="22" fillId="2" borderId="12" xfId="7" applyNumberFormat="1" applyFont="1" applyFill="1" applyBorder="1" applyAlignment="1">
      <alignment horizontal="center" vertical="center"/>
    </xf>
    <xf numFmtId="173" fontId="22" fillId="2" borderId="12" xfId="7" applyNumberFormat="1" applyFont="1" applyFill="1" applyBorder="1" applyAlignment="1">
      <alignment horizontal="center"/>
    </xf>
    <xf numFmtId="173" fontId="22" fillId="2" borderId="13" xfId="7" applyNumberFormat="1" applyFont="1" applyFill="1" applyBorder="1" applyAlignment="1">
      <alignment horizontal="center"/>
    </xf>
    <xf numFmtId="173" fontId="22" fillId="0" borderId="12" xfId="7" applyNumberFormat="1" applyFont="1" applyBorder="1" applyAlignment="1">
      <alignment horizontal="center"/>
    </xf>
    <xf numFmtId="173" fontId="22" fillId="0" borderId="13" xfId="7" applyNumberFormat="1" applyFont="1" applyBorder="1" applyAlignment="1">
      <alignment horizontal="center"/>
    </xf>
    <xf numFmtId="0" fontId="24" fillId="2" borderId="0" xfId="7" applyFont="1" applyFill="1" applyAlignment="1">
      <alignment horizontal="left" vertical="center" wrapText="1"/>
    </xf>
    <xf numFmtId="172" fontId="24" fillId="2" borderId="0" xfId="7" applyNumberFormat="1" applyFont="1" applyFill="1" applyAlignment="1">
      <alignment horizontal="center" vertical="center"/>
    </xf>
    <xf numFmtId="172" fontId="24" fillId="2" borderId="6" xfId="7" applyNumberFormat="1" applyFont="1" applyFill="1" applyBorder="1" applyAlignment="1">
      <alignment horizontal="center" vertical="center"/>
    </xf>
    <xf numFmtId="0" fontId="24" fillId="2" borderId="9" xfId="7" applyFont="1" applyFill="1" applyBorder="1" applyAlignment="1">
      <alignment horizontal="left" vertical="center" wrapText="1"/>
    </xf>
    <xf numFmtId="172" fontId="24" fillId="2" borderId="9" xfId="7" applyNumberFormat="1" applyFont="1" applyFill="1" applyBorder="1" applyAlignment="1">
      <alignment horizontal="center" vertical="center"/>
    </xf>
    <xf numFmtId="172" fontId="24" fillId="2" borderId="10" xfId="7" applyNumberFormat="1" applyFont="1" applyFill="1" applyBorder="1" applyAlignment="1">
      <alignment horizontal="center" vertical="center"/>
    </xf>
    <xf numFmtId="0" fontId="24" fillId="2" borderId="2" xfId="7" applyFont="1" applyFill="1" applyBorder="1" applyAlignment="1">
      <alignment horizontal="left" vertical="center" wrapText="1"/>
    </xf>
    <xf numFmtId="172" fontId="24" fillId="2" borderId="2" xfId="7" applyNumberFormat="1" applyFont="1" applyFill="1" applyBorder="1" applyAlignment="1">
      <alignment horizontal="center" vertical="center"/>
    </xf>
    <xf numFmtId="172" fontId="24" fillId="2" borderId="3" xfId="7" applyNumberFormat="1" applyFont="1" applyFill="1" applyBorder="1" applyAlignment="1">
      <alignment horizontal="center" vertical="center"/>
    </xf>
    <xf numFmtId="175" fontId="24" fillId="2" borderId="0" xfId="7" applyNumberFormat="1" applyFont="1" applyFill="1" applyAlignment="1">
      <alignment horizontal="center" vertical="center"/>
    </xf>
    <xf numFmtId="172" fontId="24" fillId="0" borderId="0" xfId="8" applyNumberFormat="1" applyFont="1" applyBorder="1" applyAlignment="1">
      <alignment horizontal="center" vertical="center"/>
    </xf>
    <xf numFmtId="172" fontId="24" fillId="0" borderId="6" xfId="8" applyNumberFormat="1" applyFont="1" applyBorder="1" applyAlignment="1">
      <alignment horizontal="center" vertical="center"/>
    </xf>
    <xf numFmtId="173" fontId="22" fillId="0" borderId="12" xfId="8" applyNumberFormat="1" applyFont="1" applyBorder="1" applyAlignment="1">
      <alignment horizontal="center" vertical="center"/>
    </xf>
    <xf numFmtId="173" fontId="22" fillId="0" borderId="13" xfId="8" applyNumberFormat="1" applyFont="1" applyBorder="1" applyAlignment="1">
      <alignment horizontal="center" vertical="center"/>
    </xf>
    <xf numFmtId="0" fontId="22" fillId="2" borderId="5" xfId="7" applyFont="1" applyFill="1" applyBorder="1" applyAlignment="1">
      <alignment horizontal="right" vertical="center"/>
    </xf>
    <xf numFmtId="0" fontId="22" fillId="2" borderId="0" xfId="7" applyFont="1" applyFill="1" applyAlignment="1">
      <alignment horizontal="right" vertical="center"/>
    </xf>
    <xf numFmtId="173" fontId="22" fillId="2" borderId="0" xfId="7" applyNumberFormat="1" applyFont="1" applyFill="1" applyAlignment="1">
      <alignment horizontal="center" vertical="center"/>
    </xf>
    <xf numFmtId="173" fontId="22" fillId="2" borderId="6" xfId="7" applyNumberFormat="1" applyFont="1" applyFill="1" applyBorder="1" applyAlignment="1">
      <alignment horizontal="center" vertical="center"/>
    </xf>
    <xf numFmtId="175" fontId="24" fillId="2" borderId="2" xfId="7" applyNumberFormat="1" applyFont="1" applyFill="1" applyBorder="1" applyAlignment="1">
      <alignment horizontal="center" vertical="center"/>
    </xf>
    <xf numFmtId="172" fontId="24" fillId="0" borderId="2" xfId="8" applyNumberFormat="1" applyFont="1" applyBorder="1" applyAlignment="1">
      <alignment horizontal="center" vertical="center"/>
    </xf>
    <xf numFmtId="172" fontId="24" fillId="0" borderId="3" xfId="8" applyNumberFormat="1" applyFont="1" applyBorder="1" applyAlignment="1">
      <alignment horizontal="center" vertical="center"/>
    </xf>
    <xf numFmtId="0" fontId="22" fillId="0" borderId="8" xfId="7" applyFont="1" applyBorder="1" applyAlignment="1">
      <alignment horizontal="right" vertical="center"/>
    </xf>
    <xf numFmtId="0" fontId="22" fillId="0" borderId="9" xfId="7" applyFont="1" applyBorder="1" applyAlignment="1">
      <alignment horizontal="right" vertical="center"/>
    </xf>
    <xf numFmtId="173" fontId="22" fillId="0" borderId="9" xfId="8" applyNumberFormat="1" applyFont="1" applyBorder="1" applyAlignment="1">
      <alignment horizontal="center" vertical="center" wrapText="1"/>
    </xf>
    <xf numFmtId="173" fontId="22" fillId="0" borderId="10" xfId="8" applyNumberFormat="1" applyFont="1" applyBorder="1" applyAlignment="1">
      <alignment horizontal="center" vertical="center" wrapText="1"/>
    </xf>
    <xf numFmtId="0" fontId="22" fillId="2" borderId="1" xfId="7" applyFont="1" applyFill="1" applyBorder="1" applyAlignment="1">
      <alignment horizontal="right" vertical="center"/>
    </xf>
    <xf numFmtId="0" fontId="22" fillId="2" borderId="2" xfId="7" applyFont="1" applyFill="1" applyBorder="1" applyAlignment="1">
      <alignment horizontal="right" vertical="center"/>
    </xf>
    <xf numFmtId="173" fontId="22" fillId="2" borderId="2" xfId="7" applyNumberFormat="1" applyFont="1" applyFill="1" applyBorder="1" applyAlignment="1">
      <alignment horizontal="center" vertical="center"/>
    </xf>
    <xf numFmtId="173" fontId="22" fillId="2" borderId="3" xfId="7" applyNumberFormat="1" applyFont="1" applyFill="1" applyBorder="1" applyAlignment="1">
      <alignment horizontal="center" vertical="center"/>
    </xf>
    <xf numFmtId="172" fontId="24" fillId="0" borderId="9" xfId="8" applyNumberFormat="1" applyFont="1" applyBorder="1" applyAlignment="1">
      <alignment horizontal="center" vertical="center"/>
    </xf>
    <xf numFmtId="172" fontId="24" fillId="0" borderId="10" xfId="8" applyNumberFormat="1" applyFont="1" applyBorder="1" applyAlignment="1">
      <alignment horizontal="center" vertical="center"/>
    </xf>
    <xf numFmtId="0" fontId="22" fillId="0" borderId="1" xfId="7" applyFont="1" applyBorder="1" applyAlignment="1">
      <alignment horizontal="right" vertical="center"/>
    </xf>
    <xf numFmtId="0" fontId="22" fillId="0" borderId="2" xfId="7" applyFont="1" applyBorder="1" applyAlignment="1">
      <alignment horizontal="right" vertical="center"/>
    </xf>
    <xf numFmtId="173" fontId="22" fillId="0" borderId="2" xfId="8" applyNumberFormat="1" applyFont="1" applyBorder="1" applyAlignment="1">
      <alignment horizontal="center" vertical="center" wrapText="1"/>
    </xf>
    <xf numFmtId="173" fontId="22" fillId="0" borderId="3" xfId="8" applyNumberFormat="1" applyFont="1" applyBorder="1" applyAlignment="1">
      <alignment horizontal="center" vertical="center" wrapText="1"/>
    </xf>
    <xf numFmtId="0" fontId="22" fillId="0" borderId="13" xfId="7" applyFont="1" applyBorder="1" applyAlignment="1">
      <alignment horizontal="right" vertical="center"/>
    </xf>
    <xf numFmtId="0" fontId="9" fillId="3" borderId="11" xfId="7" applyFont="1" applyFill="1" applyBorder="1" applyAlignment="1">
      <alignment horizontal="center" vertical="center"/>
    </xf>
    <xf numFmtId="0" fontId="9" fillId="3" borderId="12" xfId="7" applyFont="1" applyFill="1" applyBorder="1" applyAlignment="1">
      <alignment horizontal="center" vertical="center"/>
    </xf>
    <xf numFmtId="0" fontId="9" fillId="3" borderId="13" xfId="7" applyFont="1" applyFill="1" applyBorder="1" applyAlignment="1">
      <alignment horizontal="center" vertical="center"/>
    </xf>
    <xf numFmtId="0" fontId="22" fillId="2" borderId="5" xfId="7" applyFont="1" applyFill="1" applyBorder="1" applyAlignment="1">
      <alignment horizontal="center" vertical="center"/>
    </xf>
    <xf numFmtId="0" fontId="22" fillId="2" borderId="0" xfId="7" applyFont="1" applyFill="1" applyAlignment="1">
      <alignment horizontal="center" vertical="center"/>
    </xf>
    <xf numFmtId="0" fontId="26" fillId="2" borderId="2" xfId="7" applyFont="1" applyFill="1" applyBorder="1" applyAlignment="1">
      <alignment horizontal="left" vertical="center"/>
    </xf>
    <xf numFmtId="0" fontId="24" fillId="2" borderId="12" xfId="7" applyFont="1" applyFill="1" applyBorder="1" applyAlignment="1">
      <alignment horizontal="left" vertical="center" wrapText="1"/>
    </xf>
    <xf numFmtId="172" fontId="24" fillId="2" borderId="12" xfId="7" applyNumberFormat="1" applyFont="1" applyFill="1" applyBorder="1" applyAlignment="1">
      <alignment horizontal="center" vertical="center"/>
    </xf>
    <xf numFmtId="172" fontId="24" fillId="2" borderId="13" xfId="7" applyNumberFormat="1" applyFont="1" applyFill="1" applyBorder="1" applyAlignment="1">
      <alignment horizontal="center" vertical="center"/>
    </xf>
    <xf numFmtId="173" fontId="22" fillId="2" borderId="13" xfId="7" applyNumberFormat="1" applyFont="1" applyFill="1" applyBorder="1" applyAlignment="1">
      <alignment horizontal="center" vertical="center"/>
    </xf>
    <xf numFmtId="0" fontId="24" fillId="2" borderId="12" xfId="7" applyFont="1" applyFill="1" applyBorder="1" applyAlignment="1">
      <alignment horizontal="center" vertical="center"/>
    </xf>
    <xf numFmtId="0" fontId="24" fillId="2" borderId="13" xfId="7" applyFont="1" applyFill="1" applyBorder="1" applyAlignment="1">
      <alignment horizontal="center" vertical="center"/>
    </xf>
    <xf numFmtId="173" fontId="22" fillId="2" borderId="12" xfId="8" applyNumberFormat="1" applyFont="1" applyFill="1" applyBorder="1" applyAlignment="1">
      <alignment horizontal="center" vertical="center"/>
    </xf>
    <xf numFmtId="173" fontId="22" fillId="2" borderId="13" xfId="8" applyNumberFormat="1" applyFont="1" applyFill="1" applyBorder="1" applyAlignment="1">
      <alignment horizontal="center" vertical="center"/>
    </xf>
    <xf numFmtId="0" fontId="22" fillId="2" borderId="3" xfId="7" applyFont="1" applyFill="1" applyBorder="1" applyAlignment="1">
      <alignment horizontal="right" vertical="center"/>
    </xf>
    <xf numFmtId="0" fontId="22" fillId="2" borderId="8" xfId="7" applyFont="1" applyFill="1" applyBorder="1" applyAlignment="1">
      <alignment horizontal="right" vertical="center"/>
    </xf>
    <xf numFmtId="0" fontId="22" fillId="2" borderId="9" xfId="7" applyFont="1" applyFill="1" applyBorder="1" applyAlignment="1">
      <alignment horizontal="right" vertical="center"/>
    </xf>
    <xf numFmtId="0" fontId="22" fillId="2" borderId="10" xfId="7" applyFont="1" applyFill="1" applyBorder="1" applyAlignment="1">
      <alignment horizontal="right" vertical="center"/>
    </xf>
    <xf numFmtId="173" fontId="22" fillId="2" borderId="11" xfId="7" applyNumberFormat="1" applyFont="1" applyFill="1" applyBorder="1" applyAlignment="1">
      <alignment horizontal="center" vertical="center"/>
    </xf>
    <xf numFmtId="173" fontId="22" fillId="2" borderId="12" xfId="8" applyNumberFormat="1" applyFont="1" applyFill="1" applyBorder="1" applyAlignment="1">
      <alignment horizontal="center" vertical="center" wrapText="1"/>
    </xf>
    <xf numFmtId="173" fontId="22" fillId="2" borderId="13" xfId="8" applyNumberFormat="1" applyFont="1" applyFill="1" applyBorder="1" applyAlignment="1">
      <alignment horizontal="center" vertical="center" wrapText="1"/>
    </xf>
    <xf numFmtId="172" fontId="24" fillId="2" borderId="0" xfId="8" applyNumberFormat="1" applyFont="1" applyFill="1" applyBorder="1" applyAlignment="1">
      <alignment horizontal="center" vertical="center"/>
    </xf>
    <xf numFmtId="172" fontId="24" fillId="2" borderId="6" xfId="8" applyNumberFormat="1" applyFont="1" applyFill="1" applyBorder="1" applyAlignment="1">
      <alignment horizontal="center" vertical="center"/>
    </xf>
    <xf numFmtId="0" fontId="28" fillId="4" borderId="12" xfId="7" applyFont="1" applyFill="1" applyBorder="1" applyAlignment="1">
      <alignment horizontal="left" vertical="center" wrapText="1"/>
    </xf>
    <xf numFmtId="0" fontId="26" fillId="0" borderId="2" xfId="7" applyFont="1" applyBorder="1" applyAlignment="1">
      <alignment horizontal="left"/>
    </xf>
    <xf numFmtId="0" fontId="26" fillId="0" borderId="0" xfId="7" applyFont="1" applyAlignment="1">
      <alignment horizontal="left"/>
    </xf>
    <xf numFmtId="172" fontId="24" fillId="2" borderId="2" xfId="8" applyNumberFormat="1" applyFont="1" applyFill="1" applyBorder="1" applyAlignment="1">
      <alignment horizontal="center" vertical="center"/>
    </xf>
    <xf numFmtId="172" fontId="24" fillId="2" borderId="3" xfId="8" applyNumberFormat="1" applyFont="1" applyFill="1" applyBorder="1" applyAlignment="1">
      <alignment horizontal="center" vertical="center"/>
    </xf>
    <xf numFmtId="0" fontId="24" fillId="2" borderId="9" xfId="7" applyFont="1" applyFill="1" applyBorder="1" applyAlignment="1">
      <alignment horizontal="left" wrapText="1"/>
    </xf>
    <xf numFmtId="0" fontId="24" fillId="2" borderId="2" xfId="7" applyFont="1" applyFill="1" applyBorder="1" applyAlignment="1">
      <alignment horizontal="left" wrapText="1"/>
    </xf>
    <xf numFmtId="0" fontId="24" fillId="2" borderId="0" xfId="7" applyFont="1" applyFill="1" applyAlignment="1">
      <alignment horizontal="left" wrapText="1"/>
    </xf>
    <xf numFmtId="40" fontId="7" fillId="0" borderId="0" xfId="9" applyNumberFormat="1" applyFont="1" applyAlignment="1">
      <alignment horizontal="center" vertical="center"/>
    </xf>
    <xf numFmtId="0" fontId="7" fillId="0" borderId="5" xfId="9" applyFont="1" applyBorder="1" applyAlignment="1">
      <alignment horizontal="center"/>
    </xf>
    <xf numFmtId="0" fontId="7" fillId="0" borderId="0" xfId="9" applyFont="1" applyAlignment="1">
      <alignment horizontal="center"/>
    </xf>
    <xf numFmtId="0" fontId="7" fillId="0" borderId="6" xfId="9" applyFont="1" applyBorder="1" applyAlignment="1">
      <alignment horizontal="center"/>
    </xf>
    <xf numFmtId="0" fontId="7" fillId="0" borderId="5" xfId="9" applyFont="1" applyBorder="1" applyAlignment="1">
      <alignment horizontal="center" vertical="center"/>
    </xf>
    <xf numFmtId="0" fontId="7" fillId="0" borderId="0" xfId="9" applyFont="1" applyAlignment="1">
      <alignment horizontal="center" vertical="center"/>
    </xf>
    <xf numFmtId="0" fontId="7" fillId="0" borderId="6" xfId="9" applyFont="1" applyBorder="1" applyAlignment="1">
      <alignment horizontal="center" vertical="center"/>
    </xf>
    <xf numFmtId="0" fontId="4" fillId="0" borderId="15" xfId="9" applyFont="1" applyBorder="1" applyAlignment="1">
      <alignment horizontal="center" vertical="center" wrapText="1"/>
    </xf>
    <xf numFmtId="10" fontId="4" fillId="0" borderId="15" xfId="9" applyNumberFormat="1" applyFont="1" applyBorder="1" applyAlignment="1">
      <alignment horizontal="center" vertical="center"/>
    </xf>
    <xf numFmtId="1" fontId="4" fillId="0" borderId="5" xfId="9" applyNumberFormat="1" applyFont="1" applyBorder="1" applyAlignment="1">
      <alignment horizontal="center" vertical="center"/>
    </xf>
    <xf numFmtId="1" fontId="4" fillId="0" borderId="0" xfId="9" applyNumberFormat="1" applyFont="1" applyAlignment="1">
      <alignment horizontal="center" vertical="center"/>
    </xf>
    <xf numFmtId="1" fontId="4" fillId="0" borderId="6" xfId="9" applyNumberFormat="1" applyFont="1" applyBorder="1" applyAlignment="1">
      <alignment horizontal="center" vertical="center"/>
    </xf>
    <xf numFmtId="1" fontId="7" fillId="0" borderId="7" xfId="9" applyNumberFormat="1" applyFont="1" applyBorder="1" applyAlignment="1">
      <alignment horizontal="left"/>
    </xf>
    <xf numFmtId="4" fontId="7" fillId="0" borderId="7" xfId="9" applyNumberFormat="1" applyFont="1" applyBorder="1" applyAlignment="1">
      <alignment horizontal="center"/>
    </xf>
    <xf numFmtId="4" fontId="7" fillId="0" borderId="15" xfId="9" applyNumberFormat="1" applyFont="1" applyBorder="1" applyAlignment="1">
      <alignment horizontal="center"/>
    </xf>
    <xf numFmtId="1" fontId="7" fillId="0" borderId="15" xfId="9" applyNumberFormat="1" applyFont="1" applyBorder="1" applyAlignment="1">
      <alignment horizontal="left"/>
    </xf>
    <xf numFmtId="4" fontId="7" fillId="0" borderId="13" xfId="9" applyNumberFormat="1" applyFont="1" applyBorder="1" applyAlignment="1">
      <alignment horizontal="center"/>
    </xf>
    <xf numFmtId="1" fontId="7" fillId="0" borderId="14" xfId="9" applyNumberFormat="1" applyFont="1" applyBorder="1" applyAlignment="1">
      <alignment horizontal="left"/>
    </xf>
    <xf numFmtId="4" fontId="7" fillId="0" borderId="14" xfId="9" applyNumberFormat="1" applyFont="1" applyBorder="1" applyAlignment="1">
      <alignment horizontal="center"/>
    </xf>
    <xf numFmtId="0" fontId="7" fillId="0" borderId="11" xfId="9" applyFont="1" applyBorder="1" applyAlignment="1">
      <alignment horizontal="center"/>
    </xf>
    <xf numFmtId="0" fontId="7" fillId="0" borderId="12" xfId="9" applyFont="1" applyBorder="1" applyAlignment="1">
      <alignment horizontal="center"/>
    </xf>
    <xf numFmtId="0" fontId="7" fillId="0" borderId="13" xfId="9" applyFont="1" applyBorder="1" applyAlignment="1">
      <alignment horizontal="center"/>
    </xf>
    <xf numFmtId="1" fontId="4" fillId="0" borderId="12" xfId="9" applyNumberFormat="1" applyFont="1" applyBorder="1" applyAlignment="1">
      <alignment horizontal="center" vertical="center"/>
    </xf>
    <xf numFmtId="4" fontId="4" fillId="0" borderId="12" xfId="9" applyNumberFormat="1" applyFont="1" applyBorder="1" applyAlignment="1">
      <alignment horizontal="center" vertical="center"/>
    </xf>
    <xf numFmtId="4" fontId="4" fillId="0" borderId="13" xfId="9" applyNumberFormat="1" applyFont="1" applyBorder="1" applyAlignment="1">
      <alignment horizontal="center" vertical="center"/>
    </xf>
    <xf numFmtId="0" fontId="4" fillId="0" borderId="1" xfId="9" applyFont="1" applyBorder="1" applyAlignment="1">
      <alignment horizontal="center"/>
    </xf>
    <xf numFmtId="0" fontId="4" fillId="0" borderId="2" xfId="9" applyFont="1" applyBorder="1" applyAlignment="1">
      <alignment horizontal="center"/>
    </xf>
    <xf numFmtId="0" fontId="4" fillId="0" borderId="3" xfId="9" applyFont="1" applyBorder="1" applyAlignment="1">
      <alignment horizontal="center"/>
    </xf>
    <xf numFmtId="0" fontId="4" fillId="0" borderId="5" xfId="9" applyFont="1" applyBorder="1" applyAlignment="1">
      <alignment horizontal="center"/>
    </xf>
    <xf numFmtId="0" fontId="4" fillId="0" borderId="0" xfId="9" applyFont="1" applyAlignment="1">
      <alignment horizontal="center"/>
    </xf>
    <xf numFmtId="0" fontId="4" fillId="0" borderId="6" xfId="9" applyFont="1" applyBorder="1" applyAlignment="1">
      <alignment horizontal="center"/>
    </xf>
    <xf numFmtId="0" fontId="14" fillId="3" borderId="11" xfId="3" applyFont="1" applyFill="1" applyBorder="1" applyAlignment="1">
      <alignment horizontal="center" vertical="center"/>
    </xf>
    <xf numFmtId="0" fontId="14" fillId="3" borderId="12" xfId="3" applyFont="1" applyFill="1" applyBorder="1" applyAlignment="1">
      <alignment horizontal="center" vertical="center"/>
    </xf>
    <xf numFmtId="0" fontId="14" fillId="3" borderId="13" xfId="3" applyFont="1" applyFill="1" applyBorder="1" applyAlignment="1">
      <alignment horizontal="center" vertical="center"/>
    </xf>
    <xf numFmtId="0" fontId="4" fillId="0" borderId="1" xfId="9" applyFont="1" applyBorder="1" applyAlignment="1">
      <alignment horizontal="center" vertical="center"/>
    </xf>
    <xf numFmtId="0" fontId="4" fillId="0" borderId="8" xfId="9" applyFont="1" applyBorder="1" applyAlignment="1">
      <alignment horizontal="center" vertical="center"/>
    </xf>
    <xf numFmtId="0" fontId="4" fillId="0" borderId="2" xfId="9" applyFont="1" applyBorder="1" applyAlignment="1">
      <alignment horizontal="center" vertical="center"/>
    </xf>
    <xf numFmtId="0" fontId="4" fillId="0" borderId="9" xfId="9" applyFont="1" applyBorder="1" applyAlignment="1">
      <alignment horizontal="center" vertical="center"/>
    </xf>
    <xf numFmtId="0" fontId="4" fillId="0" borderId="3" xfId="9" applyFont="1" applyBorder="1" applyAlignment="1">
      <alignment horizontal="center" vertical="center"/>
    </xf>
    <xf numFmtId="0" fontId="4" fillId="0" borderId="10" xfId="9" applyFont="1" applyBorder="1" applyAlignment="1">
      <alignment horizontal="center" vertical="center"/>
    </xf>
    <xf numFmtId="0" fontId="17" fillId="0" borderId="0" xfId="0" applyFont="1" applyAlignment="1">
      <alignment horizontal="right" vertical="center" wrapText="1"/>
    </xf>
    <xf numFmtId="0" fontId="17" fillId="0" borderId="6" xfId="0" applyFont="1" applyBorder="1" applyAlignment="1">
      <alignment horizontal="right" vertical="center" wrapText="1"/>
    </xf>
    <xf numFmtId="0" fontId="14" fillId="3" borderId="11" xfId="3" applyFont="1" applyFill="1" applyBorder="1" applyAlignment="1">
      <alignment horizontal="center" vertical="center" wrapText="1"/>
    </xf>
    <xf numFmtId="0" fontId="14" fillId="3" borderId="12" xfId="3" applyFont="1" applyFill="1" applyBorder="1" applyAlignment="1">
      <alignment horizontal="center" vertical="center" wrapText="1"/>
    </xf>
    <xf numFmtId="0" fontId="14" fillId="3" borderId="13" xfId="3" applyFont="1" applyFill="1" applyBorder="1" applyAlignment="1">
      <alignment horizontal="center" vertical="center" wrapText="1"/>
    </xf>
    <xf numFmtId="0" fontId="4" fillId="0" borderId="15" xfId="0" applyFont="1" applyBorder="1" applyAlignment="1">
      <alignment horizontal="center" vertical="center"/>
    </xf>
    <xf numFmtId="178" fontId="4" fillId="0" borderId="15" xfId="0" applyNumberFormat="1" applyFont="1" applyBorder="1" applyAlignment="1">
      <alignment horizontal="center" vertical="center" wrapText="1"/>
    </xf>
    <xf numFmtId="0" fontId="10" fillId="3" borderId="15" xfId="4" applyFont="1" applyFill="1" applyBorder="1" applyAlignment="1">
      <alignment horizontal="center" vertical="center" wrapText="1"/>
    </xf>
    <xf numFmtId="0" fontId="10" fillId="3" borderId="7" xfId="4" applyFont="1" applyFill="1" applyBorder="1" applyAlignment="1">
      <alignment horizontal="center" vertical="center" wrapText="1"/>
    </xf>
    <xf numFmtId="181" fontId="10" fillId="3" borderId="15" xfId="1" applyNumberFormat="1" applyFont="1" applyFill="1" applyBorder="1" applyAlignment="1">
      <alignment horizontal="center" vertical="center"/>
    </xf>
    <xf numFmtId="181" fontId="10" fillId="3" borderId="7" xfId="1" applyNumberFormat="1" applyFont="1" applyFill="1" applyBorder="1" applyAlignment="1">
      <alignment horizontal="center" vertical="center"/>
    </xf>
    <xf numFmtId="0" fontId="10" fillId="3" borderId="14" xfId="4" applyFont="1" applyFill="1" applyBorder="1" applyAlignment="1">
      <alignment horizontal="center" vertical="center" wrapText="1"/>
    </xf>
    <xf numFmtId="0" fontId="10" fillId="3" borderId="4" xfId="4" applyFont="1" applyFill="1" applyBorder="1" applyAlignment="1">
      <alignment horizontal="center" vertical="center" wrapText="1"/>
    </xf>
    <xf numFmtId="0" fontId="33" fillId="0" borderId="26" xfId="0" applyFont="1" applyBorder="1" applyAlignment="1">
      <alignment horizontal="center" vertical="center"/>
    </xf>
    <xf numFmtId="0" fontId="33" fillId="0" borderId="27" xfId="0" applyFont="1" applyBorder="1" applyAlignment="1">
      <alignment horizontal="center" vertical="center"/>
    </xf>
    <xf numFmtId="0" fontId="33" fillId="0" borderId="28" xfId="0" applyFont="1" applyBorder="1" applyAlignment="1">
      <alignment horizontal="center" vertical="center"/>
    </xf>
    <xf numFmtId="0" fontId="10" fillId="3" borderId="15" xfId="4" applyFont="1" applyFill="1" applyBorder="1" applyAlignment="1">
      <alignment horizontal="center" vertical="center"/>
    </xf>
    <xf numFmtId="0" fontId="10" fillId="3" borderId="7" xfId="4" applyFont="1" applyFill="1" applyBorder="1" applyAlignment="1">
      <alignment horizontal="center" vertical="center"/>
    </xf>
    <xf numFmtId="49" fontId="10" fillId="3" borderId="11" xfId="12" applyNumberFormat="1" applyFont="1" applyFill="1" applyBorder="1" applyAlignment="1">
      <alignment horizontal="right" vertical="center"/>
    </xf>
    <xf numFmtId="49" fontId="10" fillId="3" borderId="12" xfId="12" applyNumberFormat="1" applyFont="1" applyFill="1" applyBorder="1" applyAlignment="1">
      <alignment horizontal="right" vertical="center"/>
    </xf>
    <xf numFmtId="0" fontId="14" fillId="3" borderId="11" xfId="4" applyFont="1" applyFill="1" applyBorder="1" applyAlignment="1">
      <alignment horizontal="center" vertical="center"/>
    </xf>
    <xf numFmtId="0" fontId="14" fillId="3" borderId="12" xfId="4" applyFont="1" applyFill="1" applyBorder="1" applyAlignment="1">
      <alignment horizontal="center" vertical="center"/>
    </xf>
    <xf numFmtId="0" fontId="14" fillId="3" borderId="13" xfId="4" applyFont="1" applyFill="1" applyBorder="1" applyAlignment="1">
      <alignment horizontal="center" vertical="center"/>
    </xf>
    <xf numFmtId="0" fontId="4" fillId="0" borderId="11" xfId="12" applyFont="1" applyBorder="1" applyAlignment="1">
      <alignment horizontal="center" vertical="center"/>
    </xf>
    <xf numFmtId="0" fontId="4" fillId="0" borderId="12" xfId="12" applyFont="1" applyBorder="1" applyAlignment="1">
      <alignment horizontal="center" vertical="center"/>
    </xf>
    <xf numFmtId="0" fontId="7" fillId="0" borderId="11" xfId="12" applyFont="1" applyBorder="1" applyAlignment="1">
      <alignment horizontal="left" vertical="center" indent="2"/>
    </xf>
    <xf numFmtId="0" fontId="7" fillId="0" borderId="12" xfId="12" applyFont="1" applyBorder="1" applyAlignment="1">
      <alignment horizontal="left" vertical="center" indent="2"/>
    </xf>
    <xf numFmtId="0" fontId="7" fillId="0" borderId="13" xfId="12" applyFont="1" applyBorder="1" applyAlignment="1">
      <alignment horizontal="left" vertical="center" indent="2"/>
    </xf>
    <xf numFmtId="0" fontId="46" fillId="0" borderId="11" xfId="12" applyFont="1" applyBorder="1" applyAlignment="1">
      <alignment horizontal="left" vertical="center" indent="2"/>
    </xf>
    <xf numFmtId="0" fontId="46" fillId="0" borderId="12" xfId="12" applyFont="1" applyBorder="1" applyAlignment="1">
      <alignment horizontal="left" vertical="center" indent="2"/>
    </xf>
    <xf numFmtId="0" fontId="46" fillId="0" borderId="13" xfId="12" applyFont="1" applyBorder="1" applyAlignment="1">
      <alignment horizontal="left" vertical="center" indent="2"/>
    </xf>
    <xf numFmtId="0" fontId="7" fillId="2" borderId="1" xfId="0" applyFont="1" applyFill="1" applyBorder="1" applyAlignment="1">
      <alignment horizontal="center" vertical="center" wrapText="1"/>
    </xf>
    <xf numFmtId="0" fontId="7" fillId="2" borderId="3" xfId="0" applyFont="1" applyFill="1" applyBorder="1" applyAlignment="1">
      <alignment horizontal="center" vertical="center" wrapText="1"/>
    </xf>
    <xf numFmtId="10" fontId="7" fillId="0" borderId="1" xfId="2" applyNumberFormat="1" applyFont="1" applyFill="1" applyBorder="1" applyAlignment="1">
      <alignment horizontal="center" vertical="center" wrapText="1"/>
    </xf>
    <xf numFmtId="10" fontId="7" fillId="0" borderId="3" xfId="2" applyNumberFormat="1" applyFont="1" applyFill="1" applyBorder="1" applyAlignment="1">
      <alignment horizontal="center" vertical="center" wrapText="1"/>
    </xf>
    <xf numFmtId="4" fontId="14" fillId="3" borderId="20" xfId="2" applyNumberFormat="1" applyFont="1" applyFill="1" applyBorder="1" applyAlignment="1">
      <alignment horizontal="center" vertical="center"/>
    </xf>
    <xf numFmtId="4" fontId="14" fillId="3" borderId="21" xfId="2" applyNumberFormat="1" applyFont="1" applyFill="1" applyBorder="1" applyAlignment="1">
      <alignment horizontal="center" vertical="center"/>
    </xf>
    <xf numFmtId="0" fontId="10" fillId="3" borderId="20" xfId="12" applyFont="1" applyFill="1" applyBorder="1" applyAlignment="1">
      <alignment horizontal="center" vertical="center"/>
    </xf>
    <xf numFmtId="0" fontId="10" fillId="3" borderId="40" xfId="12" applyFont="1" applyFill="1" applyBorder="1" applyAlignment="1">
      <alignment horizontal="center" vertical="center"/>
    </xf>
    <xf numFmtId="0" fontId="10" fillId="3" borderId="21" xfId="12" applyFont="1" applyFill="1" applyBorder="1" applyAlignment="1">
      <alignment horizontal="center" vertical="center"/>
    </xf>
    <xf numFmtId="49" fontId="14" fillId="3" borderId="1" xfId="12" applyNumberFormat="1" applyFont="1" applyFill="1" applyBorder="1" applyAlignment="1">
      <alignment horizontal="right" vertical="center"/>
    </xf>
    <xf numFmtId="49" fontId="14" fillId="3" borderId="2" xfId="12" applyNumberFormat="1" applyFont="1" applyFill="1" applyBorder="1" applyAlignment="1">
      <alignment horizontal="right" vertical="center"/>
    </xf>
    <xf numFmtId="49" fontId="14" fillId="3" borderId="5" xfId="12" applyNumberFormat="1" applyFont="1" applyFill="1" applyBorder="1" applyAlignment="1">
      <alignment horizontal="right" vertical="center"/>
    </xf>
    <xf numFmtId="49" fontId="14" fillId="3" borderId="0" xfId="12" applyNumberFormat="1" applyFont="1" applyFill="1" applyAlignment="1">
      <alignment horizontal="right" vertical="center"/>
    </xf>
    <xf numFmtId="49" fontId="14" fillId="3" borderId="8" xfId="12" applyNumberFormat="1" applyFont="1" applyFill="1" applyBorder="1" applyAlignment="1">
      <alignment horizontal="right" vertical="center"/>
    </xf>
    <xf numFmtId="49" fontId="14" fillId="3" borderId="9" xfId="12" applyNumberFormat="1" applyFont="1" applyFill="1" applyBorder="1" applyAlignment="1">
      <alignment horizontal="right" vertical="center"/>
    </xf>
    <xf numFmtId="43" fontId="10" fillId="3" borderId="15" xfId="1" applyFont="1" applyFill="1" applyBorder="1" applyAlignment="1">
      <alignment horizontal="center" vertical="center"/>
    </xf>
    <xf numFmtId="43" fontId="10" fillId="3" borderId="7" xfId="1" applyFont="1" applyFill="1" applyBorder="1" applyAlignment="1">
      <alignment horizontal="center" vertical="center"/>
    </xf>
    <xf numFmtId="0" fontId="4" fillId="0" borderId="12" xfId="0" applyFont="1" applyBorder="1" applyAlignment="1">
      <alignment horizontal="center" vertical="center"/>
    </xf>
    <xf numFmtId="0" fontId="10" fillId="3" borderId="11" xfId="4" applyFont="1" applyFill="1" applyBorder="1" applyAlignment="1">
      <alignment horizontal="center" vertical="center" wrapText="1"/>
    </xf>
    <xf numFmtId="0" fontId="4" fillId="0" borderId="12" xfId="0" applyFont="1" applyBorder="1" applyAlignment="1">
      <alignment horizontal="center" vertical="center" wrapText="1"/>
    </xf>
    <xf numFmtId="0" fontId="4" fillId="2" borderId="11"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3" fillId="0" borderId="0" xfId="0" applyFont="1" applyAlignment="1">
      <alignment horizontal="right"/>
    </xf>
    <xf numFmtId="167" fontId="10" fillId="3" borderId="15" xfId="1" applyNumberFormat="1" applyFont="1" applyFill="1" applyBorder="1" applyAlignment="1">
      <alignment horizontal="center" vertical="center"/>
    </xf>
    <xf numFmtId="167" fontId="10" fillId="3" borderId="7" xfId="1" applyNumberFormat="1" applyFont="1" applyFill="1" applyBorder="1" applyAlignment="1">
      <alignment horizontal="center" vertical="center"/>
    </xf>
    <xf numFmtId="49" fontId="12" fillId="0" borderId="0" xfId="12" applyNumberFormat="1" applyFont="1" applyAlignment="1">
      <alignment horizontal="right" vertical="center"/>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7" fillId="2" borderId="7"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14" fillId="3" borderId="11" xfId="12" applyFont="1" applyFill="1" applyBorder="1" applyAlignment="1">
      <alignment horizontal="center" vertical="center"/>
    </xf>
    <xf numFmtId="0" fontId="14" fillId="3" borderId="12" xfId="12" applyFont="1" applyFill="1" applyBorder="1" applyAlignment="1">
      <alignment horizontal="center" vertical="center"/>
    </xf>
    <xf numFmtId="0" fontId="14" fillId="3" borderId="13" xfId="12" applyFont="1" applyFill="1" applyBorder="1" applyAlignment="1">
      <alignment horizontal="center" vertical="center"/>
    </xf>
    <xf numFmtId="0" fontId="10" fillId="3" borderId="15" xfId="12" applyFont="1" applyFill="1" applyBorder="1" applyAlignment="1">
      <alignment horizontal="center" vertical="center"/>
    </xf>
    <xf numFmtId="0" fontId="32" fillId="8" borderId="5" xfId="12" applyFont="1" applyFill="1" applyBorder="1" applyAlignment="1">
      <alignment horizontal="center" vertical="center"/>
    </xf>
    <xf numFmtId="0" fontId="32" fillId="8" borderId="0" xfId="12" applyFont="1" applyFill="1" applyAlignment="1">
      <alignment horizontal="left" vertical="center" wrapText="1"/>
    </xf>
    <xf numFmtId="0" fontId="43" fillId="0" borderId="0" xfId="0" applyFont="1" applyAlignment="1">
      <alignment horizontal="left" vertical="center"/>
    </xf>
    <xf numFmtId="167" fontId="4" fillId="9" borderId="12" xfId="15" applyNumberFormat="1" applyFont="1" applyFill="1" applyBorder="1" applyAlignment="1">
      <alignment horizontal="center" vertical="center" wrapText="1"/>
    </xf>
    <xf numFmtId="0" fontId="17" fillId="0" borderId="2" xfId="0" applyFont="1" applyBorder="1" applyAlignment="1">
      <alignment horizontal="center" vertical="center" wrapText="1"/>
    </xf>
    <xf numFmtId="167" fontId="4" fillId="10" borderId="12" xfId="15" applyNumberFormat="1" applyFont="1" applyFill="1" applyBorder="1" applyAlignment="1">
      <alignment horizontal="center" vertical="center" wrapText="1"/>
    </xf>
    <xf numFmtId="0" fontId="4" fillId="0" borderId="0" xfId="0" applyFont="1" applyAlignment="1">
      <alignment horizontal="center" vertical="center" wrapText="1"/>
    </xf>
    <xf numFmtId="0" fontId="7" fillId="2" borderId="0" xfId="0" applyFont="1" applyFill="1" applyAlignment="1">
      <alignment horizontal="center" vertical="center" wrapText="1"/>
    </xf>
    <xf numFmtId="0" fontId="14" fillId="3" borderId="11" xfId="4" applyFont="1" applyFill="1" applyBorder="1" applyAlignment="1">
      <alignment horizontal="center" vertical="center" wrapText="1"/>
    </xf>
    <xf numFmtId="0" fontId="14" fillId="3" borderId="12" xfId="4" applyFont="1" applyFill="1" applyBorder="1" applyAlignment="1">
      <alignment horizontal="center" vertical="center" wrapText="1"/>
    </xf>
    <xf numFmtId="0" fontId="14" fillId="3" borderId="13" xfId="4" applyFont="1" applyFill="1" applyBorder="1" applyAlignment="1">
      <alignment horizontal="center" vertical="center" wrapText="1"/>
    </xf>
    <xf numFmtId="167" fontId="10" fillId="3" borderId="15" xfId="1" applyNumberFormat="1" applyFont="1" applyFill="1" applyBorder="1" applyAlignment="1">
      <alignment horizontal="center" vertical="center" wrapText="1"/>
    </xf>
    <xf numFmtId="167" fontId="10" fillId="3" borderId="11" xfId="4" applyNumberFormat="1" applyFont="1" applyFill="1" applyBorder="1" applyAlignment="1">
      <alignment horizontal="center" vertical="center" wrapText="1"/>
    </xf>
    <xf numFmtId="167" fontId="10" fillId="3" borderId="13" xfId="4" applyNumberFormat="1" applyFont="1" applyFill="1" applyBorder="1" applyAlignment="1">
      <alignment horizontal="center" vertical="center" wrapText="1"/>
    </xf>
    <xf numFmtId="167" fontId="10" fillId="3" borderId="7" xfId="4" applyNumberFormat="1" applyFont="1" applyFill="1" applyBorder="1" applyAlignment="1">
      <alignment horizontal="center" vertical="center" wrapText="1"/>
    </xf>
    <xf numFmtId="167" fontId="10" fillId="3" borderId="14" xfId="4" applyNumberFormat="1" applyFont="1" applyFill="1" applyBorder="1" applyAlignment="1">
      <alignment horizontal="center" vertical="center" wrapText="1"/>
    </xf>
    <xf numFmtId="167" fontId="10" fillId="3" borderId="12" xfId="4" applyNumberFormat="1" applyFont="1" applyFill="1" applyBorder="1" applyAlignment="1">
      <alignment horizontal="center" vertical="center" wrapText="1"/>
    </xf>
    <xf numFmtId="0" fontId="51" fillId="3" borderId="5" xfId="12" applyFont="1" applyFill="1" applyBorder="1" applyAlignment="1">
      <alignment horizontal="center" vertical="center" wrapText="1"/>
    </xf>
    <xf numFmtId="0" fontId="51" fillId="3" borderId="0" xfId="12" applyFont="1" applyFill="1" applyAlignment="1">
      <alignment horizontal="center" vertical="center" wrapText="1"/>
    </xf>
    <xf numFmtId="0" fontId="51" fillId="3" borderId="6" xfId="12" applyFont="1" applyFill="1" applyBorder="1" applyAlignment="1">
      <alignment horizontal="center" vertical="center" wrapText="1"/>
    </xf>
    <xf numFmtId="49" fontId="52" fillId="0" borderId="11" xfId="12" applyNumberFormat="1" applyFont="1" applyBorder="1" applyAlignment="1">
      <alignment horizontal="center" vertical="center" wrapText="1"/>
    </xf>
    <xf numFmtId="49" fontId="52" fillId="0" borderId="29" xfId="12" applyNumberFormat="1" applyFont="1" applyBorder="1" applyAlignment="1">
      <alignment horizontal="center" vertical="center" wrapText="1"/>
    </xf>
    <xf numFmtId="0" fontId="12" fillId="0" borderId="0" xfId="0" applyFont="1" applyAlignment="1">
      <alignment horizontal="left" vertical="top" wrapText="1"/>
    </xf>
    <xf numFmtId="0" fontId="56" fillId="0" borderId="5" xfId="22" applyFont="1" applyBorder="1" applyAlignment="1">
      <alignment horizontal="left" vertical="top" wrapText="1"/>
    </xf>
    <xf numFmtId="0" fontId="56" fillId="0" borderId="0" xfId="22" applyFont="1" applyAlignment="1">
      <alignment horizontal="left" vertical="top" wrapText="1"/>
    </xf>
    <xf numFmtId="0" fontId="56" fillId="0" borderId="6" xfId="22" applyFont="1" applyBorder="1" applyAlignment="1">
      <alignment horizontal="left" vertical="top" wrapText="1"/>
    </xf>
    <xf numFmtId="0" fontId="62" fillId="2" borderId="5" xfId="19" applyFont="1" applyFill="1" applyBorder="1" applyAlignment="1">
      <alignment horizontal="left" vertical="top" wrapText="1"/>
    </xf>
    <xf numFmtId="0" fontId="62" fillId="2" borderId="0" xfId="19" applyFont="1" applyFill="1" applyAlignment="1">
      <alignment horizontal="left" vertical="top" wrapText="1"/>
    </xf>
    <xf numFmtId="0" fontId="62" fillId="2" borderId="6" xfId="19" applyFont="1" applyFill="1" applyBorder="1" applyAlignment="1">
      <alignment horizontal="left" vertical="top" wrapText="1"/>
    </xf>
    <xf numFmtId="0" fontId="62" fillId="2" borderId="8" xfId="19" applyFont="1" applyFill="1" applyBorder="1" applyAlignment="1">
      <alignment horizontal="left" vertical="top" wrapText="1"/>
    </xf>
    <xf numFmtId="0" fontId="62" fillId="2" borderId="9" xfId="19" applyFont="1" applyFill="1" applyBorder="1" applyAlignment="1">
      <alignment horizontal="left" vertical="top" wrapText="1"/>
    </xf>
    <xf numFmtId="0" fontId="62" fillId="2" borderId="10" xfId="19" applyFont="1" applyFill="1" applyBorder="1" applyAlignment="1">
      <alignment horizontal="left" vertical="top" wrapText="1"/>
    </xf>
    <xf numFmtId="0" fontId="12" fillId="0" borderId="1" xfId="19" applyFont="1" applyBorder="1" applyAlignment="1">
      <alignment horizontal="center" vertical="center"/>
    </xf>
    <xf numFmtId="0" fontId="12" fillId="0" borderId="2" xfId="19" applyFont="1" applyBorder="1" applyAlignment="1">
      <alignment horizontal="center" vertical="center"/>
    </xf>
    <xf numFmtId="0" fontId="12" fillId="0" borderId="3" xfId="19" applyFont="1" applyBorder="1" applyAlignment="1">
      <alignment horizontal="center" vertical="center"/>
    </xf>
    <xf numFmtId="0" fontId="12" fillId="0" borderId="8" xfId="19" applyFont="1" applyBorder="1" applyAlignment="1">
      <alignment horizontal="center" vertical="center"/>
    </xf>
    <xf numFmtId="0" fontId="12" fillId="0" borderId="9" xfId="19" applyFont="1" applyBorder="1" applyAlignment="1">
      <alignment horizontal="center" vertical="center"/>
    </xf>
    <xf numFmtId="0" fontId="12" fillId="0" borderId="10" xfId="19" applyFont="1" applyBorder="1" applyAlignment="1">
      <alignment horizontal="center" vertical="center"/>
    </xf>
    <xf numFmtId="0" fontId="4" fillId="0" borderId="11" xfId="20" applyFont="1" applyBorder="1" applyAlignment="1">
      <alignment horizontal="left" vertical="center" wrapText="1"/>
    </xf>
    <xf numFmtId="0" fontId="4" fillId="0" borderId="12" xfId="20" applyFont="1" applyBorder="1" applyAlignment="1">
      <alignment horizontal="left" vertical="center" wrapText="1"/>
    </xf>
    <xf numFmtId="0" fontId="4" fillId="0" borderId="13" xfId="20" applyFont="1" applyBorder="1" applyAlignment="1">
      <alignment horizontal="left" vertical="center" wrapText="1"/>
    </xf>
    <xf numFmtId="0" fontId="61" fillId="5" borderId="1" xfId="22" applyFont="1" applyFill="1" applyBorder="1" applyAlignment="1">
      <alignment horizontal="left" vertical="top" wrapText="1"/>
    </xf>
    <xf numFmtId="0" fontId="61" fillId="5" borderId="2" xfId="22" applyFont="1" applyFill="1" applyBorder="1" applyAlignment="1">
      <alignment horizontal="left" vertical="top" wrapText="1"/>
    </xf>
    <xf numFmtId="0" fontId="61" fillId="5" borderId="3" xfId="22" applyFont="1" applyFill="1" applyBorder="1" applyAlignment="1">
      <alignment horizontal="left" vertical="top" wrapText="1"/>
    </xf>
    <xf numFmtId="0" fontId="61" fillId="5" borderId="5" xfId="22" applyFont="1" applyFill="1" applyBorder="1" applyAlignment="1">
      <alignment horizontal="left" vertical="top" wrapText="1"/>
    </xf>
    <xf numFmtId="0" fontId="61" fillId="5" borderId="0" xfId="22" applyFont="1" applyFill="1" applyAlignment="1">
      <alignment horizontal="left" vertical="top" wrapText="1"/>
    </xf>
    <xf numFmtId="0" fontId="61" fillId="5" borderId="6" xfId="22" applyFont="1" applyFill="1" applyBorder="1" applyAlignment="1">
      <alignment horizontal="left" vertical="top" wrapText="1"/>
    </xf>
    <xf numFmtId="14" fontId="5" fillId="0" borderId="9" xfId="3" applyNumberFormat="1" applyFont="1" applyBorder="1" applyAlignment="1">
      <alignment horizontal="left" vertical="center"/>
    </xf>
    <xf numFmtId="0" fontId="55" fillId="3" borderId="15" xfId="20" applyFont="1" applyFill="1" applyBorder="1" applyAlignment="1">
      <alignment horizontal="center" vertical="center" wrapText="1"/>
    </xf>
    <xf numFmtId="0" fontId="12" fillId="0" borderId="7" xfId="19" applyFont="1" applyBorder="1" applyAlignment="1">
      <alignment horizontal="center" vertical="center" wrapText="1"/>
    </xf>
    <xf numFmtId="0" fontId="12" fillId="0" borderId="4" xfId="19" applyFont="1" applyBorder="1" applyAlignment="1">
      <alignment horizontal="center" vertical="center" wrapText="1"/>
    </xf>
    <xf numFmtId="0" fontId="12" fillId="0" borderId="14" xfId="19" applyFont="1" applyBorder="1" applyAlignment="1">
      <alignment horizontal="center" vertical="center" wrapText="1"/>
    </xf>
    <xf numFmtId="169" fontId="12" fillId="0" borderId="7" xfId="18" applyFont="1" applyFill="1" applyBorder="1" applyAlignment="1">
      <alignment horizontal="center" vertical="center"/>
    </xf>
    <xf numFmtId="169" fontId="12" fillId="0" borderId="14" xfId="18" applyFont="1" applyFill="1" applyBorder="1" applyAlignment="1">
      <alignment horizontal="center" vertical="center"/>
    </xf>
    <xf numFmtId="169" fontId="12" fillId="0" borderId="2" xfId="18" applyFont="1" applyFill="1" applyBorder="1" applyAlignment="1">
      <alignment horizontal="center" vertical="center"/>
    </xf>
    <xf numFmtId="169" fontId="12" fillId="0" borderId="9" xfId="18" applyFont="1" applyFill="1" applyBorder="1" applyAlignment="1">
      <alignment horizontal="center" vertical="center"/>
    </xf>
    <xf numFmtId="169" fontId="12" fillId="0" borderId="11" xfId="18" applyFont="1" applyFill="1" applyBorder="1" applyAlignment="1">
      <alignment horizontal="center" vertical="center" wrapText="1"/>
    </xf>
    <xf numFmtId="169" fontId="12" fillId="0" borderId="13" xfId="18" applyFont="1" applyFill="1" applyBorder="1" applyAlignment="1">
      <alignment horizontal="center" vertical="center" wrapText="1"/>
    </xf>
    <xf numFmtId="43" fontId="12" fillId="0" borderId="7" xfId="21" applyFont="1" applyFill="1" applyBorder="1" applyAlignment="1">
      <alignment horizontal="center" vertical="center"/>
    </xf>
    <xf numFmtId="43" fontId="12" fillId="0" borderId="14" xfId="21" applyFont="1" applyFill="1" applyBorder="1" applyAlignment="1">
      <alignment horizontal="center" vertical="center"/>
    </xf>
    <xf numFmtId="43" fontId="12" fillId="0" borderId="7" xfId="21" applyFont="1" applyFill="1" applyBorder="1" applyAlignment="1">
      <alignment horizontal="center" vertical="center" wrapText="1"/>
    </xf>
    <xf numFmtId="43" fontId="12" fillId="0" borderId="14" xfId="21" applyFont="1" applyFill="1" applyBorder="1" applyAlignment="1">
      <alignment horizontal="center" vertical="center" wrapText="1"/>
    </xf>
    <xf numFmtId="164" fontId="10" fillId="4" borderId="15" xfId="6" applyNumberFormat="1" applyFont="1" applyFill="1" applyBorder="1" applyAlignment="1">
      <alignment horizontal="right" vertical="center"/>
    </xf>
    <xf numFmtId="164" fontId="4" fillId="2" borderId="14" xfId="6" applyNumberFormat="1" applyFont="1" applyFill="1" applyBorder="1" applyAlignment="1">
      <alignment horizontal="center" vertical="center" wrapText="1"/>
    </xf>
    <xf numFmtId="164" fontId="4" fillId="2" borderId="15" xfId="6" applyNumberFormat="1" applyFont="1" applyFill="1" applyBorder="1" applyAlignment="1">
      <alignment horizontal="center" vertical="center" wrapText="1"/>
    </xf>
    <xf numFmtId="164" fontId="10" fillId="3" borderId="15" xfId="6" applyNumberFormat="1" applyFont="1" applyFill="1" applyBorder="1" applyAlignment="1">
      <alignment horizontal="right" vertical="center"/>
    </xf>
    <xf numFmtId="0" fontId="4" fillId="2" borderId="14" xfId="6" applyFont="1" applyFill="1" applyBorder="1" applyAlignment="1">
      <alignment horizontal="center" vertical="center"/>
    </xf>
    <xf numFmtId="0" fontId="4" fillId="2" borderId="15" xfId="6" applyFont="1" applyFill="1" applyBorder="1" applyAlignment="1">
      <alignment horizontal="center" vertical="center"/>
    </xf>
    <xf numFmtId="0" fontId="4" fillId="2" borderId="4" xfId="6" applyFont="1" applyFill="1" applyBorder="1" applyAlignment="1">
      <alignment horizontal="center" vertical="center"/>
    </xf>
    <xf numFmtId="164" fontId="4" fillId="2" borderId="4" xfId="6" applyNumberFormat="1" applyFont="1" applyFill="1" applyBorder="1" applyAlignment="1">
      <alignment horizontal="center" vertical="center" wrapText="1"/>
    </xf>
    <xf numFmtId="164" fontId="4" fillId="2" borderId="8" xfId="6" applyNumberFormat="1" applyFont="1" applyFill="1" applyBorder="1" applyAlignment="1">
      <alignment horizontal="center" vertical="center" wrapText="1"/>
    </xf>
    <xf numFmtId="164" fontId="4" fillId="2" borderId="10" xfId="6" applyNumberFormat="1" applyFont="1" applyFill="1" applyBorder="1" applyAlignment="1">
      <alignment horizontal="center" vertical="center" wrapText="1"/>
    </xf>
    <xf numFmtId="164" fontId="4" fillId="2" borderId="11" xfId="6" applyNumberFormat="1" applyFont="1" applyFill="1" applyBorder="1" applyAlignment="1">
      <alignment horizontal="center" vertical="center" wrapText="1"/>
    </xf>
    <xf numFmtId="164" fontId="4" fillId="2" borderId="13" xfId="6" applyNumberFormat="1" applyFont="1" applyFill="1" applyBorder="1" applyAlignment="1">
      <alignment horizontal="center" vertical="center" wrapText="1"/>
    </xf>
    <xf numFmtId="0" fontId="14" fillId="3" borderId="1" xfId="5" applyFont="1" applyFill="1" applyBorder="1" applyAlignment="1">
      <alignment horizontal="center" vertical="center"/>
    </xf>
    <xf numFmtId="0" fontId="14" fillId="3" borderId="2" xfId="5" applyFont="1" applyFill="1" applyBorder="1" applyAlignment="1">
      <alignment horizontal="center" vertical="center"/>
    </xf>
    <xf numFmtId="0" fontId="15" fillId="0" borderId="1" xfId="4" applyFont="1" applyBorder="1" applyAlignment="1">
      <alignment horizontal="center" vertical="center" wrapText="1"/>
    </xf>
    <xf numFmtId="0" fontId="15" fillId="0" borderId="3" xfId="4" applyFont="1" applyBorder="1" applyAlignment="1">
      <alignment horizontal="center" vertical="center" wrapText="1"/>
    </xf>
    <xf numFmtId="0" fontId="15" fillId="0" borderId="8" xfId="4" applyFont="1" applyBorder="1" applyAlignment="1">
      <alignment horizontal="center" vertical="center" wrapText="1"/>
    </xf>
    <xf numFmtId="0" fontId="15" fillId="0" borderId="10" xfId="4" applyFont="1" applyBorder="1" applyAlignment="1">
      <alignment horizontal="center" vertical="center" wrapText="1"/>
    </xf>
    <xf numFmtId="0" fontId="7" fillId="0" borderId="11" xfId="4" applyFont="1" applyBorder="1" applyAlignment="1">
      <alignment horizontal="left" vertical="center"/>
    </xf>
    <xf numFmtId="0" fontId="7" fillId="0" borderId="12" xfId="4" applyFont="1" applyBorder="1" applyAlignment="1">
      <alignment horizontal="left" vertical="center"/>
    </xf>
    <xf numFmtId="0" fontId="7" fillId="0" borderId="13" xfId="4" applyFont="1" applyBorder="1" applyAlignment="1">
      <alignment horizontal="left" vertical="center"/>
    </xf>
    <xf numFmtId="4" fontId="7" fillId="0" borderId="11" xfId="4" applyNumberFormat="1" applyFont="1" applyBorder="1" applyAlignment="1">
      <alignment horizontal="left" vertical="center"/>
    </xf>
    <xf numFmtId="4" fontId="7" fillId="0" borderId="12" xfId="4" applyNumberFormat="1" applyFont="1" applyBorder="1" applyAlignment="1">
      <alignment horizontal="left" vertical="center"/>
    </xf>
    <xf numFmtId="4" fontId="7" fillId="0" borderId="13" xfId="4" applyNumberFormat="1" applyFont="1" applyBorder="1" applyAlignment="1">
      <alignment horizontal="left" vertical="center"/>
    </xf>
    <xf numFmtId="4" fontId="7" fillId="0" borderId="8" xfId="3" applyNumberFormat="1" applyFont="1" applyBorder="1" applyAlignment="1">
      <alignment horizontal="left" vertical="center"/>
    </xf>
    <xf numFmtId="4" fontId="7" fillId="0" borderId="9" xfId="3" applyNumberFormat="1" applyFont="1" applyBorder="1" applyAlignment="1">
      <alignment horizontal="left" vertical="center"/>
    </xf>
    <xf numFmtId="4" fontId="7" fillId="0" borderId="10" xfId="3" applyNumberFormat="1" applyFont="1" applyBorder="1" applyAlignment="1">
      <alignment horizontal="left" vertical="center"/>
    </xf>
    <xf numFmtId="0" fontId="4" fillId="2" borderId="7" xfId="6" applyFont="1" applyFill="1" applyBorder="1" applyAlignment="1">
      <alignment horizontal="center" vertical="center"/>
    </xf>
    <xf numFmtId="164" fontId="4" fillId="2" borderId="7" xfId="6" applyNumberFormat="1" applyFont="1" applyFill="1" applyBorder="1" applyAlignment="1">
      <alignment horizontal="center" vertical="center" wrapText="1"/>
    </xf>
    <xf numFmtId="0" fontId="7" fillId="0" borderId="15" xfId="23" applyFont="1" applyBorder="1" applyAlignment="1">
      <alignment horizontal="center" vertical="center" wrapText="1"/>
    </xf>
    <xf numFmtId="0" fontId="4" fillId="0" borderId="11" xfId="23" applyFont="1" applyBorder="1" applyAlignment="1">
      <alignment horizontal="center" vertical="center" wrapText="1"/>
    </xf>
    <xf numFmtId="0" fontId="4" fillId="0" borderId="12" xfId="23" applyFont="1" applyBorder="1" applyAlignment="1">
      <alignment horizontal="center" vertical="center" wrapText="1"/>
    </xf>
    <xf numFmtId="0" fontId="4" fillId="0" borderId="13" xfId="23" applyFont="1" applyBorder="1" applyAlignment="1">
      <alignment horizontal="center" vertical="center" wrapText="1"/>
    </xf>
    <xf numFmtId="0" fontId="7" fillId="2" borderId="2" xfId="23" applyFont="1" applyFill="1" applyBorder="1" applyAlignment="1">
      <alignment horizontal="left" vertical="center"/>
    </xf>
    <xf numFmtId="0" fontId="9" fillId="3" borderId="1" xfId="23" applyFont="1" applyFill="1" applyBorder="1" applyAlignment="1">
      <alignment horizontal="center" vertical="center"/>
    </xf>
    <xf numFmtId="0" fontId="9" fillId="3" borderId="2" xfId="23" applyFont="1" applyFill="1" applyBorder="1" applyAlignment="1">
      <alignment horizontal="center" vertical="center"/>
    </xf>
    <xf numFmtId="0" fontId="9" fillId="3" borderId="3" xfId="23" applyFont="1" applyFill="1" applyBorder="1" applyAlignment="1">
      <alignment horizontal="center" vertical="center"/>
    </xf>
    <xf numFmtId="0" fontId="4" fillId="0" borderId="15" xfId="23" applyFont="1" applyBorder="1" applyAlignment="1">
      <alignment horizontal="center" vertical="center" wrapText="1"/>
    </xf>
    <xf numFmtId="0" fontId="4" fillId="0" borderId="15" xfId="23" applyFont="1" applyBorder="1" applyAlignment="1">
      <alignment horizontal="center" vertical="center"/>
    </xf>
    <xf numFmtId="2" fontId="4" fillId="0" borderId="15" xfId="23" applyNumberFormat="1" applyFont="1" applyBorder="1" applyAlignment="1">
      <alignment horizontal="center" vertical="center" wrapText="1"/>
    </xf>
    <xf numFmtId="0" fontId="4" fillId="0" borderId="13" xfId="12" applyFont="1" applyBorder="1" applyAlignment="1">
      <alignment horizontal="center" vertical="center"/>
    </xf>
    <xf numFmtId="49" fontId="10" fillId="3" borderId="13" xfId="12" applyNumberFormat="1" applyFont="1" applyFill="1" applyBorder="1" applyAlignment="1">
      <alignment horizontal="right" vertical="center"/>
    </xf>
    <xf numFmtId="0" fontId="9" fillId="3" borderId="11" xfId="12" applyFont="1" applyFill="1" applyBorder="1" applyAlignment="1">
      <alignment horizontal="center" vertical="center"/>
    </xf>
    <xf numFmtId="0" fontId="9" fillId="3" borderId="12" xfId="12" applyFont="1" applyFill="1" applyBorder="1" applyAlignment="1">
      <alignment horizontal="center" vertical="center"/>
    </xf>
    <xf numFmtId="0" fontId="9" fillId="3" borderId="13" xfId="12" applyFont="1" applyFill="1" applyBorder="1" applyAlignment="1">
      <alignment horizontal="center" vertical="center"/>
    </xf>
    <xf numFmtId="0" fontId="4" fillId="0" borderId="15" xfId="12" applyFont="1" applyBorder="1" applyAlignment="1">
      <alignment horizontal="center" vertical="center"/>
    </xf>
    <xf numFmtId="180" fontId="4" fillId="0" borderId="15" xfId="12" applyNumberFormat="1" applyFont="1" applyBorder="1" applyAlignment="1">
      <alignment horizontal="center" vertical="center"/>
    </xf>
    <xf numFmtId="189" fontId="4" fillId="0" borderId="15" xfId="3" applyNumberFormat="1" applyFont="1" applyBorder="1" applyAlignment="1">
      <alignment horizontal="center" vertical="center"/>
    </xf>
    <xf numFmtId="0" fontId="46" fillId="0" borderId="0" xfId="12" applyFont="1" applyAlignment="1">
      <alignment horizontal="left" vertical="center"/>
    </xf>
    <xf numFmtId="189" fontId="4" fillId="0" borderId="11" xfId="3" applyNumberFormat="1" applyFont="1" applyBorder="1" applyAlignment="1">
      <alignment horizontal="center" vertical="center" wrapText="1"/>
    </xf>
    <xf numFmtId="189" fontId="4" fillId="0" borderId="12" xfId="3" applyNumberFormat="1" applyFont="1" applyBorder="1" applyAlignment="1">
      <alignment horizontal="center" vertical="center" wrapText="1"/>
    </xf>
    <xf numFmtId="189" fontId="4" fillId="0" borderId="13" xfId="3" applyNumberFormat="1" applyFont="1" applyBorder="1" applyAlignment="1">
      <alignment horizontal="center" vertical="center" wrapText="1"/>
    </xf>
    <xf numFmtId="189" fontId="4" fillId="0" borderId="7" xfId="3" applyNumberFormat="1" applyFont="1" applyBorder="1" applyAlignment="1">
      <alignment horizontal="center" vertical="center" wrapText="1"/>
    </xf>
    <xf numFmtId="189" fontId="4" fillId="0" borderId="14" xfId="3" applyNumberFormat="1" applyFont="1" applyBorder="1" applyAlignment="1">
      <alignment horizontal="center" vertical="center" wrapText="1"/>
    </xf>
    <xf numFmtId="0" fontId="8" fillId="0" borderId="0" xfId="0" applyFont="1" applyAlignment="1">
      <alignment horizontal="left"/>
    </xf>
    <xf numFmtId="0" fontId="9" fillId="3" borderId="2" xfId="12" applyFont="1" applyFill="1" applyBorder="1" applyAlignment="1">
      <alignment horizontal="center" vertical="center"/>
    </xf>
    <xf numFmtId="0" fontId="4" fillId="0" borderId="4" xfId="12" applyFont="1" applyBorder="1" applyAlignment="1">
      <alignment horizontal="center" vertical="center"/>
    </xf>
    <xf numFmtId="0" fontId="4" fillId="0" borderId="14" xfId="12" applyFont="1" applyBorder="1" applyAlignment="1">
      <alignment horizontal="center" vertical="center"/>
    </xf>
    <xf numFmtId="0" fontId="4" fillId="0" borderId="5" xfId="12" applyFont="1" applyBorder="1" applyAlignment="1">
      <alignment horizontal="center" vertical="center"/>
    </xf>
    <xf numFmtId="0" fontId="4" fillId="0" borderId="8" xfId="12" applyFont="1" applyBorder="1" applyAlignment="1">
      <alignment horizontal="center" vertical="center"/>
    </xf>
    <xf numFmtId="189" fontId="4" fillId="0" borderId="7" xfId="3" applyNumberFormat="1" applyFont="1" applyBorder="1" applyAlignment="1">
      <alignment horizontal="center" vertical="center"/>
    </xf>
    <xf numFmtId="189" fontId="4" fillId="0" borderId="4" xfId="3" applyNumberFormat="1" applyFont="1" applyBorder="1" applyAlignment="1">
      <alignment horizontal="center" vertical="center"/>
    </xf>
    <xf numFmtId="189" fontId="4" fillId="0" borderId="4" xfId="3" applyNumberFormat="1" applyFont="1" applyBorder="1" applyAlignment="1">
      <alignment horizontal="center" vertical="center" wrapText="1"/>
    </xf>
    <xf numFmtId="189" fontId="4" fillId="0" borderId="3" xfId="3" applyNumberFormat="1" applyFont="1" applyBorder="1" applyAlignment="1">
      <alignment horizontal="center" vertical="center" wrapText="1"/>
    </xf>
    <xf numFmtId="189" fontId="4" fillId="0" borderId="6" xfId="3" applyNumberFormat="1" applyFont="1" applyBorder="1" applyAlignment="1">
      <alignment horizontal="center" vertical="center" wrapText="1"/>
    </xf>
    <xf numFmtId="0" fontId="4" fillId="0" borderId="5" xfId="22" applyFont="1" applyBorder="1" applyAlignment="1">
      <alignment horizontal="center" vertical="center"/>
    </xf>
    <xf numFmtId="0" fontId="4" fillId="0" borderId="0" xfId="22" applyFont="1" applyAlignment="1">
      <alignment horizontal="center" vertical="center"/>
    </xf>
    <xf numFmtId="0" fontId="4" fillId="0" borderId="6" xfId="22" applyFont="1" applyBorder="1" applyAlignment="1">
      <alignment horizontal="center" vertical="center"/>
    </xf>
    <xf numFmtId="0" fontId="4" fillId="0" borderId="11" xfId="22" applyFont="1" applyBorder="1" applyAlignment="1">
      <alignment horizontal="right" vertical="center"/>
    </xf>
    <xf numFmtId="0" fontId="4" fillId="0" borderId="12" xfId="22" applyFont="1" applyBorder="1" applyAlignment="1">
      <alignment horizontal="right" vertical="center"/>
    </xf>
    <xf numFmtId="0" fontId="10" fillId="12" borderId="11" xfId="22" applyFont="1" applyFill="1" applyBorder="1" applyAlignment="1">
      <alignment horizontal="right" vertical="center"/>
    </xf>
    <xf numFmtId="0" fontId="10" fillId="12" borderId="12" xfId="22" applyFont="1" applyFill="1" applyBorder="1" applyAlignment="1">
      <alignment horizontal="right" vertical="center"/>
    </xf>
    <xf numFmtId="0" fontId="9" fillId="12" borderId="11" xfId="22" applyFont="1" applyFill="1" applyBorder="1" applyAlignment="1">
      <alignment horizontal="center" vertical="center"/>
    </xf>
    <xf numFmtId="0" fontId="9" fillId="12" borderId="12" xfId="22" applyFont="1" applyFill="1" applyBorder="1" applyAlignment="1">
      <alignment horizontal="center" vertical="center"/>
    </xf>
    <xf numFmtId="0" fontId="9" fillId="12" borderId="13" xfId="22" applyFont="1" applyFill="1" applyBorder="1" applyAlignment="1">
      <alignment horizontal="center" vertical="center"/>
    </xf>
    <xf numFmtId="0" fontId="4" fillId="0" borderId="14" xfId="22" applyFont="1" applyBorder="1" applyAlignment="1">
      <alignment horizontal="center" vertical="center"/>
    </xf>
    <xf numFmtId="0" fontId="4" fillId="0" borderId="15" xfId="22" applyFont="1" applyBorder="1" applyAlignment="1">
      <alignment horizontal="center" vertical="center"/>
    </xf>
    <xf numFmtId="0" fontId="4" fillId="0" borderId="4" xfId="22" applyFont="1" applyBorder="1" applyAlignment="1">
      <alignment horizontal="center" vertical="center"/>
    </xf>
    <xf numFmtId="0" fontId="4" fillId="0" borderId="4" xfId="22" applyFont="1" applyBorder="1" applyAlignment="1">
      <alignment horizontal="center" vertical="center" wrapText="1"/>
    </xf>
    <xf numFmtId="0" fontId="4" fillId="0" borderId="14" xfId="22" applyFont="1" applyBorder="1" applyAlignment="1">
      <alignment horizontal="center" vertical="center" wrapText="1"/>
    </xf>
    <xf numFmtId="0" fontId="4" fillId="0" borderId="8" xfId="22" applyFont="1" applyBorder="1" applyAlignment="1">
      <alignment horizontal="center" vertical="center" wrapText="1"/>
    </xf>
    <xf numFmtId="0" fontId="4" fillId="0" borderId="10" xfId="22" applyFont="1" applyBorder="1" applyAlignment="1">
      <alignment horizontal="center" vertical="center" wrapText="1"/>
    </xf>
    <xf numFmtId="0" fontId="4" fillId="0" borderId="11" xfId="22" applyFont="1" applyBorder="1" applyAlignment="1">
      <alignment horizontal="center" vertical="center"/>
    </xf>
    <xf numFmtId="0" fontId="4" fillId="0" borderId="12" xfId="22" applyFont="1" applyBorder="1" applyAlignment="1">
      <alignment horizontal="center" vertical="center"/>
    </xf>
    <xf numFmtId="0" fontId="4" fillId="0" borderId="13" xfId="22" applyFont="1" applyBorder="1" applyAlignment="1">
      <alignment horizontal="center" vertical="center"/>
    </xf>
    <xf numFmtId="0" fontId="10" fillId="12" borderId="11" xfId="22" applyFont="1" applyFill="1" applyBorder="1" applyAlignment="1">
      <alignment horizontal="center" vertical="center"/>
    </xf>
    <xf numFmtId="0" fontId="10" fillId="12" borderId="12" xfId="22" applyFont="1" applyFill="1" applyBorder="1" applyAlignment="1">
      <alignment horizontal="center" vertical="center"/>
    </xf>
    <xf numFmtId="0" fontId="4" fillId="0" borderId="12" xfId="22" applyFont="1" applyBorder="1" applyAlignment="1">
      <alignment horizontal="center" vertical="center" wrapText="1"/>
    </xf>
    <xf numFmtId="0" fontId="4" fillId="0" borderId="13" xfId="22" applyFont="1" applyBorder="1" applyAlignment="1">
      <alignment horizontal="center" vertical="center" wrapText="1"/>
    </xf>
    <xf numFmtId="0" fontId="4" fillId="0" borderId="11" xfId="24" applyFont="1" applyBorder="1" applyAlignment="1">
      <alignment horizontal="center" vertical="center"/>
    </xf>
    <xf numFmtId="0" fontId="4" fillId="0" borderId="12" xfId="24" applyFont="1" applyBorder="1" applyAlignment="1">
      <alignment horizontal="center" vertical="center"/>
    </xf>
    <xf numFmtId="0" fontId="4" fillId="0" borderId="13" xfId="24" applyFont="1" applyBorder="1" applyAlignment="1">
      <alignment horizontal="center" vertical="center"/>
    </xf>
    <xf numFmtId="49" fontId="10" fillId="4" borderId="15" xfId="24" applyNumberFormat="1" applyFont="1" applyFill="1" applyBorder="1" applyAlignment="1">
      <alignment horizontal="right" vertical="center"/>
    </xf>
    <xf numFmtId="0" fontId="4" fillId="9" borderId="12" xfId="24" applyFont="1" applyFill="1" applyBorder="1" applyAlignment="1">
      <alignment horizontal="left" vertical="center" wrapText="1"/>
    </xf>
    <xf numFmtId="0" fontId="4" fillId="9" borderId="13" xfId="24" applyFont="1" applyFill="1" applyBorder="1" applyAlignment="1">
      <alignment horizontal="left" vertical="center" wrapText="1"/>
    </xf>
    <xf numFmtId="0" fontId="0" fillId="9" borderId="13" xfId="0" applyFill="1" applyBorder="1" applyAlignment="1">
      <alignment horizontal="left" vertical="center" wrapText="1"/>
    </xf>
    <xf numFmtId="0" fontId="9" fillId="3" borderId="15" xfId="24" applyFont="1" applyFill="1" applyBorder="1" applyAlignment="1">
      <alignment horizontal="center" vertical="center" wrapText="1"/>
    </xf>
    <xf numFmtId="0" fontId="7" fillId="0" borderId="15" xfId="24" applyFont="1" applyBorder="1" applyAlignment="1">
      <alignment horizontal="center" vertical="center"/>
    </xf>
    <xf numFmtId="0" fontId="7" fillId="0" borderId="15" xfId="24" applyFont="1" applyBorder="1" applyAlignment="1">
      <alignment horizontal="center" vertical="center" wrapText="1"/>
    </xf>
    <xf numFmtId="166" fontId="7" fillId="0" borderId="15" xfId="24" applyNumberFormat="1" applyFont="1" applyBorder="1" applyAlignment="1">
      <alignment horizontal="center" vertical="center"/>
    </xf>
    <xf numFmtId="0" fontId="7" fillId="0" borderId="7" xfId="24" applyFont="1" applyBorder="1" applyAlignment="1">
      <alignment horizontal="center" vertical="center"/>
    </xf>
    <xf numFmtId="0" fontId="7" fillId="0" borderId="14" xfId="24" applyFont="1" applyBorder="1" applyAlignment="1">
      <alignment horizontal="center" vertical="center"/>
    </xf>
    <xf numFmtId="0" fontId="8" fillId="0" borderId="0" xfId="27" applyFont="1" applyAlignment="1">
      <alignment horizontal="center"/>
    </xf>
    <xf numFmtId="189" fontId="4" fillId="0" borderId="11" xfId="3" applyNumberFormat="1" applyFont="1" applyBorder="1" applyAlignment="1">
      <alignment horizontal="center" vertical="center"/>
    </xf>
    <xf numFmtId="189" fontId="4" fillId="0" borderId="13" xfId="3" applyNumberFormat="1" applyFont="1" applyBorder="1" applyAlignment="1">
      <alignment horizontal="center" vertical="center"/>
    </xf>
    <xf numFmtId="189" fontId="4" fillId="0" borderId="12" xfId="3" applyNumberFormat="1" applyFont="1" applyBorder="1" applyAlignment="1">
      <alignment horizontal="center" vertical="center"/>
    </xf>
    <xf numFmtId="0" fontId="4" fillId="0" borderId="8" xfId="27" applyFont="1" applyBorder="1" applyAlignment="1">
      <alignment horizontal="center" vertical="center"/>
    </xf>
    <xf numFmtId="0" fontId="4" fillId="0" borderId="9" xfId="27" applyFont="1" applyBorder="1" applyAlignment="1">
      <alignment horizontal="center" vertical="center"/>
    </xf>
    <xf numFmtId="0" fontId="4" fillId="0" borderId="10" xfId="27" applyFont="1" applyBorder="1" applyAlignment="1">
      <alignment horizontal="center" vertical="center"/>
    </xf>
    <xf numFmtId="0" fontId="10" fillId="3" borderId="8" xfId="27" applyFont="1" applyFill="1" applyBorder="1" applyAlignment="1">
      <alignment horizontal="right" vertical="center"/>
    </xf>
    <xf numFmtId="0" fontId="10" fillId="3" borderId="9" xfId="27" applyFont="1" applyFill="1" applyBorder="1" applyAlignment="1">
      <alignment horizontal="right" vertical="center"/>
    </xf>
    <xf numFmtId="0" fontId="10" fillId="3" borderId="10" xfId="27" applyFont="1" applyFill="1" applyBorder="1" applyAlignment="1">
      <alignment horizontal="right" vertical="center"/>
    </xf>
    <xf numFmtId="0" fontId="9" fillId="3" borderId="11" xfId="27" applyFont="1" applyFill="1" applyBorder="1" applyAlignment="1">
      <alignment horizontal="center" vertical="center"/>
    </xf>
    <xf numFmtId="0" fontId="9" fillId="3" borderId="12" xfId="27" applyFont="1" applyFill="1" applyBorder="1" applyAlignment="1">
      <alignment horizontal="center" vertical="center"/>
    </xf>
    <xf numFmtId="0" fontId="9" fillId="3" borderId="13" xfId="27" applyFont="1" applyFill="1" applyBorder="1" applyAlignment="1">
      <alignment horizontal="center" vertical="center"/>
    </xf>
    <xf numFmtId="0" fontId="4" fillId="0" borderId="15" xfId="27" applyFont="1" applyBorder="1" applyAlignment="1">
      <alignment horizontal="center" vertical="center"/>
    </xf>
    <xf numFmtId="0" fontId="4" fillId="0" borderId="7" xfId="27" applyFont="1" applyBorder="1" applyAlignment="1">
      <alignment horizontal="center" vertical="center"/>
    </xf>
    <xf numFmtId="0" fontId="4" fillId="0" borderId="7" xfId="27" applyFont="1" applyBorder="1" applyAlignment="1">
      <alignment horizontal="center" vertical="center" wrapText="1"/>
    </xf>
    <xf numFmtId="0" fontId="4" fillId="0" borderId="4" xfId="27" applyFont="1" applyBorder="1" applyAlignment="1">
      <alignment horizontal="center" vertical="center" wrapText="1"/>
    </xf>
    <xf numFmtId="0" fontId="4" fillId="0" borderId="15" xfId="12" applyFont="1" applyBorder="1" applyAlignment="1">
      <alignment horizontal="center"/>
    </xf>
    <xf numFmtId="0" fontId="20" fillId="3" borderId="11" xfId="12" applyFont="1" applyFill="1" applyBorder="1" applyAlignment="1">
      <alignment horizontal="right" vertical="center"/>
    </xf>
    <xf numFmtId="0" fontId="20" fillId="3" borderId="12" xfId="12" applyFont="1" applyFill="1" applyBorder="1" applyAlignment="1">
      <alignment horizontal="right" vertical="center"/>
    </xf>
    <xf numFmtId="0" fontId="9" fillId="3" borderId="1" xfId="12" applyFont="1" applyFill="1" applyBorder="1" applyAlignment="1">
      <alignment horizontal="center" vertical="center"/>
    </xf>
    <xf numFmtId="0" fontId="9" fillId="3" borderId="3" xfId="12" applyFont="1" applyFill="1" applyBorder="1" applyAlignment="1">
      <alignment horizontal="center" vertical="center"/>
    </xf>
    <xf numFmtId="0" fontId="64" fillId="0" borderId="7" xfId="12" applyFont="1" applyBorder="1" applyAlignment="1">
      <alignment horizontal="center" vertical="center"/>
    </xf>
    <xf numFmtId="0" fontId="64" fillId="0" borderId="14" xfId="12" applyFont="1" applyBorder="1" applyAlignment="1">
      <alignment horizontal="center" vertical="center"/>
    </xf>
    <xf numFmtId="0" fontId="64" fillId="0" borderId="11" xfId="12" applyFont="1" applyBorder="1" applyAlignment="1">
      <alignment horizontal="center" vertical="center"/>
    </xf>
    <xf numFmtId="0" fontId="64" fillId="0" borderId="12" xfId="12" applyFont="1" applyBorder="1" applyAlignment="1">
      <alignment horizontal="center" vertical="center"/>
    </xf>
    <xf numFmtId="0" fontId="64" fillId="0" borderId="13" xfId="12" applyFont="1" applyBorder="1" applyAlignment="1">
      <alignment horizontal="center" vertical="center"/>
    </xf>
    <xf numFmtId="0" fontId="4" fillId="0" borderId="15" xfId="27" applyFont="1" applyBorder="1" applyAlignment="1">
      <alignment horizontal="right"/>
    </xf>
    <xf numFmtId="189" fontId="67" fillId="3" borderId="11" xfId="3" applyNumberFormat="1" applyFont="1" applyFill="1" applyBorder="1" applyAlignment="1">
      <alignment horizontal="right" vertical="center" wrapText="1"/>
    </xf>
    <xf numFmtId="189" fontId="67" fillId="3" borderId="12" xfId="3" applyNumberFormat="1" applyFont="1" applyFill="1" applyBorder="1" applyAlignment="1">
      <alignment horizontal="right" vertical="center" wrapText="1"/>
    </xf>
    <xf numFmtId="194" fontId="67" fillId="3" borderId="12" xfId="3" applyNumberFormat="1" applyFont="1" applyFill="1" applyBorder="1" applyAlignment="1">
      <alignment horizontal="center" vertical="center" wrapText="1"/>
    </xf>
    <xf numFmtId="194" fontId="67" fillId="3" borderId="13" xfId="3" applyNumberFormat="1" applyFont="1" applyFill="1" applyBorder="1" applyAlignment="1">
      <alignment horizontal="center" vertical="center" wrapText="1"/>
    </xf>
    <xf numFmtId="49" fontId="64" fillId="0" borderId="11" xfId="12" applyNumberFormat="1" applyFont="1" applyBorder="1" applyAlignment="1">
      <alignment horizontal="right" vertical="center"/>
    </xf>
    <xf numFmtId="49" fontId="64" fillId="0" borderId="12" xfId="12" applyNumberFormat="1" applyFont="1" applyBorder="1" applyAlignment="1">
      <alignment horizontal="right" vertical="center"/>
    </xf>
    <xf numFmtId="49" fontId="64" fillId="0" borderId="13" xfId="12" applyNumberFormat="1" applyFont="1" applyBorder="1" applyAlignment="1">
      <alignment horizontal="right" vertical="center"/>
    </xf>
    <xf numFmtId="189" fontId="64" fillId="0" borderId="11" xfId="3" applyNumberFormat="1" applyFont="1" applyBorder="1" applyAlignment="1">
      <alignment horizontal="center" vertical="center" wrapText="1"/>
    </xf>
    <xf numFmtId="189" fontId="64" fillId="0" borderId="12" xfId="3" applyNumberFormat="1" applyFont="1" applyBorder="1" applyAlignment="1">
      <alignment horizontal="center" vertical="center" wrapText="1"/>
    </xf>
    <xf numFmtId="189" fontId="64" fillId="0" borderId="13" xfId="3" applyNumberFormat="1" applyFont="1" applyBorder="1" applyAlignment="1">
      <alignment horizontal="center" vertical="center" wrapText="1"/>
    </xf>
    <xf numFmtId="2" fontId="66" fillId="2" borderId="11" xfId="12" applyNumberFormat="1" applyFont="1" applyFill="1" applyBorder="1" applyAlignment="1">
      <alignment horizontal="center" vertical="center"/>
    </xf>
    <xf numFmtId="2" fontId="66" fillId="2" borderId="13" xfId="12" applyNumberFormat="1" applyFont="1" applyFill="1" applyBorder="1" applyAlignment="1">
      <alignment horizontal="center" vertical="center"/>
    </xf>
    <xf numFmtId="4" fontId="54" fillId="0" borderId="11" xfId="12" applyNumberFormat="1" applyFont="1" applyBorder="1" applyAlignment="1">
      <alignment horizontal="center" vertical="center"/>
    </xf>
    <xf numFmtId="4" fontId="54" fillId="0" borderId="13" xfId="12" applyNumberFormat="1" applyFont="1" applyBorder="1" applyAlignment="1">
      <alignment horizontal="center" vertical="center"/>
    </xf>
    <xf numFmtId="2" fontId="53" fillId="0" borderId="11" xfId="27" applyNumberFormat="1" applyFont="1" applyBorder="1" applyAlignment="1">
      <alignment horizontal="center" vertical="center"/>
    </xf>
    <xf numFmtId="2" fontId="53" fillId="0" borderId="13" xfId="27" applyNumberFormat="1" applyFont="1" applyBorder="1" applyAlignment="1">
      <alignment horizontal="center" vertical="center"/>
    </xf>
    <xf numFmtId="4" fontId="54" fillId="2" borderId="11" xfId="12" applyNumberFormat="1" applyFont="1" applyFill="1" applyBorder="1" applyAlignment="1">
      <alignment horizontal="center" vertical="center"/>
    </xf>
    <xf numFmtId="4" fontId="54" fillId="2" borderId="13" xfId="12" applyNumberFormat="1" applyFont="1" applyFill="1" applyBorder="1" applyAlignment="1">
      <alignment horizontal="center" vertical="center"/>
    </xf>
    <xf numFmtId="0" fontId="14" fillId="3" borderId="11" xfId="6" applyFont="1" applyFill="1" applyBorder="1" applyAlignment="1">
      <alignment horizontal="center" vertical="center"/>
    </xf>
    <xf numFmtId="0" fontId="14" fillId="3" borderId="12" xfId="6" applyFont="1" applyFill="1" applyBorder="1" applyAlignment="1">
      <alignment horizontal="center" vertical="center"/>
    </xf>
    <xf numFmtId="0" fontId="14" fillId="3" borderId="13" xfId="6" applyFont="1" applyFill="1" applyBorder="1" applyAlignment="1">
      <alignment horizontal="center" vertical="center"/>
    </xf>
    <xf numFmtId="0" fontId="10" fillId="3" borderId="2" xfId="27" applyFont="1" applyFill="1" applyBorder="1" applyAlignment="1">
      <alignment horizontal="right" vertical="center"/>
    </xf>
    <xf numFmtId="0" fontId="10" fillId="3" borderId="3" xfId="27" applyFont="1" applyFill="1" applyBorder="1" applyAlignment="1">
      <alignment horizontal="right" vertical="center"/>
    </xf>
    <xf numFmtId="0" fontId="14" fillId="3" borderId="9" xfId="12" applyFont="1" applyFill="1" applyBorder="1" applyAlignment="1">
      <alignment horizontal="center" vertical="center"/>
    </xf>
    <xf numFmtId="0" fontId="14" fillId="3" borderId="10" xfId="12" applyFont="1" applyFill="1" applyBorder="1" applyAlignment="1">
      <alignment horizontal="center" vertical="center"/>
    </xf>
    <xf numFmtId="0" fontId="4" fillId="0" borderId="7" xfId="12" applyFont="1" applyBorder="1" applyAlignment="1">
      <alignment horizontal="center" vertical="center"/>
    </xf>
    <xf numFmtId="0" fontId="9" fillId="3" borderId="15" xfId="12" applyFont="1" applyFill="1" applyBorder="1" applyAlignment="1">
      <alignment horizontal="center" vertical="center"/>
    </xf>
    <xf numFmtId="0" fontId="4" fillId="0" borderId="11" xfId="29" applyFont="1" applyBorder="1" applyAlignment="1" applyProtection="1">
      <alignment horizontal="center" vertical="center" wrapText="1"/>
      <protection locked="0"/>
    </xf>
    <xf numFmtId="0" fontId="4" fillId="0" borderId="12" xfId="29" applyFont="1" applyBorder="1" applyAlignment="1" applyProtection="1">
      <alignment horizontal="center" vertical="center" wrapText="1"/>
      <protection locked="0"/>
    </xf>
    <xf numFmtId="0" fontId="4" fillId="0" borderId="13" xfId="29" applyFont="1" applyBorder="1" applyAlignment="1" applyProtection="1">
      <alignment horizontal="center" vertical="center" wrapText="1"/>
      <protection locked="0"/>
    </xf>
    <xf numFmtId="49" fontId="10" fillId="3" borderId="15" xfId="0" applyNumberFormat="1" applyFont="1" applyFill="1" applyBorder="1" applyAlignment="1">
      <alignment horizontal="right" vertical="center" wrapText="1"/>
    </xf>
    <xf numFmtId="0" fontId="10" fillId="3" borderId="15" xfId="12" applyFont="1" applyFill="1" applyBorder="1" applyAlignment="1">
      <alignment horizontal="center" vertical="center" wrapText="1"/>
    </xf>
    <xf numFmtId="4" fontId="4" fillId="0" borderId="15" xfId="0" applyNumberFormat="1" applyFont="1" applyBorder="1" applyAlignment="1">
      <alignment horizontal="right" vertical="center" wrapText="1"/>
    </xf>
    <xf numFmtId="4" fontId="10" fillId="3" borderId="15" xfId="0" applyNumberFormat="1" applyFont="1" applyFill="1" applyBorder="1" applyAlignment="1">
      <alignment horizontal="center" vertical="center" wrapText="1"/>
    </xf>
    <xf numFmtId="4" fontId="4" fillId="0" borderId="15" xfId="0" applyNumberFormat="1" applyFont="1" applyBorder="1" applyAlignment="1">
      <alignment horizontal="left" vertical="center" wrapText="1"/>
    </xf>
    <xf numFmtId="0" fontId="9" fillId="3" borderId="15" xfId="12" applyFont="1" applyFill="1" applyBorder="1" applyAlignment="1">
      <alignment horizontal="center" vertical="center" wrapText="1"/>
    </xf>
    <xf numFmtId="4" fontId="7" fillId="2" borderId="11" xfId="22" applyNumberFormat="1" applyFont="1" applyFill="1" applyBorder="1" applyAlignment="1">
      <alignment horizontal="center" vertical="center"/>
    </xf>
    <xf numFmtId="4" fontId="7" fillId="2" borderId="13" xfId="22" applyNumberFormat="1" applyFont="1" applyFill="1" applyBorder="1" applyAlignment="1">
      <alignment horizontal="center" vertical="center"/>
    </xf>
    <xf numFmtId="4" fontId="7" fillId="2" borderId="15" xfId="22" applyNumberFormat="1" applyFont="1" applyFill="1" applyBorder="1" applyAlignment="1">
      <alignment horizontal="center" vertical="center"/>
    </xf>
    <xf numFmtId="0" fontId="7" fillId="0" borderId="11" xfId="24" applyFont="1" applyBorder="1" applyAlignment="1">
      <alignment horizontal="left" vertical="center" wrapText="1"/>
    </xf>
    <xf numFmtId="0" fontId="7" fillId="0" borderId="12" xfId="24" applyFont="1" applyBorder="1" applyAlignment="1">
      <alignment horizontal="left" vertical="center" wrapText="1"/>
    </xf>
    <xf numFmtId="0" fontId="7" fillId="0" borderId="13" xfId="24" applyFont="1" applyBorder="1" applyAlignment="1">
      <alignment horizontal="left" vertical="center" wrapText="1"/>
    </xf>
    <xf numFmtId="49" fontId="10" fillId="3" borderId="15" xfId="24" applyNumberFormat="1" applyFont="1" applyFill="1" applyBorder="1" applyAlignment="1">
      <alignment horizontal="right" vertical="center"/>
    </xf>
    <xf numFmtId="0" fontId="16" fillId="3" borderId="15" xfId="22" applyFont="1" applyFill="1" applyBorder="1" applyAlignment="1">
      <alignment horizontal="center" vertical="center"/>
    </xf>
    <xf numFmtId="0" fontId="4" fillId="0" borderId="12" xfId="24" applyFont="1" applyBorder="1" applyAlignment="1">
      <alignment horizontal="left" vertical="center" wrapText="1"/>
    </xf>
    <xf numFmtId="0" fontId="0" fillId="0" borderId="13" xfId="0" applyBorder="1" applyAlignment="1">
      <alignment horizontal="left" vertical="center" wrapText="1"/>
    </xf>
    <xf numFmtId="0" fontId="4" fillId="0" borderId="13" xfId="24" applyFont="1" applyBorder="1" applyAlignment="1">
      <alignment horizontal="left" vertical="center" wrapText="1"/>
    </xf>
    <xf numFmtId="49" fontId="10" fillId="3" borderId="11" xfId="24" applyNumberFormat="1" applyFont="1" applyFill="1" applyBorder="1" applyAlignment="1">
      <alignment horizontal="right" vertical="center"/>
    </xf>
    <xf numFmtId="49" fontId="10" fillId="3" borderId="12" xfId="24" applyNumberFormat="1" applyFont="1" applyFill="1" applyBorder="1" applyAlignment="1">
      <alignment horizontal="right" vertical="center"/>
    </xf>
    <xf numFmtId="49" fontId="10" fillId="3" borderId="13" xfId="24" applyNumberFormat="1" applyFont="1" applyFill="1" applyBorder="1" applyAlignment="1">
      <alignment horizontal="right" vertical="center"/>
    </xf>
    <xf numFmtId="0" fontId="7" fillId="0" borderId="11" xfId="24" applyFont="1" applyBorder="1" applyAlignment="1">
      <alignment horizontal="center" vertical="center"/>
    </xf>
    <xf numFmtId="0" fontId="7" fillId="0" borderId="12" xfId="24" applyFont="1" applyBorder="1" applyAlignment="1">
      <alignment horizontal="center" vertical="center"/>
    </xf>
    <xf numFmtId="0" fontId="7" fillId="0" borderId="13" xfId="24" applyFont="1" applyBorder="1" applyAlignment="1">
      <alignment horizontal="center" vertical="center"/>
    </xf>
    <xf numFmtId="0" fontId="17" fillId="0" borderId="40" xfId="0" applyFont="1" applyBorder="1" applyAlignment="1">
      <alignment vertical="center" wrapText="1"/>
    </xf>
    <xf numFmtId="0" fontId="4" fillId="0" borderId="7" xfId="0" applyFont="1" applyBorder="1" applyAlignment="1">
      <alignment horizontal="center" vertical="center"/>
    </xf>
    <xf numFmtId="0" fontId="4" fillId="0" borderId="14" xfId="0" applyFont="1" applyBorder="1" applyAlignment="1">
      <alignment horizontal="center" vertical="center"/>
    </xf>
  </cellXfs>
  <cellStyles count="39">
    <cellStyle name="Moeda 19" xfId="16" xr:uid="{CA8D3E67-E7E4-4C8D-B970-310787BCA233}"/>
    <cellStyle name="Moeda 19 2" xfId="33" xr:uid="{7D43BD39-8107-4495-B8CB-70FFB4CC3E17}"/>
    <cellStyle name="Normal" xfId="0" builtinId="0"/>
    <cellStyle name="Normal 10" xfId="22" xr:uid="{7E0706D9-8290-4976-A2E6-B6C04064777B}"/>
    <cellStyle name="Normal 10 2 2" xfId="29" xr:uid="{F4C82135-E7A8-4298-8A9E-8EB228A9349A}"/>
    <cellStyle name="Normal 12 2 5" xfId="19" xr:uid="{CFF437EA-2FEE-40AA-9A7C-92A0DBA14E35}"/>
    <cellStyle name="Normal 16 2" xfId="23" xr:uid="{C0EECE81-35A3-44A0-8474-F8006B2E695E}"/>
    <cellStyle name="Normal 17 2 2" xfId="20" xr:uid="{E0A963C0-AE83-4E21-9295-6035D48D33EB}"/>
    <cellStyle name="Normal 2 10" xfId="12" xr:uid="{10C42895-2B4F-4CD2-BE9B-229814F61396}"/>
    <cellStyle name="Normal 2 2 10" xfId="9" xr:uid="{C200C67E-14BC-4904-BACC-8CD7A2DEBA80}"/>
    <cellStyle name="Normal 2 2 2 2" xfId="4" xr:uid="{54A7207F-BC3F-493D-9752-FE767E376A0B}"/>
    <cellStyle name="Normal 2 3" xfId="3" xr:uid="{291F71B8-244E-4806-A8D5-5BD7E2DD1BE4}"/>
    <cellStyle name="Normal 282" xfId="5" xr:uid="{BA22B6A0-796F-4759-9438-B45567A02FE8}"/>
    <cellStyle name="Normal 282 2" xfId="6" xr:uid="{8D4553AF-260F-42D0-B987-DA46BC8D83F7}"/>
    <cellStyle name="Normal 3 12" xfId="27" xr:uid="{B4882D29-B175-4F5B-AD1A-B624D5D25616}"/>
    <cellStyle name="Normal 3 2 3" xfId="10" xr:uid="{418843C6-23BD-4319-9CE2-2026F6A1BC07}"/>
    <cellStyle name="Normal 5" xfId="15" xr:uid="{5837AF95-E698-48C6-91CF-5FB5C4B9FB0A}"/>
    <cellStyle name="Normal 6 2" xfId="13" xr:uid="{69E435F3-B13A-4380-9AB1-7906416A130C}"/>
    <cellStyle name="Normal 8 2" xfId="24" xr:uid="{BBD9F8F6-960B-44CB-BEE9-2B6D089B758F}"/>
    <cellStyle name="Normal 9" xfId="7" xr:uid="{4A00F55C-28EA-4A62-879F-C9E0700ABBE7}"/>
    <cellStyle name="Porcentagem" xfId="2" builtinId="5"/>
    <cellStyle name="Porcentagem 2 10" xfId="11" xr:uid="{B1E692D5-281D-47B5-AB71-AD06A7782963}"/>
    <cellStyle name="Porcentagem 3 2 2" xfId="17" xr:uid="{E8A7EF0E-73DD-4980-9191-7A4EB5519C93}"/>
    <cellStyle name="Vírgula" xfId="1" builtinId="3"/>
    <cellStyle name="Vírgula 12" xfId="25" xr:uid="{5F449D35-08EA-4C9A-AD19-A1CAA6B315A3}"/>
    <cellStyle name="Vírgula 12 2" xfId="36" xr:uid="{C0798FB1-582A-441F-A373-F192E64B26E1}"/>
    <cellStyle name="Vírgula 15" xfId="18" xr:uid="{641B09FF-7A3B-41EB-8E5F-B9656D74F269}"/>
    <cellStyle name="Vírgula 15 2" xfId="34" xr:uid="{C95F5F6C-F0D3-47C3-A6DB-6E6961C6135E}"/>
    <cellStyle name="Vírgula 2" xfId="30" xr:uid="{DB4194EA-9B47-4A1F-83A0-6AF5828D522D}"/>
    <cellStyle name="Vírgula 2 2 2" xfId="26" xr:uid="{04F14E8E-1DBE-4D42-9569-43E8CBDBFC11}"/>
    <cellStyle name="Vírgula 2 2 2 2" xfId="37" xr:uid="{D1DA77D5-E1D7-42E9-8CF0-9111FFCFF09B}"/>
    <cellStyle name="Vírgula 2 3" xfId="14" xr:uid="{D08A31E4-8E0D-441D-9EEC-D1B70C2F0A76}"/>
    <cellStyle name="Vírgula 2 3 2" xfId="32" xr:uid="{0A9DCB2C-BA74-43E8-AB0F-E5D611610218}"/>
    <cellStyle name="Vírgula 3 13" xfId="28" xr:uid="{CEF3FF29-05A4-43F6-A2C6-0624B0A27752}"/>
    <cellStyle name="Vírgula 3 13 2" xfId="38" xr:uid="{B447E91E-2686-4449-AD9B-5CBE2A63CDA6}"/>
    <cellStyle name="Vírgula 5 12" xfId="21" xr:uid="{02DA5BA6-8FC7-4EA1-ABEF-CC1CE38D3876}"/>
    <cellStyle name="Vírgula 5 12 2" xfId="35" xr:uid="{330E713D-1D35-45F7-8ECD-4416D82B4B0B}"/>
    <cellStyle name="Vírgula 6" xfId="8" xr:uid="{4E843E04-7C50-4EBC-B297-AF6187DED9D7}"/>
    <cellStyle name="Vírgula 6 2" xfId="31" xr:uid="{0F13D55F-BAD3-4147-A550-101C5F8F629F}"/>
  </cellStyles>
  <dxfs count="85">
    <dxf>
      <font>
        <color rgb="FFFF0000"/>
      </font>
      <fill>
        <patternFill>
          <bgColor rgb="FFFF9999"/>
        </patternFill>
      </fill>
    </dxf>
    <dxf>
      <font>
        <color rgb="FFFF0000"/>
      </font>
      <fill>
        <patternFill>
          <bgColor rgb="FFFF9999"/>
        </patternFill>
      </fill>
    </dxf>
    <dxf>
      <font>
        <b/>
        <i val="0"/>
        <color auto="1"/>
      </font>
      <fill>
        <patternFill>
          <bgColor theme="3" tint="0.79998168889431442"/>
        </patternFill>
      </fill>
    </dxf>
    <dxf>
      <font>
        <b/>
        <i val="0"/>
        <color auto="1"/>
      </font>
      <fill>
        <patternFill>
          <bgColor theme="3" tint="0.79998168889431442"/>
        </patternFill>
      </fill>
    </dxf>
    <dxf>
      <font>
        <b/>
        <i val="0"/>
        <color auto="1"/>
      </font>
      <fill>
        <patternFill>
          <bgColor theme="3" tint="0.79998168889431442"/>
        </patternFill>
      </fill>
    </dxf>
    <dxf>
      <font>
        <b/>
        <i val="0"/>
        <color auto="1"/>
      </font>
      <fill>
        <patternFill>
          <bgColor theme="3" tint="0.79998168889431442"/>
        </patternFill>
      </fill>
    </dxf>
    <dxf>
      <font>
        <b/>
        <i val="0"/>
        <color auto="1"/>
      </font>
      <fill>
        <patternFill>
          <bgColor theme="3" tint="0.79998168889431442"/>
        </patternFill>
      </fill>
    </dxf>
    <dxf>
      <font>
        <b/>
        <i val="0"/>
        <color auto="1"/>
      </font>
      <fill>
        <patternFill>
          <bgColor theme="3" tint="0.79998168889431442"/>
        </patternFill>
      </fill>
    </dxf>
    <dxf>
      <font>
        <b/>
        <i val="0"/>
        <color auto="1"/>
      </font>
      <fill>
        <patternFill>
          <bgColor theme="3" tint="0.79998168889431442"/>
        </patternFill>
      </fill>
    </dxf>
    <dxf>
      <font>
        <b/>
        <i val="0"/>
        <color auto="1"/>
      </font>
      <fill>
        <patternFill>
          <bgColor theme="3" tint="0.79998168889431442"/>
        </patternFill>
      </fill>
    </dxf>
    <dxf>
      <font>
        <b/>
        <i val="0"/>
        <color auto="1"/>
      </font>
      <fill>
        <patternFill>
          <bgColor theme="3" tint="0.79998168889431442"/>
        </patternFill>
      </fill>
    </dxf>
    <dxf>
      <font>
        <b/>
        <i val="0"/>
        <color auto="1"/>
      </font>
      <fill>
        <patternFill>
          <bgColor theme="3" tint="0.79998168889431442"/>
        </patternFill>
      </fill>
    </dxf>
    <dxf>
      <font>
        <b/>
        <i val="0"/>
        <color auto="1"/>
      </font>
      <fill>
        <patternFill>
          <bgColor theme="3" tint="0.79998168889431442"/>
        </patternFill>
      </fill>
    </dxf>
    <dxf>
      <font>
        <b/>
        <i val="0"/>
        <color auto="1"/>
      </font>
      <fill>
        <patternFill>
          <bgColor theme="3" tint="0.79998168889431442"/>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b/>
        <i val="0"/>
        <color auto="1"/>
      </font>
      <fill>
        <patternFill>
          <bgColor theme="3" tint="0.79998168889431442"/>
        </patternFill>
      </fill>
    </dxf>
    <dxf>
      <font>
        <b/>
        <i val="0"/>
        <color auto="1"/>
      </font>
      <fill>
        <patternFill>
          <bgColor theme="3" tint="0.79998168889431442"/>
        </patternFill>
      </fill>
    </dxf>
    <dxf>
      <font>
        <b/>
        <i val="0"/>
        <color auto="1"/>
      </font>
      <fill>
        <patternFill>
          <bgColor theme="3" tint="0.79998168889431442"/>
        </patternFill>
      </fill>
    </dxf>
    <dxf>
      <font>
        <b/>
        <i val="0"/>
        <color auto="1"/>
      </font>
      <fill>
        <patternFill>
          <bgColor theme="3" tint="0.79998168889431442"/>
        </patternFill>
      </fill>
    </dxf>
    <dxf>
      <font>
        <b/>
        <i val="0"/>
        <color auto="1"/>
      </font>
      <fill>
        <patternFill>
          <bgColor theme="3" tint="0.79998168889431442"/>
        </patternFill>
      </fill>
    </dxf>
    <dxf>
      <font>
        <b/>
        <i val="0"/>
        <color auto="1"/>
      </font>
      <fill>
        <patternFill>
          <bgColor theme="3" tint="0.79998168889431442"/>
        </patternFill>
      </fill>
    </dxf>
    <dxf>
      <font>
        <b/>
        <i val="0"/>
        <color auto="1"/>
      </font>
      <fill>
        <patternFill>
          <bgColor theme="3" tint="0.79998168889431442"/>
        </patternFill>
      </fill>
    </dxf>
    <dxf>
      <font>
        <b/>
        <i val="0"/>
        <color auto="1"/>
      </font>
      <fill>
        <patternFill>
          <bgColor theme="3" tint="0.79998168889431442"/>
        </patternFill>
      </fill>
    </dxf>
    <dxf>
      <font>
        <color rgb="FFFF0000"/>
      </font>
      <fill>
        <patternFill>
          <bgColor rgb="FFFF9999"/>
        </patternFill>
      </fill>
    </dxf>
    <dxf>
      <font>
        <color rgb="FF006100"/>
      </font>
      <fill>
        <patternFill>
          <bgColor rgb="FFC6EFCE"/>
        </patternFill>
      </fill>
    </dxf>
    <dxf>
      <font>
        <color rgb="FF9C0006"/>
      </font>
      <fill>
        <patternFill>
          <bgColor rgb="FFFFC7CE"/>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2.xml"/><Relationship Id="rId63" Type="http://schemas.openxmlformats.org/officeDocument/2006/relationships/externalLink" Target="externalLinks/externalLink18.xml"/><Relationship Id="rId68" Type="http://schemas.openxmlformats.org/officeDocument/2006/relationships/externalLink" Target="externalLinks/externalLink23.xml"/><Relationship Id="rId84" Type="http://schemas.openxmlformats.org/officeDocument/2006/relationships/externalLink" Target="externalLinks/externalLink39.xml"/><Relationship Id="rId89" Type="http://schemas.openxmlformats.org/officeDocument/2006/relationships/externalLink" Target="externalLinks/externalLink44.xml"/><Relationship Id="rId112" Type="http://schemas.openxmlformats.org/officeDocument/2006/relationships/externalLink" Target="externalLinks/externalLink67.xml"/><Relationship Id="rId133" Type="http://schemas.openxmlformats.org/officeDocument/2006/relationships/externalLink" Target="externalLinks/externalLink88.xml"/><Relationship Id="rId138" Type="http://schemas.openxmlformats.org/officeDocument/2006/relationships/externalLink" Target="externalLinks/externalLink93.xml"/><Relationship Id="rId154"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6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8.xml"/><Relationship Id="rId58" Type="http://schemas.openxmlformats.org/officeDocument/2006/relationships/externalLink" Target="externalLinks/externalLink13.xml"/><Relationship Id="rId74" Type="http://schemas.openxmlformats.org/officeDocument/2006/relationships/externalLink" Target="externalLinks/externalLink29.xml"/><Relationship Id="rId79" Type="http://schemas.openxmlformats.org/officeDocument/2006/relationships/externalLink" Target="externalLinks/externalLink34.xml"/><Relationship Id="rId102" Type="http://schemas.openxmlformats.org/officeDocument/2006/relationships/externalLink" Target="externalLinks/externalLink57.xml"/><Relationship Id="rId123" Type="http://schemas.openxmlformats.org/officeDocument/2006/relationships/externalLink" Target="externalLinks/externalLink78.xml"/><Relationship Id="rId128" Type="http://schemas.openxmlformats.org/officeDocument/2006/relationships/externalLink" Target="externalLinks/externalLink83.xml"/><Relationship Id="rId144" Type="http://schemas.openxmlformats.org/officeDocument/2006/relationships/externalLink" Target="externalLinks/externalLink99.xml"/><Relationship Id="rId149" Type="http://schemas.openxmlformats.org/officeDocument/2006/relationships/externalLink" Target="externalLinks/externalLink104.xml"/><Relationship Id="rId5" Type="http://schemas.openxmlformats.org/officeDocument/2006/relationships/worksheet" Target="worksheets/sheet5.xml"/><Relationship Id="rId90" Type="http://schemas.openxmlformats.org/officeDocument/2006/relationships/externalLink" Target="externalLinks/externalLink45.xml"/><Relationship Id="rId95" Type="http://schemas.openxmlformats.org/officeDocument/2006/relationships/externalLink" Target="externalLinks/externalLink5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3.xml"/><Relationship Id="rId64" Type="http://schemas.openxmlformats.org/officeDocument/2006/relationships/externalLink" Target="externalLinks/externalLink19.xml"/><Relationship Id="rId69" Type="http://schemas.openxmlformats.org/officeDocument/2006/relationships/externalLink" Target="externalLinks/externalLink24.xml"/><Relationship Id="rId113" Type="http://schemas.openxmlformats.org/officeDocument/2006/relationships/externalLink" Target="externalLinks/externalLink68.xml"/><Relationship Id="rId118" Type="http://schemas.openxmlformats.org/officeDocument/2006/relationships/externalLink" Target="externalLinks/externalLink73.xml"/><Relationship Id="rId134" Type="http://schemas.openxmlformats.org/officeDocument/2006/relationships/externalLink" Target="externalLinks/externalLink89.xml"/><Relationship Id="rId139" Type="http://schemas.openxmlformats.org/officeDocument/2006/relationships/externalLink" Target="externalLinks/externalLink94.xml"/><Relationship Id="rId80" Type="http://schemas.openxmlformats.org/officeDocument/2006/relationships/externalLink" Target="externalLinks/externalLink35.xml"/><Relationship Id="rId85" Type="http://schemas.openxmlformats.org/officeDocument/2006/relationships/externalLink" Target="externalLinks/externalLink40.xml"/><Relationship Id="rId150" Type="http://schemas.openxmlformats.org/officeDocument/2006/relationships/externalLink" Target="externalLinks/externalLink105.xml"/><Relationship Id="rId155"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4.xml"/><Relationship Id="rId103" Type="http://schemas.openxmlformats.org/officeDocument/2006/relationships/externalLink" Target="externalLinks/externalLink58.xml"/><Relationship Id="rId108" Type="http://schemas.openxmlformats.org/officeDocument/2006/relationships/externalLink" Target="externalLinks/externalLink63.xml"/><Relationship Id="rId124" Type="http://schemas.openxmlformats.org/officeDocument/2006/relationships/externalLink" Target="externalLinks/externalLink79.xml"/><Relationship Id="rId129" Type="http://schemas.openxmlformats.org/officeDocument/2006/relationships/externalLink" Target="externalLinks/externalLink8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9.xml"/><Relationship Id="rId62" Type="http://schemas.openxmlformats.org/officeDocument/2006/relationships/externalLink" Target="externalLinks/externalLink17.xml"/><Relationship Id="rId70" Type="http://schemas.openxmlformats.org/officeDocument/2006/relationships/externalLink" Target="externalLinks/externalLink25.xml"/><Relationship Id="rId75" Type="http://schemas.openxmlformats.org/officeDocument/2006/relationships/externalLink" Target="externalLinks/externalLink30.xml"/><Relationship Id="rId83" Type="http://schemas.openxmlformats.org/officeDocument/2006/relationships/externalLink" Target="externalLinks/externalLink38.xml"/><Relationship Id="rId88" Type="http://schemas.openxmlformats.org/officeDocument/2006/relationships/externalLink" Target="externalLinks/externalLink43.xml"/><Relationship Id="rId91" Type="http://schemas.openxmlformats.org/officeDocument/2006/relationships/externalLink" Target="externalLinks/externalLink46.xml"/><Relationship Id="rId96" Type="http://schemas.openxmlformats.org/officeDocument/2006/relationships/externalLink" Target="externalLinks/externalLink51.xml"/><Relationship Id="rId111" Type="http://schemas.openxmlformats.org/officeDocument/2006/relationships/externalLink" Target="externalLinks/externalLink66.xml"/><Relationship Id="rId132" Type="http://schemas.openxmlformats.org/officeDocument/2006/relationships/externalLink" Target="externalLinks/externalLink87.xml"/><Relationship Id="rId140" Type="http://schemas.openxmlformats.org/officeDocument/2006/relationships/externalLink" Target="externalLinks/externalLink95.xml"/><Relationship Id="rId145" Type="http://schemas.openxmlformats.org/officeDocument/2006/relationships/externalLink" Target="externalLinks/externalLink100.xml"/><Relationship Id="rId153" Type="http://schemas.openxmlformats.org/officeDocument/2006/relationships/externalLink" Target="externalLinks/externalLink10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externalLink" Target="externalLinks/externalLink12.xml"/><Relationship Id="rId106" Type="http://schemas.openxmlformats.org/officeDocument/2006/relationships/externalLink" Target="externalLinks/externalLink61.xml"/><Relationship Id="rId114" Type="http://schemas.openxmlformats.org/officeDocument/2006/relationships/externalLink" Target="externalLinks/externalLink69.xml"/><Relationship Id="rId119" Type="http://schemas.openxmlformats.org/officeDocument/2006/relationships/externalLink" Target="externalLinks/externalLink74.xml"/><Relationship Id="rId127" Type="http://schemas.openxmlformats.org/officeDocument/2006/relationships/externalLink" Target="externalLinks/externalLink8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60" Type="http://schemas.openxmlformats.org/officeDocument/2006/relationships/externalLink" Target="externalLinks/externalLink15.xml"/><Relationship Id="rId65" Type="http://schemas.openxmlformats.org/officeDocument/2006/relationships/externalLink" Target="externalLinks/externalLink20.xml"/><Relationship Id="rId73" Type="http://schemas.openxmlformats.org/officeDocument/2006/relationships/externalLink" Target="externalLinks/externalLink28.xml"/><Relationship Id="rId78" Type="http://schemas.openxmlformats.org/officeDocument/2006/relationships/externalLink" Target="externalLinks/externalLink33.xml"/><Relationship Id="rId81" Type="http://schemas.openxmlformats.org/officeDocument/2006/relationships/externalLink" Target="externalLinks/externalLink36.xml"/><Relationship Id="rId86" Type="http://schemas.openxmlformats.org/officeDocument/2006/relationships/externalLink" Target="externalLinks/externalLink41.xml"/><Relationship Id="rId94" Type="http://schemas.openxmlformats.org/officeDocument/2006/relationships/externalLink" Target="externalLinks/externalLink49.xml"/><Relationship Id="rId99" Type="http://schemas.openxmlformats.org/officeDocument/2006/relationships/externalLink" Target="externalLinks/externalLink54.xml"/><Relationship Id="rId101" Type="http://schemas.openxmlformats.org/officeDocument/2006/relationships/externalLink" Target="externalLinks/externalLink56.xml"/><Relationship Id="rId122" Type="http://schemas.openxmlformats.org/officeDocument/2006/relationships/externalLink" Target="externalLinks/externalLink77.xml"/><Relationship Id="rId130" Type="http://schemas.openxmlformats.org/officeDocument/2006/relationships/externalLink" Target="externalLinks/externalLink85.xml"/><Relationship Id="rId135" Type="http://schemas.openxmlformats.org/officeDocument/2006/relationships/externalLink" Target="externalLinks/externalLink90.xml"/><Relationship Id="rId143" Type="http://schemas.openxmlformats.org/officeDocument/2006/relationships/externalLink" Target="externalLinks/externalLink98.xml"/><Relationship Id="rId148" Type="http://schemas.openxmlformats.org/officeDocument/2006/relationships/externalLink" Target="externalLinks/externalLink103.xml"/><Relationship Id="rId151" Type="http://schemas.openxmlformats.org/officeDocument/2006/relationships/externalLink" Target="externalLinks/externalLink106.xml"/><Relationship Id="rId15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4.xml"/><Relationship Id="rId34" Type="http://schemas.openxmlformats.org/officeDocument/2006/relationships/worksheet" Target="worksheets/sheet34.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76" Type="http://schemas.openxmlformats.org/officeDocument/2006/relationships/externalLink" Target="externalLinks/externalLink31.xml"/><Relationship Id="rId97" Type="http://schemas.openxmlformats.org/officeDocument/2006/relationships/externalLink" Target="externalLinks/externalLink52.xml"/><Relationship Id="rId104" Type="http://schemas.openxmlformats.org/officeDocument/2006/relationships/externalLink" Target="externalLinks/externalLink59.xml"/><Relationship Id="rId120" Type="http://schemas.openxmlformats.org/officeDocument/2006/relationships/externalLink" Target="externalLinks/externalLink75.xml"/><Relationship Id="rId125" Type="http://schemas.openxmlformats.org/officeDocument/2006/relationships/externalLink" Target="externalLinks/externalLink80.xml"/><Relationship Id="rId141" Type="http://schemas.openxmlformats.org/officeDocument/2006/relationships/externalLink" Target="externalLinks/externalLink96.xml"/><Relationship Id="rId146" Type="http://schemas.openxmlformats.org/officeDocument/2006/relationships/externalLink" Target="externalLinks/externalLink101.xml"/><Relationship Id="rId7" Type="http://schemas.openxmlformats.org/officeDocument/2006/relationships/worksheet" Target="worksheets/sheet7.xml"/><Relationship Id="rId71" Type="http://schemas.openxmlformats.org/officeDocument/2006/relationships/externalLink" Target="externalLinks/externalLink26.xml"/><Relationship Id="rId92" Type="http://schemas.openxmlformats.org/officeDocument/2006/relationships/externalLink" Target="externalLinks/externalLink4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1.xml"/><Relationship Id="rId87" Type="http://schemas.openxmlformats.org/officeDocument/2006/relationships/externalLink" Target="externalLinks/externalLink42.xml"/><Relationship Id="rId110" Type="http://schemas.openxmlformats.org/officeDocument/2006/relationships/externalLink" Target="externalLinks/externalLink65.xml"/><Relationship Id="rId115" Type="http://schemas.openxmlformats.org/officeDocument/2006/relationships/externalLink" Target="externalLinks/externalLink70.xml"/><Relationship Id="rId131" Type="http://schemas.openxmlformats.org/officeDocument/2006/relationships/externalLink" Target="externalLinks/externalLink86.xml"/><Relationship Id="rId136" Type="http://schemas.openxmlformats.org/officeDocument/2006/relationships/externalLink" Target="externalLinks/externalLink91.xml"/><Relationship Id="rId157" Type="http://schemas.openxmlformats.org/officeDocument/2006/relationships/calcChain" Target="calcChain.xml"/><Relationship Id="rId61" Type="http://schemas.openxmlformats.org/officeDocument/2006/relationships/externalLink" Target="externalLinks/externalLink16.xml"/><Relationship Id="rId82" Type="http://schemas.openxmlformats.org/officeDocument/2006/relationships/externalLink" Target="externalLinks/externalLink37.xml"/><Relationship Id="rId152" Type="http://schemas.openxmlformats.org/officeDocument/2006/relationships/externalLink" Target="externalLinks/externalLink10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1.xml"/><Relationship Id="rId77" Type="http://schemas.openxmlformats.org/officeDocument/2006/relationships/externalLink" Target="externalLinks/externalLink32.xml"/><Relationship Id="rId100" Type="http://schemas.openxmlformats.org/officeDocument/2006/relationships/externalLink" Target="externalLinks/externalLink55.xml"/><Relationship Id="rId105" Type="http://schemas.openxmlformats.org/officeDocument/2006/relationships/externalLink" Target="externalLinks/externalLink60.xml"/><Relationship Id="rId126" Type="http://schemas.openxmlformats.org/officeDocument/2006/relationships/externalLink" Target="externalLinks/externalLink81.xml"/><Relationship Id="rId147" Type="http://schemas.openxmlformats.org/officeDocument/2006/relationships/externalLink" Target="externalLinks/externalLink102.xml"/><Relationship Id="rId8" Type="http://schemas.openxmlformats.org/officeDocument/2006/relationships/worksheet" Target="worksheets/sheet8.xml"/><Relationship Id="rId51" Type="http://schemas.openxmlformats.org/officeDocument/2006/relationships/externalLink" Target="externalLinks/externalLink6.xml"/><Relationship Id="rId72" Type="http://schemas.openxmlformats.org/officeDocument/2006/relationships/externalLink" Target="externalLinks/externalLink27.xml"/><Relationship Id="rId93" Type="http://schemas.openxmlformats.org/officeDocument/2006/relationships/externalLink" Target="externalLinks/externalLink48.xml"/><Relationship Id="rId98" Type="http://schemas.openxmlformats.org/officeDocument/2006/relationships/externalLink" Target="externalLinks/externalLink53.xml"/><Relationship Id="rId121" Type="http://schemas.openxmlformats.org/officeDocument/2006/relationships/externalLink" Target="externalLinks/externalLink76.xml"/><Relationship Id="rId142" Type="http://schemas.openxmlformats.org/officeDocument/2006/relationships/externalLink" Target="externalLinks/externalLink9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xml"/><Relationship Id="rId67" Type="http://schemas.openxmlformats.org/officeDocument/2006/relationships/externalLink" Target="externalLinks/externalLink22.xml"/><Relationship Id="rId116" Type="http://schemas.openxmlformats.org/officeDocument/2006/relationships/externalLink" Target="externalLinks/externalLink71.xml"/><Relationship Id="rId137" Type="http://schemas.openxmlformats.org/officeDocument/2006/relationships/externalLink" Target="externalLinks/externalLink92.xml"/></Relationships>
</file>

<file path=xl/drawings/_rels/drawing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171450</xdr:colOff>
      <xdr:row>38</xdr:row>
      <xdr:rowOff>171450</xdr:rowOff>
    </xdr:from>
    <xdr:to>
      <xdr:col>0</xdr:col>
      <xdr:colOff>942975</xdr:colOff>
      <xdr:row>40</xdr:row>
      <xdr:rowOff>28575</xdr:rowOff>
    </xdr:to>
    <xdr:sp macro="" textlink="">
      <xdr:nvSpPr>
        <xdr:cNvPr id="2" name="Retângulo 1">
          <a:extLst>
            <a:ext uri="{FF2B5EF4-FFF2-40B4-BE49-F238E27FC236}">
              <a16:creationId xmlns:a16="http://schemas.microsoft.com/office/drawing/2014/main" id="{4BAD7446-9827-4E0D-9DF4-9D7702688AEC}"/>
            </a:ext>
          </a:extLst>
        </xdr:cNvPr>
        <xdr:cNvSpPr/>
      </xdr:nvSpPr>
      <xdr:spPr>
        <a:xfrm>
          <a:off x="171450" y="9725025"/>
          <a:ext cx="771525" cy="238125"/>
        </a:xfrm>
        <a:prstGeom prst="rect">
          <a:avLst/>
        </a:prstGeom>
        <a:solidFill>
          <a:srgbClr val="0E2E7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272142</xdr:colOff>
      <xdr:row>20</xdr:row>
      <xdr:rowOff>54429</xdr:rowOff>
    </xdr:from>
    <xdr:to>
      <xdr:col>2</xdr:col>
      <xdr:colOff>3125561</xdr:colOff>
      <xdr:row>32</xdr:row>
      <xdr:rowOff>179446</xdr:rowOff>
    </xdr:to>
    <xdr:pic>
      <xdr:nvPicPr>
        <xdr:cNvPr id="3" name="Imagem 2">
          <a:extLst>
            <a:ext uri="{FF2B5EF4-FFF2-40B4-BE49-F238E27FC236}">
              <a16:creationId xmlns:a16="http://schemas.microsoft.com/office/drawing/2014/main" id="{E22DA200-6B2A-46C7-B754-542E64B6BE7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621" t="15410" r="5208" b="34606"/>
        <a:stretch/>
      </xdr:blipFill>
      <xdr:spPr>
        <a:xfrm>
          <a:off x="272142" y="6179004"/>
          <a:ext cx="4786994" cy="2411017"/>
        </a:xfrm>
        <a:prstGeom prst="rect">
          <a:avLst/>
        </a:prstGeom>
      </xdr:spPr>
    </xdr:pic>
    <xdr:clientData/>
  </xdr:twoCellAnchor>
  <xdr:twoCellAnchor editAs="oneCell">
    <xdr:from>
      <xdr:col>2</xdr:col>
      <xdr:colOff>4695825</xdr:colOff>
      <xdr:row>23</xdr:row>
      <xdr:rowOff>76033</xdr:rowOff>
    </xdr:from>
    <xdr:to>
      <xdr:col>6</xdr:col>
      <xdr:colOff>695325</xdr:colOff>
      <xdr:row>33</xdr:row>
      <xdr:rowOff>1123</xdr:rowOff>
    </xdr:to>
    <xdr:pic>
      <xdr:nvPicPr>
        <xdr:cNvPr id="4" name="Imagem 3">
          <a:extLst>
            <a:ext uri="{FF2B5EF4-FFF2-40B4-BE49-F238E27FC236}">
              <a16:creationId xmlns:a16="http://schemas.microsoft.com/office/drawing/2014/main" id="{B31A734F-BEAA-4533-96F1-CE61FC98008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053" t="8174" r="5588" b="41440"/>
        <a:stretch/>
      </xdr:blipFill>
      <xdr:spPr>
        <a:xfrm>
          <a:off x="6629400" y="6772108"/>
          <a:ext cx="3619500" cy="18300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588818</xdr:colOff>
      <xdr:row>27</xdr:row>
      <xdr:rowOff>51955</xdr:rowOff>
    </xdr:from>
    <xdr:to>
      <xdr:col>11</xdr:col>
      <xdr:colOff>973529</xdr:colOff>
      <xdr:row>34</xdr:row>
      <xdr:rowOff>57335</xdr:rowOff>
    </xdr:to>
    <xdr:pic>
      <xdr:nvPicPr>
        <xdr:cNvPr id="2" name="Imagem 1">
          <a:extLst>
            <a:ext uri="{FF2B5EF4-FFF2-40B4-BE49-F238E27FC236}">
              <a16:creationId xmlns:a16="http://schemas.microsoft.com/office/drawing/2014/main" id="{A6BA2E0F-7E55-4132-8812-8A23ADA3A9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28418" y="11243830"/>
          <a:ext cx="3747036" cy="1319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31750</xdr:colOff>
      <xdr:row>75</xdr:row>
      <xdr:rowOff>97818</xdr:rowOff>
    </xdr:from>
    <xdr:to>
      <xdr:col>10</xdr:col>
      <xdr:colOff>948268</xdr:colOff>
      <xdr:row>84</xdr:row>
      <xdr:rowOff>349249</xdr:rowOff>
    </xdr:to>
    <xdr:pic>
      <xdr:nvPicPr>
        <xdr:cNvPr id="2" name="Imagem 1">
          <a:extLst>
            <a:ext uri="{FF2B5EF4-FFF2-40B4-BE49-F238E27FC236}">
              <a16:creationId xmlns:a16="http://schemas.microsoft.com/office/drawing/2014/main" id="{E1CED0F9-96C2-49B4-9558-1DD2499570C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784975" y="14309118"/>
          <a:ext cx="4726518" cy="2165956"/>
        </a:xfrm>
        <a:prstGeom prst="rect">
          <a:avLst/>
        </a:prstGeom>
      </xdr:spPr>
    </xdr:pic>
    <xdr:clientData/>
  </xdr:twoCellAnchor>
  <xdr:twoCellAnchor editAs="oneCell">
    <xdr:from>
      <xdr:col>1</xdr:col>
      <xdr:colOff>408694</xdr:colOff>
      <xdr:row>75</xdr:row>
      <xdr:rowOff>173263</xdr:rowOff>
    </xdr:from>
    <xdr:to>
      <xdr:col>5</xdr:col>
      <xdr:colOff>70909</xdr:colOff>
      <xdr:row>84</xdr:row>
      <xdr:rowOff>317500</xdr:rowOff>
    </xdr:to>
    <xdr:pic>
      <xdr:nvPicPr>
        <xdr:cNvPr id="3" name="Imagem 2">
          <a:extLst>
            <a:ext uri="{FF2B5EF4-FFF2-40B4-BE49-F238E27FC236}">
              <a16:creationId xmlns:a16="http://schemas.microsoft.com/office/drawing/2014/main" id="{D9C2FCF0-2735-441F-A463-6AFA592515B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18294" y="14384563"/>
          <a:ext cx="4529490" cy="2058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xdr:row>
      <xdr:rowOff>0</xdr:rowOff>
    </xdr:from>
    <xdr:to>
      <xdr:col>16</xdr:col>
      <xdr:colOff>296778</xdr:colOff>
      <xdr:row>2</xdr:row>
      <xdr:rowOff>113296</xdr:rowOff>
    </xdr:to>
    <xdr:sp macro="" textlink="">
      <xdr:nvSpPr>
        <xdr:cNvPr id="2" name="CaixaDeTexto 1">
          <a:hlinkClick xmlns:r="http://schemas.openxmlformats.org/officeDocument/2006/relationships" r:id="rId1"/>
          <a:extLst>
            <a:ext uri="{FF2B5EF4-FFF2-40B4-BE49-F238E27FC236}">
              <a16:creationId xmlns:a16="http://schemas.microsoft.com/office/drawing/2014/main" id="{73142571-5F6F-4B9A-AFF7-748729609BA3}"/>
            </a:ext>
          </a:extLst>
        </xdr:cNvPr>
        <xdr:cNvSpPr txBox="1"/>
      </xdr:nvSpPr>
      <xdr:spPr>
        <a:xfrm>
          <a:off x="11696700" y="266700"/>
          <a:ext cx="2125578" cy="360946"/>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600" b="1">
              <a:solidFill>
                <a:srgbClr val="FF0000"/>
              </a:solidFill>
            </a:rPr>
            <a:t>VOLTAR AO ÍNDICE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0</xdr:colOff>
      <xdr:row>1</xdr:row>
      <xdr:rowOff>0</xdr:rowOff>
    </xdr:from>
    <xdr:to>
      <xdr:col>16</xdr:col>
      <xdr:colOff>307169</xdr:colOff>
      <xdr:row>2</xdr:row>
      <xdr:rowOff>109833</xdr:rowOff>
    </xdr:to>
    <xdr:sp macro="" textlink="">
      <xdr:nvSpPr>
        <xdr:cNvPr id="2" name="CaixaDeTexto 1">
          <a:hlinkClick xmlns:r="http://schemas.openxmlformats.org/officeDocument/2006/relationships" r:id="rId1"/>
          <a:extLst>
            <a:ext uri="{FF2B5EF4-FFF2-40B4-BE49-F238E27FC236}">
              <a16:creationId xmlns:a16="http://schemas.microsoft.com/office/drawing/2014/main" id="{8E71BD8B-3343-431E-B1AD-CCE6612C299A}"/>
            </a:ext>
          </a:extLst>
        </xdr:cNvPr>
        <xdr:cNvSpPr txBox="1"/>
      </xdr:nvSpPr>
      <xdr:spPr>
        <a:xfrm>
          <a:off x="11620500" y="266700"/>
          <a:ext cx="2135969" cy="35748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600" b="1">
              <a:solidFill>
                <a:srgbClr val="FF0000"/>
              </a:solidFill>
            </a:rPr>
            <a:t>VOLTAR AO ÍNDICE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0</xdr:colOff>
      <xdr:row>1</xdr:row>
      <xdr:rowOff>0</xdr:rowOff>
    </xdr:from>
    <xdr:to>
      <xdr:col>16</xdr:col>
      <xdr:colOff>296778</xdr:colOff>
      <xdr:row>2</xdr:row>
      <xdr:rowOff>113296</xdr:rowOff>
    </xdr:to>
    <xdr:sp macro="" textlink="">
      <xdr:nvSpPr>
        <xdr:cNvPr id="2" name="CaixaDeTexto 1">
          <a:hlinkClick xmlns:r="http://schemas.openxmlformats.org/officeDocument/2006/relationships" r:id="rId1"/>
          <a:extLst>
            <a:ext uri="{FF2B5EF4-FFF2-40B4-BE49-F238E27FC236}">
              <a16:creationId xmlns:a16="http://schemas.microsoft.com/office/drawing/2014/main" id="{9F62F13B-0318-48A8-8276-0AAD04FE1071}"/>
            </a:ext>
          </a:extLst>
        </xdr:cNvPr>
        <xdr:cNvSpPr txBox="1"/>
      </xdr:nvSpPr>
      <xdr:spPr>
        <a:xfrm>
          <a:off x="11639550" y="266700"/>
          <a:ext cx="2125578" cy="360946"/>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600" b="1">
              <a:solidFill>
                <a:srgbClr val="FF0000"/>
              </a:solidFill>
            </a:rPr>
            <a:t>VOLTAR AO ÍNDICE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0</xdr:colOff>
      <xdr:row>1</xdr:row>
      <xdr:rowOff>0</xdr:rowOff>
    </xdr:from>
    <xdr:to>
      <xdr:col>16</xdr:col>
      <xdr:colOff>296778</xdr:colOff>
      <xdr:row>2</xdr:row>
      <xdr:rowOff>113296</xdr:rowOff>
    </xdr:to>
    <xdr:sp macro="" textlink="">
      <xdr:nvSpPr>
        <xdr:cNvPr id="2" name="CaixaDeTexto 1">
          <a:hlinkClick xmlns:r="http://schemas.openxmlformats.org/officeDocument/2006/relationships" r:id="rId1"/>
          <a:extLst>
            <a:ext uri="{FF2B5EF4-FFF2-40B4-BE49-F238E27FC236}">
              <a16:creationId xmlns:a16="http://schemas.microsoft.com/office/drawing/2014/main" id="{51B35683-852B-4093-9F34-5A4426C8C79E}"/>
            </a:ext>
          </a:extLst>
        </xdr:cNvPr>
        <xdr:cNvSpPr txBox="1"/>
      </xdr:nvSpPr>
      <xdr:spPr>
        <a:xfrm>
          <a:off x="11696700" y="266700"/>
          <a:ext cx="2125578" cy="360946"/>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600" b="1">
              <a:solidFill>
                <a:srgbClr val="FF0000"/>
              </a:solidFill>
            </a:rPr>
            <a:t>VOLTAR AO ÍNDICE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0</xdr:colOff>
      <xdr:row>1</xdr:row>
      <xdr:rowOff>0</xdr:rowOff>
    </xdr:from>
    <xdr:to>
      <xdr:col>16</xdr:col>
      <xdr:colOff>296778</xdr:colOff>
      <xdr:row>2</xdr:row>
      <xdr:rowOff>113296</xdr:rowOff>
    </xdr:to>
    <xdr:sp macro="" textlink="">
      <xdr:nvSpPr>
        <xdr:cNvPr id="2" name="CaixaDeTexto 1">
          <a:hlinkClick xmlns:r="http://schemas.openxmlformats.org/officeDocument/2006/relationships" r:id="rId1"/>
          <a:extLst>
            <a:ext uri="{FF2B5EF4-FFF2-40B4-BE49-F238E27FC236}">
              <a16:creationId xmlns:a16="http://schemas.microsoft.com/office/drawing/2014/main" id="{C7496918-6C53-475E-8EC4-9D436B4491F8}"/>
            </a:ext>
          </a:extLst>
        </xdr:cNvPr>
        <xdr:cNvSpPr txBox="1"/>
      </xdr:nvSpPr>
      <xdr:spPr>
        <a:xfrm>
          <a:off x="11696700" y="266700"/>
          <a:ext cx="2125578" cy="360946"/>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600" b="1">
              <a:solidFill>
                <a:srgbClr val="FF0000"/>
              </a:solidFill>
            </a:rPr>
            <a:t>VOLTAR AO ÍNDICE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92066</xdr:colOff>
      <xdr:row>29</xdr:row>
      <xdr:rowOff>84994</xdr:rowOff>
    </xdr:from>
    <xdr:to>
      <xdr:col>7</xdr:col>
      <xdr:colOff>1003788</xdr:colOff>
      <xdr:row>33</xdr:row>
      <xdr:rowOff>43963</xdr:rowOff>
    </xdr:to>
    <xdr:sp macro="" textlink="">
      <xdr:nvSpPr>
        <xdr:cNvPr id="2" name="Retângulo de cantos arredondados 1">
          <a:extLst>
            <a:ext uri="{FF2B5EF4-FFF2-40B4-BE49-F238E27FC236}">
              <a16:creationId xmlns:a16="http://schemas.microsoft.com/office/drawing/2014/main" id="{04F19B63-297A-419D-984C-D531A50F7438}"/>
            </a:ext>
          </a:extLst>
        </xdr:cNvPr>
        <xdr:cNvSpPr/>
      </xdr:nvSpPr>
      <xdr:spPr>
        <a:xfrm>
          <a:off x="2587616" y="5971444"/>
          <a:ext cx="4483597" cy="816219"/>
        </a:xfrm>
        <a:prstGeom prst="roundRect">
          <a:avLst/>
        </a:prstGeom>
        <a:no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xdr:from>
      <xdr:col>5</xdr:col>
      <xdr:colOff>236661</xdr:colOff>
      <xdr:row>29</xdr:row>
      <xdr:rowOff>69605</xdr:rowOff>
    </xdr:from>
    <xdr:to>
      <xdr:col>7</xdr:col>
      <xdr:colOff>10960</xdr:colOff>
      <xdr:row>29</xdr:row>
      <xdr:rowOff>315057</xdr:rowOff>
    </xdr:to>
    <xdr:sp macro="" textlink="">
      <xdr:nvSpPr>
        <xdr:cNvPr id="3" name="CaixaDeTexto 2">
          <a:extLst>
            <a:ext uri="{FF2B5EF4-FFF2-40B4-BE49-F238E27FC236}">
              <a16:creationId xmlns:a16="http://schemas.microsoft.com/office/drawing/2014/main" id="{BCFB9D6D-EE52-49F6-AF24-70D2A9215B2D}"/>
            </a:ext>
          </a:extLst>
        </xdr:cNvPr>
        <xdr:cNvSpPr txBox="1"/>
      </xdr:nvSpPr>
      <xdr:spPr>
        <a:xfrm>
          <a:off x="3541836" y="5956055"/>
          <a:ext cx="2536549" cy="2454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000" b="1">
              <a:latin typeface="Arial" panose="020B0604020202020204" pitchFamily="34" charset="0"/>
              <a:cs typeface="Arial" panose="020B0604020202020204" pitchFamily="34" charset="0"/>
            </a:rPr>
            <a:t>CÁLCULO</a:t>
          </a:r>
          <a:r>
            <a:rPr lang="pt-BR" sz="1000" b="1" baseline="0">
              <a:latin typeface="Arial" panose="020B0604020202020204" pitchFamily="34" charset="0"/>
              <a:cs typeface="Arial" panose="020B0604020202020204" pitchFamily="34" charset="0"/>
            </a:rPr>
            <a:t> DO BDI</a:t>
          </a:r>
          <a:endParaRPr lang="pt-BR" sz="1000" b="1">
            <a:latin typeface="Arial" panose="020B0604020202020204" pitchFamily="34" charset="0"/>
            <a:cs typeface="Arial" panose="020B0604020202020204" pitchFamily="34" charset="0"/>
          </a:endParaRPr>
        </a:p>
      </xdr:txBody>
    </xdr:sp>
    <xdr:clientData/>
  </xdr:twoCellAnchor>
  <xdr:twoCellAnchor>
    <xdr:from>
      <xdr:col>4</xdr:col>
      <xdr:colOff>743136</xdr:colOff>
      <xdr:row>29</xdr:row>
      <xdr:rowOff>310565</xdr:rowOff>
    </xdr:from>
    <xdr:to>
      <xdr:col>7</xdr:col>
      <xdr:colOff>328044</xdr:colOff>
      <xdr:row>33</xdr:row>
      <xdr:rowOff>137578</xdr:rowOff>
    </xdr:to>
    <xdr:grpSp>
      <xdr:nvGrpSpPr>
        <xdr:cNvPr id="4" name="Agrupar 3">
          <a:extLst>
            <a:ext uri="{FF2B5EF4-FFF2-40B4-BE49-F238E27FC236}">
              <a16:creationId xmlns:a16="http://schemas.microsoft.com/office/drawing/2014/main" id="{9DE45868-4743-4887-BCEF-258DA8281C31}"/>
            </a:ext>
          </a:extLst>
        </xdr:cNvPr>
        <xdr:cNvGrpSpPr/>
      </xdr:nvGrpSpPr>
      <xdr:grpSpPr>
        <a:xfrm>
          <a:off x="3352986" y="6197015"/>
          <a:ext cx="3328233" cy="684263"/>
          <a:chOff x="2937458" y="8939368"/>
          <a:chExt cx="3160865" cy="577481"/>
        </a:xfrm>
      </xdr:grpSpPr>
      <xdr:sp macro="" textlink="">
        <xdr:nvSpPr>
          <xdr:cNvPr id="5" name="CaixaDeTexto 4">
            <a:extLst>
              <a:ext uri="{FF2B5EF4-FFF2-40B4-BE49-F238E27FC236}">
                <a16:creationId xmlns:a16="http://schemas.microsoft.com/office/drawing/2014/main" id="{7A90C325-493F-42D4-AC31-9A8918B82764}"/>
              </a:ext>
            </a:extLst>
          </xdr:cNvPr>
          <xdr:cNvSpPr txBox="1"/>
        </xdr:nvSpPr>
        <xdr:spPr>
          <a:xfrm>
            <a:off x="3278593" y="8939368"/>
            <a:ext cx="2533827" cy="577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000">
                <a:latin typeface="Arial" panose="020B0604020202020204" pitchFamily="34" charset="0"/>
                <a:cs typeface="Arial" panose="020B0604020202020204" pitchFamily="34" charset="0"/>
              </a:rPr>
              <a:t>( 1 + AC + S + R + G ) ( 1 + DF ) ( 1 + L )</a:t>
            </a:r>
          </a:p>
          <a:p>
            <a:pPr algn="ctr"/>
            <a:endParaRPr lang="pt-BR" sz="1000">
              <a:latin typeface="Arial" panose="020B0604020202020204" pitchFamily="34" charset="0"/>
              <a:cs typeface="Arial" panose="020B0604020202020204" pitchFamily="34" charset="0"/>
            </a:endParaRPr>
          </a:p>
          <a:p>
            <a:pPr algn="ctr"/>
            <a:r>
              <a:rPr lang="pt-BR" sz="1000">
                <a:latin typeface="Arial" panose="020B0604020202020204" pitchFamily="34" charset="0"/>
                <a:cs typeface="Arial" panose="020B0604020202020204" pitchFamily="34" charset="0"/>
              </a:rPr>
              <a:t>(1-I)</a:t>
            </a:r>
          </a:p>
        </xdr:txBody>
      </xdr:sp>
      <xdr:sp macro="" textlink="">
        <xdr:nvSpPr>
          <xdr:cNvPr id="6" name="CaixaDeTexto 5">
            <a:extLst>
              <a:ext uri="{FF2B5EF4-FFF2-40B4-BE49-F238E27FC236}">
                <a16:creationId xmlns:a16="http://schemas.microsoft.com/office/drawing/2014/main" id="{90BD092B-3662-4D39-B85B-3155FF97A68A}"/>
              </a:ext>
            </a:extLst>
          </xdr:cNvPr>
          <xdr:cNvSpPr txBox="1"/>
        </xdr:nvSpPr>
        <xdr:spPr>
          <a:xfrm>
            <a:off x="5703152" y="8974013"/>
            <a:ext cx="395171" cy="311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000">
                <a:latin typeface="Arial" panose="020B0604020202020204" pitchFamily="34" charset="0"/>
                <a:cs typeface="Arial" panose="020B0604020202020204" pitchFamily="34" charset="0"/>
              </a:rPr>
              <a:t>-1</a:t>
            </a:r>
          </a:p>
        </xdr:txBody>
      </xdr:sp>
      <xdr:sp macro="" textlink="">
        <xdr:nvSpPr>
          <xdr:cNvPr id="7" name="CaixaDeTexto 6">
            <a:extLst>
              <a:ext uri="{FF2B5EF4-FFF2-40B4-BE49-F238E27FC236}">
                <a16:creationId xmlns:a16="http://schemas.microsoft.com/office/drawing/2014/main" id="{C9F67E61-E62C-4093-B3C2-B58DF53898AC}"/>
              </a:ext>
            </a:extLst>
          </xdr:cNvPr>
          <xdr:cNvSpPr txBox="1"/>
        </xdr:nvSpPr>
        <xdr:spPr>
          <a:xfrm>
            <a:off x="2937458" y="8974013"/>
            <a:ext cx="531131" cy="311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000" b="1">
                <a:latin typeface="Arial" panose="020B0604020202020204" pitchFamily="34" charset="0"/>
                <a:cs typeface="Arial" panose="020B0604020202020204" pitchFamily="34" charset="0"/>
              </a:rPr>
              <a:t>BDI=</a:t>
            </a:r>
          </a:p>
        </xdr:txBody>
      </xdr:sp>
      <xdr:cxnSp macro="">
        <xdr:nvCxnSpPr>
          <xdr:cNvPr id="8" name="Conector reto 7">
            <a:extLst>
              <a:ext uri="{FF2B5EF4-FFF2-40B4-BE49-F238E27FC236}">
                <a16:creationId xmlns:a16="http://schemas.microsoft.com/office/drawing/2014/main" id="{8BDE19A3-0DA5-482E-AB9C-D0ECD6350433}"/>
              </a:ext>
            </a:extLst>
          </xdr:cNvPr>
          <xdr:cNvCxnSpPr/>
        </xdr:nvCxnSpPr>
        <xdr:spPr>
          <a:xfrm>
            <a:off x="3374572" y="9149444"/>
            <a:ext cx="2400299"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187316</xdr:colOff>
      <xdr:row>29</xdr:row>
      <xdr:rowOff>84994</xdr:rowOff>
    </xdr:from>
    <xdr:to>
      <xdr:col>11</xdr:col>
      <xdr:colOff>1051413</xdr:colOff>
      <xdr:row>33</xdr:row>
      <xdr:rowOff>43963</xdr:rowOff>
    </xdr:to>
    <xdr:sp macro="" textlink="">
      <xdr:nvSpPr>
        <xdr:cNvPr id="9" name="Retângulo de cantos arredondados 1">
          <a:extLst>
            <a:ext uri="{FF2B5EF4-FFF2-40B4-BE49-F238E27FC236}">
              <a16:creationId xmlns:a16="http://schemas.microsoft.com/office/drawing/2014/main" id="{1849146B-63FB-42AB-B019-10A540FC5907}"/>
            </a:ext>
          </a:extLst>
        </xdr:cNvPr>
        <xdr:cNvSpPr/>
      </xdr:nvSpPr>
      <xdr:spPr>
        <a:xfrm>
          <a:off x="7464416" y="5971444"/>
          <a:ext cx="5321797" cy="816219"/>
        </a:xfrm>
        <a:prstGeom prst="roundRect">
          <a:avLst/>
        </a:prstGeom>
        <a:no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xdr:from>
      <xdr:col>8</xdr:col>
      <xdr:colOff>1212974</xdr:colOff>
      <xdr:row>29</xdr:row>
      <xdr:rowOff>69605</xdr:rowOff>
    </xdr:from>
    <xdr:to>
      <xdr:col>11</xdr:col>
      <xdr:colOff>130023</xdr:colOff>
      <xdr:row>29</xdr:row>
      <xdr:rowOff>315057</xdr:rowOff>
    </xdr:to>
    <xdr:sp macro="" textlink="">
      <xdr:nvSpPr>
        <xdr:cNvPr id="10" name="CaixaDeTexto 9">
          <a:extLst>
            <a:ext uri="{FF2B5EF4-FFF2-40B4-BE49-F238E27FC236}">
              <a16:creationId xmlns:a16="http://schemas.microsoft.com/office/drawing/2014/main" id="{F0F80935-A9F3-4AEC-A8F0-13E5FCD063FD}"/>
            </a:ext>
          </a:extLst>
        </xdr:cNvPr>
        <xdr:cNvSpPr txBox="1"/>
      </xdr:nvSpPr>
      <xdr:spPr>
        <a:xfrm>
          <a:off x="8490074" y="5956055"/>
          <a:ext cx="3374749" cy="2454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000" b="1">
              <a:latin typeface="Arial" panose="020B0604020202020204" pitchFamily="34" charset="0"/>
              <a:cs typeface="Arial" panose="020B0604020202020204" pitchFamily="34" charset="0"/>
            </a:rPr>
            <a:t>ISS</a:t>
          </a:r>
          <a:r>
            <a:rPr lang="pt-BR" sz="1000" b="1" baseline="0">
              <a:latin typeface="Arial" panose="020B0604020202020204" pitchFamily="34" charset="0"/>
              <a:cs typeface="Arial" panose="020B0604020202020204" pitchFamily="34" charset="0"/>
            </a:rPr>
            <a:t> - Imposto Sobre Serviços</a:t>
          </a:r>
          <a:endParaRPr lang="pt-BR" sz="1000" b="1">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342900</xdr:colOff>
          <xdr:row>0</xdr:row>
          <xdr:rowOff>95250</xdr:rowOff>
        </xdr:from>
        <xdr:to>
          <xdr:col>0</xdr:col>
          <xdr:colOff>933450</xdr:colOff>
          <xdr:row>3</xdr:row>
          <xdr:rowOff>190500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1700-0000013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3</xdr:col>
      <xdr:colOff>247650</xdr:colOff>
      <xdr:row>2</xdr:row>
      <xdr:rowOff>41680</xdr:rowOff>
    </xdr:from>
    <xdr:to>
      <xdr:col>3</xdr:col>
      <xdr:colOff>1100924</xdr:colOff>
      <xdr:row>2</xdr:row>
      <xdr:rowOff>876300</xdr:rowOff>
    </xdr:to>
    <xdr:pic>
      <xdr:nvPicPr>
        <xdr:cNvPr id="2" name="Imagem 1">
          <a:extLst>
            <a:ext uri="{FF2B5EF4-FFF2-40B4-BE49-F238E27FC236}">
              <a16:creationId xmlns:a16="http://schemas.microsoft.com/office/drawing/2014/main" id="{556D4A83-124D-4BDC-9F86-2DDE2D0B25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5400" y="670330"/>
          <a:ext cx="853274" cy="834620"/>
        </a:xfrm>
        <a:prstGeom prst="rect">
          <a:avLst/>
        </a:prstGeom>
      </xdr:spPr>
    </xdr:pic>
    <xdr:clientData/>
  </xdr:twoCellAnchor>
  <xdr:twoCellAnchor editAs="oneCell">
    <xdr:from>
      <xdr:col>2</xdr:col>
      <xdr:colOff>247650</xdr:colOff>
      <xdr:row>2</xdr:row>
      <xdr:rowOff>38008</xdr:rowOff>
    </xdr:from>
    <xdr:to>
      <xdr:col>2</xdr:col>
      <xdr:colOff>1109533</xdr:colOff>
      <xdr:row>2</xdr:row>
      <xdr:rowOff>910590</xdr:rowOff>
    </xdr:to>
    <xdr:pic>
      <xdr:nvPicPr>
        <xdr:cNvPr id="3" name="Imagem 6" descr="Resultado de imagem para placa pare">
          <a:extLst>
            <a:ext uri="{FF2B5EF4-FFF2-40B4-BE49-F238E27FC236}">
              <a16:creationId xmlns:a16="http://schemas.microsoft.com/office/drawing/2014/main" id="{DBC84010-AB1F-402B-ADE9-96E28356B4C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24275" y="666658"/>
          <a:ext cx="861883" cy="872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292141</xdr:colOff>
      <xdr:row>2</xdr:row>
      <xdr:rowOff>28575</xdr:rowOff>
    </xdr:from>
    <xdr:to>
      <xdr:col>4</xdr:col>
      <xdr:colOff>1139195</xdr:colOff>
      <xdr:row>2</xdr:row>
      <xdr:rowOff>914400</xdr:rowOff>
    </xdr:to>
    <xdr:pic>
      <xdr:nvPicPr>
        <xdr:cNvPr id="4" name="Imagem 3">
          <a:extLst>
            <a:ext uri="{FF2B5EF4-FFF2-40B4-BE49-F238E27FC236}">
              <a16:creationId xmlns:a16="http://schemas.microsoft.com/office/drawing/2014/main" id="{C042429B-9B74-4B38-A202-0ACE63602B95}"/>
            </a:ext>
          </a:extLst>
        </xdr:cNvPr>
        <xdr:cNvPicPr>
          <a:picLocks noChangeAspect="1"/>
        </xdr:cNvPicPr>
      </xdr:nvPicPr>
      <xdr:blipFill>
        <a:blip xmlns:r="http://schemas.openxmlformats.org/officeDocument/2006/relationships" r:embed="rId3"/>
        <a:stretch>
          <a:fillRect/>
        </a:stretch>
      </xdr:blipFill>
      <xdr:spPr>
        <a:xfrm>
          <a:off x="6531016" y="657225"/>
          <a:ext cx="847054" cy="885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nanceiro\c\Meus%20documentos\Obras%20da%20Construtora%20Visor\Or&#231;amentos\Ds32\Meus%20documentos\Outros\Meus%20documentos%20Visor\Prefeituras\Pref%20Mun%20Campo%20Belo\Museu%20Campo%20Belo\Planilha%20Museu%20Revis&#227;o%20Mai-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rojeto\c\PROJETOS\SINFRA\PROJETO%20BRASIL-BOL&#205;VIA%20(CORIXA)\VOLUME-04\composi&#231;ao%20%20corixa%20fim.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A:\TEMP\Or&#231;amento%20Sta%20Helena%20Guaranta.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NIT-CBA-SR-F02\Users\FLVIOE~1\AppData\Local\Temp\Documents%20and%20Settings\gas\Configura&#231;&#245;es%20locais\Temporary%20Internet%20Files\Content.Outlook\NY2PGIY1\Documents%20and%20Settings\emsa\Meus%20documentos\Medicao-Obra71"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mail-b.uol.com.br/cgi-bin/webmail/ARQUIVOS/OR&#199;AMENTO/Guia%20Lopes%20BR267/OR&#199;AMENTO%20E%20CRONOGRAMA%20GLL.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mail-b.uol.com.br/cgi-bin/webmail/ARQUIVOS/OR&#199;AMENTO/Resumo_Cronograma_Maracaju.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nit-cba-sr-f01\engenharia\Jos&#233;%20Marcos%20Monteiro%20-%2054172\RODOVIAS\BR%20364\01.PATO\01.Editais\BR364%20-%20KM%20799,3%20ao%20879,3\Pato%20-%20BR-364%20(Itanorte)\03.Pato%20Itanorte%20-%20Campo%20Novo%20(FINAL)%20(FINAL).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7EAC8717\RELAT61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Documents%20and%20Settings\Administrador\Meus%20documentos\TERCIO\MT%20370%20ESTRADA%20PARQUE\22_JUN\Ultima%20do%20Everaldo%2022_06_05\TRANSPORTE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NIT-CBA-SR-F02\Grupos\Meus%20Documentos\FV-DNER.XLS" TargetMode="External"/></Relationships>
</file>

<file path=xl/externalLinks/_rels/externalLink108.xml.rels><?xml version="1.0" encoding="UTF-8" standalone="yes"?>
<Relationships xmlns="http://schemas.openxmlformats.org/package/2006/relationships"><Relationship Id="rId2" Type="http://schemas.openxmlformats.org/officeDocument/2006/relationships/externalLinkPath" Target="file:///\\172.16.11.3\Engenharia\PROJETOS%20EM%20ANDAMENTOS\PAVIMENTA&#199;&#195;O%20JD%20PLANALTO%2001%20E%2002\Aquisi&#231;&#227;o%20Desonerado%20_ARIPUANA_JD_PLANALTO%20-%20%20COM%20SERV.%20APROV.%20E%20SERV.%20NOVOS%20-%20COM%20MOB%20ARRUMADA.xlsx" TargetMode="External"/><Relationship Id="rId1" Type="http://schemas.openxmlformats.org/officeDocument/2006/relationships/externalLinkPath" Target="Aquisi&#231;&#227;o%20Desonerado%20_ARIPUANA_JD_PLANALTO%20-%20%20COM%20SERV.%20APROV.%20E%20SERV.%20NOVOS%20-%20COM%20MOB%20ARRUMAD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Rafael\ENPA\Estudos\Mato%20Grosso\Estudo%20PATO.MT.PA\2011\PATO'S\BR158%20-%20%20km%20637%20ao%20697%20(pinda&#237;ba)\antigos\comp%20sicro%20mt%20setembro%202010%20-%20brita%20corrigid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ETOR%20DE%20PROJETOS/PATO/PATO%20Ricardo%20-%20BR-262_km%20466,5%20-%20km%20600,8/Meus%20documentos/pato2004br262/composi&#231;&#227;opadr&#227;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email.terra.com.br/cgi-bin/webmail.exe/Meus%20documentos/ANAST%C3%81CIO/SERCEL/BR2629906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JBS/JBS/Mob%20e%20Desmobiliza&#231;&#227;o_Aripuan&#227;.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0.111.1.7\engenharia\Users\ULCAC\Desktop\BR-174-PATO%20km%201093,90%20ao%20km%201258,9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ments%20and%20Settings/f01945/Configura&#231;&#245;es%20locais/Temporary%20Internet%20Files/Content.IE5/QXPOF0PY/OR&#199;AMENTO..(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ng_001\c\Meus%20documentos\Excel\DVOP\8_97%20-%20S&#227;o%20Vicente\Prod.%20Equip.%20Mec.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OR&#199;AMENTO%20LAMA%20ASF&#193;LTICA%20MT170%2078,2%20K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PATO%20-%20BR%20-%20425%20aditiv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NIT-CBA-SR-F02\Concorrencia\LICITA&#199;&#195;O\DNIT\BR-101%20-%20SC%20EDITAL%200003-02\LOTE%2028%20apresenta&#231;&#227;o\cd\Lote%2028%20SC\gelson\XLS\CUSTOS\DNER398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fbsa00535\c$\PATO%20-%20BR%20-%20425%20aditiv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fbsa00535\dyna01\PATO%20-%20BR%20-%20425%20aditiv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S_PROSUL2\APPL\USR\GELSON\XLS\CONSAPPE\SISNORTE\REORDENA\11BR28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111.1.7\engenharia\Users\ULCAC\Desktop\Diversos%20DNIT\TRABALHO\TECNICA%20VIARIA%20CONSTRU&#199;&#213;ES\1%20-%20DOC%20CONTRATO\C&#243;pia%20de%20Pato%2016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windows\TEMP\1&#170;%20MED%20PROV%20B.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NIT-CBA-SR-F02\Grupos\Users\operador\Documents\DNIT\PATO%202011\MODELOS\patos\diamantino(andr&#233;)\PATO_km614,4_km799,3%20-%20rev07%20-%20sicro%20mt%20set%20-10%20(alt%20betuminoso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00.132.171\check_list_csd$\Tec_1\tec1\ARQ\SOLOTEC\BR-476\VIGA\ANALIS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gito\c\Meus%20documentos\Projetos\6&#186;%20DRF\C%20378%20%20BR%20040%20Paraopeba\AnteProjeto\Volume%202\Terraplenagem\C378%20Distribuicao%20de%20Massas%20Lote%2002%20-%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ndre\c\Documents%20and%20Settings\Castelar\Meus%20documentos\Backup%20Uni&#227;o%204-5%20(D)\OBRA%20CANOINHAS\Castellar%20Engenharia%20Ltda%20-%20CANOINHAS\FINAN&#199;AS\Uniao\Medi&#231;&#227;o%20Castellar\61MCBMI.DNI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11.1.7\engenharia\ENGENHARIA\Lucio%20Pinheiro%20-%2054112\PATOs\2014\PATO364%20502_588\PATO%20BR_364%20Alterado%2013_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ERVIDOR-F1\Projetos\Trabalho\Planilha%20de%20Quantitativo%20em%20Branc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aercio-jbs\projetos%20(d)\MT%20423%20UNI&#195;O%20DO%20SUL%20-%20CLAUDIA\Or&#231;amento%2045,0%20km\Or&#231;amento%20Minuta%20(Uni&#227;o%20do%20Sul%20-%20Claudia)%2043,021%20Km.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233;cnico\c-tecnico\T&#201;CNICA\DNER\19%20DISTRITO%20RODOVI&#193;RIO%20FEDERAL\CARTA%20CONVITE%20N&#176;%200129-98-19\CARTA%20CONVITE%20N&#176;%200129-98-1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NIT-CBA-SR-F02\Grupos\Meus%20documentos\Arquivos%20BR-459%20TCM%20EDEMILSON\Projeto%20Executivo%20BR-459%20COPAVEL\04-03-2004\Meus%20Documentos\FV-DNE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Meus%20Documentos\FV-DNER.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NIT-CBA-SR-F02\Grupos\Users\FLVIOE~1\AppData\Local\Temp\Meus%20Documentos\FV-DNE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NIT-CBA-SR-F02\Grupos\Meus%20documentos\Arquivos%20BR-459%20TCM%20EDEMILSON\Projeto%20Executivo%20BR-459%20COPAVEL\04-03-2004\0798\TECNICO\TEACOMP\LOTE06\P09\P10\RELAT61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798\TECNICO\TEACOMP\LOTE06\P09\P10\RELAT6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ebmail2.brturbo.com/MT-170%20(BRASNORTE%20-%20AGRIMAT)/2&#170;%20medi&#231;&#227;o%20Agrima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NIT-CBA-SR-F02\Grupos\Users\FLVIOE~1\AppData\Local\Temp\0798\TECNICO\TEACOMP\LOTE06\P09\P10\RELAT6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celso\PLANILHAS%20LAB\Faixa%20C\PROJ.CBUQ%20F-B-116060220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tra&#231;o%20cbuq%20faixa%20c%20Carpizza%20CONT.%20LEST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Documents%20and%20Settings\ELEANDRO\Meus%20documentos\LICITA&#199;&#213;ES\DNIT\CP%20220-2006-MT\Edital\ANEXOS%20-%20BR_364_MT_2006%20CONSERVA&#199;&#195;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email.terra.com.br/cgi-bin/webmail.exe/Meus%20documentos/ANAST%C3%81CIO/SERCEL/BR2629908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NIT-CBA-SR-F02\PROJETOS\SINFRA\PROJETO%20BRASIL-BOL&#205;VIA%20(CORIXA)\VOLUME-04\composi&#231;ao%20%20corixa%20fin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ndre\c\Conseva\Cons-116\MEDICOES\61MCBMI.DNI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Jaguaribe\c\TEMP\Fabio\Campanario_agua\Campanario\Agua\Volume4e5\Memorial-Orcamneto\Orc_Automacao%20agua.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nit-cba-sr-f01\editais\Users\JOSEMA~1.SIL\AppData\Local\Temp\Rar$DIa0.357\PATO%20BR158%20-%2085,00%20ao%20201,13%20-%20Corre&#231;&#227;o%2030.04.15%20-%20SICRO%20JAN.15.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dros\Orca_Esgoto_Col&#244;nia%202a%20ETAP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ebmail2.brturbo.com/Diversos/PROTOTIPO%20DE%20MEDI&#199;&#195;O.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NIT-CBA-SR-F02\Meus%20documentos\DER-SP\PLANILHA%20OFICIAL.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92.168.0.253\Grupos\DOCUME~1\RAPHAE~1.POR\CONFIG~1\Temp\Rar$DI00.610\Acabamentos2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4&#170;_MEDI&#199;&#195;O_MT-24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B:\PRODUCAO.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OBRAS%20EM%20EXECU&#199;&#195;O\Obra%20114%20-%20Estrada%20do%20Moinho\Obra\pROJETOS\Arquimedes%20Pereira%20Lima\VOLUME%204%20-%20OR&#199;AMENTO\OR&#199;AMENTO%20ARCHIMEDES%20PEREIRA_COMPLETO.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187.2000\Quadros%20para%20Licita&#231;&#245;es.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C.U.%20LOT"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nit-cba-sr-f01\engenharia\Alex%20-%2054143\Pato%20Edital%20Ricardo\NOVO%20PATO%20DA%20BR%20364%20(REV03)%2005.10.2015.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NIT-CBA-SR-F02\Grupos\Users\jackson\Documents\DNIT\Patos\PATOS%20modelos%202008%20dnit\Patos%20-%20Luiz%20Ant&#244;nio\BR-070\Laptop%20-%20Arquivos\DNIT\PATOs\Rondon&#243;polis\PATO_BR-364_km_000_ao_km_11290_LICITA&#199;&#195;O%20MAIO%20DE%20200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NIT-CBA-SR-F02\Users\Paulo%20Vicente\Desktop\Pasta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lexandre\c\ARQXLS\PR\Conservas%20dez-02\Pato%20PRRTN%20-%20BR47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ROJETOS\MT-129\EXECUTIVO\VOLUME%204\SETEMBRO\COM%20DESONERA&#199;&#195;O\OR&#199;AMENTOS\LOTE%2001\Or&#231;amento_MT%20129%20-%20LOTE%2001%201.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NIT-CBA-SR-F02\Grupos\Users\jackson\Documents\DNIT\Patos\PATOS%20modelos%202008%20dnit\Patos%20-%20Luiz%20Ant&#244;nio\BR-070\Laptop%20-%20Arquivos\DNIT\PATOs\Rondon&#243;polis\PATO_BR-364_km_0,00_ao_km_112,90_LICITA&#199;&#195;O%20Rev%20mari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NIT-CBA-SR-F02\Grupos\Anel%20-%20Conserva\62&#170;%20Med.%20Prov.%20Dez.12%20-%20Anel%20Rodovi&#225;rio.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100.132.171\check_list_csd$\Lote%2002\MG\27%20PROJETOS%20-%20OGU_SET09%20(BM)\27%20-%20BR-452%20(58,4%20a%2091,8%20&amp;%20173,9%20a%20224,9)\PROJETO%20FINAL\Projeto%20%20CREMA%20BR-45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100.132.171\check_list_csd$\Lote%2002\MG\27%20PROJETO%20BANCO%20MUNDIAL\1%20-%20BR-040(471,5%20ao%20532,9)-LOTE%205\Projeto%20Nova%20solu&#231;&#227;o%20(28-07-09)_SINAL.-MB\Projeto%20CREMA%20BR-040(471,5%20ao%20532,9)-LOTE%2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RQUIVOS\SharedDocs\Documents%20and%20Settings\jose.s.pinto\Desktop\DOCUMENTOS%20DA%20UL%2006-03\DIVERSOS\PATOS%20DIVERSOS-EMERGENCIAS\PATO%20%20BR-356%20(Ref.%20Mar.%202008)%20(20-06-2008)%2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BR-163\6&#170;%20ap&#243;s%20repac.%20LOTE%202.xls" TargetMode="External"/></Relationships>
</file>

<file path=xl/externalLinks/_rels/externalLink67.xml.rels><?xml version="1.0" encoding="UTF-8" standalone="yes"?>
<Relationships xmlns="http://schemas.openxmlformats.org/package/2006/relationships"><Relationship Id="rId1" Type="http://schemas.microsoft.com/office/2006/relationships/xlExternalLinkPath/xlPathMissing" Target="C.B"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nit-cba-sr-f01\engenharia\Projetos%20em%20andamento\DNIT\DNIT%20CREMA%20RN%20Planservi\Levantamento%20de%20Campo\Acostamento\Dynatestms_01\meus%20documentos\Meus%20documentos\Egesa-antigos\TO-134\Meus%20Documentos\FV-DNER.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Juliana\projetos\Meus%20documentos\Egesa-antigos\TO-134\Meus%20Documentos\FV-DN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auriney\c\Meus%20documentos\geosolo\1&#170;%20M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inanceiro\c\Or&#231;amentos\Orc%20381\Orc%20Trevo%20Takono\OR96088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MT%20170%20(Brasnorte%20-%20Rio%20Juruena%20AGRIMAT)\Medi&#231;&#245;es%20Agrimat%20SINFRA\2&#170;%20Medi&#231;&#227;o%20Oficial%20Agrimat%20IC-001%20Set_200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2019\GENERAL%20CARNEIRO\SINALIZA&#199;&#195;O\VOLUME%2001\06%20-%20Or&#231;amento\MO27477006%20PLE%2000%20-%20r01.xlsm"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mario.filho/Desktop/PATO%20BR_364%20_588_799_BASE.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G:\CD%20TURMA%20CUSTOS%20RODOVIARIOS\PLANILHA%20OR&#199;AMENT&#193;RIA.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aercio-jbs\projetos%20(d)\Prefeituras%20Licita&#231;&#245;es\Nova%20Mutum\Or&#231;amento%20CP%20006-2007%20(Pref%20Nova%20Mutum).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webmail2.brturbo.com/MT-170%20(BRASNORTE%20-%20AGRIMAT%20100km)/Medi&#231;&#245;es%20Agrimat/Triunfo/Obra/Obra%20n&#186;%20199/2&#170;%20Repactua&#231;&#227;o/4&#170;%20medi&#231;&#227;o%20199%20ap&#243;s%202&#170;%20repactua&#231;&#227;o.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NIT-CBA-SR-F02\PROJETOS\SINFRA\PROJETO%20BRASIL-BOL&#205;VIA%20(CORIXA)\VOLUME-04\composi&#231;ao%20%20corixa%20fim.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bemi-tec-01\C-Tec\Documents%20and%20Settings\lcardoso\Meus%20documentos\P\s_c\45000_49620_ServAux.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NIT-CBA-SR-F02\Projetos%20em%20andamento\DNIT%20Construtoras\DNIT%20PIR-IV%20Corredor%202007\SP%20-%208a%20UNIT\PIR%20IV%20BR-116\PASSO%20FUNDO%20COMPOSI&#199;&#213;ES\Documents%20and%20Settings\Pedro\Meus%20documentos\CPU%20Extra%20em%20excel%20de%20Br1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Projetos%20F&#225;bio\tra&#231;o%20cbuq%20faixa%20c%20Carpizza%20CONT.%20LEST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EM%20ANDAMENTO/2024/129-2022%20-%20PAV%20ASF.%20-%20BAIRRO%20JARDIM%20PLANALTO%20GERAL/R01/VOLUME%2003/2.EXECU&#199;&#195;O/OR&#199;AMENTO%20COM%20FORMULAS/2.%20OR&#199;%20ARIPUAN&#195;%20JD%20PLANALTO-COMPLETO%20-%20EXECU&#199;&#195;O%20DESONERADO.xlsm"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Juliana\projetos\Meus%20documentos\Egesa-antigos\TO-134\0798\TECNICO\TEACOMP\LOTE06\P09\P10\RELAT61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EGESA-Projetos\TO-050PALMAS-TAQUARALTO\Meus%20documentos\EGESA\Br-482mg\Volume1\CANA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ervidor2\secor2\MT%20-%20370%20POCON&#201;%20-%20PORTO%20CERCADO%20(PARTE%20URBANA)\ALA&#205;NE\EXCEL\TRANSPORT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inanceiro\c\WINDOWS\Temporary%20Internet%20Files\Content.IE5\O1QRGHI7\Planiha%20Santa%20Luzia%20-%20atualizad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NIT-CBA-SR-F02\Grupos\TCM%20Engenharia%20e%20Empreendimentos\BR-459%20Obra%20260\Medi&#231;&#245;es%20DNIT\Medi&#231;&#227;o%2015.2004%20-%20Fevereiro2004\TCM\BR-459%20Obra%20260\Medi&#231;&#245;es%20TCM\Medi&#231;&#227;o%2009.2003%20-%20Agosto2003\MEDI&#199;&#195;O%2008.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T:\Rib%20Casc\PA%20Guerreiro\Planilha%20Quantifica&#231;&#227;o%20Guerreir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NIT-CBA-SR-F02\Concorrencia\PLANEJAMENTO\PL%202004\Amap&#225;\BR-156-AP%20SUL\PL%20BR-156%20AP%20SUL%20atua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Users/Guilherme-CP/Desktop/PLE%20-%20TABAPOR&#195;.xlsm"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fbsa00535\c$\Documents%20and%20Settings\C%20arlos%20%20Machado\My%20Documents\Disco%201\BR-262-MS(3)\Anexos%20PGQ.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rojeto\c\PROJETOS\SINFRA\PROJETO%20BRASIL-BOL&#205;VIA%20(CORIXA)\VOLUME-04\composi&#231;ao%20%20corixa%20final.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Projeto\c\PROJETOS\SINFRA\PROJETO%20BRASIL-BOL&#205;VIA%20(CORIXA)\VOLUME-04\composi&#231;ao%20corixa%20fina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10.111.1.7\engenharia\1%20-%20DOC%20CONTRATO\BR-267-PATO%20km%20290,10%20ao%20396,4.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192.168.0.253\Grupos\Diversos\PROTOTIPO%20DE%20MEDI&#199;&#195;O.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RODOVIAS%20FEDERAIS\BR%20163%20GUARANT&#195;%20-%20DIVISA%20MT-PA%20fernando\PLANO%20TRABALHO%20VIGENTE\BR%20163%20CALMON%20FINAL\Oramento_Ago_200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BR163PD.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Servidor2\secor2\MT%20-%20249%20-Lote%20II\Ala&#237;ne\EXCEL\LOTE%2002\OR&#199;AMENTO-MT-249%20(Km%2011-Rio%20Arinos-Entr.%20MT-010)%20-%2016,80%20km_PROJETO.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ervidor2\secor3\MT%20-%20351-241%20(MANSO)\ALA&#205;NE\EXCEL\OR&#199;AMENTO.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670.00\Equipamento%20e%20M&#227;o%20de%20Obra%20670.0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Servidor2\secor5\MT%20-%20249%20%20-%20Lote%20II\ALA&#205;NE\EXCEL\LOTE%2002\OR&#199;AMENTO-MT-249%20(Km%2011-Rio%20Arinos-Entr.%20MT-010)%20-%2030%20km.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Servidor2\secor5\MT-270%20(COLONIA%20-%20MIMOSO)\OR&#199;AMENTO%20E%20PLANO%20DE%20TRABALHO\OR&#199;AMENTO%20MT-2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MUSEU Rev Jul-00"/>
      <sheetName val="BDI"/>
      <sheetName val="PLMUSEU Rev Mai-00 (Med)"/>
      <sheetName val="QUANTMU"/>
      <sheetName val="PLMUSEU"/>
      <sheetName val="Cálculo"/>
      <sheetName val="PLMUSEU (3)"/>
      <sheetName val="Planilha Apresent"/>
      <sheetName val="PLMUSEU_Rev_Jul-00"/>
      <sheetName val="PLMUSEU_Rev_Mai-00_(Med)"/>
      <sheetName val="PLMUSEU_(3)"/>
      <sheetName val="Planilha_Apresent"/>
      <sheetName val="COMPAC ATERRO 95 PROCTOR 251 GO"/>
      <sheetName val="COMPOS1"/>
      <sheetName val="Indices"/>
      <sheetName val="Serviço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s09.009.03"/>
      <sheetName val="2s09.009.05"/>
      <sheetName val="2S02.999.05"/>
      <sheetName val="2S02.999.03"/>
      <sheetName val="2S01.001.01"/>
      <sheetName val="1A00.902.01"/>
      <sheetName val="1A01.603.01"/>
      <sheetName val="CX COL"/>
      <sheetName val="1A00.901.51"/>
      <sheetName val="2S04.950.71"/>
      <sheetName val="2S04.942.52"/>
      <sheetName val="2S04.940.51"/>
      <sheetName val="2S04.940.52"/>
      <sheetName val="2S04.910.55"/>
      <sheetName val="1A01.894.51"/>
      <sheetName val="1A01.415.51"/>
      <sheetName val="1A01.410.51"/>
      <sheetName val="1A01.412.51"/>
      <sheetName val="2S04.910.53"/>
      <sheetName val="2S04.910.51"/>
      <sheetName val="2S04.111.51"/>
      <sheetName val="1A00.903.51"/>
      <sheetName val="2S04.110.71"/>
      <sheetName val="2S04.101.53"/>
      <sheetName val="1A01.765.51"/>
      <sheetName val="1A00.908.51"/>
      <sheetName val="2S04.100.73"/>
      <sheetName val="1A01.603.51"/>
      <sheetName val="2S04.101.52"/>
      <sheetName val="1A00.418.51"/>
      <sheetName val="1A00.717.00"/>
      <sheetName val="1A00.716.00"/>
      <sheetName val="1A01.760.51"/>
      <sheetName val="1A01.604.51"/>
      <sheetName val="1A01.401.01"/>
      <sheetName val="1A00.907.51"/>
      <sheetName val="1A01.512.60"/>
      <sheetName val="2 S 01.100.72"/>
      <sheetName val="1A01.893.01"/>
      <sheetName val="1A01.891.01"/>
      <sheetName val="2S04.400.01"/>
      <sheetName val="1A01.890.01"/>
      <sheetName val="1A01.780.01"/>
      <sheetName val="1A01.120.01"/>
      <sheetName val="1A01.105.01"/>
      <sheetName val="1A01.100.01"/>
      <sheetName val="3S01.930.00"/>
      <sheetName val="2S05.120.01"/>
      <sheetName val="2S01.100.01c"/>
      <sheetName val="2S01.100.01B"/>
      <sheetName val="2S05.102.00"/>
      <sheetName val="2S05.100.00"/>
      <sheetName val="4S06.121.01"/>
      <sheetName val="4S06.121.11"/>
      <sheetName val="4S06.200.01"/>
      <sheetName val="4S06.110.22"/>
      <sheetName val="4S06.100.21"/>
      <sheetName val="2S09.002.05"/>
      <sheetName val="2S02.501.52"/>
      <sheetName val="2S02.500.51"/>
      <sheetName val="2S02.300.00"/>
      <sheetName val="2S09.001.05"/>
      <sheetName val="2S02.200.01"/>
      <sheetName val="2S02.200.00"/>
      <sheetName val="2S02.110.00"/>
      <sheetName val="2S01.511.00"/>
      <sheetName val="2S01.100.10"/>
      <sheetName val="2S01.100.09"/>
      <sheetName val="2S01.100.01"/>
      <sheetName val="2S01.005.00"/>
      <sheetName val="DADOS"/>
      <sheetName val="eq"/>
      <sheetName val="mo"/>
      <sheetName val="mat"/>
      <sheetName val="plan"/>
      <sheetName val="C_U"/>
      <sheetName val="Mat Asf"/>
      <sheetName val="RELATÓRIO"/>
      <sheetName val="resumo"/>
      <sheetName val="REAJU"/>
      <sheetName val="Plan1"/>
      <sheetName val="geral"/>
      <sheetName val="C.U"/>
      <sheetName val="reg_mec_fx_dm_"/>
      <sheetName val="Capa Resumo"/>
      <sheetName val="Capa Documentação"/>
      <sheetName val="Capa Anexo I"/>
      <sheetName val="Capa Anexo II"/>
      <sheetName val="Capa Anexo III"/>
      <sheetName val="Capa Anexo I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row r="2">
          <cell r="A2" t="str">
            <v>E001</v>
          </cell>
          <cell r="B2" t="str">
            <v>Trator de Esteiras-D41E-6- com lâmina (82 Kw)</v>
          </cell>
          <cell r="C2">
            <v>103.7694</v>
          </cell>
          <cell r="D2">
            <v>10.849399999999999</v>
          </cell>
        </row>
        <row r="3">
          <cell r="A3" t="str">
            <v>E002</v>
          </cell>
          <cell r="B3" t="str">
            <v>Trator de Esteiras D6M - com lâmina (104 kW)</v>
          </cell>
          <cell r="C3">
            <v>150.8794</v>
          </cell>
          <cell r="D3">
            <v>10.849399999999999</v>
          </cell>
        </row>
        <row r="4">
          <cell r="A4" t="str">
            <v>E003</v>
          </cell>
          <cell r="B4" t="str">
            <v>Trator de Esteiras D8R - com lâmina ( 228 kW)</v>
          </cell>
          <cell r="C4">
            <v>282.21390000000002</v>
          </cell>
          <cell r="D4">
            <v>10.849399999999999</v>
          </cell>
        </row>
        <row r="5">
          <cell r="A5" t="str">
            <v>E006</v>
          </cell>
          <cell r="B5" t="str">
            <v>Motoniveladora - 120H - (104 kW)</v>
          </cell>
          <cell r="C5">
            <v>110.3526</v>
          </cell>
          <cell r="D5">
            <v>11.4693</v>
          </cell>
        </row>
        <row r="6">
          <cell r="A6" t="str">
            <v>E007</v>
          </cell>
          <cell r="B6" t="str">
            <v>Trator Agricola - MF 292/4 - (77 kW)</v>
          </cell>
          <cell r="C6">
            <v>52.975200000000001</v>
          </cell>
          <cell r="D6">
            <v>8.3695000000000004</v>
          </cell>
        </row>
        <row r="7">
          <cell r="A7" t="str">
            <v>E010</v>
          </cell>
          <cell r="B7" t="str">
            <v>Carregadeira de Pneus - 950G - 3,1 m³ (135 kw)</v>
          </cell>
          <cell r="C7">
            <v>141.58940000000001</v>
          </cell>
          <cell r="D7">
            <v>10.849399999999999</v>
          </cell>
        </row>
        <row r="8">
          <cell r="A8" t="str">
            <v>E011</v>
          </cell>
          <cell r="B8" t="str">
            <v>Retroescavadeira - MF 86HF (57KW)</v>
          </cell>
          <cell r="C8">
            <v>52.539400000000001</v>
          </cell>
          <cell r="D8">
            <v>10.849399999999999</v>
          </cell>
        </row>
        <row r="9">
          <cell r="A9" t="str">
            <v>E013</v>
          </cell>
          <cell r="B9" t="str">
            <v>Rolo Compactador-CA-25-PP-pé de carneiro autop. 11,25t vibrat (85 kW)</v>
          </cell>
          <cell r="C9">
            <v>81.165000000000006</v>
          </cell>
          <cell r="D9">
            <v>8.3695000000000004</v>
          </cell>
        </row>
        <row r="10">
          <cell r="A10" t="str">
            <v>E016</v>
          </cell>
          <cell r="B10" t="str">
            <v>Carregadeira de Pneus - W-20 - 1,33 m³ (79 kW)</v>
          </cell>
          <cell r="C10">
            <v>80.969399999999993</v>
          </cell>
          <cell r="D10">
            <v>10.849399999999999</v>
          </cell>
        </row>
        <row r="11">
          <cell r="A11" t="str">
            <v>E062</v>
          </cell>
          <cell r="B11" t="str">
            <v>Escavadeira Hidráulica - 330 CL - com esteira - cap. 1,7 m³ (184 kM)</v>
          </cell>
          <cell r="C11">
            <v>254.59630000000001</v>
          </cell>
          <cell r="D11">
            <v>11.4693</v>
          </cell>
        </row>
        <row r="12">
          <cell r="A12" t="str">
            <v>E101</v>
          </cell>
          <cell r="B12" t="str">
            <v>Grade de Discos - GA 24 x 24</v>
          </cell>
          <cell r="C12">
            <v>1.8445</v>
          </cell>
          <cell r="D12">
            <v>0</v>
          </cell>
        </row>
        <row r="13">
          <cell r="A13" t="str">
            <v>E105</v>
          </cell>
          <cell r="B13" t="str">
            <v>Rolo Compactador-SP 8000 de pneus autoprop. 21 t (97kW)</v>
          </cell>
          <cell r="C13">
            <v>78.503500000000003</v>
          </cell>
          <cell r="D13">
            <v>8.3695000000000004</v>
          </cell>
        </row>
        <row r="14">
          <cell r="A14" t="str">
            <v>E107</v>
          </cell>
          <cell r="B14" t="str">
            <v>Vassoura Mecânica : - rebocável</v>
          </cell>
          <cell r="C14">
            <v>3.7631999999999999</v>
          </cell>
          <cell r="D14">
            <v>0</v>
          </cell>
        </row>
        <row r="15">
          <cell r="A15" t="str">
            <v>E108</v>
          </cell>
          <cell r="B15" t="str">
            <v>Distruidor de Agregados : - rebocável</v>
          </cell>
          <cell r="C15">
            <v>3.1970999999999998</v>
          </cell>
          <cell r="D15">
            <v>0</v>
          </cell>
        </row>
        <row r="16">
          <cell r="A16" t="str">
            <v>E110</v>
          </cell>
          <cell r="B16" t="str">
            <v>Tanque de Estocagem de Asfalto : - 20.000 1</v>
          </cell>
          <cell r="C16">
            <v>3.15</v>
          </cell>
          <cell r="D16">
            <v>0</v>
          </cell>
        </row>
        <row r="17">
          <cell r="A17" t="str">
            <v>E111</v>
          </cell>
          <cell r="B17" t="str">
            <v>Equip. Distribuição de Asfalto : - montado em caminhão (150 KW)</v>
          </cell>
          <cell r="C17">
            <v>90.014600000000002</v>
          </cell>
          <cell r="D17">
            <v>9.9193999999999996</v>
          </cell>
        </row>
        <row r="18">
          <cell r="A18" t="str">
            <v>E112</v>
          </cell>
          <cell r="B18" t="str">
            <v>Aquecedor de Fluido Térmico : TH III - (8 kW)</v>
          </cell>
          <cell r="C18">
            <v>14.9025</v>
          </cell>
          <cell r="D18">
            <v>0</v>
          </cell>
        </row>
        <row r="19">
          <cell r="A19" t="str">
            <v>E302</v>
          </cell>
          <cell r="B19" t="str">
            <v>Betoneira: - 320 1 (elétrica) (4 kW)</v>
          </cell>
          <cell r="C19">
            <v>8.6752000000000002</v>
          </cell>
          <cell r="D19">
            <v>8.3695000000000004</v>
          </cell>
        </row>
        <row r="20">
          <cell r="A20" t="str">
            <v>E304</v>
          </cell>
          <cell r="B20" t="str">
            <v>Transporte Manual : - carrinho de mão 80 1</v>
          </cell>
          <cell r="C20">
            <v>0.1421</v>
          </cell>
          <cell r="D20">
            <v>0</v>
          </cell>
        </row>
        <row r="21">
          <cell r="A21" t="str">
            <v>E306</v>
          </cell>
          <cell r="B21" t="str">
            <v>Vibrador de Concreto : VIP45/MT2 - de imersão (2 kW)</v>
          </cell>
          <cell r="C21">
            <v>7.8125</v>
          </cell>
          <cell r="D21">
            <v>7.4396000000000004</v>
          </cell>
        </row>
        <row r="22">
          <cell r="A22" t="str">
            <v>E311</v>
          </cell>
          <cell r="B22" t="str">
            <v>Fábric. Pré-Moldado Concreto : - tubos D=0,8m M / F (2 kW)</v>
          </cell>
          <cell r="C22">
            <v>5.0774999999999997</v>
          </cell>
          <cell r="D22">
            <v>0</v>
          </cell>
        </row>
        <row r="23">
          <cell r="A23" t="str">
            <v>E312</v>
          </cell>
          <cell r="B23" t="str">
            <v>Fábric. Pré-Moldado Concreto : - tubos D=1,00m M / F (2 kW)</v>
          </cell>
          <cell r="C23">
            <v>5.4814999999999996</v>
          </cell>
          <cell r="D23">
            <v>0</v>
          </cell>
        </row>
        <row r="24">
          <cell r="A24" t="str">
            <v>E402</v>
          </cell>
          <cell r="B24" t="str">
            <v>Caminhão Carroceria : - de madeira 15 t (170kW)</v>
          </cell>
          <cell r="C24">
            <v>88.628699999999995</v>
          </cell>
          <cell r="D24">
            <v>9.9193999999999996</v>
          </cell>
        </row>
        <row r="25">
          <cell r="A25" t="str">
            <v>E403</v>
          </cell>
          <cell r="B25" t="str">
            <v>Caminhão Carroceria : - de madeira 15 t (170 kW)</v>
          </cell>
          <cell r="C25">
            <v>88.628699999999995</v>
          </cell>
          <cell r="D25">
            <v>9.9193999999999996</v>
          </cell>
        </row>
        <row r="26">
          <cell r="A26" t="str">
            <v>E404</v>
          </cell>
          <cell r="B26" t="str">
            <v>Caminhão Basculante 2423 K - 10 m³ - 15 t (170 kW)</v>
          </cell>
          <cell r="C26">
            <v>92.033699999999996</v>
          </cell>
          <cell r="D26">
            <v>9.9193999999999996</v>
          </cell>
        </row>
        <row r="27">
          <cell r="A27" t="str">
            <v>E406</v>
          </cell>
          <cell r="B27" t="str">
            <v>Caminhão Tanque : L162/51 - 6.000 1 (150 kW)</v>
          </cell>
          <cell r="C27">
            <v>78.231999999999999</v>
          </cell>
          <cell r="D27">
            <v>9.9193999999999996</v>
          </cell>
        </row>
        <row r="28">
          <cell r="A28" t="str">
            <v>E407</v>
          </cell>
          <cell r="B28" t="str">
            <v>Caminhão Tanque : 2423 K - 10.000 1 (170 kW)</v>
          </cell>
          <cell r="C28">
            <v>89.6374</v>
          </cell>
          <cell r="D28">
            <v>9.9193999999999996</v>
          </cell>
        </row>
        <row r="29">
          <cell r="A29" t="str">
            <v>E408</v>
          </cell>
          <cell r="B29" t="str">
            <v>Caminhão carroceria : 710 / 37 - fixa 4 t (80 kW)</v>
          </cell>
          <cell r="C29">
            <v>45.011400000000002</v>
          </cell>
          <cell r="D29">
            <v>9.9193999999999996</v>
          </cell>
        </row>
        <row r="30">
          <cell r="A30" t="str">
            <v>E409</v>
          </cell>
          <cell r="B30" t="str">
            <v>Caminhão Carroceria : L1620/51 - fixa 9 t (150 kW)</v>
          </cell>
          <cell r="C30">
            <v>77.797700000000006</v>
          </cell>
          <cell r="D30">
            <v>9.9193999999999996</v>
          </cell>
        </row>
        <row r="31">
          <cell r="A31" t="str">
            <v>E416</v>
          </cell>
          <cell r="B31" t="str">
            <v>Veiculo Leve : - pick up (4 x 4) (97 kW)</v>
          </cell>
          <cell r="C31">
            <v>56.171999999999997</v>
          </cell>
          <cell r="D31">
            <v>8.9894999999999996</v>
          </cell>
        </row>
        <row r="32">
          <cell r="A32" t="str">
            <v>E432</v>
          </cell>
          <cell r="B32" t="str">
            <v>Caminhão Basculante: FM 12 6x4 - 20 t (279 kW)</v>
          </cell>
          <cell r="C32">
            <v>150.5478</v>
          </cell>
          <cell r="D32">
            <v>9.9193999999999996</v>
          </cell>
        </row>
        <row r="33">
          <cell r="A33" t="str">
            <v>E434</v>
          </cell>
          <cell r="B33" t="str">
            <v>Caminhão Carroceria : L 1620/51 - c/guindaste 6 t x m (150 kW)</v>
          </cell>
          <cell r="C33">
            <v>85.024199999999993</v>
          </cell>
          <cell r="D33">
            <v>9.9193999999999996</v>
          </cell>
        </row>
        <row r="34">
          <cell r="A34" t="str">
            <v>E508</v>
          </cell>
          <cell r="B34" t="str">
            <v>Grupo Gerador : GEHY-3 - 2,5 / 3,0 KVA (3kW)</v>
          </cell>
          <cell r="C34">
            <v>10.6907</v>
          </cell>
          <cell r="D34">
            <v>8.3695000000000004</v>
          </cell>
        </row>
        <row r="35">
          <cell r="A35" t="str">
            <v>E509</v>
          </cell>
          <cell r="B35" t="str">
            <v>Grupo Gerador : - GEHY - 18 - 16,8 / 18,5 KVA (15 kW)</v>
          </cell>
          <cell r="C35">
            <v>16.018699999999999</v>
          </cell>
          <cell r="D35">
            <v>8.3695000000000004</v>
          </cell>
        </row>
        <row r="36">
          <cell r="A36" t="str">
            <v>E904</v>
          </cell>
          <cell r="B36" t="str">
            <v>Máquina de Bancada : - serra circular de 12"</v>
          </cell>
          <cell r="C36">
            <v>0.15859999999999999</v>
          </cell>
          <cell r="D36">
            <v>0</v>
          </cell>
        </row>
        <row r="37">
          <cell r="A37" t="str">
            <v>E906</v>
          </cell>
          <cell r="B37" t="str">
            <v>Compactador Manual : ES 600 - soquete vibratório (2 kW)</v>
          </cell>
          <cell r="C37">
            <v>13.7362</v>
          </cell>
          <cell r="D37">
            <v>7.4396000000000004</v>
          </cell>
        </row>
        <row r="38">
          <cell r="A38" t="str">
            <v>E908</v>
          </cell>
          <cell r="B38" t="str">
            <v>Máquina para Pintura : - demarcação de faixas autoprop.(44 kW)</v>
          </cell>
          <cell r="C38">
            <v>52.059310000000004</v>
          </cell>
          <cell r="D38">
            <v>11.4693</v>
          </cell>
        </row>
        <row r="39">
          <cell r="A39" t="str">
            <v>E909</v>
          </cell>
          <cell r="B39" t="str">
            <v>Equip. para Hidrossemeadura : - 5.500 1 (125 kW)</v>
          </cell>
          <cell r="C39">
            <v>99.427700000000002</v>
          </cell>
          <cell r="D39">
            <v>9.9193999999999996</v>
          </cell>
        </row>
        <row r="40">
          <cell r="A40" t="str">
            <v>E920</v>
          </cell>
          <cell r="B40" t="str">
            <v>Máquina para Pintura : - de faixa a quente p/ mat. Termop. (22 kW)</v>
          </cell>
          <cell r="C40">
            <v>48.274099999999997</v>
          </cell>
          <cell r="D40">
            <v>11.4693</v>
          </cell>
        </row>
        <row r="41">
          <cell r="A41" t="str">
            <v>E921</v>
          </cell>
          <cell r="B41" t="str">
            <v>Fusor : - 600 1 (10kW)</v>
          </cell>
          <cell r="C41">
            <v>19.627500000000001</v>
          </cell>
          <cell r="D41">
            <v>0</v>
          </cell>
        </row>
        <row r="42">
          <cell r="A42" t="str">
            <v>E922</v>
          </cell>
          <cell r="B42" t="str">
            <v>Martelete : - perfurador/rompedor elétrico 11316 (1 KW)</v>
          </cell>
          <cell r="C42">
            <v>7.9108999999999998</v>
          </cell>
          <cell r="D42">
            <v>7.4396000000000004</v>
          </cell>
        </row>
      </sheetData>
      <sheetData sheetId="72" refreshError="1">
        <row r="2">
          <cell r="A2" t="str">
            <v>T314</v>
          </cell>
          <cell r="B2" t="str">
            <v>Operador de equp. Especial</v>
          </cell>
          <cell r="C2">
            <v>11.4693</v>
          </cell>
        </row>
        <row r="3">
          <cell r="A3" t="str">
            <v>T401</v>
          </cell>
          <cell r="B3" t="str">
            <v>Pré-marcador</v>
          </cell>
          <cell r="C3">
            <v>11.4693</v>
          </cell>
        </row>
        <row r="4">
          <cell r="A4" t="str">
            <v>T501</v>
          </cell>
          <cell r="B4" t="str">
            <v>Encarregado de turma</v>
          </cell>
          <cell r="C4">
            <v>10.2294</v>
          </cell>
        </row>
        <row r="5">
          <cell r="A5" t="str">
            <v>T511</v>
          </cell>
          <cell r="B5" t="str">
            <v>Encarregado De Pavimentação</v>
          </cell>
          <cell r="C5">
            <v>21.698699999999999</v>
          </cell>
        </row>
        <row r="7">
          <cell r="A7" t="str">
            <v>T602</v>
          </cell>
          <cell r="B7" t="str">
            <v>Montador</v>
          </cell>
          <cell r="C7">
            <v>7.4394999999999998</v>
          </cell>
        </row>
        <row r="8">
          <cell r="A8" t="str">
            <v>T603</v>
          </cell>
          <cell r="B8" t="str">
            <v>Carpinteiro</v>
          </cell>
          <cell r="C8">
            <v>7.4394999999999998</v>
          </cell>
        </row>
        <row r="9">
          <cell r="A9" t="str">
            <v>T604</v>
          </cell>
          <cell r="B9" t="str">
            <v>Pedreiro</v>
          </cell>
          <cell r="C9">
            <v>7.4394999999999998</v>
          </cell>
        </row>
        <row r="10">
          <cell r="A10" t="str">
            <v>T701</v>
          </cell>
          <cell r="B10" t="str">
            <v>Servente</v>
          </cell>
          <cell r="C10">
            <v>5.2697000000000003</v>
          </cell>
        </row>
      </sheetData>
      <sheetData sheetId="73"/>
      <sheetData sheetId="74"/>
      <sheetData sheetId="75" refreshError="1"/>
      <sheetData sheetId="76" refreshError="1"/>
      <sheetData sheetId="77" refreshError="1"/>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Transporte"/>
      <sheetName val="Plan2"/>
      <sheetName val="Teor"/>
      <sheetName val="Equipamentos"/>
      <sheetName val="Especif"/>
      <sheetName val="dez00"/>
      <sheetName val="COMPOS1"/>
      <sheetName val="DIPRVS12"/>
      <sheetName val="RESUMO_AUT1"/>
      <sheetName val="RESUMO_DVOP"/>
      <sheetName val="C"/>
      <sheetName val="PROJETO"/>
      <sheetName val="INVENTÁRIO262"/>
      <sheetName val="TLCB5"/>
      <sheetName val="aux"/>
      <sheetName val="Mat Asf"/>
      <sheetName val="DADOS"/>
      <sheetName val="mat"/>
      <sheetName val="lista_comp"/>
      <sheetName val="CANT_OBRAS"/>
      <sheetName val="AQU TERRENO-"/>
      <sheetName val="ESTA ELEVATÓRIA_"/>
      <sheetName val="EMISSÁRIO_"/>
      <sheetName val="ligação predial"/>
      <sheetName val="REDE COLETORA"/>
      <sheetName val="QuQuant"/>
      <sheetName val="8ª MP_BR-459"/>
    </sheetNames>
    <sheetDataSet>
      <sheetData sheetId="0">
        <row r="3">
          <cell r="B3" t="str">
            <v>Atividades Auxiliares ou Básica</v>
          </cell>
          <cell r="F3" t="str">
            <v>Und Com</v>
          </cell>
          <cell r="G3" t="str">
            <v>Und</v>
          </cell>
          <cell r="H3" t="str">
            <v>Und Com</v>
          </cell>
          <cell r="I3" t="str">
            <v>Und</v>
          </cell>
          <cell r="J3" t="str">
            <v>Und Com</v>
          </cell>
          <cell r="K3" t="str">
            <v>Und</v>
          </cell>
          <cell r="L3" t="str">
            <v>Und Com</v>
          </cell>
          <cell r="M3" t="str">
            <v>Und</v>
          </cell>
          <cell r="N3" t="str">
            <v>Und Com</v>
          </cell>
          <cell r="O3" t="str">
            <v>Und</v>
          </cell>
          <cell r="P3" t="str">
            <v>Und Com</v>
          </cell>
          <cell r="Q3" t="str">
            <v>Und</v>
          </cell>
          <cell r="R3" t="str">
            <v>Und Com</v>
          </cell>
          <cell r="S3" t="str">
            <v>Und</v>
          </cell>
          <cell r="T3" t="str">
            <v>Und Com</v>
          </cell>
          <cell r="U3" t="str">
            <v>Und</v>
          </cell>
          <cell r="V3" t="str">
            <v>Und Com</v>
          </cell>
          <cell r="W3" t="str">
            <v>Und</v>
          </cell>
          <cell r="X3" t="str">
            <v>Und Com</v>
          </cell>
          <cell r="Y3" t="str">
            <v>Und</v>
          </cell>
          <cell r="Z3" t="str">
            <v>Und Com</v>
          </cell>
          <cell r="AA3" t="str">
            <v>Und</v>
          </cell>
          <cell r="AB3" t="str">
            <v>Und Com</v>
          </cell>
          <cell r="AC3" t="str">
            <v>Und</v>
          </cell>
          <cell r="AD3" t="str">
            <v>Und Com</v>
          </cell>
          <cell r="AE3" t="str">
            <v>Und</v>
          </cell>
          <cell r="AF3" t="str">
            <v>Und Com</v>
          </cell>
        </row>
        <row r="4">
          <cell r="A4" t="str">
            <v>1 A 00 001 00</v>
          </cell>
          <cell r="B4" t="str">
            <v>Transporte local c/ basc. 5m3 rodov. não pav.</v>
          </cell>
          <cell r="E4" t="str">
            <v>tkm</v>
          </cell>
          <cell r="G4">
            <v>0.37</v>
          </cell>
          <cell r="M4">
            <v>0.4</v>
          </cell>
          <cell r="O4" t="str">
            <v>excluído</v>
          </cell>
          <cell r="Q4" t="str">
            <v>excluído</v>
          </cell>
          <cell r="S4" t="str">
            <v>excluído</v>
          </cell>
        </row>
        <row r="5">
          <cell r="A5" t="str">
            <v>1 A 00 001 05</v>
          </cell>
          <cell r="B5" t="str">
            <v>Transp. local c/ basc. 10m3 rodov. não pav (const)</v>
          </cell>
          <cell r="E5" t="str">
            <v>tkm</v>
          </cell>
          <cell r="G5">
            <v>0.31</v>
          </cell>
          <cell r="M5">
            <v>0.35</v>
          </cell>
          <cell r="O5">
            <v>0.35</v>
          </cell>
          <cell r="Q5">
            <v>0.34</v>
          </cell>
          <cell r="S5">
            <v>0.34</v>
          </cell>
        </row>
        <row r="6">
          <cell r="A6" t="str">
            <v>1 A 00 001 06</v>
          </cell>
          <cell r="B6" t="str">
            <v>Transp. local c/ basc. 10m3 rodov. não pav (consv)</v>
          </cell>
          <cell r="E6" t="str">
            <v>tkm</v>
          </cell>
          <cell r="G6">
            <v>0.38</v>
          </cell>
          <cell r="M6">
            <v>0.42</v>
          </cell>
          <cell r="O6">
            <v>0.42</v>
          </cell>
          <cell r="Q6">
            <v>0.41</v>
          </cell>
          <cell r="S6">
            <v>0.41</v>
          </cell>
        </row>
        <row r="7">
          <cell r="A7" t="str">
            <v>1 A 00 001 07</v>
          </cell>
          <cell r="B7" t="str">
            <v>Transp. local c/ basc. 10m3 rodov. não pav (restr)</v>
          </cell>
          <cell r="E7" t="str">
            <v>tkm</v>
          </cell>
          <cell r="G7">
            <v>0.37</v>
          </cell>
          <cell r="M7">
            <v>0.4</v>
          </cell>
          <cell r="O7">
            <v>0.41</v>
          </cell>
          <cell r="Q7">
            <v>0.4</v>
          </cell>
          <cell r="S7">
            <v>0.4</v>
          </cell>
        </row>
        <row r="8">
          <cell r="A8" t="str">
            <v>1 A 00 001 08</v>
          </cell>
          <cell r="B8" t="str">
            <v>Transporte local c/ basc. p/ rocha rodov. não pav.</v>
          </cell>
          <cell r="E8" t="str">
            <v>tkm</v>
          </cell>
          <cell r="G8">
            <v>0.43</v>
          </cell>
          <cell r="M8">
            <v>0.49</v>
          </cell>
          <cell r="O8">
            <v>0.49</v>
          </cell>
          <cell r="Q8">
            <v>0.48</v>
          </cell>
          <cell r="S8">
            <v>0.48</v>
          </cell>
        </row>
        <row r="9">
          <cell r="A9" t="str">
            <v>1 A 00 001 40</v>
          </cell>
          <cell r="B9" t="str">
            <v>Transp. local c/ carroceria 15 t rodov. não pav.</v>
          </cell>
          <cell r="E9" t="str">
            <v>tkm</v>
          </cell>
          <cell r="G9">
            <v>0.4</v>
          </cell>
          <cell r="M9">
            <v>0.44</v>
          </cell>
          <cell r="O9">
            <v>0.45</v>
          </cell>
          <cell r="Q9">
            <v>0.44</v>
          </cell>
          <cell r="S9">
            <v>0.44</v>
          </cell>
        </row>
        <row r="10">
          <cell r="A10" t="str">
            <v>1 A 00 001 41</v>
          </cell>
          <cell r="B10" t="str">
            <v>Transporte local c/ carroceria 4t rodov. não pav.</v>
          </cell>
          <cell r="E10" t="str">
            <v>tkm</v>
          </cell>
          <cell r="G10">
            <v>0.51</v>
          </cell>
          <cell r="M10">
            <v>0.57999999999999996</v>
          </cell>
          <cell r="O10">
            <v>0.57999999999999996</v>
          </cell>
          <cell r="Q10">
            <v>0.56999999999999995</v>
          </cell>
          <cell r="S10">
            <v>0.56999999999999995</v>
          </cell>
        </row>
        <row r="11">
          <cell r="A11" t="str">
            <v>1 A 00 001 50</v>
          </cell>
          <cell r="B11" t="str">
            <v>Transporte local c/ betoneira rodov. não pav.</v>
          </cell>
          <cell r="E11" t="str">
            <v>tkm</v>
          </cell>
          <cell r="G11">
            <v>0.46</v>
          </cell>
          <cell r="M11">
            <v>0.54</v>
          </cell>
          <cell r="O11">
            <v>0.54</v>
          </cell>
          <cell r="Q11">
            <v>0.52</v>
          </cell>
          <cell r="S11">
            <v>0.52</v>
          </cell>
        </row>
        <row r="12">
          <cell r="A12" t="str">
            <v>1 A 00 001 60</v>
          </cell>
          <cell r="B12" t="str">
            <v>Transp. local c/ carroc. c/ guind. rodov. não pav.</v>
          </cell>
          <cell r="E12" t="str">
            <v>tkm</v>
          </cell>
          <cell r="G12">
            <v>0.55000000000000004</v>
          </cell>
          <cell r="M12">
            <v>0.61</v>
          </cell>
          <cell r="O12">
            <v>0.61</v>
          </cell>
          <cell r="Q12">
            <v>0.59</v>
          </cell>
          <cell r="S12">
            <v>0.59</v>
          </cell>
        </row>
        <row r="13">
          <cell r="A13" t="str">
            <v>1 A 00 001 90</v>
          </cell>
          <cell r="B13" t="str">
            <v>Transporte comercial c/ carroc. rodov. não pav.</v>
          </cell>
          <cell r="E13" t="str">
            <v>tkm</v>
          </cell>
          <cell r="G13">
            <v>0.24</v>
          </cell>
          <cell r="M13">
            <v>0.27</v>
          </cell>
          <cell r="O13">
            <v>0.27</v>
          </cell>
          <cell r="Q13">
            <v>0.26</v>
          </cell>
          <cell r="S13">
            <v>0.26</v>
          </cell>
        </row>
        <row r="14">
          <cell r="A14" t="str">
            <v>1 A 00 002 00</v>
          </cell>
          <cell r="B14" t="str">
            <v>Transporte local c/ basc. 5m3 rodov. pav.</v>
          </cell>
          <cell r="E14" t="str">
            <v>tkm</v>
          </cell>
          <cell r="G14">
            <v>0.28999999999999998</v>
          </cell>
          <cell r="M14">
            <v>0.32</v>
          </cell>
          <cell r="O14">
            <v>0.32</v>
          </cell>
          <cell r="Q14">
            <v>0.31</v>
          </cell>
          <cell r="S14">
            <v>0.31</v>
          </cell>
        </row>
        <row r="15">
          <cell r="A15" t="str">
            <v>1 A 00 002 03</v>
          </cell>
          <cell r="B15" t="str">
            <v>Transp. local material para remendos</v>
          </cell>
          <cell r="E15" t="str">
            <v>tkm</v>
          </cell>
          <cell r="G15">
            <v>0.56999999999999995</v>
          </cell>
          <cell r="M15">
            <v>0.66</v>
          </cell>
          <cell r="O15">
            <v>0.66</v>
          </cell>
          <cell r="Q15">
            <v>0.64</v>
          </cell>
          <cell r="S15">
            <v>0.64</v>
          </cell>
        </row>
        <row r="16">
          <cell r="A16" t="str">
            <v>1 A 00 002 05</v>
          </cell>
          <cell r="B16" t="str">
            <v>Transp. local c/ basc. 10m3 rodov. pav. (const)</v>
          </cell>
          <cell r="E16" t="str">
            <v>tkm</v>
          </cell>
          <cell r="G16">
            <v>0.24</v>
          </cell>
          <cell r="M16">
            <v>0.27</v>
          </cell>
          <cell r="O16">
            <v>0.27</v>
          </cell>
          <cell r="Q16">
            <v>0.26</v>
          </cell>
          <cell r="S16">
            <v>0.26</v>
          </cell>
        </row>
        <row r="17">
          <cell r="A17" t="str">
            <v>1 A 00 002 06</v>
          </cell>
          <cell r="B17" t="str">
            <v>Transp. local c/ basc. 10m3 rodov. pav. (consv)</v>
          </cell>
          <cell r="E17" t="str">
            <v>tkm</v>
          </cell>
          <cell r="G17">
            <v>0.28000000000000003</v>
          </cell>
          <cell r="M17">
            <v>0.31</v>
          </cell>
          <cell r="O17">
            <v>0.32</v>
          </cell>
          <cell r="Q17">
            <v>0.31</v>
          </cell>
          <cell r="S17">
            <v>0.31</v>
          </cell>
        </row>
        <row r="18">
          <cell r="A18" t="str">
            <v>1 A 00 002 07</v>
          </cell>
          <cell r="B18" t="str">
            <v>Transp. local c/ basc. 10m3 rodov. pav. (restr)</v>
          </cell>
          <cell r="E18" t="str">
            <v>tkm</v>
          </cell>
          <cell r="G18">
            <v>0.27</v>
          </cell>
          <cell r="M18">
            <v>0.3</v>
          </cell>
          <cell r="O18">
            <v>0.31</v>
          </cell>
          <cell r="Q18">
            <v>0.3</v>
          </cell>
          <cell r="S18">
            <v>0.3</v>
          </cell>
        </row>
        <row r="19">
          <cell r="A19" t="str">
            <v>1 A 00 002 08</v>
          </cell>
          <cell r="B19" t="str">
            <v>Transporte local c/ basc. p/ rocha rodov. pav.</v>
          </cell>
          <cell r="E19" t="str">
            <v>tkm</v>
          </cell>
          <cell r="G19">
            <v>0.32</v>
          </cell>
          <cell r="M19">
            <v>0.36</v>
          </cell>
          <cell r="O19">
            <v>0.37</v>
          </cell>
          <cell r="Q19">
            <v>0.36</v>
          </cell>
          <cell r="S19">
            <v>0.36</v>
          </cell>
        </row>
        <row r="20">
          <cell r="A20" t="str">
            <v>1 A 00 002 40</v>
          </cell>
          <cell r="B20" t="str">
            <v>Transporte local c/ carroceria 15 t rodov. pav.</v>
          </cell>
          <cell r="E20" t="str">
            <v>tkm</v>
          </cell>
          <cell r="G20">
            <v>0.3</v>
          </cell>
          <cell r="M20">
            <v>0.33</v>
          </cell>
          <cell r="O20">
            <v>0.34</v>
          </cell>
          <cell r="Q20">
            <v>0.33</v>
          </cell>
          <cell r="S20">
            <v>0.33</v>
          </cell>
        </row>
        <row r="21">
          <cell r="A21" t="str">
            <v>1 A 00 002 41</v>
          </cell>
          <cell r="B21" t="str">
            <v>Transporte local c/ carroceria 4t rodov. pav.</v>
          </cell>
          <cell r="E21" t="str">
            <v>tkm</v>
          </cell>
          <cell r="G21">
            <v>0.4</v>
          </cell>
          <cell r="M21">
            <v>0.45</v>
          </cell>
          <cell r="O21">
            <v>0.45</v>
          </cell>
          <cell r="Q21">
            <v>0.44</v>
          </cell>
          <cell r="S21">
            <v>0.44</v>
          </cell>
        </row>
        <row r="22">
          <cell r="A22" t="str">
            <v>1 A 00 002 50</v>
          </cell>
          <cell r="B22" t="str">
            <v>Transporte local c/ betoneira rodov. pav.</v>
          </cell>
          <cell r="E22" t="str">
            <v>tkm</v>
          </cell>
          <cell r="G22">
            <v>0.34</v>
          </cell>
          <cell r="M22">
            <v>0.4</v>
          </cell>
          <cell r="O22">
            <v>0.4</v>
          </cell>
          <cell r="Q22">
            <v>0.38</v>
          </cell>
          <cell r="S22">
            <v>0.38</v>
          </cell>
        </row>
        <row r="23">
          <cell r="A23" t="str">
            <v>1 A 00 002 60</v>
          </cell>
          <cell r="B23" t="str">
            <v>Transp. local c/ carroceria c/ guind. rodov. pav.</v>
          </cell>
          <cell r="E23" t="str">
            <v>tkm</v>
          </cell>
          <cell r="G23">
            <v>0.49</v>
          </cell>
          <cell r="M23">
            <v>0.55000000000000004</v>
          </cell>
          <cell r="O23">
            <v>0.55000000000000004</v>
          </cell>
          <cell r="Q23">
            <v>0.53</v>
          </cell>
          <cell r="S23">
            <v>0.53</v>
          </cell>
        </row>
        <row r="24">
          <cell r="A24" t="str">
            <v>1 A 00 002 90</v>
          </cell>
          <cell r="B24" t="str">
            <v>Transporte comercial c/ carroceria rodov. pav.</v>
          </cell>
          <cell r="E24" t="str">
            <v>tkm</v>
          </cell>
          <cell r="G24">
            <v>0.16</v>
          </cell>
          <cell r="M24">
            <v>0.18</v>
          </cell>
          <cell r="O24">
            <v>0.18</v>
          </cell>
          <cell r="Q24">
            <v>0.17</v>
          </cell>
          <cell r="S24">
            <v>0.17</v>
          </cell>
        </row>
        <row r="25">
          <cell r="A25" t="str">
            <v>1 A 00 102 00</v>
          </cell>
          <cell r="B25" t="str">
            <v>Transporte local de material betuminoso</v>
          </cell>
          <cell r="E25" t="str">
            <v>tkm</v>
          </cell>
          <cell r="G25">
            <v>0.65</v>
          </cell>
          <cell r="M25">
            <v>0.73</v>
          </cell>
          <cell r="O25">
            <v>0.73</v>
          </cell>
          <cell r="Q25">
            <v>0.7</v>
          </cell>
          <cell r="S25">
            <v>0.7</v>
          </cell>
        </row>
        <row r="26">
          <cell r="A26" t="str">
            <v>1 A 00 112 90</v>
          </cell>
          <cell r="B26" t="str">
            <v>Transporte comercial material betuminoso a quente</v>
          </cell>
          <cell r="E26" t="str">
            <v>tkm</v>
          </cell>
          <cell r="G26">
            <v>0</v>
          </cell>
          <cell r="M26">
            <v>0</v>
          </cell>
          <cell r="O26">
            <v>0</v>
          </cell>
          <cell r="Q26">
            <v>0</v>
          </cell>
          <cell r="S26">
            <v>0</v>
          </cell>
        </row>
        <row r="27">
          <cell r="A27" t="str">
            <v>1 A 00 112 91</v>
          </cell>
          <cell r="B27" t="str">
            <v>Transporte comercial material betuminoso a frio</v>
          </cell>
          <cell r="E27" t="str">
            <v>tkm</v>
          </cell>
          <cell r="G27">
            <v>0</v>
          </cell>
          <cell r="M27">
            <v>0</v>
          </cell>
          <cell r="O27">
            <v>0</v>
          </cell>
          <cell r="Q27">
            <v>0</v>
          </cell>
          <cell r="S27">
            <v>0</v>
          </cell>
        </row>
        <row r="28">
          <cell r="A28" t="str">
            <v>1 A 00 201 70</v>
          </cell>
          <cell r="B28" t="str">
            <v>Transp. local água c/ cam. tanque rodov. não pav.</v>
          </cell>
          <cell r="E28" t="str">
            <v>tkm</v>
          </cell>
          <cell r="G28">
            <v>0.44</v>
          </cell>
          <cell r="M28">
            <v>0.49</v>
          </cell>
          <cell r="O28">
            <v>0.5</v>
          </cell>
          <cell r="Q28">
            <v>0.48</v>
          </cell>
          <cell r="S28">
            <v>0.48</v>
          </cell>
        </row>
        <row r="29">
          <cell r="A29" t="str">
            <v>1 A 00 202 70</v>
          </cell>
          <cell r="B29" t="str">
            <v>Transp. local de água c/ cam. tanque rodov. pav.</v>
          </cell>
          <cell r="E29" t="str">
            <v>tkm</v>
          </cell>
          <cell r="G29">
            <v>0.33</v>
          </cell>
          <cell r="M29">
            <v>0.37</v>
          </cell>
          <cell r="O29">
            <v>0.37</v>
          </cell>
          <cell r="Q29">
            <v>0.36</v>
          </cell>
          <cell r="S29">
            <v>0.36</v>
          </cell>
        </row>
        <row r="30">
          <cell r="A30" t="str">
            <v>1 A 00 301 00</v>
          </cell>
          <cell r="B30" t="str">
            <v>Fornecimento de Aço CA-25</v>
          </cell>
          <cell r="E30" t="str">
            <v>kg</v>
          </cell>
          <cell r="G30">
            <v>1.81</v>
          </cell>
          <cell r="M30">
            <v>2.12</v>
          </cell>
          <cell r="O30">
            <v>2.12</v>
          </cell>
          <cell r="Q30">
            <v>2.33</v>
          </cell>
          <cell r="S30">
            <v>2.33</v>
          </cell>
        </row>
        <row r="31">
          <cell r="A31" t="str">
            <v>1 A 00 302 00</v>
          </cell>
          <cell r="B31" t="str">
            <v>Fornecimento de Aço CA-50</v>
          </cell>
          <cell r="E31" t="str">
            <v>kg</v>
          </cell>
          <cell r="G31">
            <v>1.81</v>
          </cell>
          <cell r="M31">
            <v>1.95</v>
          </cell>
          <cell r="O31">
            <v>2.09</v>
          </cell>
          <cell r="Q31">
            <v>2.09</v>
          </cell>
          <cell r="S31">
            <v>2.09</v>
          </cell>
        </row>
        <row r="32">
          <cell r="A32" t="str">
            <v>1 A 00 303 00</v>
          </cell>
          <cell r="B32" t="str">
            <v>Fornecimento de Aço CA-60</v>
          </cell>
          <cell r="E32" t="str">
            <v>kg</v>
          </cell>
          <cell r="G32">
            <v>2.12</v>
          </cell>
          <cell r="M32">
            <v>2.09</v>
          </cell>
          <cell r="O32">
            <v>2.2599999999999998</v>
          </cell>
          <cell r="Q32">
            <v>2.25</v>
          </cell>
          <cell r="S32">
            <v>2.25</v>
          </cell>
        </row>
        <row r="33">
          <cell r="A33" t="str">
            <v>1 A 00 717 00</v>
          </cell>
          <cell r="B33" t="str">
            <v>Brita Comercial</v>
          </cell>
          <cell r="E33" t="str">
            <v>m3</v>
          </cell>
          <cell r="G33">
            <v>22</v>
          </cell>
          <cell r="M33">
            <v>20</v>
          </cell>
          <cell r="O33">
            <v>20</v>
          </cell>
          <cell r="Q33">
            <v>22</v>
          </cell>
          <cell r="S33">
            <v>23</v>
          </cell>
        </row>
        <row r="34">
          <cell r="A34" t="str">
            <v>1 A 00 961 00</v>
          </cell>
          <cell r="B34" t="str">
            <v>Peças de Desgaste do Britador 30m3/h</v>
          </cell>
          <cell r="E34" t="str">
            <v>cjh</v>
          </cell>
          <cell r="G34">
            <v>19.920000000000002</v>
          </cell>
          <cell r="M34">
            <v>23.36</v>
          </cell>
          <cell r="O34">
            <v>23.36</v>
          </cell>
          <cell r="Q34">
            <v>23.36</v>
          </cell>
          <cell r="S34">
            <v>23.36</v>
          </cell>
        </row>
        <row r="35">
          <cell r="A35" t="str">
            <v>1 A 00 962 00</v>
          </cell>
          <cell r="B35" t="str">
            <v>Peças de Desgaste do Britador 9 a 20m3/h</v>
          </cell>
          <cell r="E35" t="str">
            <v>cjh</v>
          </cell>
          <cell r="G35">
            <v>9.06</v>
          </cell>
          <cell r="M35">
            <v>13.31</v>
          </cell>
          <cell r="O35">
            <v>13.31</v>
          </cell>
          <cell r="Q35">
            <v>13.31</v>
          </cell>
          <cell r="S35">
            <v>13.31</v>
          </cell>
        </row>
        <row r="36">
          <cell r="A36" t="str">
            <v>1 A 00 963 00</v>
          </cell>
          <cell r="B36" t="str">
            <v>Peças de Desgaste do Britador 80m3/h</v>
          </cell>
          <cell r="E36" t="str">
            <v>cjh</v>
          </cell>
          <cell r="G36">
            <v>61.37</v>
          </cell>
          <cell r="M36">
            <v>61.37</v>
          </cell>
          <cell r="O36">
            <v>61.37</v>
          </cell>
          <cell r="Q36">
            <v>61.37</v>
          </cell>
          <cell r="S36">
            <v>61.37</v>
          </cell>
        </row>
        <row r="37">
          <cell r="A37" t="str">
            <v>1 A 00 964 00</v>
          </cell>
          <cell r="B37" t="str">
            <v>Peças de desgaste britador prod. de rachão</v>
          </cell>
          <cell r="E37" t="str">
            <v>cjh</v>
          </cell>
          <cell r="G37">
            <v>18.07</v>
          </cell>
          <cell r="M37">
            <v>18.07</v>
          </cell>
          <cell r="O37">
            <v>18.07</v>
          </cell>
          <cell r="Q37">
            <v>18.07</v>
          </cell>
          <cell r="S37">
            <v>18.07</v>
          </cell>
        </row>
        <row r="38">
          <cell r="A38" t="str">
            <v>1 A 01 100 01</v>
          </cell>
          <cell r="B38" t="str">
            <v>Limpeza camada vegetal em jazida (const e restr.)</v>
          </cell>
          <cell r="E38" t="str">
            <v>m2</v>
          </cell>
          <cell r="G38">
            <v>0.2</v>
          </cell>
          <cell r="M38">
            <v>0.2</v>
          </cell>
          <cell r="O38">
            <v>0.23</v>
          </cell>
          <cell r="Q38">
            <v>0.22</v>
          </cell>
          <cell r="S38">
            <v>0.22</v>
          </cell>
        </row>
        <row r="39">
          <cell r="A39" t="str">
            <v>1 A 01 100 02</v>
          </cell>
          <cell r="B39" t="str">
            <v>Limpeza de camada vegetal em jazida (consv)</v>
          </cell>
          <cell r="E39" t="str">
            <v>m2</v>
          </cell>
          <cell r="G39">
            <v>0.48</v>
          </cell>
          <cell r="M39">
            <v>0.48</v>
          </cell>
          <cell r="O39">
            <v>0.48</v>
          </cell>
          <cell r="Q39">
            <v>0.47</v>
          </cell>
          <cell r="S39">
            <v>0.47</v>
          </cell>
        </row>
        <row r="40">
          <cell r="A40" t="str">
            <v>1 A 01 105 01</v>
          </cell>
          <cell r="B40" t="str">
            <v>Expurgo de jazida (const e restr)</v>
          </cell>
          <cell r="E40" t="str">
            <v>m3</v>
          </cell>
          <cell r="G40">
            <v>1.06</v>
          </cell>
          <cell r="M40">
            <v>1.0900000000000001</v>
          </cell>
          <cell r="O40">
            <v>1.22</v>
          </cell>
          <cell r="Q40">
            <v>1.19</v>
          </cell>
          <cell r="S40">
            <v>1.19</v>
          </cell>
        </row>
        <row r="41">
          <cell r="A41" t="str">
            <v>1 A 01 105 02</v>
          </cell>
          <cell r="B41" t="str">
            <v>Expurgo de jazida (consv)</v>
          </cell>
          <cell r="E41" t="str">
            <v>m3</v>
          </cell>
          <cell r="G41">
            <v>2.61</v>
          </cell>
          <cell r="M41">
            <v>2.62</v>
          </cell>
          <cell r="O41">
            <v>2.62</v>
          </cell>
          <cell r="Q41">
            <v>2.57</v>
          </cell>
          <cell r="S41">
            <v>2.57</v>
          </cell>
        </row>
        <row r="42">
          <cell r="A42" t="str">
            <v>1 A 01 111 00</v>
          </cell>
          <cell r="B42" t="str">
            <v>Material de base (consv)</v>
          </cell>
          <cell r="E42" t="str">
            <v>m3</v>
          </cell>
          <cell r="G42">
            <v>0</v>
          </cell>
          <cell r="M42">
            <v>0</v>
          </cell>
          <cell r="O42">
            <v>0</v>
          </cell>
          <cell r="Q42">
            <v>0</v>
          </cell>
          <cell r="S42">
            <v>0</v>
          </cell>
        </row>
        <row r="43">
          <cell r="A43" t="str">
            <v>1 A 01 111 01</v>
          </cell>
          <cell r="B43" t="str">
            <v>Esc. e carga material de jazida (consv)</v>
          </cell>
          <cell r="E43" t="str">
            <v>m3</v>
          </cell>
          <cell r="G43">
            <v>4.9000000000000004</v>
          </cell>
          <cell r="M43">
            <v>5.07</v>
          </cell>
          <cell r="O43">
            <v>5.13</v>
          </cell>
          <cell r="Q43">
            <v>5.0599999999999996</v>
          </cell>
          <cell r="S43">
            <v>5.0599999999999996</v>
          </cell>
        </row>
        <row r="44">
          <cell r="A44" t="str">
            <v>1 A 01 120 01</v>
          </cell>
          <cell r="B44" t="str">
            <v>Escav. e carga de mater. de jazida(const e restr)</v>
          </cell>
          <cell r="E44" t="str">
            <v>m3</v>
          </cell>
          <cell r="G44">
            <v>2.5499999999999998</v>
          </cell>
          <cell r="M44">
            <v>2.65</v>
          </cell>
          <cell r="O44">
            <v>2.83</v>
          </cell>
          <cell r="Q44">
            <v>2.79</v>
          </cell>
          <cell r="S44">
            <v>2.79</v>
          </cell>
        </row>
        <row r="45">
          <cell r="A45" t="str">
            <v>1 A 01 150 01</v>
          </cell>
          <cell r="B45" t="str">
            <v>Rocha p/ britagem c/ perfur. sobre esteira</v>
          </cell>
          <cell r="E45" t="str">
            <v>m3</v>
          </cell>
          <cell r="G45">
            <v>15.26</v>
          </cell>
          <cell r="M45">
            <v>16.68</v>
          </cell>
          <cell r="O45">
            <v>17.23</v>
          </cell>
          <cell r="Q45">
            <v>16.77</v>
          </cell>
          <cell r="S45">
            <v>18.39</v>
          </cell>
        </row>
        <row r="46">
          <cell r="A46" t="str">
            <v>1 A 01 150 02</v>
          </cell>
          <cell r="B46" t="str">
            <v>Rocha p/ britagem com perfuratriz manual</v>
          </cell>
          <cell r="E46" t="str">
            <v>m3</v>
          </cell>
          <cell r="G46">
            <v>16.8</v>
          </cell>
          <cell r="M46">
            <v>18.809999999999999</v>
          </cell>
          <cell r="O46">
            <v>19.3</v>
          </cell>
          <cell r="Q46">
            <v>19.05</v>
          </cell>
          <cell r="S46">
            <v>20.67</v>
          </cell>
        </row>
        <row r="47">
          <cell r="A47" t="str">
            <v>1 A 01 155 01</v>
          </cell>
          <cell r="B47" t="str">
            <v>Rachão e pedra-de-mão produzidos-(const e rest)</v>
          </cell>
          <cell r="E47" t="str">
            <v>m3</v>
          </cell>
          <cell r="G47">
            <v>12.02</v>
          </cell>
          <cell r="M47">
            <v>13.41</v>
          </cell>
          <cell r="O47">
            <v>13.77</v>
          </cell>
          <cell r="Q47">
            <v>13.4</v>
          </cell>
          <cell r="S47">
            <v>14.32</v>
          </cell>
        </row>
        <row r="48">
          <cell r="A48" t="str">
            <v>1 A 01 170 01</v>
          </cell>
          <cell r="B48" t="str">
            <v>Areia extraída com equipamento tipo "drag-line"</v>
          </cell>
          <cell r="E48" t="str">
            <v>m3</v>
          </cell>
          <cell r="G48">
            <v>3.92</v>
          </cell>
          <cell r="M48">
            <v>4.1900000000000004</v>
          </cell>
          <cell r="O48">
            <v>4.51</v>
          </cell>
          <cell r="Q48">
            <v>4.45</v>
          </cell>
          <cell r="S48">
            <v>4.45</v>
          </cell>
        </row>
        <row r="49">
          <cell r="A49" t="str">
            <v>1 A 01 170 02</v>
          </cell>
          <cell r="B49" t="str">
            <v>Areia extraída com trator e carregadeira</v>
          </cell>
          <cell r="E49" t="str">
            <v>m3</v>
          </cell>
          <cell r="G49">
            <v>3.56</v>
          </cell>
          <cell r="M49">
            <v>3.69</v>
          </cell>
          <cell r="O49">
            <v>3.72</v>
          </cell>
          <cell r="Q49">
            <v>3.67</v>
          </cell>
          <cell r="S49">
            <v>3.67</v>
          </cell>
        </row>
        <row r="50">
          <cell r="A50" t="str">
            <v>1 A 01 170 03</v>
          </cell>
          <cell r="B50" t="str">
            <v>Areia extraída com draga de sucção (tipo bomba)</v>
          </cell>
          <cell r="E50" t="str">
            <v>m3</v>
          </cell>
          <cell r="G50">
            <v>9.58</v>
          </cell>
          <cell r="M50">
            <v>10.47</v>
          </cell>
          <cell r="O50">
            <v>10.49</v>
          </cell>
          <cell r="Q50">
            <v>10.25</v>
          </cell>
          <cell r="S50">
            <v>10.25</v>
          </cell>
        </row>
        <row r="51">
          <cell r="A51" t="str">
            <v>1 A 01 200 01</v>
          </cell>
          <cell r="B51" t="str">
            <v>Brita produzida em central de britagem de 80 m3/h</v>
          </cell>
          <cell r="E51" t="str">
            <v>m3</v>
          </cell>
          <cell r="G51">
            <v>14.1</v>
          </cell>
          <cell r="M51">
            <v>15.94</v>
          </cell>
          <cell r="O51">
            <v>16.3</v>
          </cell>
          <cell r="Q51">
            <v>15.93</v>
          </cell>
          <cell r="S51">
            <v>16.850000000000001</v>
          </cell>
        </row>
        <row r="52">
          <cell r="A52" t="str">
            <v>1 A 01 200 02</v>
          </cell>
          <cell r="B52" t="str">
            <v>Brita produzida em central de britagem de 30 m3/h</v>
          </cell>
          <cell r="E52" t="str">
            <v>m3</v>
          </cell>
          <cell r="G52">
            <v>17.8</v>
          </cell>
          <cell r="M52">
            <v>21.03</v>
          </cell>
          <cell r="O52">
            <v>21.32</v>
          </cell>
          <cell r="Q52">
            <v>21.04</v>
          </cell>
          <cell r="S52">
            <v>21.96</v>
          </cell>
        </row>
        <row r="53">
          <cell r="A53" t="str">
            <v>1 A 01 200 04</v>
          </cell>
          <cell r="B53" t="str">
            <v>Pedra de mão produzida manualmente (consv)</v>
          </cell>
          <cell r="E53" t="str">
            <v>m3</v>
          </cell>
          <cell r="G53">
            <v>20.59</v>
          </cell>
          <cell r="M53">
            <v>23.94</v>
          </cell>
          <cell r="O53">
            <v>24.22</v>
          </cell>
          <cell r="Q53">
            <v>24.08</v>
          </cell>
          <cell r="S53">
            <v>25</v>
          </cell>
        </row>
        <row r="54">
          <cell r="A54" t="str">
            <v>1 A 01 390 02</v>
          </cell>
          <cell r="B54" t="str">
            <v>Usinagem de CBUQ (capa de rolamento)</v>
          </cell>
          <cell r="E54" t="str">
            <v>t</v>
          </cell>
          <cell r="G54">
            <v>19.04</v>
          </cell>
          <cell r="M54">
            <v>20.76</v>
          </cell>
          <cell r="O54">
            <v>21.02</v>
          </cell>
          <cell r="Q54">
            <v>23.73</v>
          </cell>
          <cell r="S54">
            <v>20.8</v>
          </cell>
        </row>
        <row r="55">
          <cell r="A55" t="str">
            <v>1 A 01 390 03</v>
          </cell>
          <cell r="B55" t="str">
            <v>Usinagem de CBUQ (binder)</v>
          </cell>
          <cell r="E55" t="str">
            <v>t</v>
          </cell>
          <cell r="G55">
            <v>18.579999999999998</v>
          </cell>
          <cell r="M55">
            <v>20.350000000000001</v>
          </cell>
          <cell r="O55">
            <v>20.61</v>
          </cell>
          <cell r="Q55">
            <v>23.31</v>
          </cell>
          <cell r="S55">
            <v>20.41</v>
          </cell>
        </row>
        <row r="56">
          <cell r="A56" t="str">
            <v>1 A 01 391 02</v>
          </cell>
          <cell r="B56" t="str">
            <v>Usinagem de areia-asfalto</v>
          </cell>
          <cell r="E56" t="str">
            <v>t</v>
          </cell>
          <cell r="G56">
            <v>21.97</v>
          </cell>
          <cell r="M56">
            <v>23.45</v>
          </cell>
          <cell r="O56">
            <v>23.73</v>
          </cell>
          <cell r="Q56">
            <v>29.16</v>
          </cell>
          <cell r="S56">
            <v>22.88</v>
          </cell>
        </row>
        <row r="57">
          <cell r="A57" t="str">
            <v>1 A 01 395 01</v>
          </cell>
          <cell r="B57" t="str">
            <v>Usinagem de brita graduada</v>
          </cell>
          <cell r="E57" t="str">
            <v>m3</v>
          </cell>
          <cell r="G57">
            <v>24.25</v>
          </cell>
          <cell r="M57">
            <v>27.43</v>
          </cell>
          <cell r="O57">
            <v>28.11</v>
          </cell>
          <cell r="Q57">
            <v>27.46</v>
          </cell>
          <cell r="S57">
            <v>28.94</v>
          </cell>
        </row>
        <row r="58">
          <cell r="A58" t="str">
            <v>1 A 01 395 02</v>
          </cell>
          <cell r="B58" t="str">
            <v>Usinagem de solo-brita</v>
          </cell>
          <cell r="E58" t="str">
            <v>m3</v>
          </cell>
          <cell r="G58">
            <v>13.49</v>
          </cell>
          <cell r="M58">
            <v>15</v>
          </cell>
          <cell r="O58">
            <v>15.54</v>
          </cell>
          <cell r="Q58">
            <v>15.2</v>
          </cell>
          <cell r="S58">
            <v>15.79</v>
          </cell>
        </row>
        <row r="59">
          <cell r="A59" t="str">
            <v>1 A 01 396 01</v>
          </cell>
          <cell r="B59" t="str">
            <v>Usinagem de solo-cimento</v>
          </cell>
          <cell r="E59" t="str">
            <v>m3</v>
          </cell>
          <cell r="G59">
            <v>67.97</v>
          </cell>
          <cell r="M59">
            <v>72.2</v>
          </cell>
          <cell r="O59">
            <v>74.66</v>
          </cell>
          <cell r="Q59">
            <v>71.03</v>
          </cell>
          <cell r="S59">
            <v>75.599999999999994</v>
          </cell>
        </row>
        <row r="60">
          <cell r="A60" t="str">
            <v>1 A 01 396 02</v>
          </cell>
          <cell r="B60" t="str">
            <v>Usinagem de solo melhorado com cimento.</v>
          </cell>
          <cell r="E60" t="str">
            <v>m3</v>
          </cell>
          <cell r="G60">
            <v>36.35</v>
          </cell>
          <cell r="M60">
            <v>38.630000000000003</v>
          </cell>
          <cell r="O60">
            <v>40.020000000000003</v>
          </cell>
          <cell r="Q60">
            <v>38.15</v>
          </cell>
          <cell r="S60">
            <v>40.44</v>
          </cell>
        </row>
        <row r="61">
          <cell r="A61" t="str">
            <v>1 A 01 397 02</v>
          </cell>
          <cell r="B61" t="str">
            <v>Usinagem de P.M.F.</v>
          </cell>
          <cell r="E61" t="str">
            <v>m3</v>
          </cell>
          <cell r="G61">
            <v>24.02</v>
          </cell>
          <cell r="M61">
            <v>27.22</v>
          </cell>
          <cell r="O61">
            <v>27.83</v>
          </cell>
          <cell r="Q61">
            <v>27.22</v>
          </cell>
          <cell r="S61">
            <v>28.38</v>
          </cell>
        </row>
        <row r="62">
          <cell r="A62" t="str">
            <v>1 A 01 398 02</v>
          </cell>
          <cell r="B62" t="str">
            <v>Usinagem de CBUQ p/ reciclagem em usina fixa.</v>
          </cell>
          <cell r="E62" t="str">
            <v>t</v>
          </cell>
          <cell r="G62">
            <v>15.86</v>
          </cell>
          <cell r="M62">
            <v>17.32</v>
          </cell>
          <cell r="O62">
            <v>17.48</v>
          </cell>
          <cell r="Q62">
            <v>20.239999999999998</v>
          </cell>
          <cell r="S62">
            <v>17.21</v>
          </cell>
        </row>
        <row r="63">
          <cell r="A63" t="str">
            <v>1 A 01 401 01</v>
          </cell>
          <cell r="B63" t="str">
            <v>Fôrma comum de madeira</v>
          </cell>
          <cell r="E63" t="str">
            <v>m2</v>
          </cell>
          <cell r="G63">
            <v>20.76</v>
          </cell>
          <cell r="M63">
            <v>22.97</v>
          </cell>
          <cell r="O63">
            <v>23.01</v>
          </cell>
          <cell r="Q63">
            <v>23.17</v>
          </cell>
          <cell r="S63">
            <v>23.13</v>
          </cell>
        </row>
        <row r="64">
          <cell r="A64" t="str">
            <v>1 A 01 402 01</v>
          </cell>
          <cell r="B64" t="str">
            <v>Fôrma de placa compensada resinada</v>
          </cell>
          <cell r="E64" t="str">
            <v>m2</v>
          </cell>
          <cell r="G64">
            <v>16.52</v>
          </cell>
          <cell r="M64">
            <v>18.23</v>
          </cell>
          <cell r="O64">
            <v>18.27</v>
          </cell>
          <cell r="Q64">
            <v>18.96</v>
          </cell>
          <cell r="S64">
            <v>18.920000000000002</v>
          </cell>
        </row>
        <row r="65">
          <cell r="A65" t="str">
            <v>1 A 01 403 01</v>
          </cell>
          <cell r="B65" t="str">
            <v>Fôrma de placa compensada plastificada</v>
          </cell>
          <cell r="E65" t="str">
            <v>m2</v>
          </cell>
          <cell r="G65">
            <v>18.47</v>
          </cell>
          <cell r="M65">
            <v>20.190000000000001</v>
          </cell>
          <cell r="O65">
            <v>20.22</v>
          </cell>
          <cell r="Q65">
            <v>21.08</v>
          </cell>
          <cell r="S65">
            <v>21.05</v>
          </cell>
        </row>
        <row r="66">
          <cell r="A66" t="str">
            <v>1 A 01 404 01</v>
          </cell>
          <cell r="B66" t="str">
            <v>Fôrma para tubulão</v>
          </cell>
          <cell r="E66" t="str">
            <v>m2</v>
          </cell>
          <cell r="G66">
            <v>10.78</v>
          </cell>
          <cell r="M66">
            <v>12.33</v>
          </cell>
          <cell r="O66">
            <v>12.33</v>
          </cell>
          <cell r="Q66">
            <v>12.51</v>
          </cell>
          <cell r="S66">
            <v>12.47</v>
          </cell>
        </row>
        <row r="67">
          <cell r="A67" t="str">
            <v>1 A 01 407 01</v>
          </cell>
          <cell r="B67" t="str">
            <v>Confecção e lançam. de concreto magro em betoneira</v>
          </cell>
          <cell r="E67" t="str">
            <v>m3</v>
          </cell>
          <cell r="G67">
            <v>119.39</v>
          </cell>
          <cell r="M67">
            <v>131.79</v>
          </cell>
          <cell r="O67">
            <v>134.68</v>
          </cell>
          <cell r="Q67">
            <v>130.16999999999999</v>
          </cell>
          <cell r="S67">
            <v>135.97999999999999</v>
          </cell>
        </row>
        <row r="68">
          <cell r="A68" t="str">
            <v>1 A 01 408 01</v>
          </cell>
          <cell r="B68" t="str">
            <v>Concreto fck=8MPa contr raz uso geral conf e lanç</v>
          </cell>
          <cell r="E68" t="str">
            <v>m3</v>
          </cell>
          <cell r="G68">
            <v>143.19</v>
          </cell>
          <cell r="M68">
            <v>157.05000000000001</v>
          </cell>
          <cell r="O68">
            <v>160.74</v>
          </cell>
          <cell r="Q68">
            <v>154.88999999999999</v>
          </cell>
          <cell r="S68">
            <v>162.44</v>
          </cell>
        </row>
        <row r="69">
          <cell r="A69" t="str">
            <v>1 A 01 410 01</v>
          </cell>
          <cell r="B69" t="str">
            <v>Concreto fck=10MPa contr raz uso geral conf e lanç</v>
          </cell>
          <cell r="E69" t="str">
            <v>m3</v>
          </cell>
          <cell r="G69">
            <v>151.36000000000001</v>
          </cell>
          <cell r="M69">
            <v>165.73</v>
          </cell>
          <cell r="O69">
            <v>169.68</v>
          </cell>
          <cell r="Q69">
            <v>163.38</v>
          </cell>
          <cell r="S69">
            <v>171.52</v>
          </cell>
        </row>
        <row r="70">
          <cell r="A70" t="str">
            <v>1 A 01 412 01</v>
          </cell>
          <cell r="B70" t="str">
            <v>Concreto fck=12MPa contr raz uso geral conf e lanç</v>
          </cell>
          <cell r="E70" t="str">
            <v>m3</v>
          </cell>
          <cell r="G70">
            <v>159.88999999999999</v>
          </cell>
          <cell r="M70">
            <v>174.78</v>
          </cell>
          <cell r="O70">
            <v>179.02</v>
          </cell>
          <cell r="Q70">
            <v>172.23</v>
          </cell>
          <cell r="S70">
            <v>181.01</v>
          </cell>
        </row>
        <row r="71">
          <cell r="A71" t="str">
            <v>1 A 01 415 01</v>
          </cell>
          <cell r="B71" t="str">
            <v>Concr estr fck=15MPa contr raz uso ger conf e lanç</v>
          </cell>
          <cell r="E71" t="str">
            <v>m3</v>
          </cell>
          <cell r="G71">
            <v>169.13</v>
          </cell>
          <cell r="M71">
            <v>184.58</v>
          </cell>
          <cell r="O71">
            <v>189.13</v>
          </cell>
          <cell r="Q71">
            <v>181.82</v>
          </cell>
          <cell r="S71">
            <v>191.27</v>
          </cell>
        </row>
        <row r="72">
          <cell r="A72" t="str">
            <v>1 A 01 418 01</v>
          </cell>
          <cell r="B72" t="str">
            <v>Concr estr fck=18MPa contr raz uso ger conf e lanç</v>
          </cell>
          <cell r="E72" t="str">
            <v>m3</v>
          </cell>
          <cell r="G72">
            <v>178.01</v>
          </cell>
          <cell r="M72">
            <v>194.01</v>
          </cell>
          <cell r="O72">
            <v>198.85</v>
          </cell>
          <cell r="Q72">
            <v>191.04</v>
          </cell>
          <cell r="S72">
            <v>201.14</v>
          </cell>
        </row>
        <row r="73">
          <cell r="A73" t="str">
            <v>1 A 01 422 01</v>
          </cell>
          <cell r="B73" t="str">
            <v>Concr estr fck=22MPa contr raz uso ger conf e lanç</v>
          </cell>
          <cell r="E73" t="str">
            <v>m3</v>
          </cell>
          <cell r="G73">
            <v>194</v>
          </cell>
          <cell r="M73">
            <v>210.98</v>
          </cell>
          <cell r="O73">
            <v>216.35</v>
          </cell>
          <cell r="Q73">
            <v>207.65</v>
          </cell>
          <cell r="S73">
            <v>218.91</v>
          </cell>
        </row>
        <row r="74">
          <cell r="A74" t="str">
            <v>1 A 01 423 00</v>
          </cell>
          <cell r="B74" t="str">
            <v>Concreto fck=18MPa para pré-moldados (tubos)</v>
          </cell>
          <cell r="E74" t="str">
            <v>m3</v>
          </cell>
          <cell r="G74">
            <v>171.87</v>
          </cell>
          <cell r="M74">
            <v>187.38</v>
          </cell>
          <cell r="O74">
            <v>192.05</v>
          </cell>
          <cell r="Q74">
            <v>184.54</v>
          </cell>
          <cell r="S74">
            <v>194.27</v>
          </cell>
        </row>
        <row r="75">
          <cell r="A75" t="str">
            <v>1 A 01 424 00</v>
          </cell>
          <cell r="B75" t="str">
            <v>Concreto poroso para pré-moldados (tubos)</v>
          </cell>
          <cell r="E75" t="str">
            <v>m3</v>
          </cell>
          <cell r="G75">
            <v>174.93</v>
          </cell>
          <cell r="M75">
            <v>190.91</v>
          </cell>
          <cell r="O75">
            <v>195.59</v>
          </cell>
          <cell r="Q75">
            <v>187.98</v>
          </cell>
          <cell r="S75">
            <v>198</v>
          </cell>
        </row>
        <row r="76">
          <cell r="A76" t="str">
            <v>1 A 01 450 01</v>
          </cell>
          <cell r="B76" t="str">
            <v>Escoramento de bueiros celulares</v>
          </cell>
          <cell r="E76" t="str">
            <v>m3</v>
          </cell>
          <cell r="G76">
            <v>19.52</v>
          </cell>
          <cell r="M76">
            <v>22.81</v>
          </cell>
          <cell r="O76">
            <v>22.81</v>
          </cell>
          <cell r="Q76">
            <v>22.57</v>
          </cell>
          <cell r="S76">
            <v>22.47</v>
          </cell>
        </row>
        <row r="77">
          <cell r="A77" t="str">
            <v>1 A 01 512 10</v>
          </cell>
          <cell r="B77" t="str">
            <v>Concreto ciclópico fck=12 MPa</v>
          </cell>
          <cell r="E77" t="str">
            <v>m3</v>
          </cell>
          <cell r="G77">
            <v>120.72</v>
          </cell>
          <cell r="M77">
            <v>132.54</v>
          </cell>
          <cell r="O77">
            <v>135.63</v>
          </cell>
          <cell r="Q77">
            <v>130.75</v>
          </cell>
          <cell r="S77">
            <v>137.21</v>
          </cell>
        </row>
        <row r="78">
          <cell r="A78" t="str">
            <v>1 A 01 515 10</v>
          </cell>
          <cell r="B78" t="str">
            <v>Concreto ciclópico fck=15 MPa</v>
          </cell>
          <cell r="E78" t="str">
            <v>m3</v>
          </cell>
          <cell r="G78">
            <v>127.18</v>
          </cell>
          <cell r="M78">
            <v>139.41</v>
          </cell>
          <cell r="O78">
            <v>142.71</v>
          </cell>
          <cell r="Q78">
            <v>137.47</v>
          </cell>
          <cell r="S78">
            <v>144.4</v>
          </cell>
        </row>
        <row r="79">
          <cell r="A79" t="str">
            <v>1 A 01 580 01</v>
          </cell>
          <cell r="B79" t="str">
            <v>Fornecimento, preparo e colocação formas aço CA 60</v>
          </cell>
          <cell r="E79" t="str">
            <v>kg</v>
          </cell>
          <cell r="G79">
            <v>3.43</v>
          </cell>
          <cell r="M79">
            <v>3.62</v>
          </cell>
          <cell r="O79">
            <v>3.8</v>
          </cell>
          <cell r="Q79">
            <v>3.79</v>
          </cell>
          <cell r="S79">
            <v>3.79</v>
          </cell>
        </row>
        <row r="80">
          <cell r="A80" t="str">
            <v>1 A 01 580 02</v>
          </cell>
          <cell r="B80" t="str">
            <v>Fornecimento, preparo e colocação formas aço CA 50</v>
          </cell>
          <cell r="E80" t="str">
            <v>kg</v>
          </cell>
          <cell r="G80">
            <v>3.09</v>
          </cell>
          <cell r="M80">
            <v>3.46</v>
          </cell>
          <cell r="O80">
            <v>3.62</v>
          </cell>
          <cell r="Q80">
            <v>3.62</v>
          </cell>
          <cell r="S80">
            <v>3.62</v>
          </cell>
        </row>
        <row r="81">
          <cell r="A81" t="str">
            <v>1 A 01 580 03</v>
          </cell>
          <cell r="B81" t="str">
            <v>Fornecimento, preparo e colocação formas aço CA 25</v>
          </cell>
          <cell r="E81" t="str">
            <v>kg</v>
          </cell>
          <cell r="G81">
            <v>3.09</v>
          </cell>
          <cell r="M81">
            <v>3.65</v>
          </cell>
          <cell r="O81">
            <v>3.65</v>
          </cell>
          <cell r="Q81">
            <v>3.88</v>
          </cell>
          <cell r="S81">
            <v>3.88</v>
          </cell>
        </row>
        <row r="82">
          <cell r="A82" t="str">
            <v>1 A 01 603 01</v>
          </cell>
          <cell r="B82" t="str">
            <v>Argamassa cimento-areia 1:3</v>
          </cell>
          <cell r="E82" t="str">
            <v>m3</v>
          </cell>
          <cell r="G82">
            <v>195.66</v>
          </cell>
          <cell r="M82">
            <v>211.5</v>
          </cell>
          <cell r="O82">
            <v>217.24</v>
          </cell>
          <cell r="Q82">
            <v>207.98</v>
          </cell>
          <cell r="S82">
            <v>219.61</v>
          </cell>
        </row>
        <row r="83">
          <cell r="A83" t="str">
            <v>1 A 01 604 01</v>
          </cell>
          <cell r="B83" t="str">
            <v>Argamassa cimento-areia 1:4</v>
          </cell>
          <cell r="E83" t="str">
            <v>m3</v>
          </cell>
          <cell r="G83">
            <v>160.26</v>
          </cell>
          <cell r="M83">
            <v>173.92</v>
          </cell>
          <cell r="O83">
            <v>178.49</v>
          </cell>
          <cell r="Q83">
            <v>171.23</v>
          </cell>
          <cell r="S83">
            <v>180.25</v>
          </cell>
        </row>
        <row r="84">
          <cell r="A84" t="str">
            <v>1 A 01 606 01</v>
          </cell>
          <cell r="B84" t="str">
            <v>Argamassa cimento-areia 1:6</v>
          </cell>
          <cell r="E84" t="str">
            <v>m3</v>
          </cell>
          <cell r="G84">
            <v>133.6</v>
          </cell>
          <cell r="M84">
            <v>145.63</v>
          </cell>
          <cell r="O84">
            <v>149.31</v>
          </cell>
          <cell r="Q84">
            <v>143.55000000000001</v>
          </cell>
          <cell r="S84">
            <v>150.63</v>
          </cell>
        </row>
        <row r="85">
          <cell r="A85" t="str">
            <v>1 A 01 620 01</v>
          </cell>
          <cell r="B85" t="str">
            <v>Argamassa cimento-solo 1:10</v>
          </cell>
          <cell r="E85" t="str">
            <v>m3</v>
          </cell>
          <cell r="G85">
            <v>82.23</v>
          </cell>
          <cell r="M85">
            <v>90.97</v>
          </cell>
          <cell r="O85">
            <v>92.93</v>
          </cell>
          <cell r="Q85">
            <v>89.93</v>
          </cell>
          <cell r="S85">
            <v>93.53</v>
          </cell>
        </row>
        <row r="86">
          <cell r="A86" t="str">
            <v>1 A 01 653 00</v>
          </cell>
          <cell r="B86" t="str">
            <v>Usinagem para sub-base de concreto rolado</v>
          </cell>
          <cell r="E86" t="str">
            <v>m3</v>
          </cell>
          <cell r="G86">
            <v>52.54</v>
          </cell>
          <cell r="M86">
            <v>77.67</v>
          </cell>
          <cell r="O86">
            <v>78.349999999999994</v>
          </cell>
          <cell r="Q86">
            <v>77.7</v>
          </cell>
          <cell r="S86">
            <v>61.18</v>
          </cell>
        </row>
        <row r="87">
          <cell r="A87" t="str">
            <v>1 A 01 654 00</v>
          </cell>
          <cell r="B87" t="str">
            <v>Usinagem p/ sub-base de concr. de cimento portland</v>
          </cell>
          <cell r="E87" t="str">
            <v>m3</v>
          </cell>
          <cell r="G87">
            <v>71.38</v>
          </cell>
          <cell r="M87">
            <v>79.010000000000005</v>
          </cell>
          <cell r="O87">
            <v>80.790000000000006</v>
          </cell>
          <cell r="Q87">
            <v>78.150000000000006</v>
          </cell>
          <cell r="S87">
            <v>82.22</v>
          </cell>
        </row>
        <row r="88">
          <cell r="A88" t="str">
            <v>1 A 01 656 00</v>
          </cell>
          <cell r="B88" t="str">
            <v>Usinagem p/ conc. de cim. portland c/ forma desliz</v>
          </cell>
          <cell r="E88" t="str">
            <v>m3</v>
          </cell>
          <cell r="G88">
            <v>117.34</v>
          </cell>
          <cell r="M88">
            <v>197.42</v>
          </cell>
          <cell r="O88">
            <v>198.02</v>
          </cell>
          <cell r="Q88">
            <v>197.64</v>
          </cell>
          <cell r="S88">
            <v>135.16999999999999</v>
          </cell>
        </row>
        <row r="89">
          <cell r="A89" t="str">
            <v>1 A 01 657 00</v>
          </cell>
          <cell r="B89" t="str">
            <v>Usinagem p/ conc.cim. portland c/ equip. peq. por.</v>
          </cell>
          <cell r="E89" t="str">
            <v>m3</v>
          </cell>
          <cell r="G89">
            <v>184.24</v>
          </cell>
          <cell r="M89">
            <v>199.04</v>
          </cell>
          <cell r="O89">
            <v>204.65</v>
          </cell>
          <cell r="Q89">
            <v>195.7</v>
          </cell>
          <cell r="S89">
            <v>207.56</v>
          </cell>
        </row>
        <row r="90">
          <cell r="A90" t="str">
            <v>1 A 01 700 00</v>
          </cell>
          <cell r="B90" t="str">
            <v>Fabricação de peças pré mold. de conc. p/ pavim.</v>
          </cell>
          <cell r="E90" t="str">
            <v>m3</v>
          </cell>
          <cell r="G90">
            <v>178.97</v>
          </cell>
          <cell r="M90">
            <v>287.48</v>
          </cell>
          <cell r="O90">
            <v>287.92</v>
          </cell>
          <cell r="Q90">
            <v>287.33</v>
          </cell>
          <cell r="S90">
            <v>206.95</v>
          </cell>
        </row>
        <row r="91">
          <cell r="A91" t="str">
            <v>1 A 01 720 00</v>
          </cell>
          <cell r="B91" t="str">
            <v>Concreto fck=18MPa p/ pré-moldados (guarda-corpo)</v>
          </cell>
          <cell r="E91" t="str">
            <v>m3</v>
          </cell>
          <cell r="G91">
            <v>173.36</v>
          </cell>
          <cell r="M91">
            <v>189.28</v>
          </cell>
          <cell r="O91">
            <v>193.95</v>
          </cell>
          <cell r="Q91">
            <v>186.38</v>
          </cell>
          <cell r="S91">
            <v>196.11</v>
          </cell>
        </row>
        <row r="92">
          <cell r="A92" t="str">
            <v>1 A 01 720 01</v>
          </cell>
          <cell r="B92" t="str">
            <v>Guarda-corpo tipo GM, moldado no local</v>
          </cell>
          <cell r="E92" t="str">
            <v>m</v>
          </cell>
          <cell r="G92">
            <v>119.27</v>
          </cell>
          <cell r="M92">
            <v>132.01</v>
          </cell>
          <cell r="O92">
            <v>135.57</v>
          </cell>
          <cell r="Q92">
            <v>134.96</v>
          </cell>
          <cell r="S92">
            <v>137.24</v>
          </cell>
        </row>
        <row r="93">
          <cell r="A93" t="str">
            <v>1 A 01 720 02</v>
          </cell>
          <cell r="B93" t="str">
            <v>Fabricação de Guarda-corpo</v>
          </cell>
          <cell r="E93" t="str">
            <v>m</v>
          </cell>
          <cell r="G93">
            <v>20.95</v>
          </cell>
          <cell r="M93">
            <v>23.41</v>
          </cell>
          <cell r="O93">
            <v>24.2</v>
          </cell>
          <cell r="Q93">
            <v>23.89</v>
          </cell>
          <cell r="S93">
            <v>24.29</v>
          </cell>
        </row>
        <row r="94">
          <cell r="A94" t="str">
            <v>1 A 01 725 01</v>
          </cell>
          <cell r="B94" t="str">
            <v>Fabricação de balizador de concreto</v>
          </cell>
          <cell r="E94" t="str">
            <v>un</v>
          </cell>
          <cell r="G94">
            <v>6.6</v>
          </cell>
          <cell r="M94">
            <v>7.52</v>
          </cell>
          <cell r="O94">
            <v>7.61</v>
          </cell>
          <cell r="Q94">
            <v>7.51</v>
          </cell>
          <cell r="S94">
            <v>7.58</v>
          </cell>
        </row>
        <row r="95">
          <cell r="A95" t="str">
            <v>1 A 01 730 00</v>
          </cell>
          <cell r="B95" t="str">
            <v>Concreto fck=18MPa p/ pré moldados (mourões)</v>
          </cell>
          <cell r="E95" t="str">
            <v>m3</v>
          </cell>
          <cell r="G95">
            <v>138.57</v>
          </cell>
          <cell r="M95">
            <v>222.33</v>
          </cell>
          <cell r="O95">
            <v>222.81</v>
          </cell>
          <cell r="Q95">
            <v>222.23</v>
          </cell>
          <cell r="S95">
            <v>159.86000000000001</v>
          </cell>
        </row>
        <row r="96">
          <cell r="A96" t="str">
            <v>1 A 01 730 01</v>
          </cell>
          <cell r="B96" t="str">
            <v>Fabr. mourão de concr. esticador seção quad. 15cm</v>
          </cell>
          <cell r="E96" t="str">
            <v>un</v>
          </cell>
          <cell r="G96">
            <v>17.46</v>
          </cell>
          <cell r="M96">
            <v>23.06</v>
          </cell>
          <cell r="O96">
            <v>23.5</v>
          </cell>
          <cell r="Q96">
            <v>23.47</v>
          </cell>
          <cell r="S96">
            <v>20.38</v>
          </cell>
        </row>
        <row r="97">
          <cell r="A97" t="str">
            <v>1 A 01 730 02</v>
          </cell>
          <cell r="B97" t="str">
            <v>Fabr. mourão de concr esticador seção triang. 15cm</v>
          </cell>
          <cell r="E97" t="str">
            <v>un</v>
          </cell>
          <cell r="G97">
            <v>11.32</v>
          </cell>
          <cell r="M97">
            <v>14.48</v>
          </cell>
          <cell r="O97">
            <v>14.8</v>
          </cell>
          <cell r="Q97">
            <v>14.79</v>
          </cell>
          <cell r="S97">
            <v>13.24</v>
          </cell>
        </row>
        <row r="98">
          <cell r="A98" t="str">
            <v>1 A 01 735 01</v>
          </cell>
          <cell r="B98" t="str">
            <v>Fabr. mourão de concreto suporte seção quad. 11cm</v>
          </cell>
          <cell r="E98" t="str">
            <v>un</v>
          </cell>
          <cell r="G98">
            <v>12.46</v>
          </cell>
          <cell r="M98">
            <v>15.79</v>
          </cell>
          <cell r="O98">
            <v>16.170000000000002</v>
          </cell>
          <cell r="Q98">
            <v>16.149999999999999</v>
          </cell>
          <cell r="S98">
            <v>14.57</v>
          </cell>
        </row>
        <row r="99">
          <cell r="A99" t="str">
            <v>1 A 01 735 02</v>
          </cell>
          <cell r="B99" t="str">
            <v>Fabr. mourão de concr. suporte seção triang. 11cm</v>
          </cell>
          <cell r="E99" t="str">
            <v>un</v>
          </cell>
          <cell r="G99">
            <v>8.33</v>
          </cell>
          <cell r="M99">
            <v>10.29</v>
          </cell>
          <cell r="O99">
            <v>10.56</v>
          </cell>
          <cell r="Q99">
            <v>10.56</v>
          </cell>
          <cell r="S99">
            <v>9.76</v>
          </cell>
        </row>
        <row r="100">
          <cell r="A100" t="str">
            <v>1 A 01 739 01</v>
          </cell>
          <cell r="B100" t="str">
            <v>Confecção de tubos de concreto D=0,20m</v>
          </cell>
          <cell r="E100" t="str">
            <v>m</v>
          </cell>
          <cell r="G100">
            <v>8.16</v>
          </cell>
          <cell r="M100">
            <v>9.07</v>
          </cell>
          <cell r="O100">
            <v>9.2100000000000009</v>
          </cell>
          <cell r="Q100">
            <v>8.98</v>
          </cell>
          <cell r="S100">
            <v>9.27</v>
          </cell>
        </row>
        <row r="101">
          <cell r="A101" t="str">
            <v>1 A 01 740 01</v>
          </cell>
          <cell r="B101" t="str">
            <v>Confecção de tubos de concreto perfurado D=0,20m</v>
          </cell>
          <cell r="E101" t="str">
            <v>m</v>
          </cell>
          <cell r="G101">
            <v>8.35</v>
          </cell>
          <cell r="M101">
            <v>9.2899999999999991</v>
          </cell>
          <cell r="O101">
            <v>9.43</v>
          </cell>
          <cell r="Q101">
            <v>9.1999999999999993</v>
          </cell>
          <cell r="S101">
            <v>9.49</v>
          </cell>
        </row>
        <row r="102">
          <cell r="A102" t="str">
            <v>1 A 01 741 01</v>
          </cell>
          <cell r="B102" t="str">
            <v>Confecção de tubos de concreto poroso D=0,20m</v>
          </cell>
          <cell r="E102" t="str">
            <v>m</v>
          </cell>
          <cell r="G102">
            <v>8.25</v>
          </cell>
          <cell r="M102">
            <v>9.17</v>
          </cell>
          <cell r="O102">
            <v>9.31</v>
          </cell>
          <cell r="Q102">
            <v>9.08</v>
          </cell>
          <cell r="S102">
            <v>9.39</v>
          </cell>
        </row>
        <row r="103">
          <cell r="A103" t="str">
            <v>1 A 01 745 01</v>
          </cell>
          <cell r="B103" t="str">
            <v>Confecção de tubos de concreto D=0,30m</v>
          </cell>
          <cell r="E103" t="str">
            <v>m</v>
          </cell>
          <cell r="G103">
            <v>13.44</v>
          </cell>
          <cell r="M103">
            <v>14.91</v>
          </cell>
          <cell r="O103">
            <v>15.16</v>
          </cell>
          <cell r="Q103">
            <v>14.75</v>
          </cell>
          <cell r="S103">
            <v>15.29</v>
          </cell>
        </row>
        <row r="104">
          <cell r="A104" t="str">
            <v>1 A 01 746 01</v>
          </cell>
          <cell r="B104" t="str">
            <v>Confecção de tubos de concreto perfurado D=0,30m</v>
          </cell>
          <cell r="E104" t="str">
            <v>m</v>
          </cell>
          <cell r="G104">
            <v>13.63</v>
          </cell>
          <cell r="M104">
            <v>15.13</v>
          </cell>
          <cell r="O104">
            <v>15.38</v>
          </cell>
          <cell r="Q104">
            <v>14.97</v>
          </cell>
          <cell r="S104">
            <v>15.51</v>
          </cell>
        </row>
        <row r="105">
          <cell r="A105" t="str">
            <v>1 A 01 747 01</v>
          </cell>
          <cell r="B105" t="str">
            <v>Confecção de tubos de concreto poroso D=0,30m</v>
          </cell>
          <cell r="E105" t="str">
            <v>m</v>
          </cell>
          <cell r="G105">
            <v>13.61</v>
          </cell>
          <cell r="M105">
            <v>15.1</v>
          </cell>
          <cell r="O105">
            <v>15.36</v>
          </cell>
          <cell r="Q105">
            <v>14.94</v>
          </cell>
          <cell r="S105">
            <v>15.49</v>
          </cell>
        </row>
        <row r="106">
          <cell r="A106" t="str">
            <v>1 A 01 751 01</v>
          </cell>
          <cell r="B106" t="str">
            <v>Confecção de tubos de concreto D=0,40m</v>
          </cell>
          <cell r="E106" t="str">
            <v>m</v>
          </cell>
          <cell r="G106">
            <v>19.95</v>
          </cell>
          <cell r="M106">
            <v>22.13</v>
          </cell>
          <cell r="O106">
            <v>22.53</v>
          </cell>
          <cell r="Q106">
            <v>21.88</v>
          </cell>
          <cell r="S106">
            <v>22.72</v>
          </cell>
        </row>
        <row r="107">
          <cell r="A107" t="str">
            <v>1 A 01 752 01</v>
          </cell>
          <cell r="B107" t="str">
            <v>Confecção de tubos de concreto perfurado D=0,40m</v>
          </cell>
          <cell r="E107" t="str">
            <v>m</v>
          </cell>
          <cell r="G107">
            <v>20.14</v>
          </cell>
          <cell r="M107">
            <v>22.35</v>
          </cell>
          <cell r="O107">
            <v>22.75</v>
          </cell>
          <cell r="Q107">
            <v>22.1</v>
          </cell>
          <cell r="S107">
            <v>22.94</v>
          </cell>
        </row>
        <row r="108">
          <cell r="A108" t="str">
            <v>1 A 01 753 01</v>
          </cell>
          <cell r="B108" t="str">
            <v>Confecção de tubos de concreto poroso D=0,40m</v>
          </cell>
          <cell r="E108" t="str">
            <v>m</v>
          </cell>
          <cell r="G108">
            <v>20.22</v>
          </cell>
          <cell r="M108">
            <v>22.43</v>
          </cell>
          <cell r="O108">
            <v>22.84</v>
          </cell>
          <cell r="Q108">
            <v>22.18</v>
          </cell>
          <cell r="S108">
            <v>23.05</v>
          </cell>
        </row>
        <row r="109">
          <cell r="A109" t="str">
            <v>1 A 01 755 01</v>
          </cell>
          <cell r="B109" t="str">
            <v>Confecção de tubos de concreto armado D=0,60m CA-4</v>
          </cell>
          <cell r="E109" t="str">
            <v>m</v>
          </cell>
          <cell r="G109">
            <v>81.11</v>
          </cell>
          <cell r="M109">
            <v>87.4</v>
          </cell>
          <cell r="O109">
            <v>90.58</v>
          </cell>
          <cell r="Q109">
            <v>89.15</v>
          </cell>
          <cell r="S109">
            <v>90.81</v>
          </cell>
        </row>
        <row r="110">
          <cell r="A110" t="str">
            <v>1 A 01 760 01</v>
          </cell>
          <cell r="B110" t="str">
            <v>Confecção de tubos de concreto armado D=0,80m CA-4</v>
          </cell>
          <cell r="E110" t="str">
            <v>m</v>
          </cell>
          <cell r="G110">
            <v>124.25</v>
          </cell>
          <cell r="M110">
            <v>133.6</v>
          </cell>
          <cell r="O110">
            <v>138.6</v>
          </cell>
          <cell r="Q110">
            <v>136.25</v>
          </cell>
          <cell r="S110">
            <v>139.01</v>
          </cell>
        </row>
        <row r="111">
          <cell r="A111" t="str">
            <v>1 A 01 765 01</v>
          </cell>
          <cell r="B111" t="str">
            <v>Confecção de tubos de concreto armado D=1,00m CA-4</v>
          </cell>
          <cell r="E111" t="str">
            <v>m</v>
          </cell>
          <cell r="G111">
            <v>187.48</v>
          </cell>
          <cell r="M111">
            <v>201.38</v>
          </cell>
          <cell r="O111">
            <v>209.05</v>
          </cell>
          <cell r="Q111">
            <v>205.53</v>
          </cell>
          <cell r="S111">
            <v>209.64</v>
          </cell>
        </row>
        <row r="112">
          <cell r="A112" t="str">
            <v>1 A 01 770 01</v>
          </cell>
          <cell r="B112" t="str">
            <v>Confecção de tubos de concreto armado D=1,20m CA-4</v>
          </cell>
          <cell r="E112" t="str">
            <v>m</v>
          </cell>
          <cell r="G112">
            <v>260.77999999999997</v>
          </cell>
          <cell r="M112">
            <v>280.08999999999997</v>
          </cell>
          <cell r="O112">
            <v>290.89</v>
          </cell>
          <cell r="Q112">
            <v>286.31</v>
          </cell>
          <cell r="S112">
            <v>291.60000000000002</v>
          </cell>
        </row>
        <row r="113">
          <cell r="A113" t="str">
            <v>1 A 01 775 01</v>
          </cell>
          <cell r="B113" t="str">
            <v>Confecção de tubos de concreto armado D=1,50m CA-4</v>
          </cell>
          <cell r="E113" t="str">
            <v>m</v>
          </cell>
          <cell r="G113">
            <v>406.02</v>
          </cell>
          <cell r="M113">
            <v>435.61</v>
          </cell>
          <cell r="O113">
            <v>452.94</v>
          </cell>
          <cell r="Q113">
            <v>446.68</v>
          </cell>
          <cell r="S113">
            <v>453.7</v>
          </cell>
        </row>
        <row r="114">
          <cell r="A114" t="str">
            <v>1 A 01 780 01</v>
          </cell>
          <cell r="B114" t="str">
            <v>Obtenção de grama para replantio</v>
          </cell>
          <cell r="E114" t="str">
            <v>m2</v>
          </cell>
          <cell r="G114">
            <v>0.56000000000000005</v>
          </cell>
          <cell r="M114">
            <v>0.67</v>
          </cell>
          <cell r="O114">
            <v>0.67</v>
          </cell>
          <cell r="Q114">
            <v>0.66</v>
          </cell>
          <cell r="S114">
            <v>0.66</v>
          </cell>
        </row>
        <row r="115">
          <cell r="A115" t="str">
            <v>1 A 01 790 01</v>
          </cell>
          <cell r="B115" t="str">
            <v>Guia de madeira - 2,5 x 7,0 cm</v>
          </cell>
          <cell r="E115" t="str">
            <v>m</v>
          </cell>
          <cell r="G115">
            <v>0.9</v>
          </cell>
          <cell r="M115">
            <v>0.94</v>
          </cell>
          <cell r="O115">
            <v>0.94</v>
          </cell>
          <cell r="Q115">
            <v>0.94</v>
          </cell>
          <cell r="S115">
            <v>0.93</v>
          </cell>
        </row>
        <row r="116">
          <cell r="A116" t="str">
            <v>1 A 01 790 02</v>
          </cell>
          <cell r="B116" t="str">
            <v>Guia de madeira - 2,5 x 10,0 cm</v>
          </cell>
          <cell r="E116" t="str">
            <v>m</v>
          </cell>
          <cell r="G116">
            <v>1.1399999999999999</v>
          </cell>
          <cell r="M116">
            <v>1.19</v>
          </cell>
          <cell r="O116">
            <v>1.19</v>
          </cell>
          <cell r="Q116">
            <v>1.18</v>
          </cell>
          <cell r="S116">
            <v>1.18</v>
          </cell>
        </row>
        <row r="117">
          <cell r="A117" t="str">
            <v>1 A 01 800 01</v>
          </cell>
          <cell r="B117" t="str">
            <v>Chapa de aço 16 rec. para placa de sinalização</v>
          </cell>
          <cell r="E117" t="str">
            <v>m2</v>
          </cell>
          <cell r="G117">
            <v>12.31</v>
          </cell>
          <cell r="M117">
            <v>14.52</v>
          </cell>
          <cell r="O117">
            <v>14.12</v>
          </cell>
          <cell r="Q117">
            <v>14.12</v>
          </cell>
          <cell r="S117">
            <v>14.22</v>
          </cell>
        </row>
        <row r="118">
          <cell r="A118" t="str">
            <v>1 A 01 810 01</v>
          </cell>
          <cell r="B118" t="str">
            <v>Calha metálica semi-circular D=0,40 m</v>
          </cell>
          <cell r="E118" t="str">
            <v>m</v>
          </cell>
          <cell r="G118">
            <v>70.099999999999994</v>
          </cell>
          <cell r="M118">
            <v>84.66</v>
          </cell>
          <cell r="O118">
            <v>94.26</v>
          </cell>
          <cell r="Q118">
            <v>94.86</v>
          </cell>
          <cell r="S118">
            <v>94.86</v>
          </cell>
        </row>
        <row r="119">
          <cell r="A119" t="str">
            <v>1 A 01 850 01</v>
          </cell>
          <cell r="B119" t="str">
            <v>Confecção de placa de sinalização semi-refletiva</v>
          </cell>
          <cell r="E119" t="str">
            <v>m2</v>
          </cell>
          <cell r="G119">
            <v>108.17</v>
          </cell>
          <cell r="M119">
            <v>110.98</v>
          </cell>
          <cell r="O119">
            <v>111.28</v>
          </cell>
          <cell r="Q119">
            <v>113.27</v>
          </cell>
          <cell r="S119">
            <v>113.27</v>
          </cell>
        </row>
        <row r="120">
          <cell r="A120" t="str">
            <v>1 A 01 860 01</v>
          </cell>
          <cell r="B120" t="str">
            <v>Confecção de placa de sinalização tot. refletiva</v>
          </cell>
          <cell r="E120" t="str">
            <v>m2</v>
          </cell>
          <cell r="G120">
            <v>150.41</v>
          </cell>
          <cell r="M120">
            <v>154.43</v>
          </cell>
          <cell r="O120">
            <v>156.53</v>
          </cell>
          <cell r="Q120">
            <v>156.46</v>
          </cell>
          <cell r="S120">
            <v>156.46</v>
          </cell>
        </row>
        <row r="121">
          <cell r="A121" t="str">
            <v>1 A 01 870 01</v>
          </cell>
          <cell r="B121" t="str">
            <v>Confecção de suporte e travessa p/ placa de sinal.</v>
          </cell>
          <cell r="E121" t="str">
            <v>un</v>
          </cell>
          <cell r="G121">
            <v>17.41</v>
          </cell>
          <cell r="M121">
            <v>18.64</v>
          </cell>
          <cell r="O121">
            <v>18.64</v>
          </cell>
          <cell r="Q121">
            <v>19.48</v>
          </cell>
          <cell r="S121">
            <v>19.48</v>
          </cell>
        </row>
        <row r="122">
          <cell r="A122" t="str">
            <v>1 A 01 890 01</v>
          </cell>
          <cell r="B122" t="str">
            <v>Escavação manual em material de 1a categoria</v>
          </cell>
          <cell r="E122" t="str">
            <v>m3</v>
          </cell>
          <cell r="G122">
            <v>11.72</v>
          </cell>
          <cell r="M122">
            <v>14.07</v>
          </cell>
          <cell r="O122">
            <v>14.07</v>
          </cell>
          <cell r="Q122">
            <v>14.07</v>
          </cell>
          <cell r="S122">
            <v>14.07</v>
          </cell>
        </row>
        <row r="123">
          <cell r="A123" t="str">
            <v>1 A 01 891 01</v>
          </cell>
          <cell r="B123" t="str">
            <v>Escavação manual de vala em material de 1a cat.</v>
          </cell>
          <cell r="E123" t="str">
            <v>m3</v>
          </cell>
          <cell r="G123">
            <v>13.56</v>
          </cell>
          <cell r="M123">
            <v>16.27</v>
          </cell>
          <cell r="O123">
            <v>16.27</v>
          </cell>
          <cell r="Q123">
            <v>16.27</v>
          </cell>
          <cell r="S123">
            <v>16.27</v>
          </cell>
        </row>
        <row r="124">
          <cell r="A124" t="str">
            <v>1 A 01 892 01</v>
          </cell>
          <cell r="B124" t="str">
            <v>Escavação mecânica de vala em material de 1a cat.</v>
          </cell>
          <cell r="E124" t="str">
            <v>m3</v>
          </cell>
          <cell r="G124">
            <v>2.39</v>
          </cell>
          <cell r="M124">
            <v>2.74</v>
          </cell>
          <cell r="O124">
            <v>2.74</v>
          </cell>
          <cell r="Q124">
            <v>2.67</v>
          </cell>
          <cell r="S124">
            <v>2.67</v>
          </cell>
        </row>
        <row r="125">
          <cell r="A125" t="str">
            <v>1 A 01 893 01</v>
          </cell>
          <cell r="B125" t="str">
            <v>Compactação manual</v>
          </cell>
          <cell r="E125" t="str">
            <v>m3</v>
          </cell>
          <cell r="G125">
            <v>6.36</v>
          </cell>
          <cell r="M125">
            <v>7.11</v>
          </cell>
          <cell r="O125">
            <v>7.11</v>
          </cell>
          <cell r="Q125">
            <v>7.07</v>
          </cell>
          <cell r="S125">
            <v>7.07</v>
          </cell>
        </row>
        <row r="126">
          <cell r="A126" t="str">
            <v>1 A 01 894 01</v>
          </cell>
          <cell r="B126" t="str">
            <v>Lastro de brita</v>
          </cell>
          <cell r="E126" t="str">
            <v>m3</v>
          </cell>
          <cell r="G126">
            <v>20.95</v>
          </cell>
          <cell r="M126">
            <v>23.71</v>
          </cell>
          <cell r="O126">
            <v>24.14</v>
          </cell>
          <cell r="Q126">
            <v>23.67</v>
          </cell>
          <cell r="S126">
            <v>24.78</v>
          </cell>
        </row>
        <row r="127">
          <cell r="A127" t="str">
            <v>1 A 99 001 00</v>
          </cell>
          <cell r="B127" t="str">
            <v>Mistura areia-asfalto usinada a frio</v>
          </cell>
          <cell r="E127" t="str">
            <v>m3</v>
          </cell>
          <cell r="G127">
            <v>0</v>
          </cell>
          <cell r="M127">
            <v>0</v>
          </cell>
          <cell r="O127">
            <v>0</v>
          </cell>
          <cell r="Q127">
            <v>0</v>
          </cell>
          <cell r="S127">
            <v>0</v>
          </cell>
        </row>
        <row r="128">
          <cell r="A128" t="str">
            <v>1 A 99 002 00</v>
          </cell>
          <cell r="B128" t="str">
            <v>Mistura areia-asfalto usinada a quente</v>
          </cell>
          <cell r="E128" t="str">
            <v>m3</v>
          </cell>
          <cell r="G128">
            <v>0</v>
          </cell>
          <cell r="M128">
            <v>0</v>
          </cell>
          <cell r="O128">
            <v>0</v>
          </cell>
          <cell r="Q128">
            <v>0</v>
          </cell>
          <cell r="S128">
            <v>0</v>
          </cell>
        </row>
        <row r="129">
          <cell r="A129" t="str">
            <v>1 A 99 003 00</v>
          </cell>
          <cell r="B129" t="str">
            <v>Mistura betuminosa usinada a frio</v>
          </cell>
          <cell r="E129" t="str">
            <v>m3</v>
          </cell>
          <cell r="G129">
            <v>0</v>
          </cell>
          <cell r="M129">
            <v>0</v>
          </cell>
          <cell r="O129">
            <v>0</v>
          </cell>
          <cell r="Q129">
            <v>0</v>
          </cell>
          <cell r="S129">
            <v>0</v>
          </cell>
        </row>
        <row r="130">
          <cell r="A130" t="str">
            <v>1 A 99 004 00</v>
          </cell>
          <cell r="B130" t="str">
            <v>Mistura betuminosa usinada a quente</v>
          </cell>
          <cell r="E130" t="str">
            <v>m3</v>
          </cell>
          <cell r="G130">
            <v>0</v>
          </cell>
          <cell r="M130">
            <v>0</v>
          </cell>
          <cell r="O130">
            <v>0</v>
          </cell>
          <cell r="Q130">
            <v>0</v>
          </cell>
          <cell r="S130">
            <v>0</v>
          </cell>
        </row>
        <row r="131">
          <cell r="A131" t="str">
            <v>1 A 99 005 00</v>
          </cell>
          <cell r="B131" t="str">
            <v>Mistura betuminosa</v>
          </cell>
          <cell r="E131" t="str">
            <v>m3</v>
          </cell>
          <cell r="G131">
            <v>0</v>
          </cell>
          <cell r="M131">
            <v>0</v>
          </cell>
          <cell r="O131">
            <v>0</v>
          </cell>
          <cell r="Q131">
            <v>0</v>
          </cell>
          <cell r="S131">
            <v>0</v>
          </cell>
        </row>
        <row r="132">
          <cell r="A132" t="str">
            <v>1 B 00 301 00</v>
          </cell>
          <cell r="B132" t="str">
            <v>Alvenaria de pedra argamassada</v>
          </cell>
          <cell r="E132" t="str">
            <v>m3</v>
          </cell>
          <cell r="G132">
            <v>92.71</v>
          </cell>
          <cell r="M132">
            <v>102.93</v>
          </cell>
          <cell r="O132">
            <v>105.07</v>
          </cell>
          <cell r="Q132">
            <v>101.78</v>
          </cell>
          <cell r="S132">
            <v>106.24</v>
          </cell>
        </row>
        <row r="133">
          <cell r="A133" t="str">
            <v>1 B 00 902 01</v>
          </cell>
          <cell r="B133" t="str">
            <v>Alvenaria de tijolos</v>
          </cell>
          <cell r="E133" t="str">
            <v>m2</v>
          </cell>
          <cell r="G133">
            <v>20.100000000000001</v>
          </cell>
          <cell r="M133">
            <v>24.92</v>
          </cell>
          <cell r="O133">
            <v>25</v>
          </cell>
          <cell r="Q133">
            <v>24.88</v>
          </cell>
          <cell r="S133">
            <v>25.03</v>
          </cell>
        </row>
        <row r="134">
          <cell r="A134" t="str">
            <v>1 B 00 903 01</v>
          </cell>
          <cell r="B134" t="str">
            <v>Dentes para bueiros duplos D=1,00 m</v>
          </cell>
          <cell r="E134" t="str">
            <v>und</v>
          </cell>
          <cell r="G134">
            <v>70.02</v>
          </cell>
          <cell r="M134">
            <v>77.59</v>
          </cell>
          <cell r="O134">
            <v>79.489999999999995</v>
          </cell>
          <cell r="Q134">
            <v>77.239999999999995</v>
          </cell>
          <cell r="S134">
            <v>80.22</v>
          </cell>
        </row>
        <row r="135">
          <cell r="A135" t="str">
            <v>1 B 00 904 01</v>
          </cell>
          <cell r="B135" t="str">
            <v>Dentes para bueiros duplos D=1,20 m</v>
          </cell>
          <cell r="E135" t="str">
            <v>und</v>
          </cell>
          <cell r="G135">
            <v>79.25</v>
          </cell>
          <cell r="M135">
            <v>87.74</v>
          </cell>
          <cell r="O135">
            <v>89.9</v>
          </cell>
          <cell r="Q135">
            <v>87.31</v>
          </cell>
          <cell r="S135">
            <v>90.74</v>
          </cell>
        </row>
        <row r="136">
          <cell r="A136" t="str">
            <v>1 B 00 905 01</v>
          </cell>
          <cell r="B136" t="str">
            <v>Dentes para bueiros duplos D=1,50 m</v>
          </cell>
          <cell r="E136" t="str">
            <v>und</v>
          </cell>
          <cell r="G136">
            <v>97.77</v>
          </cell>
          <cell r="M136">
            <v>108.36</v>
          </cell>
          <cell r="O136">
            <v>111.04</v>
          </cell>
          <cell r="Q136">
            <v>107.95</v>
          </cell>
          <cell r="S136">
            <v>112.05</v>
          </cell>
        </row>
        <row r="137">
          <cell r="A137" t="str">
            <v>1 B 00 906 01</v>
          </cell>
          <cell r="B137" t="str">
            <v>Dentes para bueiros simples D=0,60 m</v>
          </cell>
          <cell r="E137" t="str">
            <v>und</v>
          </cell>
          <cell r="G137">
            <v>23.61</v>
          </cell>
          <cell r="M137">
            <v>26.19</v>
          </cell>
          <cell r="O137">
            <v>26.82</v>
          </cell>
          <cell r="Q137">
            <v>26.07</v>
          </cell>
          <cell r="S137">
            <v>27.07</v>
          </cell>
        </row>
        <row r="138">
          <cell r="A138" t="str">
            <v>1 B 00 907 01</v>
          </cell>
          <cell r="B138" t="str">
            <v>Dentes para bueiros simples D=0,80 m</v>
          </cell>
          <cell r="E138" t="str">
            <v>und</v>
          </cell>
          <cell r="G138">
            <v>29.4</v>
          </cell>
          <cell r="M138">
            <v>32.56</v>
          </cell>
          <cell r="O138">
            <v>33.369999999999997</v>
          </cell>
          <cell r="Q138">
            <v>32.44</v>
          </cell>
          <cell r="S138">
            <v>33.68</v>
          </cell>
        </row>
        <row r="139">
          <cell r="A139" t="str">
            <v>1 B 00 908 01</v>
          </cell>
          <cell r="B139" t="str">
            <v>Dentes para bueiros simples D=1,00 m</v>
          </cell>
          <cell r="E139" t="str">
            <v>und</v>
          </cell>
          <cell r="G139">
            <v>34.950000000000003</v>
          </cell>
          <cell r="M139">
            <v>38.72</v>
          </cell>
          <cell r="O139">
            <v>39.67</v>
          </cell>
          <cell r="Q139">
            <v>38.549999999999997</v>
          </cell>
          <cell r="S139">
            <v>40.04</v>
          </cell>
        </row>
        <row r="140">
          <cell r="A140" t="str">
            <v>1 B 00 909 01</v>
          </cell>
          <cell r="B140" t="str">
            <v>Dentes para bueiros simples D=1,20 m</v>
          </cell>
          <cell r="E140" t="str">
            <v>und</v>
          </cell>
          <cell r="G140">
            <v>39.68</v>
          </cell>
          <cell r="M140">
            <v>43.93</v>
          </cell>
          <cell r="O140">
            <v>45.01</v>
          </cell>
          <cell r="Q140">
            <v>43.72</v>
          </cell>
          <cell r="S140">
            <v>45.43</v>
          </cell>
        </row>
        <row r="141">
          <cell r="A141" t="str">
            <v>1 B 00 910 01</v>
          </cell>
          <cell r="B141" t="str">
            <v>Dentes para bueiros simples D=1,50 m</v>
          </cell>
          <cell r="E141" t="str">
            <v>und</v>
          </cell>
          <cell r="G141">
            <v>50.3</v>
          </cell>
          <cell r="M141">
            <v>55.77</v>
          </cell>
          <cell r="O141">
            <v>57.18</v>
          </cell>
          <cell r="Q141">
            <v>55.64</v>
          </cell>
          <cell r="S141">
            <v>57.69</v>
          </cell>
        </row>
        <row r="142">
          <cell r="A142" t="str">
            <v>1 B 00 911 01</v>
          </cell>
          <cell r="B142" t="str">
            <v>Dentes para bueiros triplos D=1,00 m</v>
          </cell>
          <cell r="E142" t="str">
            <v>und</v>
          </cell>
          <cell r="G142">
            <v>102.63</v>
          </cell>
          <cell r="M142">
            <v>113.7</v>
          </cell>
          <cell r="O142">
            <v>116.43</v>
          </cell>
          <cell r="Q142">
            <v>113.06</v>
          </cell>
          <cell r="S142">
            <v>117.52</v>
          </cell>
        </row>
        <row r="143">
          <cell r="A143" t="str">
            <v>1 B 00 912 01</v>
          </cell>
          <cell r="B143" t="str">
            <v>Dentes para bueiros triplos D=1,20 m</v>
          </cell>
          <cell r="E143" t="str">
            <v>und</v>
          </cell>
          <cell r="G143">
            <v>118.94</v>
          </cell>
          <cell r="M143">
            <v>131.68</v>
          </cell>
          <cell r="O143">
            <v>134.91999999999999</v>
          </cell>
          <cell r="Q143">
            <v>131.03</v>
          </cell>
          <cell r="S143">
            <v>136.18</v>
          </cell>
        </row>
        <row r="144">
          <cell r="A144" t="str">
            <v>1 B 00 913 01</v>
          </cell>
          <cell r="B144" t="str">
            <v>Dentes para bueiros triplos D=1,50 m</v>
          </cell>
          <cell r="E144" t="str">
            <v>und</v>
          </cell>
          <cell r="G144">
            <v>144.85</v>
          </cell>
          <cell r="M144">
            <v>160.5</v>
          </cell>
          <cell r="O144">
            <v>164.46</v>
          </cell>
          <cell r="Q144">
            <v>159.82</v>
          </cell>
          <cell r="S144">
            <v>165.96</v>
          </cell>
        </row>
        <row r="145">
          <cell r="A145" t="str">
            <v>1 B 00 999 06</v>
          </cell>
          <cell r="B145" t="str">
            <v>Solo local / selo de argila apiloado</v>
          </cell>
          <cell r="E145" t="str">
            <v>m3</v>
          </cell>
          <cell r="G145">
            <v>6.35</v>
          </cell>
          <cell r="M145">
            <v>7.62</v>
          </cell>
          <cell r="O145">
            <v>7.62</v>
          </cell>
          <cell r="Q145">
            <v>7.62</v>
          </cell>
          <cell r="S145">
            <v>7.62</v>
          </cell>
        </row>
        <row r="146">
          <cell r="A146" t="str">
            <v>1 B 02 702 00</v>
          </cell>
          <cell r="B146" t="str">
            <v>Limp. e enchim. junta pav. concr. (const e rest)</v>
          </cell>
          <cell r="E146" t="str">
            <v>m</v>
          </cell>
          <cell r="G146">
            <v>2.17</v>
          </cell>
          <cell r="M146">
            <v>2.11</v>
          </cell>
          <cell r="O146">
            <v>1.99</v>
          </cell>
          <cell r="Q146">
            <v>1.89</v>
          </cell>
          <cell r="S146">
            <v>1.9</v>
          </cell>
        </row>
        <row r="147">
          <cell r="B147" t="str">
            <v>Construção</v>
          </cell>
        </row>
        <row r="148">
          <cell r="A148" t="str">
            <v>2 S 01 000 00</v>
          </cell>
          <cell r="B148" t="str">
            <v>Desm. dest. limpeza áreas c/arv. diam. até 0,15 m</v>
          </cell>
          <cell r="E148" t="str">
            <v>m2</v>
          </cell>
          <cell r="G148">
            <v>0.19</v>
          </cell>
          <cell r="M148">
            <v>0.2</v>
          </cell>
          <cell r="O148">
            <v>0.21</v>
          </cell>
          <cell r="Q148">
            <v>0.21</v>
          </cell>
          <cell r="S148">
            <v>0.21</v>
          </cell>
        </row>
        <row r="149">
          <cell r="A149" t="str">
            <v>2 S 01 010 00</v>
          </cell>
          <cell r="B149" t="str">
            <v>Destocamento de árvores D=0,15 a 0,30 m</v>
          </cell>
          <cell r="E149" t="str">
            <v>und</v>
          </cell>
          <cell r="G149">
            <v>18.46</v>
          </cell>
          <cell r="M149">
            <v>19.72</v>
          </cell>
          <cell r="O149">
            <v>21.1</v>
          </cell>
          <cell r="Q149">
            <v>20.57</v>
          </cell>
          <cell r="S149">
            <v>20.57</v>
          </cell>
        </row>
        <row r="150">
          <cell r="A150" t="str">
            <v>2 S 01 012 00</v>
          </cell>
          <cell r="B150" t="str">
            <v>Destocamento de árvores c/diâm. &gt; 0,30 m</v>
          </cell>
          <cell r="E150" t="str">
            <v>und</v>
          </cell>
          <cell r="G150">
            <v>46.15</v>
          </cell>
          <cell r="M150">
            <v>49.3</v>
          </cell>
          <cell r="O150">
            <v>52.76</v>
          </cell>
          <cell r="Q150">
            <v>51.43</v>
          </cell>
          <cell r="S150">
            <v>51.43</v>
          </cell>
        </row>
        <row r="151">
          <cell r="A151" t="str">
            <v>2 S 01 100 01</v>
          </cell>
          <cell r="B151" t="str">
            <v>Esc. carga transp. mat 1ª cat DMT 50 m</v>
          </cell>
          <cell r="E151" t="str">
            <v>m3</v>
          </cell>
          <cell r="G151">
            <v>0.98</v>
          </cell>
          <cell r="M151">
            <v>1.04</v>
          </cell>
          <cell r="O151">
            <v>1.1200000000000001</v>
          </cell>
          <cell r="Q151">
            <v>1.0900000000000001</v>
          </cell>
          <cell r="S151">
            <v>1.0900000000000001</v>
          </cell>
        </row>
        <row r="152">
          <cell r="A152" t="str">
            <v>2 S 01 100 02</v>
          </cell>
          <cell r="B152" t="str">
            <v>Esc. carga transp. mat 1ª cat DMT 50 a 200m c/m</v>
          </cell>
          <cell r="E152" t="str">
            <v>m3</v>
          </cell>
          <cell r="G152">
            <v>2.8</v>
          </cell>
          <cell r="M152">
            <v>3.42</v>
          </cell>
          <cell r="O152">
            <v>3.48</v>
          </cell>
          <cell r="Q152">
            <v>3.4</v>
          </cell>
          <cell r="S152">
            <v>3.4</v>
          </cell>
        </row>
        <row r="153">
          <cell r="A153" t="str">
            <v>2 S 01 100 03</v>
          </cell>
          <cell r="B153" t="str">
            <v>Esc. carga transp. mat 1ª cat DMT 200 a 400m c/m</v>
          </cell>
          <cell r="E153" t="str">
            <v>m3</v>
          </cell>
          <cell r="G153">
            <v>3.38</v>
          </cell>
          <cell r="M153">
            <v>4.16</v>
          </cell>
          <cell r="O153">
            <v>4.2300000000000004</v>
          </cell>
          <cell r="Q153">
            <v>4.12</v>
          </cell>
          <cell r="S153">
            <v>4.12</v>
          </cell>
        </row>
        <row r="154">
          <cell r="A154" t="str">
            <v>2 S 01 100 04</v>
          </cell>
          <cell r="B154" t="str">
            <v>Esc. carga transp. mat 1ª cat DMT 400 a 600m c/m</v>
          </cell>
          <cell r="E154" t="str">
            <v>m3</v>
          </cell>
          <cell r="G154">
            <v>3.99</v>
          </cell>
          <cell r="M154">
            <v>4.95</v>
          </cell>
          <cell r="O154">
            <v>5.0199999999999996</v>
          </cell>
          <cell r="Q154">
            <v>4.8899999999999997</v>
          </cell>
          <cell r="S154">
            <v>4.8899999999999997</v>
          </cell>
        </row>
        <row r="155">
          <cell r="A155" t="str">
            <v>2 S 01 100 05</v>
          </cell>
          <cell r="B155" t="str">
            <v>Esc. carga transp. mat 1ª cat DMT 600 a 800m c/m</v>
          </cell>
          <cell r="E155" t="str">
            <v>m3</v>
          </cell>
          <cell r="G155">
            <v>4.53</v>
          </cell>
          <cell r="M155">
            <v>5.65</v>
          </cell>
          <cell r="O155">
            <v>5.72</v>
          </cell>
          <cell r="Q155">
            <v>5.57</v>
          </cell>
          <cell r="S155">
            <v>5.57</v>
          </cell>
        </row>
        <row r="156">
          <cell r="A156" t="str">
            <v>2 S 01 100 06</v>
          </cell>
          <cell r="B156" t="str">
            <v>Esc. carga transp. mat 1ª cat DMT 800 a 1000m c/m</v>
          </cell>
          <cell r="E156" t="str">
            <v>m3</v>
          </cell>
          <cell r="G156">
            <v>5.21</v>
          </cell>
          <cell r="M156">
            <v>6.52</v>
          </cell>
          <cell r="O156">
            <v>6.59</v>
          </cell>
          <cell r="Q156">
            <v>6.42</v>
          </cell>
          <cell r="S156">
            <v>6.42</v>
          </cell>
        </row>
        <row r="157">
          <cell r="A157" t="str">
            <v>2 S 01 100 07</v>
          </cell>
          <cell r="B157" t="str">
            <v>Esc. carga transp. mat 1ª cat DMT 1000 a 1200m c/m</v>
          </cell>
          <cell r="E157" t="str">
            <v>m3</v>
          </cell>
          <cell r="G157">
            <v>5.92</v>
          </cell>
          <cell r="M157">
            <v>7.44</v>
          </cell>
          <cell r="O157">
            <v>7.51</v>
          </cell>
          <cell r="Q157">
            <v>7.32</v>
          </cell>
          <cell r="S157">
            <v>7.32</v>
          </cell>
        </row>
        <row r="158">
          <cell r="A158" t="str">
            <v>2 S 01 100 08</v>
          </cell>
          <cell r="B158" t="str">
            <v>Esc. carga transp. mat 1ª cat DMT 1200 a 1400m c/m</v>
          </cell>
          <cell r="E158" t="str">
            <v>m3</v>
          </cell>
          <cell r="G158">
            <v>6.58</v>
          </cell>
          <cell r="M158">
            <v>8.2899999999999991</v>
          </cell>
          <cell r="O158">
            <v>8.36</v>
          </cell>
          <cell r="Q158">
            <v>8.14</v>
          </cell>
          <cell r="S158">
            <v>8.14</v>
          </cell>
        </row>
        <row r="159">
          <cell r="A159" t="str">
            <v>2 S 01 100 09</v>
          </cell>
          <cell r="B159" t="str">
            <v>Esc. carga tr. mat 1ª c. DMT 50 a 200m c/carreg</v>
          </cell>
          <cell r="E159" t="str">
            <v>m3</v>
          </cell>
          <cell r="G159">
            <v>3.17</v>
          </cell>
          <cell r="M159">
            <v>3.46</v>
          </cell>
          <cell r="O159">
            <v>3.63</v>
          </cell>
          <cell r="Q159">
            <v>3.53</v>
          </cell>
          <cell r="S159">
            <v>3.53</v>
          </cell>
        </row>
        <row r="160">
          <cell r="A160" t="str">
            <v>2 S 01 100 10</v>
          </cell>
          <cell r="B160" t="str">
            <v>Esc. carga tr. mat 1ª c. DMT 200 a 400m c/carreg</v>
          </cell>
          <cell r="E160" t="str">
            <v>m3</v>
          </cell>
          <cell r="G160">
            <v>3.43</v>
          </cell>
          <cell r="M160">
            <v>3.74</v>
          </cell>
          <cell r="O160">
            <v>3.91</v>
          </cell>
          <cell r="Q160">
            <v>3.8</v>
          </cell>
          <cell r="S160">
            <v>3.8</v>
          </cell>
        </row>
        <row r="161">
          <cell r="A161" t="str">
            <v>2 S 01 100 11</v>
          </cell>
          <cell r="B161" t="str">
            <v>Esc. carga tr. mat 1ª c. DMT 400 a 600m c/carreg</v>
          </cell>
          <cell r="E161" t="str">
            <v>m3</v>
          </cell>
          <cell r="G161">
            <v>3.61</v>
          </cell>
          <cell r="M161">
            <v>3.94</v>
          </cell>
          <cell r="O161">
            <v>4.1100000000000003</v>
          </cell>
          <cell r="Q161">
            <v>3.99</v>
          </cell>
          <cell r="S161">
            <v>3.99</v>
          </cell>
        </row>
        <row r="162">
          <cell r="A162" t="str">
            <v>2 S 01 100 12</v>
          </cell>
          <cell r="B162" t="str">
            <v>Esc. carga tr. mat 1ª c. DMT 600 a 800m c/carreg</v>
          </cell>
          <cell r="E162" t="str">
            <v>m3</v>
          </cell>
          <cell r="G162">
            <v>3.94</v>
          </cell>
          <cell r="M162">
            <v>4.29</v>
          </cell>
          <cell r="O162">
            <v>4.47</v>
          </cell>
          <cell r="Q162">
            <v>4.33</v>
          </cell>
          <cell r="S162">
            <v>4.33</v>
          </cell>
        </row>
        <row r="163">
          <cell r="A163" t="str">
            <v>2 S 01 100 13</v>
          </cell>
          <cell r="B163" t="str">
            <v>Esc. carga tr. mat 1ª c. DMT 800 a 1000m c/carreg</v>
          </cell>
          <cell r="E163" t="str">
            <v>m3</v>
          </cell>
          <cell r="G163">
            <v>4.13</v>
          </cell>
          <cell r="M163">
            <v>4.5</v>
          </cell>
          <cell r="O163">
            <v>4.68</v>
          </cell>
          <cell r="Q163">
            <v>4.54</v>
          </cell>
          <cell r="S163">
            <v>4.54</v>
          </cell>
        </row>
        <row r="164">
          <cell r="A164" t="str">
            <v>2 S 01 100 14</v>
          </cell>
          <cell r="B164" t="str">
            <v>Esc. carga tr. mat 1ª c. DMT 1000 a 1200m c/carreg</v>
          </cell>
          <cell r="E164" t="str">
            <v>m3</v>
          </cell>
          <cell r="G164">
            <v>4.3899999999999997</v>
          </cell>
          <cell r="M164">
            <v>4.79</v>
          </cell>
          <cell r="O164">
            <v>4.97</v>
          </cell>
          <cell r="Q164">
            <v>4.8099999999999996</v>
          </cell>
          <cell r="S164">
            <v>4.8099999999999996</v>
          </cell>
        </row>
        <row r="165">
          <cell r="A165" t="str">
            <v>2 S 01 100 15</v>
          </cell>
          <cell r="B165" t="str">
            <v>Esc. carga tr. mat 1ª c. DMT 1200 a 1400m c/carreg</v>
          </cell>
          <cell r="E165" t="str">
            <v>m3</v>
          </cell>
          <cell r="G165">
            <v>4.5599999999999996</v>
          </cell>
          <cell r="M165">
            <v>4.96</v>
          </cell>
          <cell r="O165">
            <v>5.14</v>
          </cell>
          <cell r="Q165">
            <v>4.9800000000000004</v>
          </cell>
          <cell r="S165">
            <v>4.9800000000000004</v>
          </cell>
        </row>
        <row r="166">
          <cell r="A166" t="str">
            <v>2 S 01 100 16</v>
          </cell>
          <cell r="B166" t="str">
            <v>Esc. carga tr. mat 1ª c. DMT 1400 a 1600m c/carreg</v>
          </cell>
          <cell r="E166" t="str">
            <v>m3</v>
          </cell>
          <cell r="G166">
            <v>4.71</v>
          </cell>
          <cell r="M166">
            <v>5.13</v>
          </cell>
          <cell r="O166">
            <v>5.31</v>
          </cell>
          <cell r="Q166">
            <v>5.14</v>
          </cell>
          <cell r="S166">
            <v>5.14</v>
          </cell>
        </row>
        <row r="167">
          <cell r="A167" t="str">
            <v>2 S 01 100 17</v>
          </cell>
          <cell r="B167" t="str">
            <v>Esc. carga tr. mat 1ª c. DMT 1600 a 1800m c/carreg</v>
          </cell>
          <cell r="E167" t="str">
            <v>m3</v>
          </cell>
          <cell r="G167">
            <v>4.83</v>
          </cell>
          <cell r="M167">
            <v>5.26</v>
          </cell>
          <cell r="O167">
            <v>5.44</v>
          </cell>
          <cell r="Q167">
            <v>5.27</v>
          </cell>
          <cell r="S167">
            <v>5.27</v>
          </cell>
        </row>
        <row r="168">
          <cell r="A168" t="str">
            <v>2 S 01 100 18</v>
          </cell>
          <cell r="B168" t="str">
            <v>Esc. carga tr. mat 1ª c. DMT 1800 a 2000m c/carreg</v>
          </cell>
          <cell r="E168" t="str">
            <v>m3</v>
          </cell>
          <cell r="G168">
            <v>5.09</v>
          </cell>
          <cell r="M168">
            <v>5.54</v>
          </cell>
          <cell r="O168">
            <v>5.72</v>
          </cell>
          <cell r="Q168">
            <v>5.54</v>
          </cell>
          <cell r="S168">
            <v>5.54</v>
          </cell>
        </row>
        <row r="169">
          <cell r="A169" t="str">
            <v>2 S 01 100 19</v>
          </cell>
          <cell r="B169" t="str">
            <v>Esc. carga tr. mat 1ª c. DMT 2000 a 3000m c/carreg</v>
          </cell>
          <cell r="E169" t="str">
            <v>m3</v>
          </cell>
          <cell r="G169">
            <v>5.72</v>
          </cell>
          <cell r="M169">
            <v>6.23</v>
          </cell>
          <cell r="O169">
            <v>6.42</v>
          </cell>
          <cell r="Q169">
            <v>6.21</v>
          </cell>
          <cell r="S169">
            <v>6.21</v>
          </cell>
        </row>
        <row r="170">
          <cell r="A170" t="str">
            <v>2 S 01 100 20</v>
          </cell>
          <cell r="B170" t="str">
            <v>Esc. carga tr. mat 1ª c. DMT 3000 a 5000m c/carreg</v>
          </cell>
          <cell r="E170" t="str">
            <v>m3</v>
          </cell>
          <cell r="G170">
            <v>7.5</v>
          </cell>
          <cell r="M170">
            <v>8.15</v>
          </cell>
          <cell r="O170">
            <v>8.36</v>
          </cell>
          <cell r="Q170">
            <v>8.08</v>
          </cell>
          <cell r="S170">
            <v>8.08</v>
          </cell>
        </row>
        <row r="171">
          <cell r="A171" t="str">
            <v>2 S 01 100 21</v>
          </cell>
          <cell r="B171" t="str">
            <v>Escavação carga transp. manual mat.1a cat. DT=20m</v>
          </cell>
          <cell r="E171" t="str">
            <v>m3</v>
          </cell>
          <cell r="G171">
            <v>13.02</v>
          </cell>
          <cell r="M171">
            <v>15.59</v>
          </cell>
          <cell r="O171">
            <v>15.59</v>
          </cell>
          <cell r="Q171">
            <v>15.59</v>
          </cell>
          <cell r="S171">
            <v>15.59</v>
          </cell>
        </row>
        <row r="172">
          <cell r="A172" t="str">
            <v>2 S 01 100 22</v>
          </cell>
          <cell r="B172" t="str">
            <v>Esc. carga transp. mat 1ª cat DMT 50 a 200m c/e</v>
          </cell>
          <cell r="E172" t="str">
            <v>m3</v>
          </cell>
          <cell r="G172">
            <v>3.36</v>
          </cell>
          <cell r="M172">
            <v>3.51</v>
          </cell>
          <cell r="O172">
            <v>3.51</v>
          </cell>
          <cell r="Q172">
            <v>3.02</v>
          </cell>
          <cell r="S172">
            <v>3.02</v>
          </cell>
        </row>
        <row r="173">
          <cell r="A173" t="str">
            <v>2 S 01 100 23</v>
          </cell>
          <cell r="B173" t="str">
            <v>Esc. carga transp. mat 1ª cat DMT 200 a 400m c/e</v>
          </cell>
          <cell r="E173" t="str">
            <v>m3</v>
          </cell>
          <cell r="G173">
            <v>3.67</v>
          </cell>
          <cell r="M173">
            <v>3.85</v>
          </cell>
          <cell r="O173">
            <v>3.86</v>
          </cell>
          <cell r="Q173">
            <v>3.36</v>
          </cell>
          <cell r="S173">
            <v>3.36</v>
          </cell>
        </row>
        <row r="174">
          <cell r="A174" t="str">
            <v>2 S 01 100 24</v>
          </cell>
          <cell r="B174" t="str">
            <v>Esc. carga transp. mat 1ª cat DMT 400 a 600m c/e</v>
          </cell>
          <cell r="E174" t="str">
            <v>m3</v>
          </cell>
          <cell r="G174">
            <v>3.86</v>
          </cell>
          <cell r="M174">
            <v>4.05</v>
          </cell>
          <cell r="O174">
            <v>4.0599999999999996</v>
          </cell>
          <cell r="Q174">
            <v>3.55</v>
          </cell>
          <cell r="S174">
            <v>3.55</v>
          </cell>
        </row>
        <row r="175">
          <cell r="A175" t="str">
            <v>2 S 01 100 25</v>
          </cell>
          <cell r="B175" t="str">
            <v>Esc. carga transp. mat 1ª cat DMT 600 a 800m c/e</v>
          </cell>
          <cell r="E175" t="str">
            <v>m3</v>
          </cell>
          <cell r="G175">
            <v>4.1399999999999997</v>
          </cell>
          <cell r="M175">
            <v>4.3499999999999996</v>
          </cell>
          <cell r="O175">
            <v>4.3600000000000003</v>
          </cell>
          <cell r="Q175">
            <v>3.84</v>
          </cell>
          <cell r="S175">
            <v>3.84</v>
          </cell>
        </row>
        <row r="176">
          <cell r="A176" t="str">
            <v>2 S 01 100 26</v>
          </cell>
          <cell r="B176" t="str">
            <v>Esc. carga transp. mat 1ª cat DMT 800 a 1000m c/e</v>
          </cell>
          <cell r="E176" t="str">
            <v>m3</v>
          </cell>
          <cell r="G176">
            <v>4.4000000000000004</v>
          </cell>
          <cell r="M176">
            <v>4.6399999999999997</v>
          </cell>
          <cell r="O176">
            <v>4.6500000000000004</v>
          </cell>
          <cell r="Q176">
            <v>4.12</v>
          </cell>
          <cell r="S176">
            <v>4.12</v>
          </cell>
        </row>
        <row r="177">
          <cell r="A177" t="str">
            <v>2 S 01 100 27</v>
          </cell>
          <cell r="B177" t="str">
            <v>Esc. carga transp. mat 1ª cat DMT 1000 a 1200m c/e</v>
          </cell>
          <cell r="E177" t="str">
            <v>m3</v>
          </cell>
          <cell r="G177">
            <v>4.62</v>
          </cell>
          <cell r="M177">
            <v>4.87</v>
          </cell>
          <cell r="O177">
            <v>4.88</v>
          </cell>
          <cell r="Q177">
            <v>4.3499999999999996</v>
          </cell>
          <cell r="S177">
            <v>4.3499999999999996</v>
          </cell>
        </row>
        <row r="178">
          <cell r="A178" t="str">
            <v>2 S 01 100 28</v>
          </cell>
          <cell r="B178" t="str">
            <v>Esc. carga transp. mat 1ª cat DMT 1200 a 1400m c/e</v>
          </cell>
          <cell r="E178" t="str">
            <v>m3</v>
          </cell>
          <cell r="G178">
            <v>4.76</v>
          </cell>
          <cell r="M178">
            <v>5.03</v>
          </cell>
          <cell r="O178">
            <v>5.05</v>
          </cell>
          <cell r="Q178">
            <v>4.5</v>
          </cell>
          <cell r="S178">
            <v>4.5</v>
          </cell>
        </row>
        <row r="179">
          <cell r="A179" t="str">
            <v>2 S 01 100 29</v>
          </cell>
          <cell r="B179" t="str">
            <v>Esc. carga transp. mat 1ª cat DMT 1400 a 1600m c/e</v>
          </cell>
          <cell r="E179" t="str">
            <v>m3</v>
          </cell>
          <cell r="G179">
            <v>5.0199999999999996</v>
          </cell>
          <cell r="M179">
            <v>5.31</v>
          </cell>
          <cell r="O179">
            <v>5.33</v>
          </cell>
          <cell r="Q179">
            <v>4.7699999999999996</v>
          </cell>
          <cell r="S179">
            <v>4.7699999999999996</v>
          </cell>
        </row>
        <row r="180">
          <cell r="A180" t="str">
            <v>2 S 01 100 30</v>
          </cell>
          <cell r="B180" t="str">
            <v>Esc. carga transp. mat 1ª cat DMT 1600 a 1800m c/e</v>
          </cell>
          <cell r="E180" t="str">
            <v>m3</v>
          </cell>
          <cell r="G180">
            <v>5.09</v>
          </cell>
          <cell r="M180">
            <v>5.39</v>
          </cell>
          <cell r="O180">
            <v>5.41</v>
          </cell>
          <cell r="Q180">
            <v>4.8499999999999996</v>
          </cell>
          <cell r="S180">
            <v>4.8499999999999996</v>
          </cell>
        </row>
        <row r="181">
          <cell r="A181" t="str">
            <v>2 S 01 100 31</v>
          </cell>
          <cell r="B181" t="str">
            <v>Esc. carga transp. mat 1ª cat DMT 1800 a 2000m c/e</v>
          </cell>
          <cell r="E181" t="str">
            <v>m3</v>
          </cell>
          <cell r="G181">
            <v>5.3</v>
          </cell>
          <cell r="M181">
            <v>5.61</v>
          </cell>
          <cell r="O181">
            <v>5.63</v>
          </cell>
          <cell r="Q181">
            <v>5.07</v>
          </cell>
          <cell r="S181">
            <v>5.07</v>
          </cell>
        </row>
        <row r="182">
          <cell r="A182" t="str">
            <v>2 S 01 100 32</v>
          </cell>
          <cell r="B182" t="str">
            <v>Esc. carga transp. mat 1ª cat DMT 2000 a 3000m c/e</v>
          </cell>
          <cell r="E182" t="str">
            <v>m3</v>
          </cell>
          <cell r="G182">
            <v>5.96</v>
          </cell>
          <cell r="M182">
            <v>6.33</v>
          </cell>
          <cell r="O182">
            <v>6.35</v>
          </cell>
          <cell r="Q182">
            <v>5.76</v>
          </cell>
          <cell r="S182">
            <v>5.76</v>
          </cell>
        </row>
        <row r="183">
          <cell r="A183" t="str">
            <v>2 S 01 100 33</v>
          </cell>
          <cell r="B183" t="str">
            <v>Esc. carga transp. mat 1ª cat DMT 3000 a 5000m c/e</v>
          </cell>
          <cell r="E183" t="str">
            <v>m3</v>
          </cell>
          <cell r="G183">
            <v>7.77</v>
          </cell>
          <cell r="M183">
            <v>8.2799999999999994</v>
          </cell>
          <cell r="O183">
            <v>8.32</v>
          </cell>
          <cell r="Q183">
            <v>7.66</v>
          </cell>
          <cell r="S183">
            <v>7.66</v>
          </cell>
        </row>
        <row r="184">
          <cell r="A184" t="str">
            <v>2 S 01 101 01</v>
          </cell>
          <cell r="B184" t="str">
            <v>Esc. carga transp. mat 2ª cat DMT 50m</v>
          </cell>
          <cell r="E184" t="str">
            <v>m3</v>
          </cell>
          <cell r="G184">
            <v>2.08</v>
          </cell>
          <cell r="M184">
            <v>2.2200000000000002</v>
          </cell>
          <cell r="O184">
            <v>2.38</v>
          </cell>
          <cell r="Q184">
            <v>2.3199999999999998</v>
          </cell>
          <cell r="S184">
            <v>2.3199999999999998</v>
          </cell>
        </row>
        <row r="185">
          <cell r="A185" t="str">
            <v>2 S 01 101 02</v>
          </cell>
          <cell r="B185" t="str">
            <v>Esc. carga transp. mat 2ª cat DMT 50 a 200m c/m</v>
          </cell>
          <cell r="E185" t="str">
            <v>m3</v>
          </cell>
          <cell r="G185">
            <v>4.88</v>
          </cell>
          <cell r="M185">
            <v>5.9</v>
          </cell>
          <cell r="O185">
            <v>6.04</v>
          </cell>
          <cell r="Q185">
            <v>5.88</v>
          </cell>
          <cell r="S185">
            <v>5.88</v>
          </cell>
        </row>
        <row r="186">
          <cell r="A186" t="str">
            <v>2 S 01 101 03</v>
          </cell>
          <cell r="B186" t="str">
            <v>Esc. carga transp. mat 2ª cat DMT 200 a 400m c/m</v>
          </cell>
          <cell r="E186" t="str">
            <v>m3</v>
          </cell>
          <cell r="G186">
            <v>4.9000000000000004</v>
          </cell>
          <cell r="M186">
            <v>5.92</v>
          </cell>
          <cell r="O186">
            <v>6.06</v>
          </cell>
          <cell r="Q186">
            <v>5.9</v>
          </cell>
          <cell r="S186">
            <v>5.9</v>
          </cell>
        </row>
        <row r="187">
          <cell r="A187" t="str">
            <v>2 S 01 101 04</v>
          </cell>
          <cell r="B187" t="str">
            <v>Esc. carga transp. mat 2ª cat DMT 400 a 600m c/m</v>
          </cell>
          <cell r="E187" t="str">
            <v>m3</v>
          </cell>
          <cell r="G187">
            <v>5.9</v>
          </cell>
          <cell r="M187">
            <v>7.21</v>
          </cell>
          <cell r="O187">
            <v>7.35</v>
          </cell>
          <cell r="Q187">
            <v>7.16</v>
          </cell>
          <cell r="S187">
            <v>7.16</v>
          </cell>
        </row>
        <row r="188">
          <cell r="A188" t="str">
            <v>2 S 01 101 05</v>
          </cell>
          <cell r="B188" t="str">
            <v>Esc. carga transp. mat 2ª cat DMT 600 a 800m c/m</v>
          </cell>
          <cell r="E188" t="str">
            <v>m3</v>
          </cell>
          <cell r="G188">
            <v>6.91</v>
          </cell>
          <cell r="M188">
            <v>8.5</v>
          </cell>
          <cell r="O188">
            <v>8.65</v>
          </cell>
          <cell r="Q188">
            <v>8.42</v>
          </cell>
          <cell r="S188">
            <v>8.42</v>
          </cell>
        </row>
        <row r="189">
          <cell r="A189" t="str">
            <v>2 S 01 101 06</v>
          </cell>
          <cell r="B189" t="str">
            <v>Esc. carga transp. mat 2ª cat DMT 800 a 1000m c/m</v>
          </cell>
          <cell r="E189" t="str">
            <v>m3</v>
          </cell>
          <cell r="G189">
            <v>7.91</v>
          </cell>
          <cell r="M189">
            <v>9.8000000000000007</v>
          </cell>
          <cell r="O189">
            <v>9.9499999999999993</v>
          </cell>
          <cell r="Q189">
            <v>9.68</v>
          </cell>
          <cell r="S189">
            <v>9.68</v>
          </cell>
        </row>
        <row r="190">
          <cell r="A190" t="str">
            <v>2 S 01 101 07</v>
          </cell>
          <cell r="B190" t="str">
            <v>Esc. carga transp. mat 2ª cat DMT 1000 a 1200m c/m</v>
          </cell>
          <cell r="E190" t="str">
            <v>m3</v>
          </cell>
          <cell r="G190">
            <v>7.92</v>
          </cell>
          <cell r="M190">
            <v>9.81</v>
          </cell>
          <cell r="O190">
            <v>9.9600000000000009</v>
          </cell>
          <cell r="Q190">
            <v>9.6999999999999993</v>
          </cell>
          <cell r="S190">
            <v>9.6999999999999993</v>
          </cell>
        </row>
        <row r="191">
          <cell r="A191" t="str">
            <v>2 S 01 101 08</v>
          </cell>
          <cell r="B191" t="str">
            <v>Esc. carga transp. mat 2ª cat DMT 1200 a 1400m c/m</v>
          </cell>
          <cell r="E191" t="str">
            <v>m3</v>
          </cell>
          <cell r="G191">
            <v>8.93</v>
          </cell>
          <cell r="M191">
            <v>11.11</v>
          </cell>
          <cell r="O191">
            <v>11.26</v>
          </cell>
          <cell r="Q191">
            <v>10.96</v>
          </cell>
          <cell r="S191">
            <v>10.96</v>
          </cell>
        </row>
        <row r="192">
          <cell r="A192" t="str">
            <v>2 S 01 101 09</v>
          </cell>
          <cell r="B192" t="str">
            <v>Esc. carga tr. mat 2ª c. DMT 50 a 200m c/carreg</v>
          </cell>
          <cell r="E192" t="str">
            <v>m3</v>
          </cell>
          <cell r="G192">
            <v>5.0599999999999996</v>
          </cell>
          <cell r="M192">
            <v>5.49</v>
          </cell>
          <cell r="O192">
            <v>5.79</v>
          </cell>
          <cell r="Q192">
            <v>5.63</v>
          </cell>
          <cell r="S192">
            <v>5.63</v>
          </cell>
        </row>
        <row r="193">
          <cell r="A193" t="str">
            <v>2 S 01 101 10</v>
          </cell>
          <cell r="B193" t="str">
            <v>Esc. carga tr. mat 2ª c. DMT 200 a 400m c/carreg</v>
          </cell>
          <cell r="E193" t="str">
            <v>m3</v>
          </cell>
          <cell r="G193">
            <v>5.46</v>
          </cell>
          <cell r="M193">
            <v>5.94</v>
          </cell>
          <cell r="O193">
            <v>6.24</v>
          </cell>
          <cell r="Q193">
            <v>6.06</v>
          </cell>
          <cell r="S193">
            <v>6.06</v>
          </cell>
        </row>
        <row r="194">
          <cell r="A194" t="str">
            <v>2 S 01 101 11</v>
          </cell>
          <cell r="B194" t="str">
            <v>Esc. carga tr. mat 2a c. DMT 400 a 600m c/carreg</v>
          </cell>
          <cell r="E194" t="str">
            <v>m3</v>
          </cell>
          <cell r="G194">
            <v>5.68</v>
          </cell>
          <cell r="M194">
            <v>6.17</v>
          </cell>
          <cell r="O194">
            <v>6.48</v>
          </cell>
          <cell r="Q194">
            <v>6.29</v>
          </cell>
          <cell r="S194">
            <v>6.29</v>
          </cell>
        </row>
        <row r="195">
          <cell r="A195" t="str">
            <v>2 S 01 101 12</v>
          </cell>
          <cell r="B195" t="str">
            <v>Esc. carga tr. mat 2a c. DMT 600 a 800m c/carreg</v>
          </cell>
          <cell r="E195" t="str">
            <v>m3</v>
          </cell>
          <cell r="G195">
            <v>6.01</v>
          </cell>
          <cell r="M195">
            <v>6.53</v>
          </cell>
          <cell r="O195">
            <v>6.84</v>
          </cell>
          <cell r="Q195">
            <v>6.64</v>
          </cell>
          <cell r="S195">
            <v>6.64</v>
          </cell>
        </row>
        <row r="196">
          <cell r="A196" t="str">
            <v>2 S 01 101 13</v>
          </cell>
          <cell r="B196" t="str">
            <v>Esc. carga tr. mat 2a c. DMT 800 a 1000m c/carreg</v>
          </cell>
          <cell r="E196" t="str">
            <v>m3</v>
          </cell>
          <cell r="G196">
            <v>6.27</v>
          </cell>
          <cell r="M196">
            <v>6.81</v>
          </cell>
          <cell r="O196">
            <v>7.12</v>
          </cell>
          <cell r="Q196">
            <v>6.91</v>
          </cell>
          <cell r="S196">
            <v>6.91</v>
          </cell>
        </row>
        <row r="197">
          <cell r="A197" t="str">
            <v>2 S 01 101 14</v>
          </cell>
          <cell r="B197" t="str">
            <v>Esc. carga tr. mat 2a c. DMT 1000 a 1200m c/carreg</v>
          </cell>
          <cell r="E197" t="str">
            <v>m3</v>
          </cell>
          <cell r="G197">
            <v>6.52</v>
          </cell>
          <cell r="M197">
            <v>7.08</v>
          </cell>
          <cell r="O197">
            <v>7.39</v>
          </cell>
          <cell r="Q197">
            <v>7.17</v>
          </cell>
          <cell r="S197">
            <v>7.17</v>
          </cell>
        </row>
        <row r="198">
          <cell r="A198" t="str">
            <v>2 S 01 101 15</v>
          </cell>
          <cell r="B198" t="str">
            <v>Esc. carga tr. mat 2a c. DMT 1200 a 1400m c/carreg</v>
          </cell>
          <cell r="E198" t="str">
            <v>m3</v>
          </cell>
          <cell r="G198">
            <v>6.76</v>
          </cell>
          <cell r="M198">
            <v>7.33</v>
          </cell>
          <cell r="O198">
            <v>7.65</v>
          </cell>
          <cell r="Q198">
            <v>7.42</v>
          </cell>
          <cell r="S198">
            <v>7.42</v>
          </cell>
        </row>
        <row r="199">
          <cell r="A199" t="str">
            <v>2 S 01 101 16</v>
          </cell>
          <cell r="B199" t="str">
            <v>Esc. carga tr. mat 2a c. DMT 1400 a 1600m c/carreg</v>
          </cell>
          <cell r="E199" t="str">
            <v>m3</v>
          </cell>
          <cell r="G199">
            <v>7</v>
          </cell>
          <cell r="M199">
            <v>7.61</v>
          </cell>
          <cell r="O199">
            <v>7.92</v>
          </cell>
          <cell r="Q199">
            <v>7.68</v>
          </cell>
          <cell r="S199">
            <v>7.68</v>
          </cell>
        </row>
        <row r="200">
          <cell r="A200" t="str">
            <v>2 S 01 101 17</v>
          </cell>
          <cell r="B200" t="str">
            <v>Esc. carga tr. mat 2a c. DMT 1600 a 1800m c/carreg</v>
          </cell>
          <cell r="E200" t="str">
            <v>m3</v>
          </cell>
          <cell r="G200">
            <v>7.17</v>
          </cell>
          <cell r="M200">
            <v>7.78</v>
          </cell>
          <cell r="O200">
            <v>8.1</v>
          </cell>
          <cell r="Q200">
            <v>7.86</v>
          </cell>
          <cell r="S200">
            <v>7.86</v>
          </cell>
        </row>
        <row r="201">
          <cell r="A201" t="str">
            <v>2 S 01 101 18</v>
          </cell>
          <cell r="B201" t="str">
            <v>Esc. carga tr. mat 2a c. DMT 1800 a 2000m c/carreg</v>
          </cell>
          <cell r="E201" t="str">
            <v>m3</v>
          </cell>
          <cell r="G201">
            <v>7.45</v>
          </cell>
          <cell r="M201">
            <v>8.08</v>
          </cell>
          <cell r="O201">
            <v>8.41</v>
          </cell>
          <cell r="Q201">
            <v>8.15</v>
          </cell>
          <cell r="S201">
            <v>8.15</v>
          </cell>
        </row>
        <row r="202">
          <cell r="A202" t="str">
            <v>2 S 01 101 19</v>
          </cell>
          <cell r="B202" t="str">
            <v>Esc. carga tr. mat 2a c. DMT 2000 a 3000m c/carreg</v>
          </cell>
          <cell r="E202" t="str">
            <v>m3</v>
          </cell>
          <cell r="G202">
            <v>8.17</v>
          </cell>
          <cell r="M202">
            <v>8.8699999999999992</v>
          </cell>
          <cell r="O202">
            <v>9.1999999999999993</v>
          </cell>
          <cell r="Q202">
            <v>8.91</v>
          </cell>
          <cell r="S202">
            <v>8.91</v>
          </cell>
        </row>
        <row r="203">
          <cell r="A203" t="str">
            <v>2 S 01 101 20</v>
          </cell>
          <cell r="B203" t="str">
            <v>Esc. carga tr. mat 2a c. DMT 3000 a 5000m c/carreg</v>
          </cell>
          <cell r="E203" t="str">
            <v>m3</v>
          </cell>
          <cell r="G203">
            <v>10.35</v>
          </cell>
          <cell r="M203">
            <v>11.24</v>
          </cell>
          <cell r="O203">
            <v>11.58</v>
          </cell>
          <cell r="Q203">
            <v>11.21</v>
          </cell>
          <cell r="S203">
            <v>11.21</v>
          </cell>
        </row>
        <row r="204">
          <cell r="A204" t="str">
            <v>2 S 01 101 22</v>
          </cell>
          <cell r="B204" t="str">
            <v>Esc. carga transp. mat 2a cat DMT 50 a 200m c/e</v>
          </cell>
          <cell r="E204" t="str">
            <v>m3</v>
          </cell>
          <cell r="G204">
            <v>4.72</v>
          </cell>
          <cell r="M204">
            <v>4.92</v>
          </cell>
          <cell r="O204">
            <v>4.92</v>
          </cell>
          <cell r="Q204">
            <v>4.2</v>
          </cell>
          <cell r="S204">
            <v>4.2</v>
          </cell>
        </row>
        <row r="205">
          <cell r="A205" t="str">
            <v>2 S 01 101 23</v>
          </cell>
          <cell r="B205" t="str">
            <v>Esc. carga transp. mat 2a cat DMT 200 a 400m c/e</v>
          </cell>
          <cell r="E205" t="str">
            <v>m3</v>
          </cell>
          <cell r="G205">
            <v>5.05</v>
          </cell>
          <cell r="M205">
            <v>5.26</v>
          </cell>
          <cell r="O205">
            <v>5.27</v>
          </cell>
          <cell r="Q205">
            <v>4.54</v>
          </cell>
          <cell r="S205">
            <v>4.54</v>
          </cell>
        </row>
        <row r="206">
          <cell r="A206" t="str">
            <v>2 S 01 101 24</v>
          </cell>
          <cell r="B206" t="str">
            <v>Esc. carga transp. mat 2a cat DMT 400 a 600m c/e</v>
          </cell>
          <cell r="E206" t="str">
            <v>m3</v>
          </cell>
          <cell r="G206">
            <v>5.35</v>
          </cell>
          <cell r="M206">
            <v>5.6</v>
          </cell>
          <cell r="O206">
            <v>5.61</v>
          </cell>
          <cell r="Q206">
            <v>4.87</v>
          </cell>
          <cell r="S206">
            <v>4.87</v>
          </cell>
        </row>
        <row r="207">
          <cell r="A207" t="str">
            <v>2 S 01 101 25</v>
          </cell>
          <cell r="B207" t="str">
            <v>Esc. carga transp. mat 2a cat DMT 600 a 800m c/e</v>
          </cell>
          <cell r="E207" t="str">
            <v>m3</v>
          </cell>
          <cell r="G207">
            <v>5.69</v>
          </cell>
          <cell r="M207">
            <v>5.97</v>
          </cell>
          <cell r="O207">
            <v>5.98</v>
          </cell>
          <cell r="Q207">
            <v>5.22</v>
          </cell>
          <cell r="S207">
            <v>5.22</v>
          </cell>
        </row>
        <row r="208">
          <cell r="A208" t="str">
            <v>2 S 01 101 26</v>
          </cell>
          <cell r="B208" t="str">
            <v>Esc. carga transp. mat 2a cat DMT 800 a 1000m c/e</v>
          </cell>
          <cell r="E208" t="str">
            <v>m3</v>
          </cell>
          <cell r="G208">
            <v>5.95</v>
          </cell>
          <cell r="M208">
            <v>6.24</v>
          </cell>
          <cell r="O208">
            <v>6.26</v>
          </cell>
          <cell r="Q208">
            <v>5.49</v>
          </cell>
          <cell r="S208">
            <v>5.49</v>
          </cell>
        </row>
        <row r="209">
          <cell r="A209" t="str">
            <v>2 S 01 101 27</v>
          </cell>
          <cell r="B209" t="str">
            <v>Esc. carga transp. mat 2a cat DMT 1000 a 1200m c/e</v>
          </cell>
          <cell r="E209" t="str">
            <v>m3</v>
          </cell>
          <cell r="G209">
            <v>6.19</v>
          </cell>
          <cell r="M209">
            <v>6.51</v>
          </cell>
          <cell r="O209">
            <v>6.53</v>
          </cell>
          <cell r="Q209">
            <v>5.75</v>
          </cell>
          <cell r="S209">
            <v>5.75</v>
          </cell>
        </row>
        <row r="210">
          <cell r="A210" t="str">
            <v>2 S 01 101 28</v>
          </cell>
          <cell r="B210" t="str">
            <v>Esc. carga transp. mat 2a cat DMT 1200 a 1400m c/e</v>
          </cell>
          <cell r="E210" t="str">
            <v>m3</v>
          </cell>
          <cell r="G210">
            <v>6.49</v>
          </cell>
          <cell r="M210">
            <v>6.83</v>
          </cell>
          <cell r="O210">
            <v>6.86</v>
          </cell>
          <cell r="Q210">
            <v>6.06</v>
          </cell>
          <cell r="S210">
            <v>6.06</v>
          </cell>
        </row>
        <row r="211">
          <cell r="A211" t="str">
            <v>2 S 01 101 29</v>
          </cell>
          <cell r="B211" t="str">
            <v>Esc. carga transp. mat 2a cat DMT 1400 a 1600m c/e</v>
          </cell>
          <cell r="E211" t="str">
            <v>m3</v>
          </cell>
          <cell r="G211">
            <v>6.7</v>
          </cell>
          <cell r="M211">
            <v>7.06</v>
          </cell>
          <cell r="O211">
            <v>7.08</v>
          </cell>
          <cell r="Q211">
            <v>6.28</v>
          </cell>
          <cell r="S211">
            <v>6.28</v>
          </cell>
        </row>
        <row r="212">
          <cell r="A212" t="str">
            <v>2 S 01 101 30</v>
          </cell>
          <cell r="B212" t="str">
            <v>Esc. carga transp. mat 2a cat DMT 1600 a 1800m c/e</v>
          </cell>
          <cell r="E212" t="str">
            <v>m3</v>
          </cell>
          <cell r="G212">
            <v>6.79</v>
          </cell>
          <cell r="M212">
            <v>7.16</v>
          </cell>
          <cell r="O212">
            <v>7.19</v>
          </cell>
          <cell r="Q212">
            <v>6.39</v>
          </cell>
          <cell r="S212">
            <v>6.39</v>
          </cell>
        </row>
        <row r="213">
          <cell r="A213" t="str">
            <v>2 S 01 101 31</v>
          </cell>
          <cell r="B213" t="str">
            <v>Esc. carga transp. mat 2a cat DMT 1800 a 2000m c/e</v>
          </cell>
          <cell r="E213" t="str">
            <v>m3</v>
          </cell>
          <cell r="G213">
            <v>7.09</v>
          </cell>
          <cell r="M213">
            <v>7.47</v>
          </cell>
          <cell r="O213">
            <v>7.51</v>
          </cell>
          <cell r="Q213">
            <v>6.69</v>
          </cell>
          <cell r="S213">
            <v>6.69</v>
          </cell>
        </row>
        <row r="214">
          <cell r="A214" t="str">
            <v>2 S 01 101 32</v>
          </cell>
          <cell r="B214" t="str">
            <v>Esc. carga transp. mat 2a cat DMT 2000 a 3000m c/e</v>
          </cell>
          <cell r="E214" t="str">
            <v>m3</v>
          </cell>
          <cell r="G214">
            <v>7.94</v>
          </cell>
          <cell r="M214">
            <v>8.4</v>
          </cell>
          <cell r="O214">
            <v>8.44</v>
          </cell>
          <cell r="Q214">
            <v>7.59</v>
          </cell>
          <cell r="S214">
            <v>7.59</v>
          </cell>
        </row>
        <row r="215">
          <cell r="A215" t="str">
            <v>2 S 01 101 33</v>
          </cell>
          <cell r="B215" t="str">
            <v>Esc. carga transp. mat 2a cat DMT 3000 a 5000m c/e</v>
          </cell>
          <cell r="E215" t="str">
            <v>m3</v>
          </cell>
          <cell r="G215">
            <v>10.14</v>
          </cell>
          <cell r="M215">
            <v>10.78</v>
          </cell>
          <cell r="O215">
            <v>10.84</v>
          </cell>
          <cell r="Q215">
            <v>9.91</v>
          </cell>
          <cell r="S215">
            <v>9.91</v>
          </cell>
        </row>
        <row r="216">
          <cell r="A216" t="str">
            <v>2 S 01 102 01</v>
          </cell>
          <cell r="B216" t="str">
            <v>Esc. carga transp. mat 3a cat DMT até 50m</v>
          </cell>
          <cell r="E216" t="str">
            <v>m3</v>
          </cell>
          <cell r="G216">
            <v>15.53</v>
          </cell>
          <cell r="M216">
            <v>16.93</v>
          </cell>
          <cell r="O216">
            <v>17.61</v>
          </cell>
          <cell r="Q216">
            <v>17.11</v>
          </cell>
          <cell r="S216">
            <v>19.27</v>
          </cell>
        </row>
        <row r="217">
          <cell r="A217" t="str">
            <v>2 S 01 102 02</v>
          </cell>
          <cell r="B217" t="str">
            <v>Esc. carga transp. mat 3a cat DMT 50 a 200m</v>
          </cell>
          <cell r="E217" t="str">
            <v>m3</v>
          </cell>
          <cell r="G217">
            <v>17.59</v>
          </cell>
          <cell r="M217">
            <v>19.350000000000001</v>
          </cell>
          <cell r="O217">
            <v>20.02</v>
          </cell>
          <cell r="Q217">
            <v>19.43</v>
          </cell>
          <cell r="S217">
            <v>21.59</v>
          </cell>
        </row>
        <row r="218">
          <cell r="A218" t="str">
            <v>2 S 01 102 03</v>
          </cell>
          <cell r="B218" t="str">
            <v>Esc. carga transp. mat 3a cat DMT 200 a 400m</v>
          </cell>
          <cell r="E218" t="str">
            <v>m3</v>
          </cell>
          <cell r="G218">
            <v>18.059999999999999</v>
          </cell>
          <cell r="M218">
            <v>19.86</v>
          </cell>
          <cell r="O218">
            <v>20.54</v>
          </cell>
          <cell r="Q218">
            <v>19.93</v>
          </cell>
          <cell r="S218">
            <v>22.09</v>
          </cell>
        </row>
        <row r="219">
          <cell r="A219" t="str">
            <v>2 S 01 102 04</v>
          </cell>
          <cell r="B219" t="str">
            <v>Esc. carga transp. mat 3a cat DMT 400 a 600m</v>
          </cell>
          <cell r="E219" t="str">
            <v>m3</v>
          </cell>
          <cell r="G219">
            <v>18.7</v>
          </cell>
          <cell r="M219">
            <v>20.6</v>
          </cell>
          <cell r="O219">
            <v>21.27</v>
          </cell>
          <cell r="Q219">
            <v>20.65</v>
          </cell>
          <cell r="S219">
            <v>22.81</v>
          </cell>
        </row>
        <row r="220">
          <cell r="A220" t="str">
            <v>2 S 01 102 05</v>
          </cell>
          <cell r="B220" t="str">
            <v>Esc. carga transp. mat 3a cat DMT 600 a 800m</v>
          </cell>
          <cell r="E220" t="str">
            <v>m3</v>
          </cell>
          <cell r="G220">
            <v>19.170000000000002</v>
          </cell>
          <cell r="M220">
            <v>21.12</v>
          </cell>
          <cell r="O220">
            <v>21.79</v>
          </cell>
          <cell r="Q220">
            <v>21.15</v>
          </cell>
          <cell r="S220">
            <v>23.31</v>
          </cell>
        </row>
        <row r="221">
          <cell r="A221" t="str">
            <v>2 S 01 102 06</v>
          </cell>
          <cell r="B221" t="str">
            <v>Esc. carga transp. mat 3a cat DMT 800 a 1000m</v>
          </cell>
          <cell r="E221" t="str">
            <v>m3</v>
          </cell>
          <cell r="G221">
            <v>19.64</v>
          </cell>
          <cell r="M221">
            <v>21.64</v>
          </cell>
          <cell r="O221">
            <v>22.31</v>
          </cell>
          <cell r="Q221">
            <v>21.65</v>
          </cell>
          <cell r="S221">
            <v>23.81</v>
          </cell>
        </row>
        <row r="222">
          <cell r="A222" t="str">
            <v>2 S 01 102 07</v>
          </cell>
          <cell r="B222" t="str">
            <v>Esc. carga transp. mat 3a cat DMT 1000 a 1200m</v>
          </cell>
          <cell r="E222" t="str">
            <v>m3</v>
          </cell>
          <cell r="G222">
            <v>19.84</v>
          </cell>
          <cell r="M222">
            <v>21.86</v>
          </cell>
          <cell r="O222">
            <v>22.54</v>
          </cell>
          <cell r="Q222">
            <v>21.87</v>
          </cell>
          <cell r="S222">
            <v>24.02</v>
          </cell>
        </row>
        <row r="223">
          <cell r="A223" t="str">
            <v>2 S 01 300 01</v>
          </cell>
          <cell r="B223" t="str">
            <v>Esc. carga transp. solos moles DMT 0 a 200m</v>
          </cell>
          <cell r="E223" t="str">
            <v>m3</v>
          </cell>
          <cell r="G223">
            <v>9.18</v>
          </cell>
          <cell r="M223">
            <v>9.98</v>
          </cell>
          <cell r="O223">
            <v>10.49</v>
          </cell>
          <cell r="Q223">
            <v>10.210000000000001</v>
          </cell>
          <cell r="S223">
            <v>10.210000000000001</v>
          </cell>
        </row>
        <row r="224">
          <cell r="A224" t="str">
            <v>2 S 01 300 02</v>
          </cell>
          <cell r="B224" t="str">
            <v>Esc. carga transp. solos moles DMT 200 a 400m</v>
          </cell>
          <cell r="E224" t="str">
            <v>m3</v>
          </cell>
          <cell r="G224">
            <v>9.91</v>
          </cell>
          <cell r="M224">
            <v>10.78</v>
          </cell>
          <cell r="O224">
            <v>11.3</v>
          </cell>
          <cell r="Q224">
            <v>10.98</v>
          </cell>
          <cell r="S224">
            <v>10.98</v>
          </cell>
        </row>
        <row r="225">
          <cell r="A225" t="str">
            <v>2 S 01 300 03</v>
          </cell>
          <cell r="B225" t="str">
            <v>Esc. carga transp. solos moles DMT 400 a 600m</v>
          </cell>
          <cell r="E225" t="str">
            <v>m3</v>
          </cell>
          <cell r="G225">
            <v>10.220000000000001</v>
          </cell>
          <cell r="M225">
            <v>11.13</v>
          </cell>
          <cell r="O225">
            <v>11.64</v>
          </cell>
          <cell r="Q225">
            <v>11.31</v>
          </cell>
          <cell r="S225">
            <v>11.31</v>
          </cell>
        </row>
        <row r="226">
          <cell r="A226" t="str">
            <v>2 S 01 300 04</v>
          </cell>
          <cell r="B226" t="str">
            <v>Esc. carga transp. solos moles DMT 600 a 800m</v>
          </cell>
          <cell r="E226" t="str">
            <v>m3</v>
          </cell>
          <cell r="G226">
            <v>10.59</v>
          </cell>
          <cell r="M226">
            <v>11.53</v>
          </cell>
          <cell r="O226">
            <v>12.04</v>
          </cell>
          <cell r="Q226">
            <v>11.7</v>
          </cell>
          <cell r="S226">
            <v>11.7</v>
          </cell>
        </row>
        <row r="227">
          <cell r="A227" t="str">
            <v>2 S 01 300 05</v>
          </cell>
          <cell r="B227" t="str">
            <v>Esc. carga transp. solos moles DMT 800 a 1000m</v>
          </cell>
          <cell r="E227" t="str">
            <v>m3</v>
          </cell>
          <cell r="G227">
            <v>11.25</v>
          </cell>
          <cell r="M227">
            <v>12.29</v>
          </cell>
          <cell r="O227">
            <v>12.8</v>
          </cell>
          <cell r="Q227">
            <v>12.43</v>
          </cell>
          <cell r="S227">
            <v>12.43</v>
          </cell>
        </row>
        <row r="228">
          <cell r="A228" t="str">
            <v>2 S 01 510 00</v>
          </cell>
          <cell r="B228" t="str">
            <v>Compactação de aterros a 95% proctor normal</v>
          </cell>
          <cell r="E228" t="str">
            <v>m3</v>
          </cell>
          <cell r="G228">
            <v>1.37</v>
          </cell>
          <cell r="M228">
            <v>1.53</v>
          </cell>
          <cell r="O228">
            <v>1.56</v>
          </cell>
          <cell r="Q228">
            <v>1.51</v>
          </cell>
          <cell r="S228">
            <v>1.51</v>
          </cell>
        </row>
        <row r="229">
          <cell r="A229" t="str">
            <v>2 S 01 511 00</v>
          </cell>
          <cell r="B229" t="str">
            <v>Compactação de aterros a 100% proctor normal</v>
          </cell>
          <cell r="E229" t="str">
            <v>m3</v>
          </cell>
          <cell r="G229">
            <v>1.59</v>
          </cell>
          <cell r="M229">
            <v>1.78</v>
          </cell>
          <cell r="O229">
            <v>1.81</v>
          </cell>
          <cell r="Q229">
            <v>1.75</v>
          </cell>
          <cell r="S229">
            <v>1.75</v>
          </cell>
        </row>
        <row r="230">
          <cell r="A230" t="str">
            <v>2 S 01 512 01</v>
          </cell>
          <cell r="B230" t="str">
            <v>Construção de corpo de aterro em rocha</v>
          </cell>
          <cell r="E230" t="str">
            <v>m3</v>
          </cell>
          <cell r="G230">
            <v>4.46</v>
          </cell>
          <cell r="M230">
            <v>4.78</v>
          </cell>
          <cell r="O230">
            <v>5.1100000000000003</v>
          </cell>
          <cell r="Q230">
            <v>4.9800000000000004</v>
          </cell>
          <cell r="S230">
            <v>4.9800000000000004</v>
          </cell>
        </row>
        <row r="231">
          <cell r="A231" t="str">
            <v>2 S 01 512 02</v>
          </cell>
          <cell r="B231" t="str">
            <v>Compactação de camada final de aterro de rocha</v>
          </cell>
          <cell r="E231" t="str">
            <v>m3</v>
          </cell>
          <cell r="G231">
            <v>11.7</v>
          </cell>
          <cell r="M231">
            <v>12.93</v>
          </cell>
          <cell r="O231">
            <v>13.4</v>
          </cell>
          <cell r="Q231">
            <v>13.07</v>
          </cell>
          <cell r="S231">
            <v>13.43</v>
          </cell>
        </row>
        <row r="232">
          <cell r="A232" t="str">
            <v>2 S 01 513 01</v>
          </cell>
          <cell r="B232" t="str">
            <v>Compactação de material de "bota-fora"</v>
          </cell>
          <cell r="E232" t="str">
            <v>m3</v>
          </cell>
          <cell r="G232">
            <v>1.07</v>
          </cell>
          <cell r="M232">
            <v>1.2</v>
          </cell>
          <cell r="O232">
            <v>1.22</v>
          </cell>
          <cell r="Q232">
            <v>1.18</v>
          </cell>
          <cell r="S232">
            <v>1.18</v>
          </cell>
        </row>
        <row r="233">
          <cell r="A233" t="str">
            <v>2 S 02 100 00</v>
          </cell>
          <cell r="B233" t="str">
            <v>Reforço do subleito</v>
          </cell>
          <cell r="E233" t="str">
            <v>m3</v>
          </cell>
          <cell r="G233">
            <v>7.38</v>
          </cell>
          <cell r="M233">
            <v>7.89</v>
          </cell>
          <cell r="O233">
            <v>8.2899999999999991</v>
          </cell>
          <cell r="Q233">
            <v>8.11</v>
          </cell>
          <cell r="S233">
            <v>8.11</v>
          </cell>
        </row>
        <row r="234">
          <cell r="A234" t="str">
            <v>2 S 02 110 00</v>
          </cell>
          <cell r="B234" t="str">
            <v>Regularização do subleito</v>
          </cell>
          <cell r="E234" t="str">
            <v>m2</v>
          </cell>
          <cell r="G234">
            <v>0.42</v>
          </cell>
          <cell r="M234">
            <v>0.47</v>
          </cell>
          <cell r="O234">
            <v>0.48</v>
          </cell>
          <cell r="Q234">
            <v>0.46</v>
          </cell>
          <cell r="S234">
            <v>0.46</v>
          </cell>
        </row>
        <row r="235">
          <cell r="A235" t="str">
            <v>2 S 02 110 01</v>
          </cell>
          <cell r="B235" t="str">
            <v>Regul. subleito c/ fres. corte contr.autom. greide</v>
          </cell>
          <cell r="E235" t="str">
            <v>m2</v>
          </cell>
          <cell r="G235">
            <v>0.69</v>
          </cell>
          <cell r="M235">
            <v>0.75</v>
          </cell>
          <cell r="O235">
            <v>0.75</v>
          </cell>
          <cell r="Q235">
            <v>0.73</v>
          </cell>
          <cell r="S235">
            <v>0.73</v>
          </cell>
        </row>
        <row r="236">
          <cell r="A236" t="str">
            <v>2 S 02 200 00</v>
          </cell>
          <cell r="B236" t="str">
            <v>Sub-base solo estabilizado granul. s/ mistura</v>
          </cell>
          <cell r="E236" t="str">
            <v>m3</v>
          </cell>
          <cell r="G236">
            <v>7.38</v>
          </cell>
          <cell r="M236">
            <v>7.89</v>
          </cell>
          <cell r="O236">
            <v>8.2899999999999991</v>
          </cell>
          <cell r="Q236">
            <v>8.11</v>
          </cell>
          <cell r="S236">
            <v>8.11</v>
          </cell>
        </row>
        <row r="237">
          <cell r="A237" t="str">
            <v>2 S 02 200 01</v>
          </cell>
          <cell r="B237" t="str">
            <v>Base solo estabilizado granul. s/ mistura</v>
          </cell>
          <cell r="E237" t="str">
            <v>m3</v>
          </cell>
          <cell r="G237">
            <v>7.38</v>
          </cell>
          <cell r="M237">
            <v>7.89</v>
          </cell>
          <cell r="O237">
            <v>8.2899999999999991</v>
          </cell>
          <cell r="Q237">
            <v>8.11</v>
          </cell>
          <cell r="S237">
            <v>8.11</v>
          </cell>
        </row>
        <row r="238">
          <cell r="A238" t="str">
            <v>2 S 02 210 00</v>
          </cell>
          <cell r="B238" t="str">
            <v>Sub-base estab. granul. c/ mistura solo na pista</v>
          </cell>
          <cell r="E238" t="str">
            <v>m3</v>
          </cell>
          <cell r="G238">
            <v>7.94</v>
          </cell>
          <cell r="M238">
            <v>8.51</v>
          </cell>
          <cell r="O238">
            <v>8.93</v>
          </cell>
          <cell r="Q238">
            <v>8.73</v>
          </cell>
          <cell r="S238">
            <v>8.73</v>
          </cell>
        </row>
        <row r="239">
          <cell r="A239" t="str">
            <v>2 S 02 210 01</v>
          </cell>
          <cell r="B239" t="str">
            <v>Sub-base estab. granul. c/ mist. solo-areia pista</v>
          </cell>
          <cell r="E239" t="str">
            <v>m3</v>
          </cell>
          <cell r="G239">
            <v>8.86</v>
          </cell>
          <cell r="M239">
            <v>9.49</v>
          </cell>
          <cell r="O239">
            <v>10.02</v>
          </cell>
          <cell r="Q239">
            <v>9.81</v>
          </cell>
          <cell r="S239">
            <v>9.81</v>
          </cell>
        </row>
        <row r="240">
          <cell r="A240" t="str">
            <v>2 S 02 210 02</v>
          </cell>
          <cell r="B240" t="str">
            <v>Base estab.granul.c/ mist.solo - areia na pista</v>
          </cell>
          <cell r="E240" t="str">
            <v>m3</v>
          </cell>
          <cell r="G240">
            <v>8.86</v>
          </cell>
          <cell r="M240">
            <v>9.49</v>
          </cell>
          <cell r="O240">
            <v>10.02</v>
          </cell>
          <cell r="Q240">
            <v>9.81</v>
          </cell>
          <cell r="S240">
            <v>9.81</v>
          </cell>
        </row>
        <row r="241">
          <cell r="A241" t="str">
            <v>2 S 02 220 00</v>
          </cell>
          <cell r="B241" t="str">
            <v>Base estab.granul.c/ mistura solo - brita</v>
          </cell>
          <cell r="E241" t="str">
            <v>m3</v>
          </cell>
          <cell r="G241">
            <v>23.78</v>
          </cell>
          <cell r="M241">
            <v>26.3</v>
          </cell>
          <cell r="O241">
            <v>27.11</v>
          </cell>
          <cell r="Q241">
            <v>26.45</v>
          </cell>
          <cell r="S241">
            <v>27.24</v>
          </cell>
        </row>
        <row r="242">
          <cell r="A242" t="str">
            <v>2 S 02 230 00</v>
          </cell>
          <cell r="B242" t="str">
            <v>Base de brita graduada</v>
          </cell>
          <cell r="E242" t="str">
            <v>m3</v>
          </cell>
          <cell r="G242">
            <v>37.299999999999997</v>
          </cell>
          <cell r="M242">
            <v>41.95</v>
          </cell>
          <cell r="O242">
            <v>42.92</v>
          </cell>
          <cell r="Q242">
            <v>41.88</v>
          </cell>
          <cell r="S242">
            <v>43.85</v>
          </cell>
        </row>
        <row r="243">
          <cell r="A243" t="str">
            <v>2 S 02 230 01</v>
          </cell>
          <cell r="B243" t="str">
            <v>Base brita grad. c/ dist. agreg. contr. de greide</v>
          </cell>
          <cell r="E243" t="str">
            <v>m3</v>
          </cell>
          <cell r="G243">
            <v>38.340000000000003</v>
          </cell>
          <cell r="M243">
            <v>42.98</v>
          </cell>
          <cell r="O243">
            <v>43.93</v>
          </cell>
          <cell r="Q243">
            <v>42.88</v>
          </cell>
          <cell r="S243">
            <v>44.85</v>
          </cell>
        </row>
        <row r="244">
          <cell r="A244" t="str">
            <v>2 S 02 231 00</v>
          </cell>
          <cell r="B244" t="str">
            <v>Base de macadame hidráulico</v>
          </cell>
          <cell r="E244" t="str">
            <v>m3</v>
          </cell>
          <cell r="G244">
            <v>32.799999999999997</v>
          </cell>
          <cell r="M244">
            <v>36.840000000000003</v>
          </cell>
          <cell r="O244">
            <v>37.630000000000003</v>
          </cell>
          <cell r="Q244">
            <v>36.729999999999997</v>
          </cell>
          <cell r="S244">
            <v>38.57</v>
          </cell>
        </row>
        <row r="245">
          <cell r="A245" t="str">
            <v>2 S 02 241 01</v>
          </cell>
          <cell r="B245" t="str">
            <v>Base de solo cimento c/ mistura em usina</v>
          </cell>
          <cell r="E245" t="str">
            <v>m3</v>
          </cell>
          <cell r="G245">
            <v>99.82</v>
          </cell>
          <cell r="M245">
            <v>105.98</v>
          </cell>
          <cell r="O245">
            <v>109.32</v>
          </cell>
          <cell r="Q245">
            <v>104.26</v>
          </cell>
          <cell r="S245">
            <v>110.33</v>
          </cell>
        </row>
        <row r="246">
          <cell r="A246" t="str">
            <v>2 S 02 243 01</v>
          </cell>
          <cell r="B246" t="str">
            <v>Sub-base de solo melhor. c/ cimento mist. em usina</v>
          </cell>
          <cell r="E246" t="str">
            <v>m3</v>
          </cell>
          <cell r="G246">
            <v>57.1</v>
          </cell>
          <cell r="M246">
            <v>60.64</v>
          </cell>
          <cell r="O246">
            <v>62.57</v>
          </cell>
          <cell r="Q246">
            <v>59.86</v>
          </cell>
          <cell r="S246">
            <v>62.89</v>
          </cell>
        </row>
        <row r="247">
          <cell r="A247" t="str">
            <v>2 S 02 300 00</v>
          </cell>
          <cell r="B247" t="str">
            <v>Imprimação</v>
          </cell>
          <cell r="E247" t="str">
            <v>m2</v>
          </cell>
          <cell r="G247">
            <v>0.12</v>
          </cell>
          <cell r="M247">
            <v>0.14000000000000001</v>
          </cell>
          <cell r="O247">
            <v>0.14000000000000001</v>
          </cell>
          <cell r="Q247">
            <v>0.13</v>
          </cell>
          <cell r="S247">
            <v>0.13</v>
          </cell>
        </row>
        <row r="248">
          <cell r="A248" t="str">
            <v>2 S 02 400 00</v>
          </cell>
          <cell r="B248" t="str">
            <v>Pintura de ligação</v>
          </cell>
          <cell r="E248" t="str">
            <v>m2</v>
          </cell>
          <cell r="G248">
            <v>0.08</v>
          </cell>
          <cell r="M248">
            <v>0.1</v>
          </cell>
          <cell r="O248">
            <v>0.1</v>
          </cell>
          <cell r="Q248">
            <v>0.09</v>
          </cell>
          <cell r="S248">
            <v>0.09</v>
          </cell>
        </row>
        <row r="249">
          <cell r="A249" t="str">
            <v>2 S 02 500 00</v>
          </cell>
          <cell r="B249" t="str">
            <v>Tratamento superficial simples c/ cap</v>
          </cell>
          <cell r="E249" t="str">
            <v>m2</v>
          </cell>
          <cell r="G249">
            <v>0.43</v>
          </cell>
          <cell r="M249">
            <v>0.49</v>
          </cell>
          <cell r="O249">
            <v>0.49</v>
          </cell>
          <cell r="Q249">
            <v>0.48</v>
          </cell>
          <cell r="S249">
            <v>0.5</v>
          </cell>
        </row>
        <row r="250">
          <cell r="A250" t="str">
            <v>2 S 02 500 01</v>
          </cell>
          <cell r="B250" t="str">
            <v>Tratamento superficial simples c/ emulsão</v>
          </cell>
          <cell r="E250" t="str">
            <v>m2</v>
          </cell>
          <cell r="G250">
            <v>0.4</v>
          </cell>
          <cell r="M250">
            <v>0.46</v>
          </cell>
          <cell r="O250">
            <v>0.46</v>
          </cell>
          <cell r="Q250">
            <v>0.45</v>
          </cell>
          <cell r="S250">
            <v>0.46</v>
          </cell>
        </row>
        <row r="251">
          <cell r="A251" t="str">
            <v>2 S 02 500 02</v>
          </cell>
          <cell r="B251" t="str">
            <v>Tratamento superficial simples c/ banho diluído</v>
          </cell>
          <cell r="E251" t="str">
            <v>m2</v>
          </cell>
          <cell r="G251">
            <v>0.46</v>
          </cell>
          <cell r="M251">
            <v>0.53</v>
          </cell>
          <cell r="O251">
            <v>0.53</v>
          </cell>
          <cell r="Q251">
            <v>0.52</v>
          </cell>
          <cell r="S251">
            <v>0.53</v>
          </cell>
        </row>
        <row r="252">
          <cell r="A252" t="str">
            <v>2 S 02 501 00</v>
          </cell>
          <cell r="B252" t="str">
            <v>Tratamento superficial duplo c/ cap</v>
          </cell>
          <cell r="E252" t="str">
            <v>m2</v>
          </cell>
          <cell r="G252">
            <v>1.26</v>
          </cell>
          <cell r="M252">
            <v>1.44</v>
          </cell>
          <cell r="O252">
            <v>1.45</v>
          </cell>
          <cell r="Q252">
            <v>1.42</v>
          </cell>
          <cell r="S252">
            <v>1.46</v>
          </cell>
        </row>
        <row r="253">
          <cell r="A253" t="str">
            <v>2 S 02 501 01</v>
          </cell>
          <cell r="B253" t="str">
            <v>Tratamento superficial duplo c/ emulsão</v>
          </cell>
          <cell r="E253" t="str">
            <v>m2</v>
          </cell>
          <cell r="G253">
            <v>1.25</v>
          </cell>
          <cell r="M253">
            <v>1.43</v>
          </cell>
          <cell r="O253">
            <v>1.44</v>
          </cell>
          <cell r="Q253">
            <v>1.41</v>
          </cell>
          <cell r="S253">
            <v>1.45</v>
          </cell>
        </row>
        <row r="254">
          <cell r="A254" t="str">
            <v>2 S 02 501 02</v>
          </cell>
          <cell r="B254" t="str">
            <v>Tratamento superficial duplo c/ banho diluído</v>
          </cell>
          <cell r="E254" t="str">
            <v>m2</v>
          </cell>
          <cell r="G254">
            <v>1.39</v>
          </cell>
          <cell r="M254">
            <v>1.58</v>
          </cell>
          <cell r="O254">
            <v>1.6</v>
          </cell>
          <cell r="Q254">
            <v>1.56</v>
          </cell>
          <cell r="S254">
            <v>1.6</v>
          </cell>
        </row>
        <row r="255">
          <cell r="A255" t="str">
            <v>2 S 02 502 00</v>
          </cell>
          <cell r="B255" t="str">
            <v>Tratamento superficial triplo c/ cap</v>
          </cell>
          <cell r="E255" t="str">
            <v>m2</v>
          </cell>
          <cell r="G255">
            <v>1.81</v>
          </cell>
          <cell r="M255">
            <v>2.06</v>
          </cell>
          <cell r="O255">
            <v>2.08</v>
          </cell>
          <cell r="Q255">
            <v>2.0299999999999998</v>
          </cell>
          <cell r="S255">
            <v>2.0699999999999998</v>
          </cell>
        </row>
        <row r="256">
          <cell r="A256" t="str">
            <v>2 S 02 502 01</v>
          </cell>
          <cell r="B256" t="str">
            <v>Tratamento superficial triplo c/ emulsão</v>
          </cell>
          <cell r="E256" t="str">
            <v>m2</v>
          </cell>
          <cell r="G256">
            <v>1.83</v>
          </cell>
          <cell r="M256">
            <v>2.09</v>
          </cell>
          <cell r="O256">
            <v>2.1</v>
          </cell>
          <cell r="Q256">
            <v>2.0499999999999998</v>
          </cell>
          <cell r="S256">
            <v>2.1</v>
          </cell>
        </row>
        <row r="257">
          <cell r="A257" t="str">
            <v>2 S 02 502 02</v>
          </cell>
          <cell r="B257" t="str">
            <v>Tratamento superficial triplo c/ banho diluído</v>
          </cell>
          <cell r="E257" t="str">
            <v>m2</v>
          </cell>
          <cell r="G257">
            <v>1.99</v>
          </cell>
          <cell r="M257">
            <v>2.27</v>
          </cell>
          <cell r="O257">
            <v>2.29</v>
          </cell>
          <cell r="Q257">
            <v>2.23</v>
          </cell>
          <cell r="S257">
            <v>2.2799999999999998</v>
          </cell>
        </row>
        <row r="258">
          <cell r="A258" t="str">
            <v>2 S 02 530 00</v>
          </cell>
          <cell r="B258" t="str">
            <v>Pré-misturado a frio</v>
          </cell>
          <cell r="E258" t="str">
            <v>m3</v>
          </cell>
          <cell r="G258">
            <v>51.95</v>
          </cell>
          <cell r="M258">
            <v>58.27</v>
          </cell>
          <cell r="O258">
            <v>59.33</v>
          </cell>
          <cell r="Q258">
            <v>57.91</v>
          </cell>
          <cell r="S258">
            <v>59.46</v>
          </cell>
        </row>
        <row r="259">
          <cell r="A259" t="str">
            <v>2 S 02 531 00</v>
          </cell>
          <cell r="B259" t="str">
            <v>Macadame betuminoso por penetração</v>
          </cell>
          <cell r="E259" t="str">
            <v>m3</v>
          </cell>
          <cell r="G259">
            <v>44.59</v>
          </cell>
          <cell r="M259">
            <v>50.28</v>
          </cell>
          <cell r="O259">
            <v>51.03</v>
          </cell>
          <cell r="Q259">
            <v>49.93</v>
          </cell>
          <cell r="S259">
            <v>51.81</v>
          </cell>
        </row>
        <row r="260">
          <cell r="A260" t="str">
            <v>2 S 02 532 00</v>
          </cell>
          <cell r="B260" t="str">
            <v>Areia-asfalto a quente</v>
          </cell>
          <cell r="E260" t="str">
            <v>t</v>
          </cell>
          <cell r="G260">
            <v>35.71</v>
          </cell>
          <cell r="M260">
            <v>38.22</v>
          </cell>
          <cell r="O260">
            <v>38.67</v>
          </cell>
          <cell r="Q260">
            <v>45.7</v>
          </cell>
          <cell r="S260">
            <v>37.369999999999997</v>
          </cell>
        </row>
        <row r="261">
          <cell r="A261" t="str">
            <v>2 S 02 540 01</v>
          </cell>
          <cell r="B261" t="str">
            <v>Conc. betuminoso usinado a quente - capa rolamento</v>
          </cell>
          <cell r="E261" t="str">
            <v>t</v>
          </cell>
          <cell r="G261">
            <v>30.94</v>
          </cell>
          <cell r="M261">
            <v>33.76</v>
          </cell>
          <cell r="O261">
            <v>34.15</v>
          </cell>
          <cell r="Q261">
            <v>37.6</v>
          </cell>
          <cell r="S261">
            <v>33.72</v>
          </cell>
        </row>
        <row r="262">
          <cell r="A262" t="str">
            <v>2 S 02 540 02</v>
          </cell>
          <cell r="B262" t="str">
            <v>Concreto betuminoso usinado a quente - "binder"</v>
          </cell>
          <cell r="E262" t="str">
            <v>t</v>
          </cell>
          <cell r="G262">
            <v>30.33</v>
          </cell>
          <cell r="M262">
            <v>33.21</v>
          </cell>
          <cell r="O262">
            <v>33.619999999999997</v>
          </cell>
          <cell r="Q262">
            <v>37.049999999999997</v>
          </cell>
          <cell r="S262">
            <v>33.200000000000003</v>
          </cell>
        </row>
        <row r="263">
          <cell r="A263" t="str">
            <v>2 S 02 603 00</v>
          </cell>
          <cell r="B263" t="str">
            <v>Sub-base de concreto rolado</v>
          </cell>
          <cell r="E263" t="str">
            <v>m3</v>
          </cell>
          <cell r="G263">
            <v>74.19</v>
          </cell>
          <cell r="M263">
            <v>107.78</v>
          </cell>
          <cell r="O263">
            <v>108.71</v>
          </cell>
          <cell r="Q263">
            <v>107.73</v>
          </cell>
          <cell r="S263">
            <v>85.81</v>
          </cell>
        </row>
        <row r="264">
          <cell r="A264" t="str">
            <v>2 S 02 604 00</v>
          </cell>
          <cell r="B264" t="str">
            <v>Sub-base de concreto de cimento portland</v>
          </cell>
          <cell r="E264" t="str">
            <v>m3</v>
          </cell>
          <cell r="G264">
            <v>119.92</v>
          </cell>
          <cell r="M264">
            <v>134.34</v>
          </cell>
          <cell r="O264">
            <v>136.71</v>
          </cell>
          <cell r="Q264">
            <v>132.68</v>
          </cell>
          <cell r="S264">
            <v>138.08000000000001</v>
          </cell>
        </row>
        <row r="265">
          <cell r="A265" t="str">
            <v>2 S 02 606 00</v>
          </cell>
          <cell r="B265" t="str">
            <v>Concreto de cimento portland com fôrma deslizante</v>
          </cell>
          <cell r="E265" t="str">
            <v>m3</v>
          </cell>
          <cell r="G265">
            <v>175.29</v>
          </cell>
          <cell r="M265">
            <v>282.95</v>
          </cell>
          <cell r="O265">
            <v>283.45999999999998</v>
          </cell>
          <cell r="Q265">
            <v>283.08999999999997</v>
          </cell>
          <cell r="S265">
            <v>200.22</v>
          </cell>
        </row>
        <row r="266">
          <cell r="A266" t="str">
            <v>2 S 02 607 00</v>
          </cell>
          <cell r="B266" t="str">
            <v>Concreto cimento portland c/ equip. pequeno porte</v>
          </cell>
          <cell r="E266" t="str">
            <v>m3</v>
          </cell>
          <cell r="G266">
            <v>278.25</v>
          </cell>
          <cell r="M266">
            <v>302.01</v>
          </cell>
          <cell r="O266">
            <v>309.39999999999998</v>
          </cell>
          <cell r="Q266">
            <v>297.07</v>
          </cell>
          <cell r="S266">
            <v>312.82</v>
          </cell>
        </row>
        <row r="267">
          <cell r="A267" t="str">
            <v>2 S 02 700 01</v>
          </cell>
          <cell r="B267" t="str">
            <v>Execução pavim. c/ peças pré-moldadas concr.</v>
          </cell>
          <cell r="E267" t="str">
            <v>m2</v>
          </cell>
          <cell r="G267">
            <v>36.909999999999997</v>
          </cell>
          <cell r="M267">
            <v>53.46</v>
          </cell>
          <cell r="O267">
            <v>53.64</v>
          </cell>
          <cell r="Q267">
            <v>53.31</v>
          </cell>
          <cell r="S267">
            <v>42.64</v>
          </cell>
        </row>
        <row r="268">
          <cell r="A268" t="str">
            <v>2 S 02 702 00</v>
          </cell>
          <cell r="B268" t="str">
            <v>Limpeza e enchimento de junta de pavimento de conc</v>
          </cell>
          <cell r="E268" t="str">
            <v>m</v>
          </cell>
          <cell r="G268">
            <v>2.87</v>
          </cell>
          <cell r="M268">
            <v>2.8</v>
          </cell>
          <cell r="O268">
            <v>2.64</v>
          </cell>
          <cell r="Q268">
            <v>2.5099999999999998</v>
          </cell>
          <cell r="S268">
            <v>2.52</v>
          </cell>
        </row>
        <row r="269">
          <cell r="A269" t="str">
            <v>2 S 03 000 02</v>
          </cell>
          <cell r="B269" t="str">
            <v>Escavação manual de cavas em material 1a cat</v>
          </cell>
          <cell r="E269" t="str">
            <v>m3</v>
          </cell>
          <cell r="G269">
            <v>21.92</v>
          </cell>
          <cell r="M269">
            <v>26.31</v>
          </cell>
          <cell r="O269">
            <v>26.31</v>
          </cell>
          <cell r="Q269">
            <v>26.31</v>
          </cell>
          <cell r="S269">
            <v>26.31</v>
          </cell>
        </row>
        <row r="270">
          <cell r="A270" t="str">
            <v>2 S 03 000 03</v>
          </cell>
          <cell r="B270" t="str">
            <v>Escavação manual de cavas em material 2a cat</v>
          </cell>
          <cell r="E270" t="str">
            <v>m3</v>
          </cell>
          <cell r="G270">
            <v>29.23</v>
          </cell>
          <cell r="M270">
            <v>35.08</v>
          </cell>
          <cell r="O270">
            <v>35.08</v>
          </cell>
          <cell r="Q270">
            <v>35.08</v>
          </cell>
          <cell r="S270">
            <v>35.08</v>
          </cell>
        </row>
        <row r="271">
          <cell r="A271" t="str">
            <v>2 S 03 010 01</v>
          </cell>
          <cell r="B271" t="str">
            <v>Escavação em cavas de fundação com esgotamento</v>
          </cell>
          <cell r="E271" t="str">
            <v>m3</v>
          </cell>
          <cell r="G271">
            <v>25</v>
          </cell>
          <cell r="M271">
            <v>29.91</v>
          </cell>
          <cell r="O271">
            <v>29.91</v>
          </cell>
          <cell r="Q271">
            <v>29.88</v>
          </cell>
          <cell r="S271">
            <v>29.88</v>
          </cell>
        </row>
        <row r="272">
          <cell r="A272" t="str">
            <v>2 S 03 119 01</v>
          </cell>
          <cell r="B272" t="str">
            <v>Escoramento com madeira de OAE</v>
          </cell>
          <cell r="E272" t="str">
            <v>m3</v>
          </cell>
          <cell r="G272">
            <v>18.87</v>
          </cell>
          <cell r="M272">
            <v>20.49</v>
          </cell>
          <cell r="O272">
            <v>21</v>
          </cell>
          <cell r="Q272">
            <v>21</v>
          </cell>
          <cell r="S272">
            <v>21</v>
          </cell>
        </row>
        <row r="273">
          <cell r="A273" t="str">
            <v>2 S 03 300 01</v>
          </cell>
          <cell r="B273" t="str">
            <v>Confecção e lançamento concr. magro em betoneira</v>
          </cell>
          <cell r="E273" t="str">
            <v>m3</v>
          </cell>
          <cell r="G273">
            <v>160.36000000000001</v>
          </cell>
          <cell r="M273">
            <v>177.03</v>
          </cell>
          <cell r="O273">
            <v>180.91</v>
          </cell>
          <cell r="Q273">
            <v>174.83</v>
          </cell>
          <cell r="S273">
            <v>182.54</v>
          </cell>
        </row>
        <row r="274">
          <cell r="A274" t="str">
            <v>2 S 03 321 00</v>
          </cell>
          <cell r="B274" t="str">
            <v>Conc.estr.fck=8 MPa-contr.raz.uso ger.conf. e lanç</v>
          </cell>
          <cell r="E274" t="str">
            <v>m3</v>
          </cell>
          <cell r="G274">
            <v>192.27</v>
          </cell>
          <cell r="M274">
            <v>210.91</v>
          </cell>
          <cell r="O274">
            <v>215.84</v>
          </cell>
          <cell r="Q274">
            <v>207.98</v>
          </cell>
          <cell r="S274">
            <v>218</v>
          </cell>
        </row>
        <row r="275">
          <cell r="A275" t="str">
            <v>2 S 03 322 00</v>
          </cell>
          <cell r="B275" t="str">
            <v>Conc.estr.fck=10 MPa-contr.raz.uso ger.conf.e lanç</v>
          </cell>
          <cell r="E275" t="str">
            <v>m3</v>
          </cell>
          <cell r="G275">
            <v>203.11</v>
          </cell>
          <cell r="M275">
            <v>222.42</v>
          </cell>
          <cell r="O275">
            <v>227.71</v>
          </cell>
          <cell r="Q275">
            <v>219.24</v>
          </cell>
          <cell r="S275">
            <v>230.05</v>
          </cell>
        </row>
        <row r="276">
          <cell r="A276" t="str">
            <v>2 S 03 323 00</v>
          </cell>
          <cell r="B276" t="str">
            <v>Conc.estr.fck=12 MPa-contr.raz.uso ger.conf.e lanç</v>
          </cell>
          <cell r="E276" t="str">
            <v>m3</v>
          </cell>
          <cell r="G276">
            <v>214.75</v>
          </cell>
          <cell r="M276">
            <v>234.78</v>
          </cell>
          <cell r="O276">
            <v>240.46</v>
          </cell>
          <cell r="Q276">
            <v>231.34</v>
          </cell>
          <cell r="S276">
            <v>242.98</v>
          </cell>
        </row>
        <row r="277">
          <cell r="A277" t="str">
            <v>2 S 03 324 00</v>
          </cell>
          <cell r="B277" t="str">
            <v>Conc.estr.fck=15 MPa-contr.raz.uso ger.conf.e lanç</v>
          </cell>
          <cell r="E277" t="str">
            <v>m3</v>
          </cell>
          <cell r="G277">
            <v>227.01</v>
          </cell>
          <cell r="M277">
            <v>247.79</v>
          </cell>
          <cell r="O277">
            <v>253.88</v>
          </cell>
          <cell r="Q277">
            <v>244.06</v>
          </cell>
          <cell r="S277">
            <v>256.60000000000002</v>
          </cell>
        </row>
        <row r="278">
          <cell r="A278" t="str">
            <v>2 S 03 324 01</v>
          </cell>
          <cell r="B278" t="str">
            <v>Conc.estr.fck=15 MPa-contr.raz.c/adit.conf. e lanç</v>
          </cell>
          <cell r="E278" t="str">
            <v>m3</v>
          </cell>
          <cell r="G278">
            <v>209.63</v>
          </cell>
          <cell r="M278">
            <v>228.71</v>
          </cell>
          <cell r="O278">
            <v>234.5</v>
          </cell>
          <cell r="Q278">
            <v>225.34</v>
          </cell>
          <cell r="S278">
            <v>237.26</v>
          </cell>
        </row>
        <row r="279">
          <cell r="A279" t="str">
            <v>2 S 03 325 00</v>
          </cell>
          <cell r="B279" t="str">
            <v>Conc.estr.fck=18 MPa-contr.raz.uso ger.conf.e lanç</v>
          </cell>
          <cell r="E279" t="str">
            <v>m3</v>
          </cell>
          <cell r="G279">
            <v>239.11</v>
          </cell>
          <cell r="M279">
            <v>260.66000000000003</v>
          </cell>
          <cell r="O279">
            <v>267.14</v>
          </cell>
          <cell r="Q279">
            <v>256.64999999999998</v>
          </cell>
          <cell r="S279">
            <v>270.05</v>
          </cell>
        </row>
        <row r="280">
          <cell r="A280" t="str">
            <v>2 S 03 325 01</v>
          </cell>
          <cell r="B280" t="str">
            <v>Conc.estr.fck=18 MPa-contr.raz.c/adit.conf. e lanç</v>
          </cell>
          <cell r="E280" t="str">
            <v>m3</v>
          </cell>
          <cell r="G280">
            <v>220.81</v>
          </cell>
          <cell r="M280">
            <v>240.62</v>
          </cell>
          <cell r="O280">
            <v>246.77</v>
          </cell>
          <cell r="Q280">
            <v>237</v>
          </cell>
          <cell r="S280">
            <v>249.72</v>
          </cell>
        </row>
        <row r="281">
          <cell r="A281" t="str">
            <v>2 S 03 326 00</v>
          </cell>
          <cell r="B281" t="str">
            <v>Conc.estr.fck=20 MPa-contr.raz.uso ger.conf.e lanç</v>
          </cell>
          <cell r="E281" t="str">
            <v>m3</v>
          </cell>
          <cell r="G281">
            <v>249.01</v>
          </cell>
          <cell r="M281">
            <v>271.17</v>
          </cell>
          <cell r="O281">
            <v>277.97000000000003</v>
          </cell>
          <cell r="Q281">
            <v>266.93</v>
          </cell>
          <cell r="S281">
            <v>281.05</v>
          </cell>
        </row>
        <row r="282">
          <cell r="A282" t="str">
            <v>2 S 03 326 01</v>
          </cell>
          <cell r="B282" t="str">
            <v>Conc.estr.fck=20 MPa-contr.raz.c/adit.conf. e lanç</v>
          </cell>
          <cell r="E282" t="str">
            <v>m3</v>
          </cell>
          <cell r="G282">
            <v>230.98</v>
          </cell>
          <cell r="M282">
            <v>251.38</v>
          </cell>
          <cell r="O282">
            <v>257.87</v>
          </cell>
          <cell r="Q282">
            <v>247.52</v>
          </cell>
          <cell r="S282">
            <v>260.99</v>
          </cell>
        </row>
        <row r="283">
          <cell r="A283" t="str">
            <v>2 S 03 327 00</v>
          </cell>
          <cell r="B283" t="str">
            <v>Conc.estr.fck=22 MPa-contr.raz.uso ger.conf.e lanç</v>
          </cell>
          <cell r="E283" t="str">
            <v>m3</v>
          </cell>
          <cell r="G283">
            <v>260.64999999999998</v>
          </cell>
          <cell r="M283">
            <v>283.52999999999997</v>
          </cell>
          <cell r="O283">
            <v>290.72000000000003</v>
          </cell>
          <cell r="Q283">
            <v>279.02</v>
          </cell>
          <cell r="S283">
            <v>293.98</v>
          </cell>
        </row>
        <row r="284">
          <cell r="A284" t="str">
            <v>2 S 03 328 00</v>
          </cell>
          <cell r="B284" t="str">
            <v>Conc.estr.fck=24 MPa-contr.raz.uso ger.conf.e lanç</v>
          </cell>
          <cell r="E284" t="str">
            <v>m3</v>
          </cell>
          <cell r="G284">
            <v>272.52</v>
          </cell>
          <cell r="M284">
            <v>296.13</v>
          </cell>
          <cell r="O284">
            <v>303.72000000000003</v>
          </cell>
          <cell r="Q284">
            <v>291.36</v>
          </cell>
          <cell r="S284">
            <v>307.18</v>
          </cell>
        </row>
        <row r="285">
          <cell r="A285" t="str">
            <v>2 S 03 329 00</v>
          </cell>
          <cell r="B285" t="str">
            <v>Conc.estr.fck=25 MPa-contr.raz.c/adit.conf. e lanç</v>
          </cell>
          <cell r="E285" t="str">
            <v>m3</v>
          </cell>
          <cell r="G285">
            <v>253.24</v>
          </cell>
          <cell r="M285">
            <v>275.2</v>
          </cell>
          <cell r="O285">
            <v>282.39999999999998</v>
          </cell>
          <cell r="Q285">
            <v>270.83999999999997</v>
          </cell>
          <cell r="S285">
            <v>285.87</v>
          </cell>
        </row>
        <row r="286">
          <cell r="A286" t="str">
            <v>2 S 03 329 01</v>
          </cell>
          <cell r="B286" t="str">
            <v>Conc.estr.fck=26 MPa-contr.raz.uso ger.conf.e lanç</v>
          </cell>
          <cell r="E286" t="str">
            <v>m3</v>
          </cell>
          <cell r="G286">
            <v>283.35000000000002</v>
          </cell>
          <cell r="M286">
            <v>307.63</v>
          </cell>
          <cell r="O286">
            <v>315.58</v>
          </cell>
          <cell r="Q286">
            <v>302.61</v>
          </cell>
          <cell r="S286">
            <v>319.22000000000003</v>
          </cell>
        </row>
        <row r="287">
          <cell r="A287" t="str">
            <v>2 S 03 329 02</v>
          </cell>
          <cell r="B287" t="str">
            <v>Conc.estr.fck=30 MPa-contr.raz.uso ger.conf.e lanç</v>
          </cell>
          <cell r="E287" t="str">
            <v>m3</v>
          </cell>
          <cell r="G287">
            <v>293.95999999999998</v>
          </cell>
          <cell r="M287">
            <v>318.91000000000003</v>
          </cell>
          <cell r="O287">
            <v>327.2</v>
          </cell>
          <cell r="Q287">
            <v>313.64</v>
          </cell>
          <cell r="S287">
            <v>331</v>
          </cell>
        </row>
        <row r="288">
          <cell r="A288" t="str">
            <v>2 S 03 329 03</v>
          </cell>
          <cell r="B288" t="str">
            <v>Conc.estr.fck=30 MPa-contr.raz.uso ger.conf.e lanç</v>
          </cell>
          <cell r="E288" t="str">
            <v>m3</v>
          </cell>
          <cell r="G288">
            <v>273.69</v>
          </cell>
          <cell r="M288">
            <v>297</v>
          </cell>
          <cell r="O288">
            <v>304.86</v>
          </cell>
          <cell r="Q288">
            <v>292.18</v>
          </cell>
          <cell r="S288">
            <v>308.64999999999998</v>
          </cell>
        </row>
        <row r="289">
          <cell r="A289" t="str">
            <v>2 S 03 329 04</v>
          </cell>
          <cell r="B289" t="str">
            <v>Conc.estr.fck=35 MPa-contr.raz.c/adit.conf. e lanç</v>
          </cell>
          <cell r="E289" t="str">
            <v>m3</v>
          </cell>
          <cell r="G289">
            <v>294.66000000000003</v>
          </cell>
          <cell r="M289">
            <v>319.14999999999998</v>
          </cell>
          <cell r="O289">
            <v>327.78</v>
          </cell>
          <cell r="Q289">
            <v>313.89</v>
          </cell>
          <cell r="S289">
            <v>332.06</v>
          </cell>
        </row>
        <row r="290">
          <cell r="A290" t="str">
            <v>2 S 03 370 00</v>
          </cell>
          <cell r="B290" t="str">
            <v>Forma comum de madeira</v>
          </cell>
          <cell r="E290" t="str">
            <v>m2</v>
          </cell>
          <cell r="G290">
            <v>27.54</v>
          </cell>
          <cell r="M290">
            <v>30.48</v>
          </cell>
          <cell r="O290">
            <v>30.53</v>
          </cell>
          <cell r="Q290">
            <v>30.74</v>
          </cell>
          <cell r="S290">
            <v>30.69</v>
          </cell>
        </row>
        <row r="291">
          <cell r="A291" t="str">
            <v>2 S 03 371 01</v>
          </cell>
          <cell r="B291" t="str">
            <v>Forma de placa compensada resinada</v>
          </cell>
          <cell r="E291" t="str">
            <v>m2</v>
          </cell>
          <cell r="G291">
            <v>21.92</v>
          </cell>
          <cell r="M291">
            <v>24.19</v>
          </cell>
          <cell r="O291">
            <v>24.24</v>
          </cell>
          <cell r="Q291">
            <v>25.15</v>
          </cell>
          <cell r="S291">
            <v>25.11</v>
          </cell>
        </row>
        <row r="292">
          <cell r="A292" t="str">
            <v>2 S 03 371 02</v>
          </cell>
          <cell r="B292" t="str">
            <v>Forma de placa compensada plastificada</v>
          </cell>
          <cell r="E292" t="str">
            <v>m2</v>
          </cell>
          <cell r="G292">
            <v>24.51</v>
          </cell>
          <cell r="M292">
            <v>26.78</v>
          </cell>
          <cell r="O292">
            <v>26.83</v>
          </cell>
          <cell r="Q292">
            <v>27.98</v>
          </cell>
          <cell r="S292">
            <v>27.93</v>
          </cell>
        </row>
        <row r="293">
          <cell r="A293" t="str">
            <v>2 S 03 372 01</v>
          </cell>
          <cell r="B293" t="str">
            <v>Formas para tubulão</v>
          </cell>
          <cell r="E293" t="str">
            <v>m2</v>
          </cell>
          <cell r="G293">
            <v>13.34</v>
          </cell>
          <cell r="M293">
            <v>15.39</v>
          </cell>
          <cell r="O293">
            <v>15.4</v>
          </cell>
          <cell r="Q293">
            <v>15.63</v>
          </cell>
          <cell r="S293">
            <v>15.59</v>
          </cell>
        </row>
        <row r="294">
          <cell r="A294" t="str">
            <v>2 S 03 401 01</v>
          </cell>
          <cell r="B294" t="str">
            <v>Estaca tipo Franki D=350 mm</v>
          </cell>
          <cell r="E294" t="str">
            <v>m</v>
          </cell>
          <cell r="G294">
            <v>106.96</v>
          </cell>
          <cell r="M294">
            <v>121.37</v>
          </cell>
          <cell r="O294">
            <v>125.92</v>
          </cell>
          <cell r="Q294">
            <v>122.8</v>
          </cell>
          <cell r="S294">
            <v>124.06</v>
          </cell>
        </row>
        <row r="295">
          <cell r="A295" t="str">
            <v>2 S 03 401 02</v>
          </cell>
          <cell r="B295" t="str">
            <v>Estaca tipo Franki D=400 mm</v>
          </cell>
          <cell r="E295" t="str">
            <v>m</v>
          </cell>
          <cell r="G295">
            <v>117.69</v>
          </cell>
          <cell r="M295">
            <v>133.51</v>
          </cell>
          <cell r="O295">
            <v>138.46</v>
          </cell>
          <cell r="Q295">
            <v>134.91</v>
          </cell>
          <cell r="S295">
            <v>136.41</v>
          </cell>
        </row>
        <row r="296">
          <cell r="A296" t="str">
            <v>2 S 03 401 03</v>
          </cell>
          <cell r="B296" t="str">
            <v>Estaca tipo Franki D=520 mm</v>
          </cell>
          <cell r="E296" t="str">
            <v>m</v>
          </cell>
          <cell r="G296">
            <v>163.25</v>
          </cell>
          <cell r="M296">
            <v>184.25</v>
          </cell>
          <cell r="O296">
            <v>190.99</v>
          </cell>
          <cell r="Q296">
            <v>186.27</v>
          </cell>
          <cell r="S296">
            <v>188.9</v>
          </cell>
        </row>
        <row r="297">
          <cell r="A297" t="str">
            <v>2 S 03 401 04</v>
          </cell>
          <cell r="B297" t="str">
            <v>Estaca tipo Franki D=600 mm</v>
          </cell>
          <cell r="E297" t="str">
            <v>m</v>
          </cell>
          <cell r="G297">
            <v>204.35</v>
          </cell>
          <cell r="M297">
            <v>230.21</v>
          </cell>
          <cell r="O297">
            <v>238.61</v>
          </cell>
          <cell r="Q297">
            <v>232.82</v>
          </cell>
          <cell r="S297">
            <v>236.33</v>
          </cell>
        </row>
        <row r="298">
          <cell r="A298" t="str">
            <v>2 S 03 402 01</v>
          </cell>
          <cell r="B298" t="str">
            <v>Cravação estacas pré-mold. de concreto 30 x 30 cm</v>
          </cell>
          <cell r="E298" t="str">
            <v>m</v>
          </cell>
          <cell r="G298">
            <v>109.09</v>
          </cell>
          <cell r="M298">
            <v>123.59</v>
          </cell>
          <cell r="O298">
            <v>127.15</v>
          </cell>
          <cell r="Q298">
            <v>124.9</v>
          </cell>
          <cell r="S298">
            <v>126</v>
          </cell>
        </row>
        <row r="299">
          <cell r="A299" t="str">
            <v>2 S 03 404 01</v>
          </cell>
          <cell r="B299" t="str">
            <v>Forn. e crav. estacas perfil met. I de 10" simples</v>
          </cell>
          <cell r="E299" t="str">
            <v>m</v>
          </cell>
          <cell r="G299">
            <v>240.04</v>
          </cell>
          <cell r="M299">
            <v>257.08</v>
          </cell>
          <cell r="O299">
            <v>260.58999999999997</v>
          </cell>
          <cell r="Q299">
            <v>231.62</v>
          </cell>
          <cell r="S299">
            <v>231.62</v>
          </cell>
        </row>
        <row r="300">
          <cell r="A300" t="str">
            <v>2 S 03 404 04</v>
          </cell>
          <cell r="B300" t="str">
            <v>Forn. e crav. estacas perfil met. I de 10" duplo</v>
          </cell>
          <cell r="E300" t="str">
            <v>m</v>
          </cell>
          <cell r="G300">
            <v>382.91</v>
          </cell>
          <cell r="M300">
            <v>400.25</v>
          </cell>
          <cell r="O300">
            <v>403.83</v>
          </cell>
          <cell r="Q300">
            <v>348.91</v>
          </cell>
          <cell r="S300">
            <v>348.91</v>
          </cell>
        </row>
        <row r="301">
          <cell r="A301" t="str">
            <v>2 S 03 404 11</v>
          </cell>
          <cell r="B301" t="str">
            <v>Cravação estacas met. trilhos soldados - estrela</v>
          </cell>
          <cell r="E301" t="str">
            <v>m</v>
          </cell>
          <cell r="G301">
            <v>214.28</v>
          </cell>
          <cell r="M301">
            <v>255.04</v>
          </cell>
          <cell r="O301">
            <v>266.54000000000002</v>
          </cell>
          <cell r="Q301">
            <v>255.43</v>
          </cell>
          <cell r="S301">
            <v>255.43</v>
          </cell>
        </row>
        <row r="302">
          <cell r="A302" t="str">
            <v>2 S 03 410 01</v>
          </cell>
          <cell r="B302" t="str">
            <v>Tubulão a céu aberto diâmetro externo = 1,00 m</v>
          </cell>
          <cell r="E302" t="str">
            <v>m</v>
          </cell>
          <cell r="G302">
            <v>666.11</v>
          </cell>
          <cell r="M302">
            <v>754.53</v>
          </cell>
          <cell r="O302">
            <v>773.36</v>
          </cell>
          <cell r="Q302">
            <v>768.06</v>
          </cell>
          <cell r="S302">
            <v>776.36</v>
          </cell>
        </row>
        <row r="303">
          <cell r="A303" t="str">
            <v>2 S 03 410 11</v>
          </cell>
          <cell r="B303" t="str">
            <v>Tubulão a céu aberto diâmetro externo = 1,20 m</v>
          </cell>
          <cell r="E303" t="str">
            <v>m</v>
          </cell>
          <cell r="G303">
            <v>864.88</v>
          </cell>
          <cell r="M303">
            <v>979.92</v>
          </cell>
          <cell r="O303">
            <v>1002.96</v>
          </cell>
          <cell r="Q303">
            <v>994.85</v>
          </cell>
          <cell r="S303">
            <v>1007.05</v>
          </cell>
        </row>
        <row r="304">
          <cell r="A304" t="str">
            <v>2 S 03 410 21</v>
          </cell>
          <cell r="B304" t="str">
            <v>Tubulão a céu aberto diâmetro externo = 1,40 m</v>
          </cell>
          <cell r="E304" t="str">
            <v>m</v>
          </cell>
          <cell r="G304">
            <v>1080.8399999999999</v>
          </cell>
          <cell r="M304">
            <v>1225.73</v>
          </cell>
          <cell r="O304">
            <v>1253.0999999999999</v>
          </cell>
          <cell r="Q304">
            <v>1242.0999999999999</v>
          </cell>
          <cell r="S304">
            <v>1258.42</v>
          </cell>
        </row>
        <row r="305">
          <cell r="A305" t="str">
            <v>2 S 03 410 31</v>
          </cell>
          <cell r="B305" t="str">
            <v>Tubulão a céu aberto diâmetro externo = 1,60 m</v>
          </cell>
          <cell r="E305" t="str">
            <v>m</v>
          </cell>
          <cell r="G305">
            <v>1306.05</v>
          </cell>
          <cell r="M305">
            <v>1482.49</v>
          </cell>
          <cell r="O305">
            <v>1513.82</v>
          </cell>
          <cell r="Q305">
            <v>1499.5</v>
          </cell>
          <cell r="S305">
            <v>1520.5</v>
          </cell>
        </row>
        <row r="306">
          <cell r="A306" t="str">
            <v>2 S 03 410 41</v>
          </cell>
          <cell r="B306" t="str">
            <v>Tubulão a céu aberto diâmetro externo = 1,80 m</v>
          </cell>
          <cell r="E306" t="str">
            <v>m</v>
          </cell>
          <cell r="G306">
            <v>1576.57</v>
          </cell>
          <cell r="M306">
            <v>1790.53</v>
          </cell>
          <cell r="O306">
            <v>1826.88</v>
          </cell>
          <cell r="Q306">
            <v>1808.13</v>
          </cell>
          <cell r="S306">
            <v>1835.14</v>
          </cell>
        </row>
        <row r="307">
          <cell r="A307" t="str">
            <v>2 S 03 410 51</v>
          </cell>
          <cell r="B307" t="str">
            <v>Tubulão a céu aberto diâmetro externo = 2,00 m</v>
          </cell>
          <cell r="E307" t="str">
            <v>m</v>
          </cell>
          <cell r="G307">
            <v>1876.88</v>
          </cell>
          <cell r="M307">
            <v>2131.48</v>
          </cell>
          <cell r="O307">
            <v>2174.0300000000002</v>
          </cell>
          <cell r="Q307">
            <v>2150.31</v>
          </cell>
          <cell r="S307">
            <v>2184.04</v>
          </cell>
        </row>
        <row r="308">
          <cell r="A308" t="str">
            <v>2 S 03 410 61</v>
          </cell>
          <cell r="B308" t="str">
            <v>Tubulão a céu aberto diâmetro externo = 2,20 m</v>
          </cell>
          <cell r="E308" t="str">
            <v>m</v>
          </cell>
          <cell r="G308">
            <v>2234.09</v>
          </cell>
          <cell r="M308">
            <v>2538.9699999999998</v>
          </cell>
          <cell r="O308">
            <v>2588.98</v>
          </cell>
          <cell r="Q308">
            <v>2560.4499999999998</v>
          </cell>
          <cell r="S308">
            <v>2600.8200000000002</v>
          </cell>
        </row>
        <row r="309">
          <cell r="A309" t="str">
            <v>2 S 03 411 11</v>
          </cell>
          <cell r="B309" t="str">
            <v>Tub.ar comp.D=1,2 m prof.até 12 m lâmina d'água LF</v>
          </cell>
          <cell r="E309" t="str">
            <v>m</v>
          </cell>
          <cell r="G309">
            <v>2096.86</v>
          </cell>
          <cell r="M309">
            <v>2358.8200000000002</v>
          </cell>
          <cell r="O309">
            <v>2381.86</v>
          </cell>
          <cell r="Q309">
            <v>2340.0100000000002</v>
          </cell>
          <cell r="S309">
            <v>2352.1999999999998</v>
          </cell>
        </row>
        <row r="310">
          <cell r="A310" t="str">
            <v>2 S 03 411 12</v>
          </cell>
          <cell r="B310" t="str">
            <v>Tub.ar comp.D=1,2 m prof. 12/18 m lâmina d'água LF</v>
          </cell>
          <cell r="E310" t="str">
            <v>m</v>
          </cell>
          <cell r="G310">
            <v>2331.33</v>
          </cell>
          <cell r="M310">
            <v>2625.51</v>
          </cell>
          <cell r="O310">
            <v>2648.55</v>
          </cell>
          <cell r="Q310">
            <v>2601.63</v>
          </cell>
          <cell r="S310">
            <v>2613.83</v>
          </cell>
        </row>
        <row r="311">
          <cell r="A311" t="str">
            <v>2 S 03 411 13</v>
          </cell>
          <cell r="B311" t="str">
            <v>Tub.ar comp.D=1,2 m prof. 18/24 m lâmina d'água LF</v>
          </cell>
          <cell r="E311" t="str">
            <v>m</v>
          </cell>
          <cell r="G311">
            <v>2584.09</v>
          </cell>
          <cell r="M311">
            <v>2914.15</v>
          </cell>
          <cell r="O311">
            <v>2937.19</v>
          </cell>
          <cell r="Q311">
            <v>2885.21</v>
          </cell>
          <cell r="S311">
            <v>2897.4</v>
          </cell>
        </row>
        <row r="312">
          <cell r="A312" t="str">
            <v>2 S 03 411 14</v>
          </cell>
          <cell r="B312" t="str">
            <v>Tub.ar comp.D=1,2 m prof. 24/27 m lâmina d'água LF</v>
          </cell>
          <cell r="E312" t="str">
            <v>m</v>
          </cell>
          <cell r="G312">
            <v>2951.84</v>
          </cell>
          <cell r="M312">
            <v>3335.86</v>
          </cell>
          <cell r="O312">
            <v>3358.9</v>
          </cell>
          <cell r="Q312">
            <v>3300.16</v>
          </cell>
          <cell r="S312">
            <v>3312.35</v>
          </cell>
        </row>
        <row r="313">
          <cell r="A313" t="str">
            <v>2 S 03 411 15</v>
          </cell>
          <cell r="B313" t="str">
            <v>Tub.ar.comp.D=1,2 m prof. 27/31 m lâmina d'água LF</v>
          </cell>
          <cell r="E313" t="str">
            <v>m</v>
          </cell>
          <cell r="G313">
            <v>3455.78</v>
          </cell>
          <cell r="M313">
            <v>3921.4</v>
          </cell>
          <cell r="O313">
            <v>3944.44</v>
          </cell>
          <cell r="Q313">
            <v>3879.59</v>
          </cell>
          <cell r="S313">
            <v>3891.79</v>
          </cell>
        </row>
        <row r="314">
          <cell r="A314" t="str">
            <v>2 S 03 411 21</v>
          </cell>
          <cell r="B314" t="str">
            <v>Tub.ar.comp.D=1,4 m prof.até 12 m lâmina d'água LF</v>
          </cell>
          <cell r="E314" t="str">
            <v>m</v>
          </cell>
          <cell r="G314">
            <v>2716.75</v>
          </cell>
          <cell r="M314">
            <v>3055.52</v>
          </cell>
          <cell r="O314">
            <v>3082.9</v>
          </cell>
          <cell r="Q314">
            <v>3026.57</v>
          </cell>
          <cell r="S314">
            <v>3042.89</v>
          </cell>
        </row>
        <row r="315">
          <cell r="A315" t="str">
            <v>2 S 03 411 22</v>
          </cell>
          <cell r="B315" t="str">
            <v>Tub.ar comp.D=1,4 m prof. 12/18 m lâmina d'água LF</v>
          </cell>
          <cell r="E315" t="str">
            <v>m</v>
          </cell>
          <cell r="G315">
            <v>3031.84</v>
          </cell>
          <cell r="M315">
            <v>3413.88</v>
          </cell>
          <cell r="O315">
            <v>3441.26</v>
          </cell>
          <cell r="Q315">
            <v>3378.11</v>
          </cell>
          <cell r="S315">
            <v>3394.43</v>
          </cell>
        </row>
        <row r="316">
          <cell r="A316" t="str">
            <v>2 S 03 411 23</v>
          </cell>
          <cell r="B316" t="str">
            <v>Tub.ar comp.D=1,4 m prof. 18/24 m lâmina d'água LF</v>
          </cell>
          <cell r="E316" t="str">
            <v>m</v>
          </cell>
          <cell r="G316">
            <v>3370.75</v>
          </cell>
          <cell r="M316">
            <v>3800.9</v>
          </cell>
          <cell r="O316">
            <v>3828.28</v>
          </cell>
          <cell r="Q316">
            <v>3758.35</v>
          </cell>
          <cell r="S316">
            <v>3774.67</v>
          </cell>
        </row>
        <row r="317">
          <cell r="A317" t="str">
            <v>2 S 03 411 24</v>
          </cell>
          <cell r="B317" t="str">
            <v>Tub.ar comp.D=1,4 m prof. 24/27 m lâmina d'água LF</v>
          </cell>
          <cell r="E317" t="str">
            <v>m</v>
          </cell>
          <cell r="G317">
            <v>3864.15</v>
          </cell>
          <cell r="M317">
            <v>4366.71</v>
          </cell>
          <cell r="O317">
            <v>4394.09</v>
          </cell>
          <cell r="Q317">
            <v>4315.09</v>
          </cell>
          <cell r="S317">
            <v>4331.41</v>
          </cell>
        </row>
        <row r="318">
          <cell r="A318" t="str">
            <v>2 S 03 411 25</v>
          </cell>
          <cell r="B318" t="str">
            <v>Tub.ar comp.D=1,4 m prof. 27/31 m lâmina d'água LF</v>
          </cell>
          <cell r="E318" t="str">
            <v>m</v>
          </cell>
          <cell r="G318">
            <v>4690.3900000000003</v>
          </cell>
          <cell r="M318">
            <v>5318.78</v>
          </cell>
          <cell r="O318">
            <v>5346.16</v>
          </cell>
          <cell r="Q318">
            <v>5253.55</v>
          </cell>
          <cell r="S318">
            <v>5269.87</v>
          </cell>
        </row>
        <row r="319">
          <cell r="A319" t="str">
            <v>2 S 03 411 31</v>
          </cell>
          <cell r="B319" t="str">
            <v>Tub.ar comp.D=1,6 m prof.até 12 m lâmina d'água LF</v>
          </cell>
          <cell r="E319" t="str">
            <v>m</v>
          </cell>
          <cell r="G319">
            <v>3458.71</v>
          </cell>
          <cell r="M319">
            <v>3889.69</v>
          </cell>
          <cell r="O319">
            <v>3921.04</v>
          </cell>
          <cell r="Q319">
            <v>3846.85</v>
          </cell>
          <cell r="S319">
            <v>3867.86</v>
          </cell>
        </row>
        <row r="320">
          <cell r="A320" t="str">
            <v>2 S 03 411 32</v>
          </cell>
          <cell r="B320" t="str">
            <v>Tub.ar comp.D=1,6 m prof. 12/18 m lâmina d'água LF</v>
          </cell>
          <cell r="E320" t="str">
            <v>m</v>
          </cell>
          <cell r="G320">
            <v>3874.71</v>
          </cell>
          <cell r="M320">
            <v>4362.84</v>
          </cell>
          <cell r="O320">
            <v>4394.1899999999996</v>
          </cell>
          <cell r="Q320">
            <v>4311.01</v>
          </cell>
          <cell r="S320">
            <v>4332.0200000000004</v>
          </cell>
        </row>
        <row r="321">
          <cell r="A321" t="str">
            <v>2 S 03 411 33</v>
          </cell>
          <cell r="B321" t="str">
            <v>Tub.ar comp.D=1,6 m prof. 18/24 m lâmina d'água LF</v>
          </cell>
          <cell r="E321" t="str">
            <v>m</v>
          </cell>
          <cell r="G321">
            <v>4322.53</v>
          </cell>
          <cell r="M321">
            <v>4874.25</v>
          </cell>
          <cell r="O321">
            <v>4905.6000000000004</v>
          </cell>
          <cell r="Q321">
            <v>4813.46</v>
          </cell>
          <cell r="S321">
            <v>4834.47</v>
          </cell>
        </row>
        <row r="322">
          <cell r="A322" t="str">
            <v>2 S 03 411 34</v>
          </cell>
          <cell r="B322" t="str">
            <v>Tub.ar comp.D=1,6 m prof. 24/27 m lâmina d'água LF</v>
          </cell>
          <cell r="E322" t="str">
            <v>m</v>
          </cell>
          <cell r="G322">
            <v>4974.83</v>
          </cell>
          <cell r="M322">
            <v>5622.28</v>
          </cell>
          <cell r="O322">
            <v>5653.63</v>
          </cell>
          <cell r="Q322">
            <v>5549.51</v>
          </cell>
          <cell r="S322">
            <v>5570.51</v>
          </cell>
        </row>
        <row r="323">
          <cell r="A323" t="str">
            <v>2 S 03 411 35</v>
          </cell>
          <cell r="B323" t="str">
            <v>Tub.ar comp.D=1,6 m prof. 27/31 m lâmina d'água LF</v>
          </cell>
          <cell r="E323" t="str">
            <v>m</v>
          </cell>
          <cell r="G323">
            <v>6066.28</v>
          </cell>
          <cell r="M323">
            <v>6879.99</v>
          </cell>
          <cell r="O323">
            <v>6911.34</v>
          </cell>
          <cell r="Q323">
            <v>6789.28</v>
          </cell>
          <cell r="S323">
            <v>6810.28</v>
          </cell>
        </row>
        <row r="324">
          <cell r="A324" t="str">
            <v>2 S 03 411 41</v>
          </cell>
          <cell r="B324" t="str">
            <v>Tub.ar comp.D=1,8 m prof.até 12 m lâmina d'água LF</v>
          </cell>
          <cell r="E324" t="str">
            <v>m</v>
          </cell>
          <cell r="G324">
            <v>4347.7299999999996</v>
          </cell>
          <cell r="M324">
            <v>4888.6499999999996</v>
          </cell>
          <cell r="O324">
            <v>4925.0200000000004</v>
          </cell>
          <cell r="Q324">
            <v>4828.9399999999996</v>
          </cell>
          <cell r="S324">
            <v>4855.95</v>
          </cell>
        </row>
        <row r="325">
          <cell r="A325" t="str">
            <v>2 S 03 411 42</v>
          </cell>
          <cell r="B325" t="str">
            <v>Tub.ar comp.D=1,8 m prof. 12/18 m lâmina d'água LF</v>
          </cell>
          <cell r="E325" t="str">
            <v>m</v>
          </cell>
          <cell r="G325">
            <v>4882.32</v>
          </cell>
          <cell r="M325">
            <v>5496.51</v>
          </cell>
          <cell r="O325">
            <v>5532.88</v>
          </cell>
          <cell r="Q325">
            <v>5425.18</v>
          </cell>
          <cell r="S325">
            <v>5452.19</v>
          </cell>
        </row>
        <row r="326">
          <cell r="A326" t="str">
            <v>2 S 03 411 43</v>
          </cell>
          <cell r="B326" t="str">
            <v>Tub.ar comp.D=1,8 m prof. 18/24 m lâmina d'água LF</v>
          </cell>
          <cell r="E326" t="str">
            <v>m</v>
          </cell>
          <cell r="G326">
            <v>5461.05</v>
          </cell>
          <cell r="M326">
            <v>6157.39</v>
          </cell>
          <cell r="O326">
            <v>6193.77</v>
          </cell>
          <cell r="Q326">
            <v>6074.49</v>
          </cell>
          <cell r="S326">
            <v>6101.49</v>
          </cell>
        </row>
        <row r="327">
          <cell r="A327" t="str">
            <v>2 S 03 411 44</v>
          </cell>
          <cell r="B327" t="str">
            <v>Tub.ar comp.D=1,8 m prof. 24/27 m lâmina d'água LF</v>
          </cell>
          <cell r="E327" t="str">
            <v>m</v>
          </cell>
          <cell r="G327">
            <v>6306.55</v>
          </cell>
          <cell r="M327">
            <v>7127.13</v>
          </cell>
          <cell r="O327">
            <v>7163.5</v>
          </cell>
          <cell r="Q327">
            <v>7028.73</v>
          </cell>
          <cell r="S327">
            <v>7055.74</v>
          </cell>
        </row>
        <row r="328">
          <cell r="A328" t="str">
            <v>2 S 03 411 45</v>
          </cell>
          <cell r="B328" t="str">
            <v>Tub.ar comp.D=1,8 m prof. 27/31 m lâmina d'água LF</v>
          </cell>
          <cell r="E328" t="str">
            <v>m</v>
          </cell>
          <cell r="G328">
            <v>7716.75</v>
          </cell>
          <cell r="M328">
            <v>8752.1200000000008</v>
          </cell>
          <cell r="O328">
            <v>8788.49</v>
          </cell>
          <cell r="Q328">
            <v>8630.5300000000007</v>
          </cell>
          <cell r="S328">
            <v>8657.5400000000009</v>
          </cell>
        </row>
        <row r="329">
          <cell r="A329" t="str">
            <v>2 S 03 411 51</v>
          </cell>
          <cell r="B329" t="str">
            <v>Tub.ar comp.D=2,0 m até 12 m lâmina d'água LF</v>
          </cell>
          <cell r="E329" t="str">
            <v>m</v>
          </cell>
          <cell r="G329">
            <v>5185.8599999999997</v>
          </cell>
          <cell r="M329">
            <v>5829.45</v>
          </cell>
          <cell r="O329">
            <v>5872.03</v>
          </cell>
          <cell r="Q329">
            <v>5755.52</v>
          </cell>
          <cell r="S329">
            <v>5789.24</v>
          </cell>
        </row>
        <row r="330">
          <cell r="A330" t="str">
            <v>2 S 03 411 52</v>
          </cell>
          <cell r="B330" t="str">
            <v>Tub.ar comp.D=2,0 m prof. 12/18 m lâmina d'água LF</v>
          </cell>
          <cell r="E330" t="str">
            <v>m</v>
          </cell>
          <cell r="G330">
            <v>5830.39</v>
          </cell>
          <cell r="M330">
            <v>6562.53</v>
          </cell>
          <cell r="O330">
            <v>6605.12</v>
          </cell>
          <cell r="Q330">
            <v>6474.68</v>
          </cell>
          <cell r="S330">
            <v>6508.41</v>
          </cell>
        </row>
        <row r="331">
          <cell r="A331" t="str">
            <v>2 S 03 411 53</v>
          </cell>
          <cell r="B331" t="str">
            <v>Tub.ar comp.D=2,0 m prof.18/24 m lâmina d'água LF</v>
          </cell>
          <cell r="E331" t="str">
            <v>m</v>
          </cell>
          <cell r="G331">
            <v>6525.75</v>
          </cell>
          <cell r="M331">
            <v>7388.27</v>
          </cell>
          <cell r="O331">
            <v>7430.86</v>
          </cell>
          <cell r="Q331">
            <v>7286.51</v>
          </cell>
          <cell r="S331">
            <v>7320.23</v>
          </cell>
        </row>
        <row r="332">
          <cell r="A332" t="str">
            <v>2 S 03 411 54</v>
          </cell>
          <cell r="B332" t="str">
            <v>Tub.ar comp.D=2,0 m prof.24/27 m lâmina d'água LF</v>
          </cell>
          <cell r="E332" t="str">
            <v>m</v>
          </cell>
          <cell r="G332">
            <v>7535.9</v>
          </cell>
          <cell r="M332">
            <v>8515.02</v>
          </cell>
          <cell r="O332">
            <v>8557.61</v>
          </cell>
          <cell r="Q332">
            <v>8394.7000000000007</v>
          </cell>
          <cell r="S332">
            <v>8428.42</v>
          </cell>
        </row>
        <row r="333">
          <cell r="A333" t="str">
            <v>2 S 03 411 55</v>
          </cell>
          <cell r="B333" t="str">
            <v>Tub.ar comp.D=2,0 m prof.27/31 m lâmina d'água LF</v>
          </cell>
          <cell r="E333" t="str">
            <v>m</v>
          </cell>
          <cell r="G333">
            <v>9228.16</v>
          </cell>
          <cell r="M333">
            <v>10465.049999999999</v>
          </cell>
          <cell r="O333">
            <v>10507.63</v>
          </cell>
          <cell r="Q333">
            <v>10316.89</v>
          </cell>
          <cell r="S333">
            <v>10350.61</v>
          </cell>
        </row>
        <row r="334">
          <cell r="A334" t="str">
            <v>2 S 03 411 61</v>
          </cell>
          <cell r="B334" t="str">
            <v>Tub.ar comp.D=2,2 m prof.até 12 m lâmina d'água LF</v>
          </cell>
          <cell r="E334" t="str">
            <v>m</v>
          </cell>
          <cell r="G334">
            <v>6370.51</v>
          </cell>
          <cell r="M334">
            <v>7161.42</v>
          </cell>
          <cell r="O334">
            <v>7211.43</v>
          </cell>
          <cell r="Q334">
            <v>7066.91</v>
          </cell>
          <cell r="S334">
            <v>7107.28</v>
          </cell>
        </row>
        <row r="335">
          <cell r="A335" t="str">
            <v>2 S 03 411 62</v>
          </cell>
          <cell r="B335" t="str">
            <v>Tub.ar comp.D=2,2 m prof.12/18 m lâmina d'água LF</v>
          </cell>
          <cell r="E335" t="str">
            <v>m</v>
          </cell>
          <cell r="G335">
            <v>7175.96</v>
          </cell>
          <cell r="M335">
            <v>8077.55</v>
          </cell>
          <cell r="O335">
            <v>8127.56</v>
          </cell>
          <cell r="Q335">
            <v>7965.65</v>
          </cell>
          <cell r="S335">
            <v>8006.02</v>
          </cell>
        </row>
        <row r="336">
          <cell r="A336" t="str">
            <v>2 S 03 411 63</v>
          </cell>
          <cell r="B336" t="str">
            <v>Tub.ar comp.D=2,2 m prof.18/24 m lâmina d'água LF</v>
          </cell>
          <cell r="E336" t="str">
            <v>m</v>
          </cell>
          <cell r="G336">
            <v>8045.16</v>
          </cell>
          <cell r="M336">
            <v>9070.11</v>
          </cell>
          <cell r="O336">
            <v>9120.11</v>
          </cell>
          <cell r="Q336">
            <v>8940.7800000000007</v>
          </cell>
          <cell r="S336">
            <v>8981.15</v>
          </cell>
        </row>
        <row r="337">
          <cell r="A337" t="str">
            <v>2 S 03 411 64</v>
          </cell>
          <cell r="B337" t="str">
            <v>Tub.ar comp.D=2,2 m prof.24/27 m lâmina d'água LF</v>
          </cell>
          <cell r="E337" t="str">
            <v>m</v>
          </cell>
          <cell r="G337">
            <v>9308.5</v>
          </cell>
          <cell r="M337">
            <v>10518.88</v>
          </cell>
          <cell r="O337">
            <v>10568.89</v>
          </cell>
          <cell r="Q337">
            <v>10366.36</v>
          </cell>
          <cell r="S337">
            <v>10406.73</v>
          </cell>
        </row>
        <row r="338">
          <cell r="A338" t="str">
            <v>2 S 03 411 65</v>
          </cell>
          <cell r="B338" t="str">
            <v>Tub.ar comp.D=2,2 m prof.27/31m lâmina d'água LF</v>
          </cell>
          <cell r="E338" t="str">
            <v>m</v>
          </cell>
          <cell r="G338">
            <v>11024.28</v>
          </cell>
          <cell r="M338">
            <v>12477.1</v>
          </cell>
          <cell r="O338">
            <v>12527.11</v>
          </cell>
          <cell r="Q338">
            <v>12289.79</v>
          </cell>
          <cell r="S338">
            <v>12330.16</v>
          </cell>
        </row>
        <row r="339">
          <cell r="A339" t="str">
            <v>2 S 03 412 01</v>
          </cell>
          <cell r="B339" t="str">
            <v>Esc.p/alarg. base tub.ar comp.prof. até 12 m LF</v>
          </cell>
          <cell r="E339" t="str">
            <v>m3</v>
          </cell>
          <cell r="G339">
            <v>1197.69</v>
          </cell>
          <cell r="M339">
            <v>1352.9</v>
          </cell>
          <cell r="O339">
            <v>1352.9</v>
          </cell>
          <cell r="Q339">
            <v>1323.45</v>
          </cell>
          <cell r="S339">
            <v>1323.45</v>
          </cell>
        </row>
        <row r="340">
          <cell r="A340" t="str">
            <v>2 S 03 412 02</v>
          </cell>
          <cell r="B340" t="str">
            <v>Esc.p/alarg. base tub.ar comp.prof.12/18 m LF</v>
          </cell>
          <cell r="E340" t="str">
            <v>m3</v>
          </cell>
          <cell r="G340">
            <v>1401.59</v>
          </cell>
          <cell r="M340">
            <v>1584.9</v>
          </cell>
          <cell r="O340">
            <v>1584.9</v>
          </cell>
          <cell r="Q340">
            <v>1551.02</v>
          </cell>
          <cell r="S340">
            <v>1551.02</v>
          </cell>
        </row>
        <row r="341">
          <cell r="A341" t="str">
            <v>2 S 03 412 03</v>
          </cell>
          <cell r="B341" t="str">
            <v>Esc.p/alarg. base tub.ar comp.prof.18/24 m LF</v>
          </cell>
          <cell r="E341" t="str">
            <v>m3</v>
          </cell>
          <cell r="G341">
            <v>1621.05</v>
          </cell>
          <cell r="M341">
            <v>1835.63</v>
          </cell>
          <cell r="O341">
            <v>1835.63</v>
          </cell>
          <cell r="Q341">
            <v>1797.33</v>
          </cell>
          <cell r="S341">
            <v>1797.33</v>
          </cell>
        </row>
        <row r="342">
          <cell r="A342" t="str">
            <v>2 S 03 412 04</v>
          </cell>
          <cell r="B342" t="str">
            <v>Esc.p/alarg. base tub.ar comp.prof.24/27 m LF</v>
          </cell>
          <cell r="E342" t="str">
            <v>m3</v>
          </cell>
          <cell r="G342">
            <v>1940.1</v>
          </cell>
          <cell r="M342">
            <v>2201.66</v>
          </cell>
          <cell r="O342">
            <v>2201.66</v>
          </cell>
          <cell r="Q342">
            <v>2157.4899999999998</v>
          </cell>
          <cell r="S342">
            <v>2157.4899999999998</v>
          </cell>
        </row>
        <row r="343">
          <cell r="A343" t="str">
            <v>2 S 03 412 05</v>
          </cell>
          <cell r="B343" t="str">
            <v>Esc.p/alarg. base tub.ar comp.prof.27/31m LF</v>
          </cell>
          <cell r="E343" t="str">
            <v>m3</v>
          </cell>
          <cell r="G343">
            <v>2475.7199999999998</v>
          </cell>
          <cell r="M343">
            <v>2819.05</v>
          </cell>
          <cell r="O343">
            <v>2819.05</v>
          </cell>
          <cell r="Q343">
            <v>2766.03</v>
          </cell>
          <cell r="S343">
            <v>2766.03</v>
          </cell>
        </row>
        <row r="344">
          <cell r="A344" t="str">
            <v>2 S 03 412 11</v>
          </cell>
          <cell r="B344" t="str">
            <v>Forn.lanç.conc. base tub.ar comp.até 12m LF</v>
          </cell>
          <cell r="E344" t="str">
            <v>m3</v>
          </cell>
          <cell r="G344">
            <v>264.22000000000003</v>
          </cell>
          <cell r="M344">
            <v>291.95</v>
          </cell>
          <cell r="O344">
            <v>296.33</v>
          </cell>
          <cell r="Q344">
            <v>286.73</v>
          </cell>
          <cell r="S344">
            <v>295.92</v>
          </cell>
        </row>
        <row r="345">
          <cell r="A345" t="str">
            <v>2 S 03 412 12</v>
          </cell>
          <cell r="B345" t="str">
            <v>Forn.lanc.conc.base tub.ar comp.prof.12/18m LF</v>
          </cell>
          <cell r="E345" t="str">
            <v>m3</v>
          </cell>
          <cell r="G345">
            <v>281.77</v>
          </cell>
          <cell r="M345">
            <v>311.86</v>
          </cell>
          <cell r="O345">
            <v>316.25</v>
          </cell>
          <cell r="Q345">
            <v>306.24</v>
          </cell>
          <cell r="S345">
            <v>315.44</v>
          </cell>
        </row>
        <row r="346">
          <cell r="A346" t="str">
            <v>2 S 03 412 13</v>
          </cell>
          <cell r="B346" t="str">
            <v>Forn.lanç.conc.base tub.ar comp.prof.18/24m LF</v>
          </cell>
          <cell r="E346" t="str">
            <v>m3</v>
          </cell>
          <cell r="G346">
            <v>300.69</v>
          </cell>
          <cell r="M346">
            <v>333.43</v>
          </cell>
          <cell r="O346">
            <v>337.81</v>
          </cell>
          <cell r="Q346">
            <v>327.41000000000003</v>
          </cell>
          <cell r="S346">
            <v>336.61</v>
          </cell>
        </row>
        <row r="347">
          <cell r="A347" t="str">
            <v>2 S 03 412 14</v>
          </cell>
          <cell r="B347" t="str">
            <v>Forn.lanç.conc.base tub.ar comp.prof.24/27m LF</v>
          </cell>
          <cell r="E347" t="str">
            <v>m3</v>
          </cell>
          <cell r="G347">
            <v>327.9</v>
          </cell>
          <cell r="M347">
            <v>364.56</v>
          </cell>
          <cell r="O347">
            <v>368.94</v>
          </cell>
          <cell r="Q347">
            <v>358.01</v>
          </cell>
          <cell r="S347">
            <v>367.21</v>
          </cell>
        </row>
        <row r="348">
          <cell r="A348" t="str">
            <v>2 S 03 412 15</v>
          </cell>
          <cell r="B348" t="str">
            <v>Forn.lanç.conc.base tub.ar comp.prof. 27/31m LF</v>
          </cell>
          <cell r="E348" t="str">
            <v>m3</v>
          </cell>
          <cell r="G348">
            <v>373.05</v>
          </cell>
          <cell r="M348">
            <v>416.46</v>
          </cell>
          <cell r="O348">
            <v>420.85</v>
          </cell>
          <cell r="Q348">
            <v>409.12</v>
          </cell>
          <cell r="S348">
            <v>418.32</v>
          </cell>
        </row>
        <row r="349">
          <cell r="A349" t="str">
            <v>2 S 03 510 00</v>
          </cell>
          <cell r="B349" t="str">
            <v>Aparelho apoio em neoprene fretado-forn. e aplic.</v>
          </cell>
          <cell r="E349" t="str">
            <v>kg</v>
          </cell>
          <cell r="G349">
            <v>48.27</v>
          </cell>
          <cell r="M349">
            <v>49.23</v>
          </cell>
          <cell r="O349">
            <v>43.54</v>
          </cell>
          <cell r="Q349">
            <v>43.54</v>
          </cell>
          <cell r="S349">
            <v>43.54</v>
          </cell>
        </row>
        <row r="350">
          <cell r="A350" t="str">
            <v>2 S 03 700 01</v>
          </cell>
          <cell r="B350" t="str">
            <v>Fabricação guarda-corpo tipo GM, moldado no local</v>
          </cell>
          <cell r="E350" t="str">
            <v>m</v>
          </cell>
          <cell r="G350">
            <v>165.2</v>
          </cell>
          <cell r="M350">
            <v>178.58</v>
          </cell>
          <cell r="O350">
            <v>183.82</v>
          </cell>
          <cell r="Q350">
            <v>182.79</v>
          </cell>
          <cell r="S350">
            <v>185.82</v>
          </cell>
        </row>
        <row r="351">
          <cell r="A351" t="str">
            <v>2 S 03 920 01</v>
          </cell>
          <cell r="B351" t="str">
            <v>Abertura concretagem bases tubulões céu aberto</v>
          </cell>
          <cell r="E351" t="str">
            <v>m3</v>
          </cell>
          <cell r="G351">
            <v>494.53</v>
          </cell>
          <cell r="M351">
            <v>566.62</v>
          </cell>
          <cell r="O351">
            <v>573.25</v>
          </cell>
          <cell r="Q351">
            <v>562.59</v>
          </cell>
          <cell r="S351">
            <v>576.38</v>
          </cell>
        </row>
        <row r="352">
          <cell r="A352" t="str">
            <v>2 S 03 930 00</v>
          </cell>
          <cell r="B352" t="str">
            <v>Junta de cantoneira</v>
          </cell>
          <cell r="E352" t="str">
            <v>m</v>
          </cell>
          <cell r="G352">
            <v>64.41</v>
          </cell>
          <cell r="M352">
            <v>70.930000000000007</v>
          </cell>
          <cell r="O352">
            <v>71.989999999999995</v>
          </cell>
          <cell r="Q352">
            <v>65.599999999999994</v>
          </cell>
          <cell r="S352">
            <v>65.599999999999994</v>
          </cell>
        </row>
        <row r="353">
          <cell r="A353" t="str">
            <v>2 S 03 940 00</v>
          </cell>
          <cell r="B353" t="str">
            <v>Compactação manual</v>
          </cell>
          <cell r="E353" t="str">
            <v>m3</v>
          </cell>
          <cell r="G353">
            <v>8.44</v>
          </cell>
          <cell r="M353">
            <v>9.44</v>
          </cell>
          <cell r="O353">
            <v>9.44</v>
          </cell>
          <cell r="Q353">
            <v>9.3800000000000008</v>
          </cell>
          <cell r="S353">
            <v>9.3800000000000008</v>
          </cell>
        </row>
        <row r="354">
          <cell r="A354" t="str">
            <v>2 S 03 940 01</v>
          </cell>
          <cell r="B354" t="str">
            <v>Reaterro e compactação</v>
          </cell>
          <cell r="E354" t="str">
            <v>m3</v>
          </cell>
          <cell r="G354">
            <v>13.94</v>
          </cell>
          <cell r="M354">
            <v>16.04</v>
          </cell>
          <cell r="O354">
            <v>16.04</v>
          </cell>
          <cell r="Q354">
            <v>15.98</v>
          </cell>
          <cell r="S354">
            <v>15.98</v>
          </cell>
        </row>
        <row r="355">
          <cell r="A355" t="str">
            <v>2 S 03 951 01</v>
          </cell>
          <cell r="B355" t="str">
            <v>Pintura com nata de cimento</v>
          </cell>
          <cell r="E355" t="str">
            <v>m2</v>
          </cell>
          <cell r="G355">
            <v>3.22</v>
          </cell>
          <cell r="M355">
            <v>3.8</v>
          </cell>
          <cell r="O355">
            <v>3.82</v>
          </cell>
          <cell r="Q355">
            <v>3.79</v>
          </cell>
          <cell r="S355">
            <v>3.82</v>
          </cell>
        </row>
        <row r="356">
          <cell r="A356" t="str">
            <v>2 S 03 990 01</v>
          </cell>
          <cell r="B356" t="str">
            <v>Confecção e colocação cabo 4 cord de 12,7 mm - MAC</v>
          </cell>
          <cell r="E356" t="str">
            <v>kg</v>
          </cell>
          <cell r="G356">
            <v>9.58</v>
          </cell>
          <cell r="M356">
            <v>10.54</v>
          </cell>
          <cell r="O356">
            <v>10.93</v>
          </cell>
          <cell r="Q356">
            <v>11.39</v>
          </cell>
          <cell r="S356">
            <v>11.39</v>
          </cell>
        </row>
        <row r="357">
          <cell r="A357" t="str">
            <v>2 S 03 990 02</v>
          </cell>
          <cell r="B357" t="str">
            <v>Confecção e colocação cabo 6 cord de 12,7 mm - MAC</v>
          </cell>
          <cell r="E357" t="str">
            <v>kg</v>
          </cell>
          <cell r="G357">
            <v>9.32</v>
          </cell>
          <cell r="M357">
            <v>10.220000000000001</v>
          </cell>
          <cell r="O357">
            <v>10.61</v>
          </cell>
          <cell r="Q357">
            <v>11.06</v>
          </cell>
          <cell r="S357">
            <v>11.06</v>
          </cell>
        </row>
        <row r="358">
          <cell r="A358" t="str">
            <v>2 S 03 990 03</v>
          </cell>
          <cell r="B358" t="str">
            <v>Confecção e colocação cabo 7 cord de 12,7 mm - MAC</v>
          </cell>
          <cell r="E358" t="str">
            <v>kg</v>
          </cell>
          <cell r="G358">
            <v>8.2799999999999994</v>
          </cell>
          <cell r="M358">
            <v>9.17</v>
          </cell>
          <cell r="O358">
            <v>9.56</v>
          </cell>
          <cell r="Q358">
            <v>9.89</v>
          </cell>
          <cell r="S358">
            <v>9.89</v>
          </cell>
        </row>
        <row r="359">
          <cell r="A359" t="str">
            <v>2 S 03 990 04</v>
          </cell>
          <cell r="B359" t="str">
            <v>Confecção e colocação cabo 12 cord de 12,7 mm -MAC</v>
          </cell>
          <cell r="E359" t="str">
            <v>kg</v>
          </cell>
          <cell r="G359">
            <v>7.47</v>
          </cell>
          <cell r="M359">
            <v>8.31</v>
          </cell>
          <cell r="O359">
            <v>8.6999999999999993</v>
          </cell>
          <cell r="Q359">
            <v>8.9499999999999993</v>
          </cell>
          <cell r="S359">
            <v>8.9499999999999993</v>
          </cell>
        </row>
        <row r="360">
          <cell r="A360" t="str">
            <v>2 S 03 990 05</v>
          </cell>
          <cell r="B360" t="str">
            <v>Confecção e colocação cabo 4 cord. D=12,7mm FREYSS</v>
          </cell>
          <cell r="E360" t="str">
            <v>kg</v>
          </cell>
          <cell r="G360">
            <v>9.33</v>
          </cell>
          <cell r="M360">
            <v>11</v>
          </cell>
          <cell r="O360">
            <v>11.39</v>
          </cell>
          <cell r="Q360">
            <v>11.39</v>
          </cell>
          <cell r="S360">
            <v>11.39</v>
          </cell>
        </row>
        <row r="361">
          <cell r="A361" t="str">
            <v>2 S 03 990 06</v>
          </cell>
          <cell r="B361" t="str">
            <v>Confecção e colocação cabo 6 cord. D=12,7mm FREYSS</v>
          </cell>
          <cell r="E361" t="str">
            <v>kg</v>
          </cell>
          <cell r="G361">
            <v>8.2799999999999994</v>
          </cell>
          <cell r="M361">
            <v>9.7100000000000009</v>
          </cell>
          <cell r="O361">
            <v>10.1</v>
          </cell>
          <cell r="Q361">
            <v>10.1</v>
          </cell>
          <cell r="S361">
            <v>10.1</v>
          </cell>
        </row>
        <row r="362">
          <cell r="A362" t="str">
            <v>2 S 03 990 07</v>
          </cell>
          <cell r="B362" t="str">
            <v>Confecção e colocação cabo 7 cord. D=12,7mm FREYSS</v>
          </cell>
          <cell r="E362" t="str">
            <v>kg</v>
          </cell>
          <cell r="G362">
            <v>7.72</v>
          </cell>
          <cell r="M362">
            <v>9.0500000000000007</v>
          </cell>
          <cell r="O362">
            <v>9.44</v>
          </cell>
          <cell r="Q362">
            <v>9.44</v>
          </cell>
          <cell r="S362">
            <v>9.44</v>
          </cell>
        </row>
        <row r="363">
          <cell r="A363" t="str">
            <v>2 S 03 990 08</v>
          </cell>
          <cell r="B363" t="str">
            <v>Confecção e colocação cabo 12cord. D=12,7mm FREYSS</v>
          </cell>
          <cell r="E363" t="str">
            <v>kg</v>
          </cell>
          <cell r="G363">
            <v>6.86</v>
          </cell>
          <cell r="M363">
            <v>8.02</v>
          </cell>
          <cell r="O363">
            <v>8.41</v>
          </cell>
          <cell r="Q363">
            <v>8.41</v>
          </cell>
          <cell r="S363">
            <v>8.41</v>
          </cell>
        </row>
        <row r="364">
          <cell r="A364" t="str">
            <v>2 S 03 991 01</v>
          </cell>
          <cell r="B364" t="str">
            <v>Dreno de PVC D=75 mm</v>
          </cell>
          <cell r="E364" t="str">
            <v>und</v>
          </cell>
          <cell r="G364">
            <v>6.65</v>
          </cell>
          <cell r="M364">
            <v>7.7</v>
          </cell>
          <cell r="O364">
            <v>7.79</v>
          </cell>
          <cell r="Q364">
            <v>7.78</v>
          </cell>
          <cell r="S364">
            <v>7.78</v>
          </cell>
        </row>
        <row r="365">
          <cell r="A365" t="str">
            <v>2 S 03 991 02</v>
          </cell>
          <cell r="B365" t="str">
            <v>Dreno de PVC D=100 mm</v>
          </cell>
          <cell r="E365" t="str">
            <v>und</v>
          </cell>
          <cell r="G365">
            <v>7.06</v>
          </cell>
          <cell r="M365">
            <v>8.0500000000000007</v>
          </cell>
          <cell r="O365">
            <v>8.1999999999999993</v>
          </cell>
          <cell r="Q365">
            <v>8.18</v>
          </cell>
          <cell r="S365">
            <v>8.18</v>
          </cell>
        </row>
        <row r="366">
          <cell r="A366" t="str">
            <v>2 S 03 999 01</v>
          </cell>
          <cell r="B366" t="str">
            <v>Protensão e injeção cabo 4 cord. D=12,7 mm - MAC</v>
          </cell>
          <cell r="E366" t="str">
            <v>und</v>
          </cell>
          <cell r="G366">
            <v>322.27</v>
          </cell>
          <cell r="M366">
            <v>302.01</v>
          </cell>
          <cell r="O366">
            <v>302.45999999999998</v>
          </cell>
          <cell r="Q366">
            <v>327.17</v>
          </cell>
          <cell r="S366">
            <v>328.14</v>
          </cell>
        </row>
        <row r="367">
          <cell r="A367" t="str">
            <v>2 S 03 999 02</v>
          </cell>
          <cell r="B367" t="str">
            <v>Protensão e injeção cabo 6 cord. D=12,7 mm - MAC</v>
          </cell>
          <cell r="E367" t="str">
            <v>und</v>
          </cell>
          <cell r="G367">
            <v>471.75</v>
          </cell>
          <cell r="M367">
            <v>443.35</v>
          </cell>
          <cell r="O367">
            <v>443.97</v>
          </cell>
          <cell r="Q367">
            <v>483.01</v>
          </cell>
          <cell r="S367">
            <v>484.37</v>
          </cell>
        </row>
        <row r="368">
          <cell r="A368" t="str">
            <v>2 S 03 999 03</v>
          </cell>
          <cell r="B368" t="str">
            <v>Protensão e injeção cabo 7 cord. D=12,7 mm - MAC</v>
          </cell>
          <cell r="E368" t="str">
            <v>und</v>
          </cell>
          <cell r="G368">
            <v>470.03</v>
          </cell>
          <cell r="M368">
            <v>441.41</v>
          </cell>
          <cell r="O368">
            <v>441.99</v>
          </cell>
          <cell r="Q368">
            <v>481.11</v>
          </cell>
          <cell r="S368">
            <v>482.37</v>
          </cell>
        </row>
        <row r="369">
          <cell r="A369" t="str">
            <v>2 S 03 999 04</v>
          </cell>
          <cell r="B369" t="str">
            <v>Protensão e injeção cabo 12 cord. D=12,7 mm - MAC</v>
          </cell>
          <cell r="E369" t="str">
            <v>und</v>
          </cell>
          <cell r="G369">
            <v>869.74</v>
          </cell>
          <cell r="M369">
            <v>826.41</v>
          </cell>
          <cell r="O369">
            <v>827.42</v>
          </cell>
          <cell r="Q369">
            <v>906.29</v>
          </cell>
          <cell r="S369">
            <v>908.48</v>
          </cell>
        </row>
        <row r="370">
          <cell r="A370" t="str">
            <v>2 S 03 999 05</v>
          </cell>
          <cell r="B370" t="str">
            <v>Protensão e injeção cabo 4 cord. D=12,7mm - FREYSS</v>
          </cell>
          <cell r="E370" t="str">
            <v>und</v>
          </cell>
          <cell r="G370">
            <v>298.43</v>
          </cell>
          <cell r="M370">
            <v>340.97</v>
          </cell>
          <cell r="O370">
            <v>341.41</v>
          </cell>
          <cell r="Q370">
            <v>340.67</v>
          </cell>
          <cell r="S370">
            <v>341.64</v>
          </cell>
        </row>
        <row r="371">
          <cell r="A371" t="str">
            <v>2 S 03 999 06</v>
          </cell>
          <cell r="B371" t="str">
            <v>Protensão e injeção cabo 6 cord. D=12,7mm - FREYSS</v>
          </cell>
          <cell r="E371" t="str">
            <v>und</v>
          </cell>
          <cell r="G371">
            <v>416.8</v>
          </cell>
          <cell r="M371">
            <v>477.49</v>
          </cell>
          <cell r="O371">
            <v>478.11</v>
          </cell>
          <cell r="Q371">
            <v>477.07</v>
          </cell>
          <cell r="S371">
            <v>478.42</v>
          </cell>
        </row>
        <row r="372">
          <cell r="A372" t="str">
            <v>2 S 03 999 07</v>
          </cell>
          <cell r="B372" t="str">
            <v>Protensão e injeção cabo 7 cord. D=12,7mm - FREYSS</v>
          </cell>
          <cell r="E372" t="str">
            <v>und</v>
          </cell>
          <cell r="G372">
            <v>461.52</v>
          </cell>
          <cell r="M372">
            <v>528.63</v>
          </cell>
          <cell r="O372">
            <v>529.21</v>
          </cell>
          <cell r="Q372">
            <v>528.24</v>
          </cell>
          <cell r="S372">
            <v>529.5</v>
          </cell>
        </row>
        <row r="373">
          <cell r="A373" t="str">
            <v>2 S 03 999 08</v>
          </cell>
          <cell r="B373" t="str">
            <v>Protensão e injeção cabo 12 cord. D=12,7mm FREYSS</v>
          </cell>
          <cell r="E373" t="str">
            <v>und</v>
          </cell>
          <cell r="G373">
            <v>835.19</v>
          </cell>
          <cell r="M373">
            <v>954.69</v>
          </cell>
          <cell r="O373">
            <v>955.7</v>
          </cell>
          <cell r="Q373">
            <v>954.02</v>
          </cell>
          <cell r="S373">
            <v>956.21</v>
          </cell>
        </row>
        <row r="374">
          <cell r="A374" t="str">
            <v>2 S 04 000 00</v>
          </cell>
          <cell r="B374" t="str">
            <v>Escavação manual em material de 1a cat</v>
          </cell>
          <cell r="E374" t="str">
            <v>m3</v>
          </cell>
          <cell r="G374">
            <v>19.48</v>
          </cell>
          <cell r="M374">
            <v>23.38</v>
          </cell>
          <cell r="O374">
            <v>23.38</v>
          </cell>
          <cell r="Q374">
            <v>23.38</v>
          </cell>
          <cell r="S374">
            <v>23.38</v>
          </cell>
        </row>
        <row r="375">
          <cell r="A375" t="str">
            <v>2 S 04 000 01</v>
          </cell>
          <cell r="B375" t="str">
            <v>Escavação manual reat.compact.mat.1a cat.</v>
          </cell>
          <cell r="E375" t="str">
            <v>m3</v>
          </cell>
          <cell r="G375">
            <v>22.02</v>
          </cell>
          <cell r="M375">
            <v>26.21</v>
          </cell>
          <cell r="O375">
            <v>26.21</v>
          </cell>
          <cell r="Q375">
            <v>26.2</v>
          </cell>
          <cell r="S375">
            <v>26.2</v>
          </cell>
        </row>
        <row r="376">
          <cell r="A376" t="str">
            <v>2 S 04 001 00</v>
          </cell>
          <cell r="B376" t="str">
            <v>Escavação mecânica de vala em mat.1a cat.</v>
          </cell>
          <cell r="E376" t="str">
            <v>m3</v>
          </cell>
          <cell r="G376">
            <v>3.18</v>
          </cell>
          <cell r="M376">
            <v>3.64</v>
          </cell>
          <cell r="O376">
            <v>3.64</v>
          </cell>
          <cell r="Q376">
            <v>3.55</v>
          </cell>
          <cell r="S376">
            <v>3.55</v>
          </cell>
        </row>
        <row r="377">
          <cell r="A377" t="str">
            <v>2 S 04 001 01</v>
          </cell>
          <cell r="B377" t="str">
            <v>Escavação mecânica reat. e comp. vala mat.1a cat.</v>
          </cell>
          <cell r="E377" t="str">
            <v>m3</v>
          </cell>
          <cell r="G377">
            <v>5.29</v>
          </cell>
          <cell r="M377">
            <v>6</v>
          </cell>
          <cell r="O377">
            <v>6</v>
          </cell>
          <cell r="Q377">
            <v>5.89</v>
          </cell>
          <cell r="S377">
            <v>5.89</v>
          </cell>
        </row>
        <row r="378">
          <cell r="A378" t="str">
            <v>2 S 04 002 01</v>
          </cell>
          <cell r="B378" t="str">
            <v>Perfuração para dreno sub-horizontal mat. 1a cat.</v>
          </cell>
          <cell r="E378" t="str">
            <v>m</v>
          </cell>
          <cell r="G378">
            <v>67.650000000000006</v>
          </cell>
          <cell r="M378">
            <v>77</v>
          </cell>
          <cell r="O378">
            <v>77</v>
          </cell>
          <cell r="Q378">
            <v>77.73</v>
          </cell>
          <cell r="S378">
            <v>77.73</v>
          </cell>
        </row>
        <row r="379">
          <cell r="A379" t="str">
            <v>2 S 04 010 00</v>
          </cell>
          <cell r="B379" t="str">
            <v>Escavação manual material 2a categoria</v>
          </cell>
          <cell r="E379" t="str">
            <v>m3</v>
          </cell>
          <cell r="G379">
            <v>20.43</v>
          </cell>
          <cell r="M379">
            <v>24.52</v>
          </cell>
          <cell r="O379">
            <v>24.52</v>
          </cell>
          <cell r="Q379">
            <v>24.52</v>
          </cell>
          <cell r="S379">
            <v>24.52</v>
          </cell>
        </row>
        <row r="380">
          <cell r="A380" t="str">
            <v>2 S 04 010 01</v>
          </cell>
          <cell r="B380" t="str">
            <v>Escavação manual reat.compactação em mat.2a cat.</v>
          </cell>
          <cell r="E380" t="str">
            <v>m3</v>
          </cell>
          <cell r="G380">
            <v>27.64</v>
          </cell>
          <cell r="M380">
            <v>32.909999999999997</v>
          </cell>
          <cell r="O380">
            <v>32.909999999999997</v>
          </cell>
          <cell r="Q380">
            <v>32.89</v>
          </cell>
          <cell r="S380">
            <v>32.89</v>
          </cell>
        </row>
        <row r="381">
          <cell r="A381" t="str">
            <v>2 S 04 011 00</v>
          </cell>
          <cell r="B381" t="str">
            <v>Escavação mecânica de vala em mat. 2a categoria</v>
          </cell>
          <cell r="E381" t="str">
            <v>m3</v>
          </cell>
          <cell r="G381">
            <v>3.82</v>
          </cell>
          <cell r="M381">
            <v>4.37</v>
          </cell>
          <cell r="O381">
            <v>4.37</v>
          </cell>
          <cell r="Q381">
            <v>4.26</v>
          </cell>
          <cell r="S381">
            <v>4.26</v>
          </cell>
        </row>
        <row r="382">
          <cell r="A382" t="str">
            <v>2 S 04 011 01</v>
          </cell>
          <cell r="B382" t="str">
            <v>Escavação mecânica reat.compact. vala mat.2a cat.</v>
          </cell>
          <cell r="E382" t="str">
            <v>m3</v>
          </cell>
          <cell r="G382">
            <v>6.35</v>
          </cell>
          <cell r="M382">
            <v>7.2</v>
          </cell>
          <cell r="O382">
            <v>7.2</v>
          </cell>
          <cell r="Q382">
            <v>7.07</v>
          </cell>
          <cell r="S382">
            <v>7.07</v>
          </cell>
        </row>
        <row r="383">
          <cell r="A383" t="str">
            <v>2 S 04 012 01</v>
          </cell>
          <cell r="B383" t="str">
            <v>Perfuração para dreno sub-horizontal mat 2a cat.</v>
          </cell>
          <cell r="E383" t="str">
            <v>m</v>
          </cell>
          <cell r="G383">
            <v>159.72999999999999</v>
          </cell>
          <cell r="M383">
            <v>169.21</v>
          </cell>
          <cell r="O383">
            <v>169.21</v>
          </cell>
          <cell r="Q383">
            <v>171.37</v>
          </cell>
          <cell r="S383">
            <v>171.37</v>
          </cell>
        </row>
        <row r="384">
          <cell r="A384" t="str">
            <v>2 S 04 020 00</v>
          </cell>
          <cell r="B384" t="str">
            <v>Escavação em vala material de 3a categoria</v>
          </cell>
          <cell r="E384" t="str">
            <v>m3</v>
          </cell>
          <cell r="G384">
            <v>46.48</v>
          </cell>
          <cell r="M384">
            <v>50.78</v>
          </cell>
          <cell r="O384">
            <v>52.49</v>
          </cell>
          <cell r="Q384">
            <v>51.87</v>
          </cell>
          <cell r="S384">
            <v>62.39</v>
          </cell>
        </row>
        <row r="385">
          <cell r="A385" t="str">
            <v>2 S 04 100 01</v>
          </cell>
          <cell r="B385" t="str">
            <v>Corpo BSTC D=0,60m</v>
          </cell>
          <cell r="E385" t="str">
            <v>m</v>
          </cell>
          <cell r="G385">
            <v>191.22</v>
          </cell>
          <cell r="M385">
            <v>211.13</v>
          </cell>
          <cell r="O385">
            <v>216.56</v>
          </cell>
          <cell r="Q385">
            <v>212.8</v>
          </cell>
          <cell r="S385">
            <v>217.36</v>
          </cell>
        </row>
        <row r="386">
          <cell r="A386" t="str">
            <v>2 S 04 100 02</v>
          </cell>
          <cell r="B386" t="str">
            <v>Corpo BSTC D=0,80m</v>
          </cell>
          <cell r="E386" t="str">
            <v>m</v>
          </cell>
          <cell r="G386">
            <v>279.49</v>
          </cell>
          <cell r="M386">
            <v>306.76</v>
          </cell>
          <cell r="O386">
            <v>315.29000000000002</v>
          </cell>
          <cell r="Q386">
            <v>309.20999999999998</v>
          </cell>
          <cell r="S386">
            <v>316.60000000000002</v>
          </cell>
        </row>
        <row r="387">
          <cell r="A387" t="str">
            <v>2 S 04 100 03</v>
          </cell>
          <cell r="B387" t="str">
            <v>Corpo BSTC D=1,00m</v>
          </cell>
          <cell r="E387" t="str">
            <v>m</v>
          </cell>
          <cell r="G387">
            <v>400.13</v>
          </cell>
          <cell r="M387">
            <v>437.28</v>
          </cell>
          <cell r="O387">
            <v>450.19</v>
          </cell>
          <cell r="Q387">
            <v>441.22</v>
          </cell>
          <cell r="S387">
            <v>452.1</v>
          </cell>
        </row>
        <row r="388">
          <cell r="A388" t="str">
            <v>2 S 04 100 04</v>
          </cell>
          <cell r="B388" t="str">
            <v>Corpo BSTC D=1,20m</v>
          </cell>
          <cell r="E388" t="str">
            <v>m</v>
          </cell>
          <cell r="G388">
            <v>538.65</v>
          </cell>
          <cell r="M388">
            <v>587.27</v>
          </cell>
          <cell r="O388">
            <v>605.29999999999995</v>
          </cell>
          <cell r="Q388">
            <v>593.39</v>
          </cell>
          <cell r="S388">
            <v>607.77</v>
          </cell>
        </row>
        <row r="389">
          <cell r="A389" t="str">
            <v>2 S 04 100 05</v>
          </cell>
          <cell r="B389" t="str">
            <v>Corpo BSTC D=1,50m</v>
          </cell>
          <cell r="E389" t="str">
            <v>m</v>
          </cell>
          <cell r="G389">
            <v>800.78</v>
          </cell>
          <cell r="M389">
            <v>870.21</v>
          </cell>
          <cell r="O389">
            <v>898.56</v>
          </cell>
          <cell r="Q389">
            <v>881.85</v>
          </cell>
          <cell r="S389">
            <v>901.86</v>
          </cell>
        </row>
        <row r="390">
          <cell r="A390" t="str">
            <v>2 S 04 101 01</v>
          </cell>
          <cell r="B390" t="str">
            <v>Boca BSTC D=0,60 m normal</v>
          </cell>
          <cell r="E390" t="str">
            <v>und</v>
          </cell>
          <cell r="G390">
            <v>417.58</v>
          </cell>
          <cell r="M390">
            <v>461.59</v>
          </cell>
          <cell r="O390">
            <v>467.01</v>
          </cell>
          <cell r="Q390">
            <v>460.48</v>
          </cell>
          <cell r="S390">
            <v>470.63</v>
          </cell>
        </row>
        <row r="391">
          <cell r="A391" t="str">
            <v>2 S 04 101 02</v>
          </cell>
          <cell r="B391" t="str">
            <v>Boca BSTC D=0,80m normal</v>
          </cell>
          <cell r="E391" t="str">
            <v>und</v>
          </cell>
          <cell r="G391">
            <v>695.6</v>
          </cell>
          <cell r="M391">
            <v>768.69</v>
          </cell>
          <cell r="O391">
            <v>778.51</v>
          </cell>
          <cell r="Q391">
            <v>766.03</v>
          </cell>
          <cell r="S391">
            <v>784.77</v>
          </cell>
        </row>
        <row r="392">
          <cell r="A392" t="str">
            <v>2 S 04 101 03</v>
          </cell>
          <cell r="B392" t="str">
            <v>Boca BSTC D=1,00m normal</v>
          </cell>
          <cell r="E392" t="str">
            <v>und</v>
          </cell>
          <cell r="G392">
            <v>1075.82</v>
          </cell>
          <cell r="M392">
            <v>1188.52</v>
          </cell>
          <cell r="O392">
            <v>1204.75</v>
          </cell>
          <cell r="Q392">
            <v>1183.3399999999999</v>
          </cell>
          <cell r="S392">
            <v>1214.72</v>
          </cell>
        </row>
        <row r="393">
          <cell r="A393" t="str">
            <v>2 S 04 101 04</v>
          </cell>
          <cell r="B393" t="str">
            <v>Boca BSTC D=1,20m normal</v>
          </cell>
          <cell r="E393" t="str">
            <v>und</v>
          </cell>
          <cell r="G393">
            <v>1556.13</v>
          </cell>
          <cell r="M393">
            <v>1718.76</v>
          </cell>
          <cell r="O393">
            <v>1743.56</v>
          </cell>
          <cell r="Q393">
            <v>1709.94</v>
          </cell>
          <cell r="S393">
            <v>1758.33</v>
          </cell>
        </row>
        <row r="394">
          <cell r="A394" t="str">
            <v>2 S 04 101 05</v>
          </cell>
          <cell r="B394" t="str">
            <v>Boca BSTC D=1,50m normal</v>
          </cell>
          <cell r="E394" t="str">
            <v>und</v>
          </cell>
          <cell r="G394">
            <v>2807.58</v>
          </cell>
          <cell r="M394">
            <v>3100.24</v>
          </cell>
          <cell r="O394">
            <v>3148.01</v>
          </cell>
          <cell r="Q394">
            <v>3081.25</v>
          </cell>
          <cell r="S394">
            <v>3175.46</v>
          </cell>
        </row>
        <row r="395">
          <cell r="A395" t="str">
            <v>2 S 04 101 06</v>
          </cell>
          <cell r="B395" t="str">
            <v>Boca BSTC D=0,60m - esc.=15</v>
          </cell>
          <cell r="E395" t="str">
            <v>und</v>
          </cell>
          <cell r="G395">
            <v>438.82</v>
          </cell>
          <cell r="M395">
            <v>485.06</v>
          </cell>
          <cell r="O395">
            <v>490.76</v>
          </cell>
          <cell r="Q395">
            <v>483.89</v>
          </cell>
          <cell r="S395">
            <v>494.58</v>
          </cell>
        </row>
        <row r="396">
          <cell r="A396" t="str">
            <v>2 S 04 101 07</v>
          </cell>
          <cell r="B396" t="str">
            <v>Boca BSTC D=0,80 m - esc.=15</v>
          </cell>
          <cell r="E396" t="str">
            <v>und</v>
          </cell>
          <cell r="G396">
            <v>731.83</v>
          </cell>
          <cell r="M396">
            <v>808.73</v>
          </cell>
          <cell r="O396">
            <v>819.08</v>
          </cell>
          <cell r="Q396">
            <v>805.92</v>
          </cell>
          <cell r="S396">
            <v>825.68</v>
          </cell>
        </row>
        <row r="397">
          <cell r="A397" t="str">
            <v>2 S 04 101 08</v>
          </cell>
          <cell r="B397" t="str">
            <v>Boca BSTC D=1,00 m - esc.=15</v>
          </cell>
          <cell r="E397" t="str">
            <v>und</v>
          </cell>
          <cell r="G397">
            <v>1128.07</v>
          </cell>
          <cell r="M397">
            <v>1246.24</v>
          </cell>
          <cell r="O397">
            <v>1263.28</v>
          </cell>
          <cell r="Q397">
            <v>1240.8</v>
          </cell>
          <cell r="S397">
            <v>1273.78</v>
          </cell>
        </row>
        <row r="398">
          <cell r="A398" t="str">
            <v>2 S 04 101 09</v>
          </cell>
          <cell r="B398" t="str">
            <v>Boca BSTC D=1,20 m - esc.=15</v>
          </cell>
          <cell r="E398" t="str">
            <v>und</v>
          </cell>
          <cell r="G398">
            <v>1636.86</v>
          </cell>
          <cell r="M398">
            <v>1807.93</v>
          </cell>
          <cell r="O398">
            <v>1834.07</v>
          </cell>
          <cell r="Q398">
            <v>1798.6</v>
          </cell>
          <cell r="S398">
            <v>1849.62</v>
          </cell>
        </row>
        <row r="399">
          <cell r="A399" t="str">
            <v>2 S 04 101 10</v>
          </cell>
          <cell r="B399" t="str">
            <v>Boca BSTC D=1,50 m - esc.=15</v>
          </cell>
          <cell r="E399" t="str">
            <v>und</v>
          </cell>
          <cell r="G399">
            <v>2958.41</v>
          </cell>
          <cell r="M399">
            <v>3266.81</v>
          </cell>
          <cell r="O399">
            <v>3317.23</v>
          </cell>
          <cell r="Q399">
            <v>3246.71</v>
          </cell>
          <cell r="S399">
            <v>3346.17</v>
          </cell>
        </row>
        <row r="400">
          <cell r="A400" t="str">
            <v>2 S 04 101 11</v>
          </cell>
          <cell r="B400" t="str">
            <v>Boca BSTC D=0,60 m - esc.=30</v>
          </cell>
          <cell r="E400" t="str">
            <v>und</v>
          </cell>
          <cell r="G400">
            <v>489.66</v>
          </cell>
          <cell r="M400">
            <v>541.29999999999995</v>
          </cell>
          <cell r="O400">
            <v>547.66</v>
          </cell>
          <cell r="Q400">
            <v>540</v>
          </cell>
          <cell r="S400">
            <v>551.95000000000005</v>
          </cell>
        </row>
        <row r="401">
          <cell r="A401" t="str">
            <v>2 S 04 101 12</v>
          </cell>
          <cell r="B401" t="str">
            <v>Boca BSTC D=0,80 m - esc.=30</v>
          </cell>
          <cell r="E401" t="str">
            <v>und</v>
          </cell>
          <cell r="G401">
            <v>814.29</v>
          </cell>
          <cell r="M401">
            <v>899.88</v>
          </cell>
          <cell r="O401">
            <v>911.4</v>
          </cell>
          <cell r="Q401">
            <v>896.75</v>
          </cell>
          <cell r="S401">
            <v>918.75</v>
          </cell>
        </row>
        <row r="402">
          <cell r="A402" t="str">
            <v>2 S 04 101 13</v>
          </cell>
          <cell r="B402" t="str">
            <v>Boca BSTC D=1,00 m - esc.=30</v>
          </cell>
          <cell r="E402" t="str">
            <v>und</v>
          </cell>
          <cell r="G402">
            <v>1254.82</v>
          </cell>
          <cell r="M402">
            <v>1386.3</v>
          </cell>
          <cell r="O402">
            <v>1405.29</v>
          </cell>
          <cell r="Q402">
            <v>1380.21</v>
          </cell>
          <cell r="S402">
            <v>1416.94</v>
          </cell>
        </row>
        <row r="403">
          <cell r="A403" t="str">
            <v>2 S 04 101 14</v>
          </cell>
          <cell r="B403" t="str">
            <v>Boca BSTC D=1,20 m - esc.=30</v>
          </cell>
          <cell r="E403" t="str">
            <v>und</v>
          </cell>
          <cell r="G403">
            <v>1825.52</v>
          </cell>
          <cell r="M403">
            <v>2016.34</v>
          </cell>
          <cell r="O403">
            <v>2045.56</v>
          </cell>
          <cell r="Q403">
            <v>2005.86</v>
          </cell>
          <cell r="S403">
            <v>2062.9299999999998</v>
          </cell>
        </row>
        <row r="404">
          <cell r="A404" t="str">
            <v>2 S 04 101 15</v>
          </cell>
          <cell r="B404" t="str">
            <v>Boca BSTC D=1,50 m - esc.=30</v>
          </cell>
          <cell r="E404" t="str">
            <v>und</v>
          </cell>
          <cell r="G404">
            <v>3308.94</v>
          </cell>
          <cell r="M404">
            <v>3653.9</v>
          </cell>
          <cell r="O404">
            <v>3710.45</v>
          </cell>
          <cell r="Q404">
            <v>3631.28</v>
          </cell>
          <cell r="S404">
            <v>3742.88</v>
          </cell>
        </row>
        <row r="405">
          <cell r="A405" t="str">
            <v>2 S 04 101 16</v>
          </cell>
          <cell r="B405" t="str">
            <v>Boca BSTC D=0,60 m - esc.=45</v>
          </cell>
          <cell r="E405" t="str">
            <v>und</v>
          </cell>
          <cell r="G405">
            <v>605.23</v>
          </cell>
          <cell r="M405">
            <v>669.06</v>
          </cell>
          <cell r="O405">
            <v>676.96</v>
          </cell>
          <cell r="Q405">
            <v>667.38</v>
          </cell>
          <cell r="S405">
            <v>682.24</v>
          </cell>
        </row>
        <row r="406">
          <cell r="A406" t="str">
            <v>2 S 04 101 17</v>
          </cell>
          <cell r="B406" t="str">
            <v>Boca BSTC D=0,80 m - esc.=45</v>
          </cell>
          <cell r="E406" t="str">
            <v>und</v>
          </cell>
          <cell r="G406">
            <v>1095.04</v>
          </cell>
          <cell r="M406">
            <v>1210.54</v>
          </cell>
          <cell r="O406">
            <v>1226.7</v>
          </cell>
          <cell r="Q406">
            <v>1204.3599999999999</v>
          </cell>
          <cell r="S406">
            <v>1231.8599999999999</v>
          </cell>
        </row>
        <row r="407">
          <cell r="A407" t="str">
            <v>2 S 04 101 18</v>
          </cell>
          <cell r="B407" t="str">
            <v>Boca BSTC D=1,00 m - esc.=45</v>
          </cell>
          <cell r="E407" t="str">
            <v>und</v>
          </cell>
          <cell r="G407">
            <v>1555.91</v>
          </cell>
          <cell r="M407">
            <v>1718.98</v>
          </cell>
          <cell r="O407">
            <v>1742.67</v>
          </cell>
          <cell r="Q407">
            <v>1711.27</v>
          </cell>
          <cell r="S407">
            <v>1757.13</v>
          </cell>
        </row>
        <row r="408">
          <cell r="A408" t="str">
            <v>2 S 04 101 19</v>
          </cell>
          <cell r="B408" t="str">
            <v>Boca BSTC D=1,20 m - esc.=45</v>
          </cell>
          <cell r="E408" t="str">
            <v>und</v>
          </cell>
          <cell r="G408">
            <v>2265.17</v>
          </cell>
          <cell r="M408">
            <v>2501.98</v>
          </cell>
          <cell r="O408">
            <v>2538.5</v>
          </cell>
          <cell r="Q408">
            <v>2488.71</v>
          </cell>
          <cell r="S408">
            <v>2560.14</v>
          </cell>
        </row>
        <row r="409">
          <cell r="A409" t="str">
            <v>2 S 04 101 20</v>
          </cell>
          <cell r="B409" t="str">
            <v>Boca BSTC D=1,50 m - esc.=45</v>
          </cell>
          <cell r="E409" t="str">
            <v>und</v>
          </cell>
          <cell r="G409">
            <v>4158.87</v>
          </cell>
          <cell r="M409">
            <v>4594.7299999999996</v>
          </cell>
          <cell r="O409">
            <v>4665.8900000000003</v>
          </cell>
          <cell r="Q409">
            <v>4565.95</v>
          </cell>
          <cell r="S409">
            <v>4706.58</v>
          </cell>
        </row>
        <row r="410">
          <cell r="A410" t="str">
            <v>2 S 04 110 01</v>
          </cell>
          <cell r="B410" t="str">
            <v>Corpo BDTC D=1,00m</v>
          </cell>
          <cell r="E410" t="str">
            <v>m</v>
          </cell>
          <cell r="G410">
            <v>824.9</v>
          </cell>
          <cell r="M410">
            <v>900.22</v>
          </cell>
          <cell r="O410">
            <v>927.15</v>
          </cell>
          <cell r="Q410">
            <v>907.37</v>
          </cell>
          <cell r="S410">
            <v>931.46</v>
          </cell>
        </row>
        <row r="411">
          <cell r="A411" t="str">
            <v>2 S 04 110 02</v>
          </cell>
          <cell r="B411" t="str">
            <v>Corpo BDTC D=1,20m</v>
          </cell>
          <cell r="E411" t="str">
            <v>m</v>
          </cell>
          <cell r="G411">
            <v>1056.6500000000001</v>
          </cell>
          <cell r="M411">
            <v>1150.45</v>
          </cell>
          <cell r="O411">
            <v>1186.5</v>
          </cell>
          <cell r="Q411">
            <v>1162.6199999999999</v>
          </cell>
          <cell r="S411">
            <v>1191.3900000000001</v>
          </cell>
        </row>
        <row r="412">
          <cell r="A412" t="str">
            <v>2 S 04 110 03</v>
          </cell>
          <cell r="B412" t="str">
            <v>Corpo BDTC D=1,50m</v>
          </cell>
          <cell r="E412" t="str">
            <v>m</v>
          </cell>
          <cell r="G412">
            <v>1691.15</v>
          </cell>
          <cell r="M412">
            <v>1834.73</v>
          </cell>
          <cell r="O412">
            <v>1894.91</v>
          </cell>
          <cell r="Q412">
            <v>1855.82</v>
          </cell>
          <cell r="S412">
            <v>1902.9</v>
          </cell>
        </row>
        <row r="413">
          <cell r="A413" t="str">
            <v>2 S 04 111 01</v>
          </cell>
          <cell r="B413" t="str">
            <v>Boca BDTC D=1,00m normal</v>
          </cell>
          <cell r="E413" t="str">
            <v>und</v>
          </cell>
          <cell r="G413">
            <v>1506.31</v>
          </cell>
          <cell r="M413">
            <v>1663.87</v>
          </cell>
          <cell r="O413">
            <v>1687.18</v>
          </cell>
          <cell r="Q413">
            <v>1656.03</v>
          </cell>
          <cell r="S413">
            <v>1701.27</v>
          </cell>
        </row>
        <row r="414">
          <cell r="A414" t="str">
            <v>2 S 04 111 02</v>
          </cell>
          <cell r="B414" t="str">
            <v>Boca BDTC D=1,20m normal</v>
          </cell>
          <cell r="E414" t="str">
            <v>und</v>
          </cell>
          <cell r="G414">
            <v>2185.6999999999998</v>
          </cell>
          <cell r="M414">
            <v>2413.77</v>
          </cell>
          <cell r="O414">
            <v>2449.44</v>
          </cell>
          <cell r="Q414">
            <v>2400.54</v>
          </cell>
          <cell r="S414">
            <v>2470.4</v>
          </cell>
        </row>
        <row r="415">
          <cell r="A415" t="str">
            <v>2 S 04 111 03</v>
          </cell>
          <cell r="B415" t="str">
            <v>Boca BDTC D=1,50m normal</v>
          </cell>
          <cell r="E415" t="str">
            <v>und</v>
          </cell>
          <cell r="G415">
            <v>3835.64</v>
          </cell>
          <cell r="M415">
            <v>4236.74</v>
          </cell>
          <cell r="O415">
            <v>4303.68</v>
          </cell>
          <cell r="Q415">
            <v>4208.88</v>
          </cell>
          <cell r="S415">
            <v>4341.4799999999996</v>
          </cell>
        </row>
        <row r="416">
          <cell r="A416" t="str">
            <v>2 S 04 111 05</v>
          </cell>
          <cell r="B416" t="str">
            <v>Boca BDTC D=1,00 m - esc.=15</v>
          </cell>
          <cell r="E416" t="str">
            <v>und</v>
          </cell>
          <cell r="G416">
            <v>1573.89</v>
          </cell>
          <cell r="M416">
            <v>1738.53</v>
          </cell>
          <cell r="O416">
            <v>1762.9</v>
          </cell>
          <cell r="Q416">
            <v>1730.33</v>
          </cell>
          <cell r="S416">
            <v>1777.62</v>
          </cell>
        </row>
        <row r="417">
          <cell r="A417" t="str">
            <v>2 S 04 111 06</v>
          </cell>
          <cell r="B417" t="str">
            <v>Boca BDTC D=1,20 m - esc.=15</v>
          </cell>
          <cell r="E417" t="str">
            <v>und</v>
          </cell>
          <cell r="G417">
            <v>2288.25</v>
          </cell>
          <cell r="M417">
            <v>2527.0300000000002</v>
          </cell>
          <cell r="O417">
            <v>2564.41</v>
          </cell>
          <cell r="Q417">
            <v>2513.14</v>
          </cell>
          <cell r="S417">
            <v>2586.38</v>
          </cell>
        </row>
        <row r="418">
          <cell r="A418" t="str">
            <v>2 S 04 111 07</v>
          </cell>
          <cell r="B418" t="str">
            <v>Boca BDTC D=1,50 m - esc.=15</v>
          </cell>
          <cell r="E418" t="str">
            <v>und</v>
          </cell>
          <cell r="G418">
            <v>4029</v>
          </cell>
          <cell r="M418">
            <v>4448.3999999999996</v>
          </cell>
          <cell r="O418">
            <v>4518.67</v>
          </cell>
          <cell r="Q418">
            <v>4419.41</v>
          </cell>
          <cell r="S418">
            <v>4558.51</v>
          </cell>
        </row>
        <row r="419">
          <cell r="A419" t="str">
            <v>2 S 04 111 08</v>
          </cell>
          <cell r="B419" t="str">
            <v>Boca BDTC D=1,00 - esc.=30</v>
          </cell>
          <cell r="E419" t="str">
            <v>und</v>
          </cell>
          <cell r="G419">
            <v>1750.25</v>
          </cell>
          <cell r="M419">
            <v>1933.39</v>
          </cell>
          <cell r="O419">
            <v>1960.49</v>
          </cell>
          <cell r="Q419">
            <v>1924.28</v>
          </cell>
          <cell r="S419">
            <v>1976.92</v>
          </cell>
        </row>
        <row r="420">
          <cell r="A420" t="str">
            <v>2 S 04 111 09</v>
          </cell>
          <cell r="B420" t="str">
            <v>Boca BDTC D=1,20 m - esc.=30</v>
          </cell>
          <cell r="E420" t="str">
            <v>und</v>
          </cell>
          <cell r="G420">
            <v>2546.83</v>
          </cell>
          <cell r="M420">
            <v>2812.66</v>
          </cell>
          <cell r="O420">
            <v>2854.31</v>
          </cell>
          <cell r="Q420">
            <v>2797.16</v>
          </cell>
          <cell r="S420">
            <v>2878.78</v>
          </cell>
        </row>
        <row r="421">
          <cell r="A421" t="str">
            <v>2 S 04 111 10</v>
          </cell>
          <cell r="B421" t="str">
            <v>Boca BDTC D=1,50 m - esc.=30</v>
          </cell>
          <cell r="E421" t="str">
            <v>und</v>
          </cell>
          <cell r="G421">
            <v>4502.21</v>
          </cell>
          <cell r="M421">
            <v>4970.95</v>
          </cell>
          <cell r="O421">
            <v>5049.58</v>
          </cell>
          <cell r="Q421">
            <v>4938.4399999999996</v>
          </cell>
          <cell r="S421">
            <v>5094.1400000000003</v>
          </cell>
        </row>
        <row r="422">
          <cell r="A422" t="str">
            <v>2 S 04 111 11</v>
          </cell>
          <cell r="B422" t="str">
            <v>Boca BDTC D=1,00 m - esc.=45</v>
          </cell>
          <cell r="E422" t="str">
            <v>und</v>
          </cell>
          <cell r="G422">
            <v>2160.3000000000002</v>
          </cell>
          <cell r="M422">
            <v>2386.7399999999998</v>
          </cell>
          <cell r="O422">
            <v>2420.2399999999998</v>
          </cell>
          <cell r="Q422">
            <v>2375.41</v>
          </cell>
          <cell r="S422">
            <v>2440.5</v>
          </cell>
        </row>
        <row r="423">
          <cell r="A423" t="str">
            <v>2 S 04 111 12</v>
          </cell>
          <cell r="B423" t="str">
            <v>Boca BDTC D=1,20 m - esc.=45</v>
          </cell>
          <cell r="E423" t="str">
            <v>und</v>
          </cell>
          <cell r="G423">
            <v>3143.21</v>
          </cell>
          <cell r="M423">
            <v>3471.42</v>
          </cell>
          <cell r="O423">
            <v>3523.01</v>
          </cell>
          <cell r="Q423">
            <v>3452.09</v>
          </cell>
          <cell r="S423">
            <v>3553.27</v>
          </cell>
        </row>
        <row r="424">
          <cell r="A424" t="str">
            <v>2 S 04 111 13</v>
          </cell>
          <cell r="B424" t="str">
            <v>Boca BDTC D=1,50 m - esc.=45</v>
          </cell>
          <cell r="E424" t="str">
            <v>und</v>
          </cell>
          <cell r="G424">
            <v>5571.34</v>
          </cell>
          <cell r="M424">
            <v>6150.05</v>
          </cell>
          <cell r="O424">
            <v>6248.02</v>
          </cell>
          <cell r="Q424">
            <v>6109.3</v>
          </cell>
          <cell r="S424">
            <v>6303.43</v>
          </cell>
        </row>
        <row r="425">
          <cell r="A425" t="str">
            <v>2 S 04 120 01</v>
          </cell>
          <cell r="B425" t="str">
            <v>Corpo BTTC D=1,00m</v>
          </cell>
          <cell r="E425" t="str">
            <v>m</v>
          </cell>
          <cell r="G425">
            <v>1163.6400000000001</v>
          </cell>
          <cell r="M425">
            <v>1268.79</v>
          </cell>
          <cell r="O425">
            <v>1307.51</v>
          </cell>
          <cell r="Q425">
            <v>1280.4100000000001</v>
          </cell>
          <cell r="S425">
            <v>1313.08</v>
          </cell>
        </row>
        <row r="426">
          <cell r="A426" t="str">
            <v>2 S 04 120 02</v>
          </cell>
          <cell r="B426" t="str">
            <v>Corpo BTTC D=1,20m</v>
          </cell>
          <cell r="E426" t="str">
            <v>m</v>
          </cell>
          <cell r="G426">
            <v>1575.6</v>
          </cell>
          <cell r="M426">
            <v>1714.77</v>
          </cell>
          <cell r="O426">
            <v>1768.82</v>
          </cell>
          <cell r="Q426">
            <v>1732.97</v>
          </cell>
          <cell r="S426">
            <v>1776.14</v>
          </cell>
        </row>
        <row r="427">
          <cell r="A427" t="str">
            <v>2 S 04 120 03</v>
          </cell>
          <cell r="B427" t="str">
            <v>Corpo BTTC D=1,50m</v>
          </cell>
          <cell r="E427" t="str">
            <v>m</v>
          </cell>
          <cell r="G427">
            <v>2352.62</v>
          </cell>
          <cell r="M427">
            <v>2552.98</v>
          </cell>
          <cell r="O427">
            <v>2637.95</v>
          </cell>
          <cell r="Q427">
            <v>2587.77</v>
          </cell>
          <cell r="S427">
            <v>2647.81</v>
          </cell>
        </row>
        <row r="428">
          <cell r="A428" t="str">
            <v>2 S 04 121 01</v>
          </cell>
          <cell r="B428" t="str">
            <v>Boca BTTC D=1,00m normal</v>
          </cell>
          <cell r="E428" t="str">
            <v>und</v>
          </cell>
          <cell r="G428">
            <v>1943.6</v>
          </cell>
          <cell r="M428">
            <v>2146.69</v>
          </cell>
          <cell r="O428">
            <v>2177.25</v>
          </cell>
          <cell r="Q428">
            <v>2136.0500000000002</v>
          </cell>
          <cell r="S428">
            <v>2195.31</v>
          </cell>
        </row>
        <row r="429">
          <cell r="A429" t="str">
            <v>2 S 04 121 02</v>
          </cell>
          <cell r="B429" t="str">
            <v>Boca BTTC D=1,20m normal</v>
          </cell>
          <cell r="E429" t="str">
            <v>und</v>
          </cell>
          <cell r="G429">
            <v>2821.36</v>
          </cell>
          <cell r="M429">
            <v>3115.53</v>
          </cell>
          <cell r="O429">
            <v>3162.21</v>
          </cell>
          <cell r="Q429">
            <v>3097.71</v>
          </cell>
          <cell r="S429">
            <v>3189.06</v>
          </cell>
        </row>
        <row r="430">
          <cell r="A430" t="str">
            <v>2 S 04 121 03</v>
          </cell>
          <cell r="B430" t="str">
            <v>Boca BTTC D=1,50m normal</v>
          </cell>
          <cell r="E430" t="str">
            <v>und</v>
          </cell>
          <cell r="G430">
            <v>4904.9799999999996</v>
          </cell>
          <cell r="M430">
            <v>5415.17</v>
          </cell>
          <cell r="O430">
            <v>5501.76</v>
          </cell>
          <cell r="Q430">
            <v>5378.69</v>
          </cell>
          <cell r="S430">
            <v>5550</v>
          </cell>
        </row>
        <row r="431">
          <cell r="A431" t="str">
            <v>2 S 04 121 04</v>
          </cell>
          <cell r="B431" t="str">
            <v>Boca BTTC D=1,00 m - esc.=15</v>
          </cell>
          <cell r="E431" t="str">
            <v>und</v>
          </cell>
          <cell r="G431">
            <v>2025.35</v>
          </cell>
          <cell r="M431">
            <v>2237.0100000000002</v>
          </cell>
          <cell r="O431">
            <v>2268.85</v>
          </cell>
          <cell r="Q431">
            <v>2225.9299999999998</v>
          </cell>
          <cell r="S431">
            <v>2287.6799999999998</v>
          </cell>
        </row>
        <row r="432">
          <cell r="A432" t="str">
            <v>2 S 04 121 05</v>
          </cell>
          <cell r="B432" t="str">
            <v>Boca BTTC D=1,20 m - esc.=15</v>
          </cell>
          <cell r="E432" t="str">
            <v>und</v>
          </cell>
          <cell r="G432">
            <v>2946.92</v>
          </cell>
          <cell r="M432">
            <v>3254.21</v>
          </cell>
          <cell r="O432">
            <v>3302.99</v>
          </cell>
          <cell r="Q432">
            <v>3235.59</v>
          </cell>
          <cell r="S432">
            <v>3331.03</v>
          </cell>
        </row>
        <row r="433">
          <cell r="A433" t="str">
            <v>2 S 04 121 06</v>
          </cell>
          <cell r="B433" t="str">
            <v>Boca BTTC D=1,50 m - esc.=15</v>
          </cell>
          <cell r="E433" t="str">
            <v>und</v>
          </cell>
          <cell r="G433">
            <v>5127.67</v>
          </cell>
          <cell r="M433">
            <v>5661.06</v>
          </cell>
          <cell r="O433">
            <v>5751.61</v>
          </cell>
          <cell r="Q433">
            <v>5622.9</v>
          </cell>
          <cell r="S433">
            <v>5802.08</v>
          </cell>
        </row>
        <row r="434">
          <cell r="A434" t="str">
            <v>2 S 04 121 07</v>
          </cell>
          <cell r="B434" t="str">
            <v>Boca BTTC D=1,00 m - esc.=30</v>
          </cell>
          <cell r="E434" t="str">
            <v>und</v>
          </cell>
          <cell r="G434">
            <v>2253.5300000000002</v>
          </cell>
          <cell r="M434">
            <v>2489.14</v>
          </cell>
          <cell r="O434">
            <v>2524.5500000000002</v>
          </cell>
          <cell r="Q434">
            <v>2476.8000000000002</v>
          </cell>
          <cell r="S434">
            <v>2545.4699999999998</v>
          </cell>
        </row>
        <row r="435">
          <cell r="A435" t="str">
            <v>2 S 04 121 08</v>
          </cell>
          <cell r="B435" t="str">
            <v>Boca BTTC D=1,20 m - esc.=30</v>
          </cell>
          <cell r="E435" t="str">
            <v>und</v>
          </cell>
          <cell r="G435">
            <v>3277.95</v>
          </cell>
          <cell r="M435">
            <v>3619.87</v>
          </cell>
          <cell r="O435">
            <v>3674.13</v>
          </cell>
          <cell r="Q435">
            <v>3599.12</v>
          </cell>
          <cell r="S435">
            <v>3705.34</v>
          </cell>
        </row>
        <row r="436">
          <cell r="A436" t="str">
            <v>2 S 04 121 09</v>
          </cell>
          <cell r="B436" t="str">
            <v>Boca BTTC D=1,50 m - esc.=30</v>
          </cell>
          <cell r="E436" t="str">
            <v>und</v>
          </cell>
          <cell r="G436">
            <v>5719.92</v>
          </cell>
          <cell r="M436">
            <v>6315.06</v>
          </cell>
          <cell r="O436">
            <v>6416.14</v>
          </cell>
          <cell r="Q436">
            <v>6272.41</v>
          </cell>
          <cell r="S436">
            <v>6472.46</v>
          </cell>
        </row>
        <row r="437">
          <cell r="A437" t="str">
            <v>2 S 04 121 10</v>
          </cell>
          <cell r="B437" t="str">
            <v>Boca BTTC D=1,00 m - esc.=45</v>
          </cell>
          <cell r="E437" t="str">
            <v>und</v>
          </cell>
          <cell r="G437">
            <v>2769.56</v>
          </cell>
          <cell r="M437">
            <v>3059.28</v>
          </cell>
          <cell r="O437">
            <v>3102.83</v>
          </cell>
          <cell r="Q437">
            <v>3044.07</v>
          </cell>
          <cell r="S437">
            <v>3128.59</v>
          </cell>
        </row>
        <row r="438">
          <cell r="A438" t="str">
            <v>2 S 04 121 11</v>
          </cell>
          <cell r="B438" t="str">
            <v>Boca BTTC D=1,20 m - esc.=45</v>
          </cell>
          <cell r="E438" t="str">
            <v>und</v>
          </cell>
          <cell r="G438">
            <v>4032.88</v>
          </cell>
          <cell r="M438">
            <v>4453.74</v>
          </cell>
          <cell r="O438">
            <v>4520.6400000000003</v>
          </cell>
          <cell r="Q438">
            <v>4428.1000000000004</v>
          </cell>
          <cell r="S438">
            <v>4559.1400000000003</v>
          </cell>
        </row>
        <row r="439">
          <cell r="A439" t="str">
            <v>2 S 04 121 12</v>
          </cell>
          <cell r="B439" t="str">
            <v>Boca BTTC D=1,50 m - esc.=45</v>
          </cell>
          <cell r="E439" t="str">
            <v>und</v>
          </cell>
          <cell r="G439">
            <v>7075.55</v>
          </cell>
          <cell r="M439">
            <v>7811.96</v>
          </cell>
          <cell r="O439">
            <v>7937.31</v>
          </cell>
          <cell r="Q439">
            <v>7758.88</v>
          </cell>
          <cell r="S439">
            <v>8007.15</v>
          </cell>
        </row>
        <row r="440">
          <cell r="A440" t="str">
            <v>2 S 04 200 01</v>
          </cell>
          <cell r="B440" t="str">
            <v>Corpo BSCC 1,50 x 1,50 m alt. 0 a 1,00 m</v>
          </cell>
          <cell r="E440" t="str">
            <v>und</v>
          </cell>
          <cell r="G440">
            <v>822.42</v>
          </cell>
          <cell r="M440">
            <v>917.39</v>
          </cell>
          <cell r="O440">
            <v>943.77</v>
          </cell>
          <cell r="Q440">
            <v>932.16</v>
          </cell>
          <cell r="S440">
            <v>947.34</v>
          </cell>
        </row>
        <row r="441">
          <cell r="A441" t="str">
            <v>2 S 04 200 02</v>
          </cell>
          <cell r="B441" t="str">
            <v>Corpo BSCC 2,00 x 2,00 m alt. 0 a 1,00 m</v>
          </cell>
          <cell r="E441" t="str">
            <v>und</v>
          </cell>
          <cell r="G441">
            <v>1185.29</v>
          </cell>
          <cell r="M441">
            <v>1327.48</v>
          </cell>
          <cell r="O441">
            <v>1364.43</v>
          </cell>
          <cell r="Q441">
            <v>1349.32</v>
          </cell>
          <cell r="S441">
            <v>1368.6</v>
          </cell>
        </row>
        <row r="442">
          <cell r="A442" t="str">
            <v>2 S 04 200 03</v>
          </cell>
          <cell r="B442" t="str">
            <v>Corpo BSCC 2,50 x 2,50 m alt. 0 a 1,00 m</v>
          </cell>
          <cell r="E442" t="str">
            <v>m</v>
          </cell>
          <cell r="G442">
            <v>1690.52</v>
          </cell>
          <cell r="M442">
            <v>1890.75</v>
          </cell>
          <cell r="O442">
            <v>1942.01</v>
          </cell>
          <cell r="Q442">
            <v>1915.9</v>
          </cell>
          <cell r="S442">
            <v>1948.04</v>
          </cell>
        </row>
        <row r="443">
          <cell r="A443" t="str">
            <v>2 S 04 200 04</v>
          </cell>
          <cell r="B443" t="str">
            <v>Corpo BSCC 3,00 x 3,00 m alt. 0 a 1,00 m</v>
          </cell>
          <cell r="E443" t="str">
            <v>m</v>
          </cell>
          <cell r="G443">
            <v>2227.0300000000002</v>
          </cell>
          <cell r="M443">
            <v>2492.56</v>
          </cell>
          <cell r="O443">
            <v>2556.91</v>
          </cell>
          <cell r="Q443">
            <v>2519.34</v>
          </cell>
          <cell r="S443">
            <v>2564.52</v>
          </cell>
        </row>
        <row r="444">
          <cell r="A444" t="str">
            <v>2 S 04 200 05</v>
          </cell>
          <cell r="B444" t="str">
            <v>Corpo BSCC 1,50 x 1,50 m alt. 1,00 a 2,50 m</v>
          </cell>
          <cell r="E444" t="str">
            <v>m</v>
          </cell>
          <cell r="G444">
            <v>745.56</v>
          </cell>
          <cell r="M444">
            <v>832.37</v>
          </cell>
          <cell r="O444">
            <v>854.14</v>
          </cell>
          <cell r="Q444">
            <v>842.4</v>
          </cell>
          <cell r="S444">
            <v>858.14</v>
          </cell>
        </row>
        <row r="445">
          <cell r="A445" t="str">
            <v>2 S 04 200 06</v>
          </cell>
          <cell r="B445" t="str">
            <v>Corpo BSCC 2,00 x 2,00 m alt. 1,00 a 2,50 m</v>
          </cell>
          <cell r="E445" t="str">
            <v>m</v>
          </cell>
          <cell r="G445">
            <v>1063.6500000000001</v>
          </cell>
          <cell r="M445">
            <v>1189.33</v>
          </cell>
          <cell r="O445">
            <v>1220.78</v>
          </cell>
          <cell r="Q445">
            <v>1205.04</v>
          </cell>
          <cell r="S445">
            <v>1225.1199999999999</v>
          </cell>
        </row>
        <row r="446">
          <cell r="A446" t="str">
            <v>2 S 04 200 07</v>
          </cell>
          <cell r="B446" t="str">
            <v>Corpo BSCC 2,50 x 2,50 m alt. 1,00 a 2,50 m</v>
          </cell>
          <cell r="E446" t="str">
            <v>m</v>
          </cell>
          <cell r="G446">
            <v>1600.15</v>
          </cell>
          <cell r="M446">
            <v>1789.64</v>
          </cell>
          <cell r="O446">
            <v>1836.29</v>
          </cell>
          <cell r="Q446">
            <v>1810.18</v>
          </cell>
          <cell r="S446">
            <v>1842.33</v>
          </cell>
        </row>
        <row r="447">
          <cell r="A447" t="str">
            <v>2 S 04 200 08</v>
          </cell>
          <cell r="B447" t="str">
            <v>Corpo BSCC 3,00 x 3,00 m alt. 1,00 a 2,50 m</v>
          </cell>
          <cell r="E447" t="str">
            <v>m</v>
          </cell>
          <cell r="G447">
            <v>2177.2600000000002</v>
          </cell>
          <cell r="M447">
            <v>2432.6</v>
          </cell>
          <cell r="O447">
            <v>2496.2199999999998</v>
          </cell>
          <cell r="Q447">
            <v>2457.7399999999998</v>
          </cell>
          <cell r="S447">
            <v>2504.1</v>
          </cell>
        </row>
        <row r="448">
          <cell r="A448" t="str">
            <v>2 S 04 200 09</v>
          </cell>
          <cell r="B448" t="str">
            <v>Corpo BSCC 1,50 x 1,50 m alt. 2,50 a 5,00 m</v>
          </cell>
          <cell r="E448" t="str">
            <v>m</v>
          </cell>
          <cell r="G448">
            <v>812.04</v>
          </cell>
          <cell r="M448">
            <v>907.14</v>
          </cell>
          <cell r="O448">
            <v>932.05</v>
          </cell>
          <cell r="Q448">
            <v>920.31</v>
          </cell>
          <cell r="S448">
            <v>936.06</v>
          </cell>
        </row>
        <row r="449">
          <cell r="A449" t="str">
            <v>2 S 04 200 10</v>
          </cell>
          <cell r="B449" t="str">
            <v>Corpo BSCC 2,00 x 2,00 m alt. 2,50 a 5,00 m</v>
          </cell>
          <cell r="E449" t="str">
            <v>m</v>
          </cell>
          <cell r="G449">
            <v>1258.22</v>
          </cell>
          <cell r="M449">
            <v>1405.85</v>
          </cell>
          <cell r="O449">
            <v>1443.11</v>
          </cell>
          <cell r="Q449">
            <v>1422.47</v>
          </cell>
          <cell r="S449">
            <v>1448.93</v>
          </cell>
        </row>
        <row r="450">
          <cell r="A450" t="str">
            <v>2 S 04 200 11</v>
          </cell>
          <cell r="B450" t="str">
            <v>Corpo BSCC 2,50 x 2,50 m alt. 2,50 a 5,00 m</v>
          </cell>
          <cell r="E450" t="str">
            <v>m</v>
          </cell>
          <cell r="G450">
            <v>1840.82</v>
          </cell>
          <cell r="M450">
            <v>2060.6999999999998</v>
          </cell>
          <cell r="O450">
            <v>2118.4699999999998</v>
          </cell>
          <cell r="Q450">
            <v>2092.33</v>
          </cell>
          <cell r="S450">
            <v>2124.4699999999998</v>
          </cell>
        </row>
        <row r="451">
          <cell r="A451" t="str">
            <v>2 S 04 200 12</v>
          </cell>
          <cell r="B451" t="str">
            <v>Corpo BSCC 3,00 x 3,00 m alt. 2,50 a 5,00 m</v>
          </cell>
          <cell r="E451" t="str">
            <v>m</v>
          </cell>
          <cell r="G451">
            <v>2671.12</v>
          </cell>
          <cell r="M451">
            <v>2987.72</v>
          </cell>
          <cell r="O451">
            <v>3067.32</v>
          </cell>
          <cell r="Q451">
            <v>3021.05</v>
          </cell>
          <cell r="S451">
            <v>3077.43</v>
          </cell>
        </row>
        <row r="452">
          <cell r="A452" t="str">
            <v>2 S 04 200 13</v>
          </cell>
          <cell r="B452" t="str">
            <v>Corpo BSCC 1,50 x 1,50 m alt. 5,00 a 7,50 m</v>
          </cell>
          <cell r="E452" t="str">
            <v>m</v>
          </cell>
          <cell r="G452">
            <v>923.94</v>
          </cell>
          <cell r="M452">
            <v>1033.67</v>
          </cell>
          <cell r="O452">
            <v>1063.42</v>
          </cell>
          <cell r="Q452">
            <v>1051.6400000000001</v>
          </cell>
          <cell r="S452">
            <v>1067.3900000000001</v>
          </cell>
        </row>
        <row r="453">
          <cell r="A453" t="str">
            <v>2 S 04 200 14</v>
          </cell>
          <cell r="B453" t="str">
            <v>Corpo BSCC 2,00 x 2,00 m alt. 5,00 a 7,50 m</v>
          </cell>
          <cell r="E453" t="str">
            <v>m</v>
          </cell>
          <cell r="G453">
            <v>1411.89</v>
          </cell>
          <cell r="M453">
            <v>1578.59</v>
          </cell>
          <cell r="O453">
            <v>1623.18</v>
          </cell>
          <cell r="Q453">
            <v>1602.54</v>
          </cell>
          <cell r="S453">
            <v>1629</v>
          </cell>
        </row>
        <row r="454">
          <cell r="A454" t="str">
            <v>2 S 04 200 15</v>
          </cell>
          <cell r="B454" t="str">
            <v>Corpo BSCC 2,50 x 2,50 m alt. 5,00 a 7,50 m</v>
          </cell>
          <cell r="E454" t="str">
            <v>m</v>
          </cell>
          <cell r="G454">
            <v>2061.46</v>
          </cell>
          <cell r="M454">
            <v>2305.65</v>
          </cell>
          <cell r="O454">
            <v>2370.19</v>
          </cell>
          <cell r="Q454">
            <v>2338.27</v>
          </cell>
          <cell r="S454">
            <v>2377.92</v>
          </cell>
        </row>
        <row r="455">
          <cell r="A455" t="str">
            <v>2 S 04 200 16</v>
          </cell>
          <cell r="B455" t="str">
            <v>Corpo BSCC 3,00 x 3,00 m alt. 5,00 a 7,50 m</v>
          </cell>
          <cell r="E455" t="str">
            <v>m</v>
          </cell>
          <cell r="G455">
            <v>2921</v>
          </cell>
          <cell r="M455">
            <v>3267.57</v>
          </cell>
          <cell r="O455">
            <v>3359.73</v>
          </cell>
          <cell r="Q455">
            <v>3313.47</v>
          </cell>
          <cell r="S455">
            <v>3369.85</v>
          </cell>
        </row>
        <row r="456">
          <cell r="A456" t="str">
            <v>2 S 04 200 17</v>
          </cell>
          <cell r="B456" t="str">
            <v>Corpo BSCC 1,50 x 1,50 m alt. 7,50 a 10,00 m</v>
          </cell>
          <cell r="E456" t="str">
            <v>m</v>
          </cell>
          <cell r="G456">
            <v>1065.05</v>
          </cell>
          <cell r="M456">
            <v>1189.5999999999999</v>
          </cell>
          <cell r="O456">
            <v>1223.9100000000001</v>
          </cell>
          <cell r="Q456">
            <v>1208.22</v>
          </cell>
          <cell r="S456">
            <v>1229.0899999999999</v>
          </cell>
        </row>
        <row r="457">
          <cell r="A457" t="str">
            <v>2 S 04 200 18</v>
          </cell>
          <cell r="B457" t="str">
            <v>Corpo BSCC 2,00 x 2,00 m alt. 7,50 a 10,00 m</v>
          </cell>
          <cell r="E457" t="str">
            <v>m</v>
          </cell>
          <cell r="G457">
            <v>1592.09</v>
          </cell>
          <cell r="M457">
            <v>1778.46</v>
          </cell>
          <cell r="O457">
            <v>1828.6</v>
          </cell>
          <cell r="Q457">
            <v>1803.09</v>
          </cell>
          <cell r="S457">
            <v>1835.8</v>
          </cell>
        </row>
        <row r="458">
          <cell r="A458" t="str">
            <v>2 S 04 200 19</v>
          </cell>
          <cell r="B458" t="str">
            <v>Corpo BSCC 2,50 x 2,50 m alt. 7,50 a 10,00 m</v>
          </cell>
          <cell r="E458" t="str">
            <v>m</v>
          </cell>
          <cell r="G458">
            <v>2268.02</v>
          </cell>
          <cell r="M458">
            <v>2539.52</v>
          </cell>
          <cell r="O458">
            <v>2612.86</v>
          </cell>
          <cell r="Q458">
            <v>2580.9499999999998</v>
          </cell>
          <cell r="S458">
            <v>2620.6</v>
          </cell>
        </row>
        <row r="459">
          <cell r="A459" t="str">
            <v>2 S 04 200 20</v>
          </cell>
          <cell r="B459" t="str">
            <v>Corpo BSCC 3,00 x 3,00 m alt. 7,50 a 10,00 m</v>
          </cell>
          <cell r="E459" t="str">
            <v>m</v>
          </cell>
          <cell r="G459">
            <v>3212.14</v>
          </cell>
          <cell r="M459">
            <v>3590.38</v>
          </cell>
          <cell r="O459">
            <v>3692.26</v>
          </cell>
          <cell r="Q459">
            <v>3638.87</v>
          </cell>
          <cell r="S459">
            <v>3704.5</v>
          </cell>
        </row>
        <row r="460">
          <cell r="A460" t="str">
            <v>2 S 04 200 21</v>
          </cell>
          <cell r="B460" t="str">
            <v>Corpo BSCC 1,50 x 1,50 m alt. 10,00 a 12,50 m</v>
          </cell>
          <cell r="E460" t="str">
            <v>m</v>
          </cell>
          <cell r="G460">
            <v>1108.5</v>
          </cell>
          <cell r="M460">
            <v>1238.74</v>
          </cell>
          <cell r="O460">
            <v>1274.94</v>
          </cell>
          <cell r="Q460">
            <v>1259.25</v>
          </cell>
          <cell r="S460">
            <v>1280.1199999999999</v>
          </cell>
        </row>
        <row r="461">
          <cell r="A461" t="str">
            <v>2 S 04 200 22</v>
          </cell>
          <cell r="B461" t="str">
            <v>Corpo BSCC 2,00 x 2,00 m alt. 10,00 a 12,50 m</v>
          </cell>
          <cell r="E461" t="str">
            <v>m</v>
          </cell>
          <cell r="G461">
            <v>1730.26</v>
          </cell>
          <cell r="M461">
            <v>1934.99</v>
          </cell>
          <cell r="O461">
            <v>1990.99</v>
          </cell>
          <cell r="Q461">
            <v>1965.51</v>
          </cell>
          <cell r="S461">
            <v>1998.22</v>
          </cell>
        </row>
        <row r="462">
          <cell r="A462" t="str">
            <v>2 S 04 200 23</v>
          </cell>
          <cell r="B462" t="str">
            <v>Corpo BSCC 2,50 x 2,50 m alt. 10,00 a 12,50 m</v>
          </cell>
          <cell r="E462" t="str">
            <v>m</v>
          </cell>
          <cell r="G462">
            <v>2498.04</v>
          </cell>
          <cell r="M462">
            <v>2793.54</v>
          </cell>
          <cell r="O462">
            <v>2874.2</v>
          </cell>
          <cell r="Q462">
            <v>2835.64</v>
          </cell>
          <cell r="S462">
            <v>2883.91</v>
          </cell>
        </row>
        <row r="463">
          <cell r="A463" t="str">
            <v>2 S 04 200 24</v>
          </cell>
          <cell r="B463" t="str">
            <v>Corpo BSCC 3,00 a 3,00 m alt. 10,00 a 12,50 m</v>
          </cell>
          <cell r="E463" t="str">
            <v>m</v>
          </cell>
          <cell r="G463">
            <v>3485.15</v>
          </cell>
          <cell r="M463">
            <v>3899.1</v>
          </cell>
          <cell r="O463">
            <v>4012.73</v>
          </cell>
          <cell r="Q463">
            <v>3959.37</v>
          </cell>
          <cell r="S463">
            <v>4025</v>
          </cell>
        </row>
        <row r="464">
          <cell r="A464" t="str">
            <v>2 S 04 200 25</v>
          </cell>
          <cell r="B464" t="str">
            <v>Corpo BSCC 1,50 x 1,50 m alt. 12,50 a 15,00 m</v>
          </cell>
          <cell r="E464" t="str">
            <v>m</v>
          </cell>
          <cell r="G464">
            <v>1163.0899999999999</v>
          </cell>
          <cell r="M464">
            <v>1300.9100000000001</v>
          </cell>
          <cell r="O464">
            <v>1339.2</v>
          </cell>
          <cell r="Q464">
            <v>1323.52</v>
          </cell>
          <cell r="S464">
            <v>1344.39</v>
          </cell>
        </row>
        <row r="465">
          <cell r="A465" t="str">
            <v>2 S 04 200 26</v>
          </cell>
          <cell r="B465" t="str">
            <v>Corpo BSCC 2,00 a 2,00 m alt. 12,50 a 15,00 m</v>
          </cell>
          <cell r="E465" t="str">
            <v>m</v>
          </cell>
          <cell r="G465">
            <v>1857.78</v>
          </cell>
          <cell r="M465">
            <v>2079.34</v>
          </cell>
          <cell r="O465">
            <v>2140.7800000000002</v>
          </cell>
          <cell r="Q465">
            <v>2115.31</v>
          </cell>
          <cell r="S465">
            <v>2148.02</v>
          </cell>
        </row>
        <row r="466">
          <cell r="A466" t="str">
            <v>2 S 04 200 27</v>
          </cell>
          <cell r="B466" t="str">
            <v>Corpo BSCC 2,50 x 2,50 m alt. 12,50 a 15,00 m</v>
          </cell>
          <cell r="E466" t="str">
            <v>m</v>
          </cell>
          <cell r="G466">
            <v>2823.4</v>
          </cell>
          <cell r="M466">
            <v>3154.6</v>
          </cell>
          <cell r="O466">
            <v>3247.57</v>
          </cell>
          <cell r="Q466">
            <v>3202.75</v>
          </cell>
          <cell r="S466">
            <v>3259.16</v>
          </cell>
        </row>
        <row r="467">
          <cell r="A467" t="str">
            <v>2 S 04 200 28</v>
          </cell>
          <cell r="B467" t="str">
            <v>Corpo BSCC 3,00 x 3,00 m alt. 12,50 a 15,00 m</v>
          </cell>
          <cell r="E467" t="str">
            <v>m</v>
          </cell>
          <cell r="G467">
            <v>3775.27</v>
          </cell>
          <cell r="M467">
            <v>4219.45</v>
          </cell>
          <cell r="O467">
            <v>4343</v>
          </cell>
          <cell r="Q467">
            <v>4281.7700000000004</v>
          </cell>
          <cell r="S467">
            <v>4357.53</v>
          </cell>
        </row>
        <row r="468">
          <cell r="A468" t="str">
            <v>2 S 04 201 01</v>
          </cell>
          <cell r="B468" t="str">
            <v>Boca BSCC 1,50 x 1,50 m normal</v>
          </cell>
          <cell r="E468" t="str">
            <v>und</v>
          </cell>
          <cell r="G468">
            <v>4755.93</v>
          </cell>
          <cell r="M468">
            <v>5284.16</v>
          </cell>
          <cell r="O468">
            <v>5412.49</v>
          </cell>
          <cell r="Q468">
            <v>5346.3</v>
          </cell>
          <cell r="S468">
            <v>5440.11</v>
          </cell>
        </row>
        <row r="469">
          <cell r="A469" t="str">
            <v>2 S 04 201 02</v>
          </cell>
          <cell r="B469" t="str">
            <v>Boca BSCC 2,00 x 2,00 m normal</v>
          </cell>
          <cell r="E469" t="str">
            <v>und</v>
          </cell>
          <cell r="G469">
            <v>7436.42</v>
          </cell>
          <cell r="M469">
            <v>8265.6299999999992</v>
          </cell>
          <cell r="O469">
            <v>8475.8799999999992</v>
          </cell>
          <cell r="Q469">
            <v>8368.31</v>
          </cell>
          <cell r="S469">
            <v>8518.3700000000008</v>
          </cell>
        </row>
        <row r="470">
          <cell r="A470" t="str">
            <v>2 S 04 201 03</v>
          </cell>
          <cell r="B470" t="str">
            <v>Boca BSCC 2,50 x 2,50 m normal</v>
          </cell>
          <cell r="E470" t="str">
            <v>und</v>
          </cell>
          <cell r="G470">
            <v>10042.129999999999</v>
          </cell>
          <cell r="M470">
            <v>11159.79</v>
          </cell>
          <cell r="O470">
            <v>11448.96</v>
          </cell>
          <cell r="Q470">
            <v>11299.85</v>
          </cell>
          <cell r="S470">
            <v>11506.55</v>
          </cell>
        </row>
        <row r="471">
          <cell r="A471" t="str">
            <v>2 S 04 201 04</v>
          </cell>
          <cell r="B471" t="str">
            <v>Boca BSCC 3,00 x 3,00 m normal</v>
          </cell>
          <cell r="E471" t="str">
            <v>und</v>
          </cell>
          <cell r="G471">
            <v>14367.56</v>
          </cell>
          <cell r="M471">
            <v>15975.33</v>
          </cell>
          <cell r="O471">
            <v>16400.13</v>
          </cell>
          <cell r="Q471">
            <v>16180.92</v>
          </cell>
          <cell r="S471">
            <v>16481.59</v>
          </cell>
        </row>
        <row r="472">
          <cell r="A472" t="str">
            <v>2 S 04 201 05</v>
          </cell>
          <cell r="B472" t="str">
            <v>Boca BSCC 1,50 x 1,50 m - esc.=15</v>
          </cell>
          <cell r="E472" t="str">
            <v>und</v>
          </cell>
          <cell r="G472">
            <v>4831.17</v>
          </cell>
          <cell r="M472">
            <v>5374.49</v>
          </cell>
          <cell r="O472">
            <v>5507.51</v>
          </cell>
          <cell r="Q472">
            <v>5449.48</v>
          </cell>
          <cell r="S472">
            <v>5533.09</v>
          </cell>
        </row>
        <row r="473">
          <cell r="A473" t="str">
            <v>2 S 04 201 06</v>
          </cell>
          <cell r="B473" t="str">
            <v>Boca BSCC 2,00 x 2,00 m - esc.=15</v>
          </cell>
          <cell r="E473" t="str">
            <v>und</v>
          </cell>
          <cell r="G473">
            <v>7513.24</v>
          </cell>
          <cell r="M473">
            <v>8361.4</v>
          </cell>
          <cell r="O473">
            <v>8579.7000000000007</v>
          </cell>
          <cell r="Q473">
            <v>8482.89</v>
          </cell>
          <cell r="S473">
            <v>8618.98</v>
          </cell>
        </row>
        <row r="474">
          <cell r="A474" t="str">
            <v>2 S 04 201 07</v>
          </cell>
          <cell r="B474" t="str">
            <v>Boca BSCC 2,50 x 2,50 m - esc.=15</v>
          </cell>
          <cell r="E474" t="str">
            <v>und</v>
          </cell>
          <cell r="G474">
            <v>10563.11</v>
          </cell>
          <cell r="M474">
            <v>11755.34</v>
          </cell>
          <cell r="O474">
            <v>12065.22</v>
          </cell>
          <cell r="Q474">
            <v>11920.15</v>
          </cell>
          <cell r="S474">
            <v>12121.65</v>
          </cell>
        </row>
        <row r="475">
          <cell r="A475" t="str">
            <v>2 S 04 201 08</v>
          </cell>
          <cell r="B475" t="str">
            <v>Boca BSCC 3,00 x 3,00 m - esc.=15</v>
          </cell>
          <cell r="E475" t="str">
            <v>und</v>
          </cell>
          <cell r="G475">
            <v>15036.8</v>
          </cell>
          <cell r="M475">
            <v>16737.66</v>
          </cell>
          <cell r="O475">
            <v>17191.55</v>
          </cell>
          <cell r="Q475">
            <v>16977.810000000001</v>
          </cell>
          <cell r="S475">
            <v>17271.32</v>
          </cell>
        </row>
        <row r="476">
          <cell r="A476" t="str">
            <v>2 S 04 201 09</v>
          </cell>
          <cell r="B476" t="str">
            <v>Boca BSCC 1,50 x 1,50 m - esc.=30</v>
          </cell>
          <cell r="E476" t="str">
            <v>und</v>
          </cell>
          <cell r="G476">
            <v>5268.96</v>
          </cell>
          <cell r="M476">
            <v>5861.11</v>
          </cell>
          <cell r="O476">
            <v>6004.52</v>
          </cell>
          <cell r="Q476">
            <v>5936.56</v>
          </cell>
          <cell r="S476">
            <v>6033.42</v>
          </cell>
        </row>
        <row r="477">
          <cell r="A477" t="str">
            <v>2 S 04 201 10</v>
          </cell>
          <cell r="B477" t="str">
            <v>Boca BSCC 2,00 x 2,00 m - esc.=30</v>
          </cell>
          <cell r="E477" t="str">
            <v>und</v>
          </cell>
          <cell r="G477">
            <v>8180.57</v>
          </cell>
          <cell r="M477">
            <v>9102.5300000000007</v>
          </cell>
          <cell r="O477">
            <v>9336.23</v>
          </cell>
          <cell r="Q477">
            <v>9227.4599999999991</v>
          </cell>
          <cell r="S477">
            <v>9380.2099999999991</v>
          </cell>
        </row>
        <row r="478">
          <cell r="A478" t="str">
            <v>2 S 04 201 11</v>
          </cell>
          <cell r="B478" t="str">
            <v>Boca BSCC 2,50 x 2,50 m - esc.=30</v>
          </cell>
          <cell r="E478" t="str">
            <v>und</v>
          </cell>
          <cell r="G478">
            <v>11760.2</v>
          </cell>
          <cell r="M478">
            <v>13083.6</v>
          </cell>
          <cell r="O478">
            <v>13432.34</v>
          </cell>
          <cell r="Q478">
            <v>13271.66</v>
          </cell>
          <cell r="S478">
            <v>13494.96</v>
          </cell>
        </row>
        <row r="479">
          <cell r="A479" t="str">
            <v>2 S 04 201 12</v>
          </cell>
          <cell r="B479" t="str">
            <v>Boca BSCC 3,00 x 3,00 m =esc.=30</v>
          </cell>
          <cell r="E479" t="str">
            <v>und</v>
          </cell>
          <cell r="G479">
            <v>16592.310000000001</v>
          </cell>
          <cell r="M479">
            <v>18459.98</v>
          </cell>
          <cell r="O479">
            <v>18960.41</v>
          </cell>
          <cell r="Q479">
            <v>18719.150000000001</v>
          </cell>
          <cell r="S479">
            <v>19050.23</v>
          </cell>
        </row>
        <row r="480">
          <cell r="A480" t="str">
            <v>2 S 04 201 13</v>
          </cell>
          <cell r="B480" t="str">
            <v>Boca BSCC 1,50 x 1,50 m - esc.=45</v>
          </cell>
          <cell r="E480" t="str">
            <v>und</v>
          </cell>
          <cell r="G480">
            <v>6552.38</v>
          </cell>
          <cell r="M480">
            <v>7286.85</v>
          </cell>
          <cell r="O480">
            <v>7470.4</v>
          </cell>
          <cell r="Q480">
            <v>7387.86</v>
          </cell>
          <cell r="S480">
            <v>7505.62</v>
          </cell>
        </row>
        <row r="481">
          <cell r="A481" t="str">
            <v>2 S 04 201 14</v>
          </cell>
          <cell r="B481" t="str">
            <v>Boca BSCC 2,00 x 2,00 m - esc.=45</v>
          </cell>
          <cell r="E481" t="str">
            <v>und</v>
          </cell>
          <cell r="G481">
            <v>10508.8</v>
          </cell>
          <cell r="M481">
            <v>11689.34</v>
          </cell>
          <cell r="O481">
            <v>11996.21</v>
          </cell>
          <cell r="Q481">
            <v>11853.95</v>
          </cell>
          <cell r="S481">
            <v>12052.73</v>
          </cell>
        </row>
        <row r="482">
          <cell r="A482" t="str">
            <v>2 S 04 201 15</v>
          </cell>
          <cell r="B482" t="str">
            <v>Boca BSCC 2,50 x 2,50 m - esc.=45</v>
          </cell>
          <cell r="E482" t="str">
            <v>und</v>
          </cell>
          <cell r="G482">
            <v>14877.5</v>
          </cell>
          <cell r="M482">
            <v>16562.55</v>
          </cell>
          <cell r="O482">
            <v>17013.89</v>
          </cell>
          <cell r="Q482">
            <v>16816.39</v>
          </cell>
          <cell r="S482">
            <v>17090.09</v>
          </cell>
        </row>
        <row r="483">
          <cell r="A483" t="str">
            <v>2 S 04 201 16</v>
          </cell>
          <cell r="B483" t="str">
            <v>Boca BSCC 3,00 x 3,00 m - esc.=45</v>
          </cell>
          <cell r="E483" t="str">
            <v>und</v>
          </cell>
          <cell r="G483">
            <v>20911.740000000002</v>
          </cell>
          <cell r="M483">
            <v>23280.12</v>
          </cell>
          <cell r="O483">
            <v>23924.55</v>
          </cell>
          <cell r="Q483">
            <v>23632.47</v>
          </cell>
          <cell r="S483">
            <v>24032.95</v>
          </cell>
        </row>
        <row r="484">
          <cell r="A484" t="str">
            <v>2 S 04 210 01</v>
          </cell>
          <cell r="B484" t="str">
            <v>Corpo BDCC 1,50 x 1,50 m alt. 0 a 1,00 m</v>
          </cell>
          <cell r="E484" t="str">
            <v>m</v>
          </cell>
          <cell r="G484">
            <v>1435.35</v>
          </cell>
          <cell r="M484">
            <v>1603.8</v>
          </cell>
          <cell r="O484">
            <v>1647.9</v>
          </cell>
          <cell r="Q484">
            <v>1625.92</v>
          </cell>
          <cell r="S484">
            <v>1654.01</v>
          </cell>
        </row>
        <row r="485">
          <cell r="A485" t="str">
            <v>2 S 04 210 02</v>
          </cell>
          <cell r="B485" t="str">
            <v>Corpo BDCC 2,00 x 2,00 m alt. 0 a 1,00 m</v>
          </cell>
          <cell r="E485" t="str">
            <v>m</v>
          </cell>
          <cell r="G485">
            <v>2077.38</v>
          </cell>
          <cell r="M485">
            <v>2327.19</v>
          </cell>
          <cell r="O485">
            <v>2391.0500000000002</v>
          </cell>
          <cell r="Q485">
            <v>2362.67</v>
          </cell>
          <cell r="S485">
            <v>2397.23</v>
          </cell>
        </row>
        <row r="486">
          <cell r="A486" t="str">
            <v>2 S 04 210 03</v>
          </cell>
          <cell r="B486" t="str">
            <v>Corpo BDCC 2,50 x 2,50 m alt. 0 a 1,00 m</v>
          </cell>
          <cell r="E486" t="str">
            <v>m</v>
          </cell>
          <cell r="G486">
            <v>2612.2399999999998</v>
          </cell>
          <cell r="M486">
            <v>2930.38</v>
          </cell>
          <cell r="O486">
            <v>3013.05</v>
          </cell>
          <cell r="Q486">
            <v>2968.65</v>
          </cell>
          <cell r="S486">
            <v>3013.97</v>
          </cell>
        </row>
        <row r="487">
          <cell r="A487" t="str">
            <v>2 S 04 210 04</v>
          </cell>
          <cell r="B487" t="str">
            <v>Corpo BDCC 3,00 x 3,00 m alt. 0 a 1,00</v>
          </cell>
          <cell r="E487" t="str">
            <v>m</v>
          </cell>
          <cell r="G487">
            <v>3605.28</v>
          </cell>
          <cell r="M487">
            <v>4040.07</v>
          </cell>
          <cell r="O487">
            <v>4144.82</v>
          </cell>
          <cell r="Q487">
            <v>4087.18</v>
          </cell>
          <cell r="S487">
            <v>4152.3100000000004</v>
          </cell>
        </row>
        <row r="488">
          <cell r="A488" t="str">
            <v>2 S 04 210 05</v>
          </cell>
          <cell r="B488" t="str">
            <v>Corpo BDCC 1,50 x 1,50 m alt. 1,00 a 2,50 m</v>
          </cell>
          <cell r="E488" t="str">
            <v>m</v>
          </cell>
          <cell r="G488">
            <v>1266.46</v>
          </cell>
          <cell r="M488">
            <v>1414.53</v>
          </cell>
          <cell r="O488">
            <v>1450.24</v>
          </cell>
          <cell r="Q488">
            <v>1428.3</v>
          </cell>
          <cell r="S488">
            <v>1456.38</v>
          </cell>
        </row>
        <row r="489">
          <cell r="A489" t="str">
            <v>2 S 04 210 06</v>
          </cell>
          <cell r="B489" t="str">
            <v>Corpo BDCC 2,00 x 2,00 m alt. 1,00 a 2,50 m</v>
          </cell>
          <cell r="E489" t="str">
            <v>m</v>
          </cell>
          <cell r="G489">
            <v>1850.42</v>
          </cell>
          <cell r="M489">
            <v>2069.7600000000002</v>
          </cell>
          <cell r="O489">
            <v>2123.17</v>
          </cell>
          <cell r="Q489">
            <v>2093.6799999999998</v>
          </cell>
          <cell r="S489">
            <v>2129.73</v>
          </cell>
        </row>
        <row r="490">
          <cell r="A490" t="str">
            <v>2 S 04 210 07</v>
          </cell>
          <cell r="B490" t="str">
            <v>Corpo BDCC 2,50 x 2,50 m alt. 1,00 a 2,50 m</v>
          </cell>
          <cell r="E490" t="str">
            <v>m</v>
          </cell>
          <cell r="G490">
            <v>2493.54</v>
          </cell>
          <cell r="M490">
            <v>2792.54</v>
          </cell>
          <cell r="O490">
            <v>2864.59</v>
          </cell>
          <cell r="Q490">
            <v>2825.63</v>
          </cell>
          <cell r="S490">
            <v>2870.67</v>
          </cell>
        </row>
        <row r="491">
          <cell r="A491" t="str">
            <v>2 S 04 210 08</v>
          </cell>
          <cell r="B491" t="str">
            <v>Corpo BDCC 3,00 x 3,00 m alt. 1,00 a 2,50 m</v>
          </cell>
          <cell r="E491" t="str">
            <v>m</v>
          </cell>
          <cell r="G491">
            <v>3424.26</v>
          </cell>
          <cell r="M491">
            <v>3835.86</v>
          </cell>
          <cell r="O491">
            <v>3930.89</v>
          </cell>
          <cell r="Q491">
            <v>3871.63</v>
          </cell>
          <cell r="S491">
            <v>3938.9</v>
          </cell>
        </row>
        <row r="492">
          <cell r="A492" t="str">
            <v>2 S 04 210 09</v>
          </cell>
          <cell r="B492" t="str">
            <v>Corpo BDCC 1,50 x 1,50 m alt. 2,50 a 5,00 m</v>
          </cell>
          <cell r="E492" t="str">
            <v>m</v>
          </cell>
          <cell r="G492">
            <v>1348.61</v>
          </cell>
          <cell r="M492">
            <v>1506.45</v>
          </cell>
          <cell r="O492">
            <v>1546.34</v>
          </cell>
          <cell r="Q492">
            <v>1524.4</v>
          </cell>
          <cell r="S492">
            <v>1552.48</v>
          </cell>
        </row>
        <row r="493">
          <cell r="A493" t="str">
            <v>2 S 04 210 10</v>
          </cell>
          <cell r="B493" t="str">
            <v>Corpo BDCC 2,00 x 2,00 m alt. 2,50 a 5,00 m</v>
          </cell>
          <cell r="E493" t="str">
            <v>m</v>
          </cell>
          <cell r="G493">
            <v>2092.9299999999998</v>
          </cell>
          <cell r="M493">
            <v>2343.35</v>
          </cell>
          <cell r="O493">
            <v>2407.67</v>
          </cell>
          <cell r="Q493">
            <v>2378.15</v>
          </cell>
          <cell r="S493">
            <v>2414.1999999999998</v>
          </cell>
        </row>
        <row r="494">
          <cell r="A494" t="str">
            <v>2 S 04 210 11</v>
          </cell>
          <cell r="B494" t="str">
            <v>Corpo BDCC 2,50 x 2,50 m alt. 2,50 a 5,00 m</v>
          </cell>
          <cell r="E494" t="str">
            <v>m</v>
          </cell>
          <cell r="G494">
            <v>2912.78</v>
          </cell>
          <cell r="M494">
            <v>3259.56</v>
          </cell>
          <cell r="O494">
            <v>3344.94</v>
          </cell>
          <cell r="Q494">
            <v>3296.39</v>
          </cell>
          <cell r="S494">
            <v>3353.82</v>
          </cell>
        </row>
        <row r="495">
          <cell r="A495" t="str">
            <v>2 S 04 210 12</v>
          </cell>
          <cell r="B495" t="str">
            <v>Corpo BDCC 3,00 x 3,00 m alt. 2,50 a 5,00 m</v>
          </cell>
          <cell r="E495" t="str">
            <v>m</v>
          </cell>
          <cell r="G495">
            <v>3803.79</v>
          </cell>
          <cell r="M495">
            <v>4258.25</v>
          </cell>
          <cell r="O495">
            <v>4362.68</v>
          </cell>
          <cell r="Q495">
            <v>4291.71</v>
          </cell>
          <cell r="S495">
            <v>4374.1099999999997</v>
          </cell>
        </row>
        <row r="496">
          <cell r="A496" t="str">
            <v>2 S 04 210 13</v>
          </cell>
          <cell r="B496" t="str">
            <v>Corpo BDCC 1,50 x 1,50 m alt. 5,00 a 7,50 m</v>
          </cell>
          <cell r="E496" t="str">
            <v>m</v>
          </cell>
          <cell r="G496">
            <v>1531.56</v>
          </cell>
          <cell r="M496">
            <v>1712.57</v>
          </cell>
          <cell r="O496">
            <v>1760.86</v>
          </cell>
          <cell r="Q496">
            <v>1738.89</v>
          </cell>
          <cell r="S496">
            <v>1766.97</v>
          </cell>
        </row>
        <row r="497">
          <cell r="A497" t="str">
            <v>2 S 04 210 14</v>
          </cell>
          <cell r="B497" t="str">
            <v>Corpo BDCC 2,00 a 2,00 m alt. 5,00 a 7,50 m</v>
          </cell>
          <cell r="E497" t="str">
            <v>m</v>
          </cell>
          <cell r="G497">
            <v>2420.3200000000002</v>
          </cell>
          <cell r="M497">
            <v>2705.61</v>
          </cell>
          <cell r="O497">
            <v>2780.87</v>
          </cell>
          <cell r="Q497">
            <v>2742.38</v>
          </cell>
          <cell r="S497">
            <v>2789.83</v>
          </cell>
        </row>
        <row r="498">
          <cell r="A498" t="str">
            <v>2 S 04 210 15</v>
          </cell>
          <cell r="B498" t="str">
            <v>Corpo BDCC 2,50 x 2,50 m alt. 5,00 a 7,50 m</v>
          </cell>
          <cell r="E498" t="str">
            <v>m</v>
          </cell>
          <cell r="G498">
            <v>3307.6</v>
          </cell>
          <cell r="M498">
            <v>3706.58</v>
          </cell>
          <cell r="O498">
            <v>3808.73</v>
          </cell>
          <cell r="Q498">
            <v>3760.16</v>
          </cell>
          <cell r="S498">
            <v>3817.59</v>
          </cell>
        </row>
        <row r="499">
          <cell r="A499" t="str">
            <v>2 S 04 210 16</v>
          </cell>
          <cell r="B499" t="str">
            <v>Corpo BDCC 3,00 x 3,00 m alt. 5,00 a 7,50 m</v>
          </cell>
          <cell r="E499" t="str">
            <v>m</v>
          </cell>
          <cell r="G499">
            <v>4530.1000000000004</v>
          </cell>
          <cell r="M499">
            <v>5076.38</v>
          </cell>
          <cell r="O499">
            <v>5214.3500000000004</v>
          </cell>
          <cell r="Q499">
            <v>5143.3599999999997</v>
          </cell>
          <cell r="S499">
            <v>5225.7700000000004</v>
          </cell>
        </row>
        <row r="500">
          <cell r="A500" t="str">
            <v>2 S 04 210 17</v>
          </cell>
          <cell r="B500" t="str">
            <v>Corpo BDCC 1,50 x 1,50 m alt. 7,50 a 10,00 m</v>
          </cell>
          <cell r="E500" t="str">
            <v>m</v>
          </cell>
          <cell r="G500">
            <v>1684.46</v>
          </cell>
          <cell r="M500">
            <v>1887.24</v>
          </cell>
          <cell r="O500">
            <v>1941.68</v>
          </cell>
          <cell r="Q500">
            <v>1920.49</v>
          </cell>
          <cell r="S500">
            <v>1948.57</v>
          </cell>
        </row>
        <row r="501">
          <cell r="A501" t="str">
            <v>2 S 04 210 18</v>
          </cell>
          <cell r="B501" t="str">
            <v>Corpo BDCC 2,00 x 2,00 m alt. 7,50 a 10,00 m</v>
          </cell>
          <cell r="E501" t="str">
            <v>m</v>
          </cell>
          <cell r="G501">
            <v>2772.85</v>
          </cell>
          <cell r="M501">
            <v>3106.64</v>
          </cell>
          <cell r="O501">
            <v>3195.72</v>
          </cell>
          <cell r="Q501">
            <v>3157.25</v>
          </cell>
          <cell r="S501">
            <v>3204.7</v>
          </cell>
        </row>
        <row r="502">
          <cell r="A502" t="str">
            <v>2 S 04 210 19</v>
          </cell>
          <cell r="B502" t="str">
            <v>Corpo BDCC 2,50 x 2,50 m alt. 7,50 a 10,00 m</v>
          </cell>
          <cell r="E502" t="str">
            <v>m</v>
          </cell>
          <cell r="G502">
            <v>3555.14</v>
          </cell>
          <cell r="M502">
            <v>3979.08</v>
          </cell>
          <cell r="O502">
            <v>4089.68</v>
          </cell>
          <cell r="Q502">
            <v>4034.6</v>
          </cell>
          <cell r="S502">
            <v>4104.91</v>
          </cell>
        </row>
        <row r="503">
          <cell r="A503" t="str">
            <v>2 S 04 210 20</v>
          </cell>
          <cell r="B503" t="str">
            <v>Corpo BDCC 3,00 x 3,00 m alt. 7,50 a 10,00 m</v>
          </cell>
          <cell r="E503" t="str">
            <v>m</v>
          </cell>
          <cell r="G503">
            <v>5072.99</v>
          </cell>
          <cell r="M503">
            <v>5676.92</v>
          </cell>
          <cell r="O503">
            <v>5832.59</v>
          </cell>
          <cell r="Q503">
            <v>5746.52</v>
          </cell>
          <cell r="S503">
            <v>5848.22</v>
          </cell>
        </row>
        <row r="504">
          <cell r="A504" t="str">
            <v>2 S 04 210 21</v>
          </cell>
          <cell r="B504" t="str">
            <v>Corpo BDCC 1,50 x 1,50 m alt. 10,00 a 12,50 m</v>
          </cell>
          <cell r="E504" t="str">
            <v>m</v>
          </cell>
          <cell r="G504">
            <v>1901.48</v>
          </cell>
          <cell r="M504">
            <v>2125.73</v>
          </cell>
          <cell r="O504">
            <v>2186.4499999999998</v>
          </cell>
          <cell r="Q504">
            <v>2157.29</v>
          </cell>
          <cell r="S504">
            <v>2194.63</v>
          </cell>
        </row>
        <row r="505">
          <cell r="A505" t="str">
            <v>2 S 04 210 22</v>
          </cell>
          <cell r="B505" t="str">
            <v>Corpo BDCC 2,00 x 2,00 m alt. 10,00 a 12,50 m</v>
          </cell>
          <cell r="E505" t="str">
            <v>m</v>
          </cell>
          <cell r="G505">
            <v>3036.29</v>
          </cell>
          <cell r="M505">
            <v>3396.59</v>
          </cell>
          <cell r="O505">
            <v>3493.64</v>
          </cell>
          <cell r="Q505">
            <v>3446.46</v>
          </cell>
          <cell r="S505">
            <v>3505.15</v>
          </cell>
        </row>
        <row r="506">
          <cell r="A506" t="str">
            <v>2 S 04 210 23</v>
          </cell>
          <cell r="B506" t="str">
            <v>Corpo BDCC 2,50 x 2,50 m alt. 10,00 a 12,50 m</v>
          </cell>
          <cell r="E506" t="str">
            <v>m</v>
          </cell>
          <cell r="G506">
            <v>4013.83</v>
          </cell>
          <cell r="M506">
            <v>4498.04</v>
          </cell>
          <cell r="O506">
            <v>4625.7</v>
          </cell>
          <cell r="Q506">
            <v>4567.17</v>
          </cell>
          <cell r="S506">
            <v>4637.47</v>
          </cell>
        </row>
        <row r="507">
          <cell r="A507" t="str">
            <v>2 S 04 210 24</v>
          </cell>
          <cell r="B507" t="str">
            <v>Corpo BDCC 3,00 x 3,00 m alt. 10,00 a 12,50 m</v>
          </cell>
          <cell r="E507" t="str">
            <v>m</v>
          </cell>
          <cell r="G507">
            <v>5664.79</v>
          </cell>
          <cell r="M507">
            <v>6347.64</v>
          </cell>
          <cell r="O507">
            <v>6528.06</v>
          </cell>
          <cell r="Q507">
            <v>6441.97</v>
          </cell>
          <cell r="S507">
            <v>6543.67</v>
          </cell>
        </row>
        <row r="508">
          <cell r="A508" t="str">
            <v>2 S 04 210 25</v>
          </cell>
          <cell r="B508" t="str">
            <v>Corpo BDCC 1,50 x 1,50 m alt. 12,50 a 15,00 m</v>
          </cell>
          <cell r="E508" t="str">
            <v>m</v>
          </cell>
          <cell r="G508">
            <v>2022.91</v>
          </cell>
          <cell r="M508">
            <v>2264.92</v>
          </cell>
          <cell r="O508">
            <v>2329.8000000000002</v>
          </cell>
          <cell r="Q508">
            <v>2300.71</v>
          </cell>
          <cell r="S508">
            <v>2338.06</v>
          </cell>
        </row>
        <row r="509">
          <cell r="A509" t="str">
            <v>2 S 04 210 26</v>
          </cell>
          <cell r="B509" t="str">
            <v>Corpo BDCC 2,00 x 2,00 m alt. 12,50 a 15,00 m</v>
          </cell>
          <cell r="E509" t="str">
            <v>m</v>
          </cell>
          <cell r="G509">
            <v>3112.23</v>
          </cell>
          <cell r="M509">
            <v>3482.64</v>
          </cell>
          <cell r="O509">
            <v>3582.84</v>
          </cell>
          <cell r="Q509">
            <v>3535.62</v>
          </cell>
          <cell r="S509">
            <v>3594.32</v>
          </cell>
        </row>
        <row r="510">
          <cell r="A510" t="str">
            <v>2 S 04 210 27</v>
          </cell>
          <cell r="B510" t="str">
            <v>Corpo BDCC 2,50 x 2,50 m alt. 12,50 a 15,00 m</v>
          </cell>
          <cell r="E510" t="str">
            <v>m</v>
          </cell>
          <cell r="G510">
            <v>4382.0200000000004</v>
          </cell>
          <cell r="M510">
            <v>4915.26</v>
          </cell>
          <cell r="O510">
            <v>5058.41</v>
          </cell>
          <cell r="Q510">
            <v>4999.93</v>
          </cell>
          <cell r="S510">
            <v>5070.2299999999996</v>
          </cell>
        </row>
        <row r="511">
          <cell r="A511" t="str">
            <v>2 S 04 210 28</v>
          </cell>
          <cell r="B511" t="str">
            <v>Corpo BDCC 3,00 x 3,00 m alt. 12,50 a 15,00 m</v>
          </cell>
          <cell r="E511" t="str">
            <v>m</v>
          </cell>
          <cell r="G511">
            <v>5650.85</v>
          </cell>
          <cell r="M511">
            <v>6330.24</v>
          </cell>
          <cell r="O511">
            <v>6511.08</v>
          </cell>
          <cell r="Q511">
            <v>6424.99</v>
          </cell>
          <cell r="S511">
            <v>6526.69</v>
          </cell>
        </row>
        <row r="512">
          <cell r="A512" t="str">
            <v>2 S 04 211 01</v>
          </cell>
          <cell r="B512" t="str">
            <v>Boca BDCC 1,50 x 1,50 m normal</v>
          </cell>
          <cell r="E512" t="str">
            <v>und</v>
          </cell>
          <cell r="G512">
            <v>5519.25</v>
          </cell>
          <cell r="M512">
            <v>6136.6</v>
          </cell>
          <cell r="O512">
            <v>6291.38</v>
          </cell>
          <cell r="Q512">
            <v>6219.01</v>
          </cell>
          <cell r="S512">
            <v>6321.6</v>
          </cell>
        </row>
        <row r="513">
          <cell r="A513" t="str">
            <v>2 S 04 211 02</v>
          </cell>
          <cell r="B513" t="str">
            <v>Boca BDCC 2,00 x 2,00 m normal</v>
          </cell>
          <cell r="E513" t="str">
            <v>und</v>
          </cell>
          <cell r="G513">
            <v>8616.7900000000009</v>
          </cell>
          <cell r="M513">
            <v>9579.1299999999992</v>
          </cell>
          <cell r="O513">
            <v>9830.24</v>
          </cell>
          <cell r="Q513">
            <v>9705.02</v>
          </cell>
          <cell r="S513">
            <v>9878.4500000000007</v>
          </cell>
        </row>
        <row r="514">
          <cell r="A514" t="str">
            <v>2 S 04 211 03</v>
          </cell>
          <cell r="B514" t="str">
            <v>Boca BDCC 2,50 x 2,50 m normal</v>
          </cell>
          <cell r="E514" t="str">
            <v>und</v>
          </cell>
          <cell r="G514">
            <v>12113.36</v>
          </cell>
          <cell r="M514">
            <v>13466.77</v>
          </cell>
          <cell r="O514">
            <v>13824.95</v>
          </cell>
          <cell r="Q514">
            <v>13641</v>
          </cell>
          <cell r="S514">
            <v>13893.47</v>
          </cell>
        </row>
        <row r="515">
          <cell r="A515" t="str">
            <v>2 S 04 211 04</v>
          </cell>
          <cell r="B515" t="str">
            <v>Boca BDCC 3,00 x 3,00 m normal</v>
          </cell>
          <cell r="E515" t="str">
            <v>und</v>
          </cell>
          <cell r="G515">
            <v>17590.990000000002</v>
          </cell>
          <cell r="M515">
            <v>19568.900000000001</v>
          </cell>
          <cell r="O515">
            <v>20105.54</v>
          </cell>
          <cell r="Q515">
            <v>19834.14</v>
          </cell>
          <cell r="S515">
            <v>20202.88</v>
          </cell>
        </row>
        <row r="516">
          <cell r="A516" t="str">
            <v>2 S 04 211 05</v>
          </cell>
          <cell r="B516" t="str">
            <v>Boca BDCC 1,50 x 1,50 m esc.=15</v>
          </cell>
          <cell r="E516" t="str">
            <v>und</v>
          </cell>
          <cell r="G516">
            <v>6055.88</v>
          </cell>
          <cell r="M516">
            <v>6734.38</v>
          </cell>
          <cell r="O516">
            <v>6905.86</v>
          </cell>
          <cell r="Q516">
            <v>6827.12</v>
          </cell>
          <cell r="S516">
            <v>6938.57</v>
          </cell>
        </row>
        <row r="517">
          <cell r="A517" t="str">
            <v>2 S 04 211 06</v>
          </cell>
          <cell r="B517" t="str">
            <v>Boca BDCC 2,00 x 2,00 m esc=15</v>
          </cell>
          <cell r="E517" t="str">
            <v>und</v>
          </cell>
          <cell r="G517">
            <v>9476.2000000000007</v>
          </cell>
          <cell r="M517">
            <v>10538.22</v>
          </cell>
          <cell r="O517">
            <v>10814.78</v>
          </cell>
          <cell r="Q517">
            <v>10680.08</v>
          </cell>
          <cell r="S517">
            <v>10866.96</v>
          </cell>
        </row>
        <row r="518">
          <cell r="A518" t="str">
            <v>2 S 04 211 07</v>
          </cell>
          <cell r="B518" t="str">
            <v>Boca BDCC 2,50 x 2,50 m esc=15</v>
          </cell>
          <cell r="E518" t="str">
            <v>und</v>
          </cell>
          <cell r="G518">
            <v>13044.59</v>
          </cell>
          <cell r="M518">
            <v>14507.72</v>
          </cell>
          <cell r="O518">
            <v>14896.79</v>
          </cell>
          <cell r="Q518">
            <v>14708.78</v>
          </cell>
          <cell r="S518">
            <v>14967.91</v>
          </cell>
        </row>
        <row r="519">
          <cell r="A519" t="str">
            <v>2 S 04 211 08</v>
          </cell>
          <cell r="B519" t="str">
            <v>Boca BDCC 3,00 x 3,00 m esc=15</v>
          </cell>
          <cell r="E519" t="str">
            <v>und</v>
          </cell>
          <cell r="G519">
            <v>18866.52</v>
          </cell>
          <cell r="M519">
            <v>20997.27</v>
          </cell>
          <cell r="O519">
            <v>21578.83</v>
          </cell>
          <cell r="Q519">
            <v>21303.93</v>
          </cell>
          <cell r="S519">
            <v>21678.89</v>
          </cell>
        </row>
        <row r="520">
          <cell r="A520" t="str">
            <v>2 S 04 211 09</v>
          </cell>
          <cell r="B520" t="str">
            <v>Boca BDCC 1,50 x 1,50 m - esc.=30</v>
          </cell>
          <cell r="E520" t="str">
            <v>und</v>
          </cell>
          <cell r="G520">
            <v>6267.99</v>
          </cell>
          <cell r="M520">
            <v>6945.62</v>
          </cell>
          <cell r="O520">
            <v>7125.6</v>
          </cell>
          <cell r="Q520">
            <v>7036.58</v>
          </cell>
          <cell r="S520">
            <v>7162.29</v>
          </cell>
        </row>
        <row r="521">
          <cell r="A521" t="str">
            <v>2 S 04 211 10</v>
          </cell>
          <cell r="B521" t="str">
            <v>Boca BDCC 2,00 x 2,00 m esc=30</v>
          </cell>
          <cell r="E521" t="str">
            <v>und</v>
          </cell>
          <cell r="G521">
            <v>10202.17</v>
          </cell>
          <cell r="M521">
            <v>11344.01</v>
          </cell>
          <cell r="O521">
            <v>11637.63</v>
          </cell>
          <cell r="Q521">
            <v>11490.92</v>
          </cell>
          <cell r="S521">
            <v>11695.46</v>
          </cell>
        </row>
        <row r="522">
          <cell r="A522" t="str">
            <v>2 S 04 211 11</v>
          </cell>
          <cell r="B522" t="str">
            <v>Boca BDCC 2,50 x 2,50 m esc.=30</v>
          </cell>
          <cell r="E522" t="str">
            <v>und</v>
          </cell>
          <cell r="G522">
            <v>13841.87</v>
          </cell>
          <cell r="M522">
            <v>15413.26</v>
          </cell>
          <cell r="O522">
            <v>15837.81</v>
          </cell>
          <cell r="Q522">
            <v>15651.43</v>
          </cell>
          <cell r="S522">
            <v>15908.21</v>
          </cell>
        </row>
        <row r="523">
          <cell r="A523" t="str">
            <v>2 S 04 211 12</v>
          </cell>
          <cell r="B523" t="str">
            <v>Boca BDCC 3,00 x 3,00 m esc=30</v>
          </cell>
          <cell r="E523" t="str">
            <v>und</v>
          </cell>
          <cell r="G523">
            <v>21404.79</v>
          </cell>
          <cell r="M523">
            <v>23832.080000000002</v>
          </cell>
          <cell r="O523">
            <v>24495.89</v>
          </cell>
          <cell r="Q523">
            <v>24190.61</v>
          </cell>
          <cell r="S523">
            <v>24607.08</v>
          </cell>
        </row>
        <row r="524">
          <cell r="A524" t="str">
            <v>2 S 04 211 13</v>
          </cell>
          <cell r="B524" t="str">
            <v>Boca BDCC 1,50 x 1,50 m esc=45</v>
          </cell>
          <cell r="E524" t="str">
            <v>und</v>
          </cell>
          <cell r="G524">
            <v>8137.88</v>
          </cell>
          <cell r="M524">
            <v>9047.65</v>
          </cell>
          <cell r="O524">
            <v>9276.3700000000008</v>
          </cell>
          <cell r="Q524">
            <v>9167.41</v>
          </cell>
          <cell r="S524">
            <v>9321.26</v>
          </cell>
        </row>
        <row r="525">
          <cell r="A525" t="str">
            <v>2 S 04 211 14</v>
          </cell>
          <cell r="B525" t="str">
            <v>Boca BDCC 2,00 x 2,00 m esc=45</v>
          </cell>
          <cell r="E525" t="str">
            <v>und</v>
          </cell>
          <cell r="G525">
            <v>12979.58</v>
          </cell>
          <cell r="M525">
            <v>14440.53</v>
          </cell>
          <cell r="O525">
            <v>14818.75</v>
          </cell>
          <cell r="Q525">
            <v>14635.76</v>
          </cell>
          <cell r="S525">
            <v>14889.56</v>
          </cell>
        </row>
        <row r="526">
          <cell r="A526" t="str">
            <v>2 S 04 211 15</v>
          </cell>
          <cell r="B526" t="str">
            <v>Boca BDCC 2,50 x 2,50 m esc=45</v>
          </cell>
          <cell r="E526" t="str">
            <v>und</v>
          </cell>
          <cell r="G526">
            <v>18676.72</v>
          </cell>
          <cell r="M526">
            <v>20788.240000000002</v>
          </cell>
          <cell r="O526">
            <v>21354.27</v>
          </cell>
          <cell r="Q526">
            <v>21094.92</v>
          </cell>
          <cell r="S526">
            <v>21452.59</v>
          </cell>
        </row>
        <row r="527">
          <cell r="A527" t="str">
            <v>2 S 04 211 16</v>
          </cell>
          <cell r="B527" t="str">
            <v>Boca BDCC 3,00x3,00m - esc=45</v>
          </cell>
          <cell r="E527" t="str">
            <v>und</v>
          </cell>
          <cell r="G527">
            <v>27080.46</v>
          </cell>
          <cell r="M527">
            <v>30165.27</v>
          </cell>
          <cell r="O527">
            <v>31015.02</v>
          </cell>
          <cell r="Q527">
            <v>30640.6</v>
          </cell>
          <cell r="S527">
            <v>31151.42</v>
          </cell>
        </row>
        <row r="528">
          <cell r="A528" t="str">
            <v>2 S 04 220 01</v>
          </cell>
          <cell r="B528" t="str">
            <v>Corpo BTCC 1,50 x 1,50 m alt. 0 a 1,00 m</v>
          </cell>
          <cell r="E528" t="str">
            <v>m</v>
          </cell>
          <cell r="G528">
            <v>1989.99</v>
          </cell>
          <cell r="M528">
            <v>2224.6799999999998</v>
          </cell>
          <cell r="O528">
            <v>2285.0500000000002</v>
          </cell>
          <cell r="Q528">
            <v>2254.34</v>
          </cell>
          <cell r="S528">
            <v>2293.12</v>
          </cell>
        </row>
        <row r="529">
          <cell r="A529" t="str">
            <v>2 S 04 220 02</v>
          </cell>
          <cell r="B529" t="str">
            <v>Corpo BTCC 2,00 x 2,00 m alt. 0 a 1,00 m</v>
          </cell>
          <cell r="E529" t="str">
            <v>m</v>
          </cell>
          <cell r="G529">
            <v>2883.97</v>
          </cell>
          <cell r="M529">
            <v>3230.44</v>
          </cell>
          <cell r="O529">
            <v>3317.75</v>
          </cell>
          <cell r="Q529">
            <v>3276.08</v>
          </cell>
          <cell r="S529">
            <v>3325.73</v>
          </cell>
        </row>
        <row r="530">
          <cell r="A530" t="str">
            <v>2 S 04 220 03</v>
          </cell>
          <cell r="B530" t="str">
            <v>Corpo BTCC 2,50 x 2,50 m alt. 0 a 1,00 m</v>
          </cell>
          <cell r="E530" t="str">
            <v>m</v>
          </cell>
          <cell r="G530">
            <v>3903.92</v>
          </cell>
          <cell r="M530">
            <v>4378.4399999999996</v>
          </cell>
          <cell r="O530">
            <v>4495.51</v>
          </cell>
          <cell r="Q530">
            <v>4440</v>
          </cell>
          <cell r="S530">
            <v>4502.7299999999996</v>
          </cell>
        </row>
        <row r="531">
          <cell r="A531" t="str">
            <v>2 S 04 220 04</v>
          </cell>
          <cell r="B531" t="str">
            <v>Corpo BTCC 3,00 x 3,00 m alt. 0 a 1,00 m</v>
          </cell>
          <cell r="E531" t="str">
            <v>m</v>
          </cell>
          <cell r="G531">
            <v>5039.22</v>
          </cell>
          <cell r="M531">
            <v>5648.55</v>
          </cell>
          <cell r="O531">
            <v>5790.65</v>
          </cell>
          <cell r="Q531">
            <v>5706.21</v>
          </cell>
          <cell r="S531">
            <v>5800.13</v>
          </cell>
        </row>
        <row r="532">
          <cell r="A532" t="str">
            <v>2 S 04 220 05</v>
          </cell>
          <cell r="B532" t="str">
            <v>Corpo BTCC 1,50 x 1,50 m alt. 1,00 a 2,50 m</v>
          </cell>
          <cell r="E532" t="str">
            <v>m</v>
          </cell>
          <cell r="G532">
            <v>1801.04</v>
          </cell>
          <cell r="M532">
            <v>2013.28</v>
          </cell>
          <cell r="O532">
            <v>2064.02</v>
          </cell>
          <cell r="Q532">
            <v>2033.29</v>
          </cell>
          <cell r="S532">
            <v>2072.08</v>
          </cell>
        </row>
        <row r="533">
          <cell r="A533" t="str">
            <v>2 S 04 220 06</v>
          </cell>
          <cell r="B533" t="str">
            <v>Corpo BTCC 2,00 x 2,00 m alt. 1,00 a 2,50 m</v>
          </cell>
          <cell r="E533" t="str">
            <v>m</v>
          </cell>
          <cell r="G533">
            <v>2614.15</v>
          </cell>
          <cell r="M533">
            <v>2926.41</v>
          </cell>
          <cell r="O533">
            <v>3001.34</v>
          </cell>
          <cell r="Q533">
            <v>2959.7</v>
          </cell>
          <cell r="S533">
            <v>3009.35</v>
          </cell>
        </row>
        <row r="534">
          <cell r="A534" t="str">
            <v>2 S 04 220 07</v>
          </cell>
          <cell r="B534" t="str">
            <v>Corpo BTCC 2,50 a 2,50 m alt. 1,00 a 2,50 m</v>
          </cell>
          <cell r="E534" t="str">
            <v>m</v>
          </cell>
          <cell r="G534">
            <v>3469.75</v>
          </cell>
          <cell r="M534">
            <v>3888.54</v>
          </cell>
          <cell r="O534">
            <v>3986.11</v>
          </cell>
          <cell r="Q534">
            <v>3930.62</v>
          </cell>
          <cell r="S534">
            <v>3993.35</v>
          </cell>
        </row>
        <row r="535">
          <cell r="A535" t="str">
            <v>2 S 04 220 08</v>
          </cell>
          <cell r="B535" t="str">
            <v>Corpo BTCC 3,00 x 3,00 m alt. 1,00 a 2,50 m</v>
          </cell>
          <cell r="E535" t="str">
            <v>m</v>
          </cell>
          <cell r="G535">
            <v>4776.33</v>
          </cell>
          <cell r="M535">
            <v>5354.43</v>
          </cell>
          <cell r="O535">
            <v>5483.12</v>
          </cell>
          <cell r="Q535">
            <v>5398.68</v>
          </cell>
          <cell r="S535">
            <v>5492.59</v>
          </cell>
        </row>
        <row r="536">
          <cell r="A536" t="str">
            <v>2 S 04 220 09</v>
          </cell>
          <cell r="B536" t="str">
            <v>Corpo BTCC 1,50 x 1,50 m alt. 2,50 a 5,00 m</v>
          </cell>
          <cell r="E536" t="str">
            <v>m</v>
          </cell>
          <cell r="G536">
            <v>1953.02</v>
          </cell>
          <cell r="M536">
            <v>2183.3200000000002</v>
          </cell>
          <cell r="O536">
            <v>2241.81</v>
          </cell>
          <cell r="Q536">
            <v>2211.09</v>
          </cell>
          <cell r="S536">
            <v>2249.88</v>
          </cell>
        </row>
        <row r="537">
          <cell r="A537" t="str">
            <v>2 S 04 220 10</v>
          </cell>
          <cell r="B537" t="str">
            <v>Corpo BTCC 2,00 x 2,00 m alt. 2,50 a 5,00 m</v>
          </cell>
          <cell r="E537" t="str">
            <v>m</v>
          </cell>
          <cell r="G537">
            <v>2985.37</v>
          </cell>
          <cell r="M537">
            <v>3345.11</v>
          </cell>
          <cell r="O537">
            <v>3436.82</v>
          </cell>
          <cell r="Q537">
            <v>3395.15</v>
          </cell>
          <cell r="S537">
            <v>3444.8</v>
          </cell>
        </row>
        <row r="538">
          <cell r="A538" t="str">
            <v>2 S 04 220 11</v>
          </cell>
          <cell r="B538" t="str">
            <v>Corpo BTCC 2,50 x 2,50 m alt. 2,50 a 5,00 m</v>
          </cell>
          <cell r="E538" t="str">
            <v>m</v>
          </cell>
          <cell r="G538">
            <v>4072.54</v>
          </cell>
          <cell r="M538">
            <v>4560.3900000000003</v>
          </cell>
          <cell r="O538">
            <v>4677.1400000000003</v>
          </cell>
          <cell r="Q538">
            <v>4608.05</v>
          </cell>
          <cell r="S538">
            <v>4688.37</v>
          </cell>
        </row>
        <row r="539">
          <cell r="A539" t="str">
            <v>2 S 04 220 12</v>
          </cell>
          <cell r="B539" t="str">
            <v>Corpo BTCC 3,00 x 3,00 m alt. 2,50 a 5,00 m</v>
          </cell>
          <cell r="E539" t="str">
            <v>m</v>
          </cell>
          <cell r="G539">
            <v>5574.88</v>
          </cell>
          <cell r="M539">
            <v>6244.8</v>
          </cell>
          <cell r="O539">
            <v>6400.28</v>
          </cell>
          <cell r="Q539">
            <v>6299.43</v>
          </cell>
          <cell r="S539">
            <v>6414.56</v>
          </cell>
        </row>
        <row r="540">
          <cell r="A540" t="str">
            <v>2 S 04 220 13</v>
          </cell>
          <cell r="B540" t="str">
            <v>Corpo BTCC 1,50 x 1,50 m alt. 5,00 a 7,50 m</v>
          </cell>
          <cell r="E540" t="str">
            <v>m</v>
          </cell>
          <cell r="G540">
            <v>2103.9699999999998</v>
          </cell>
          <cell r="M540">
            <v>2353.38</v>
          </cell>
          <cell r="O540">
            <v>2418.8000000000002</v>
          </cell>
          <cell r="Q540">
            <v>2388.0500000000002</v>
          </cell>
          <cell r="S540">
            <v>2426.84</v>
          </cell>
        </row>
        <row r="541">
          <cell r="A541" t="str">
            <v>2 S 04 220 14</v>
          </cell>
          <cell r="B541" t="str">
            <v>Corpo BTCC 2,00 x 2,00 m alt. 5,00 a 7,50 m</v>
          </cell>
          <cell r="E541" t="str">
            <v>m</v>
          </cell>
          <cell r="G541">
            <v>3358.83</v>
          </cell>
          <cell r="M541">
            <v>3757.18</v>
          </cell>
          <cell r="O541">
            <v>3859.22</v>
          </cell>
          <cell r="Q541">
            <v>3804.61</v>
          </cell>
          <cell r="S541">
            <v>3870.96</v>
          </cell>
        </row>
        <row r="542">
          <cell r="A542" t="str">
            <v>2 S 04 220 15</v>
          </cell>
          <cell r="B542" t="str">
            <v>Corpo BTCC 2,50 x 2,50 m alt. 5,00 a 7,50 m</v>
          </cell>
          <cell r="E542" t="str">
            <v>m</v>
          </cell>
          <cell r="G542">
            <v>4610.87</v>
          </cell>
          <cell r="M542">
            <v>5167.29</v>
          </cell>
          <cell r="O542">
            <v>5308.57</v>
          </cell>
          <cell r="Q542">
            <v>5239.46</v>
          </cell>
          <cell r="S542">
            <v>5319.77</v>
          </cell>
        </row>
        <row r="543">
          <cell r="A543" t="str">
            <v>2 S 04 220 16</v>
          </cell>
          <cell r="B543" t="str">
            <v>Corpo BTCC 3,00 x 3,00 m alt. 5,00 a 7,50 m</v>
          </cell>
          <cell r="E543" t="str">
            <v>m</v>
          </cell>
          <cell r="G543">
            <v>6250.25</v>
          </cell>
          <cell r="M543">
            <v>7003.07</v>
          </cell>
          <cell r="O543">
            <v>7191.27</v>
          </cell>
          <cell r="Q543">
            <v>7090.36</v>
          </cell>
          <cell r="S543">
            <v>7205.49</v>
          </cell>
        </row>
        <row r="544">
          <cell r="A544" t="str">
            <v>2 S 04 220 17</v>
          </cell>
          <cell r="B544" t="str">
            <v>Corpo BTCC 1,50 x 1,50 m alt. 7,50 a 10,00 m</v>
          </cell>
          <cell r="E544" t="str">
            <v>m</v>
          </cell>
          <cell r="G544">
            <v>2340.56</v>
          </cell>
          <cell r="M544">
            <v>2620.94</v>
          </cell>
          <cell r="O544">
            <v>2696.62</v>
          </cell>
          <cell r="Q544">
            <v>2665.88</v>
          </cell>
          <cell r="S544">
            <v>2704.67</v>
          </cell>
        </row>
        <row r="545">
          <cell r="A545" t="str">
            <v>2 S 04 220 18</v>
          </cell>
          <cell r="B545" t="str">
            <v>Corpo BTCC 2,00 x 2,00 m alt. 7,50 m a 10,00 m</v>
          </cell>
          <cell r="E545" t="str">
            <v>m</v>
          </cell>
          <cell r="G545">
            <v>3781.13</v>
          </cell>
          <cell r="M545">
            <v>4236.5200000000004</v>
          </cell>
          <cell r="O545">
            <v>4355.76</v>
          </cell>
          <cell r="Q545">
            <v>4301.12</v>
          </cell>
          <cell r="S545">
            <v>4367.4799999999996</v>
          </cell>
        </row>
        <row r="546">
          <cell r="A546" t="str">
            <v>2 S 04 220 19</v>
          </cell>
          <cell r="B546" t="str">
            <v>Corpo BTCC 2,50 x 2,50 m alt. 7,50 a 10,00 m</v>
          </cell>
          <cell r="E546" t="str">
            <v>m</v>
          </cell>
          <cell r="G546">
            <v>5249.28</v>
          </cell>
          <cell r="M546">
            <v>5877.1</v>
          </cell>
          <cell r="O546">
            <v>6040.14</v>
          </cell>
          <cell r="Q546">
            <v>5956.97</v>
          </cell>
          <cell r="S546">
            <v>6055.36</v>
          </cell>
        </row>
        <row r="547">
          <cell r="A547" t="str">
            <v>2 S 04 220 20</v>
          </cell>
          <cell r="B547" t="str">
            <v>Corpo BTCC 3,00 x 3,00 m alt 7,50 a 10,00 m</v>
          </cell>
          <cell r="E547" t="str">
            <v>m</v>
          </cell>
          <cell r="G547">
            <v>7033.02</v>
          </cell>
          <cell r="M547">
            <v>7872.08</v>
          </cell>
          <cell r="O547">
            <v>8083.17</v>
          </cell>
          <cell r="Q547">
            <v>7959.81</v>
          </cell>
          <cell r="S547">
            <v>8103.69</v>
          </cell>
        </row>
        <row r="548">
          <cell r="A548" t="str">
            <v>2 S 04 220 21</v>
          </cell>
          <cell r="B548" t="str">
            <v>Corpo BTCC 1,50 x 1,50 m alt. 10,00 a 12,50 m</v>
          </cell>
          <cell r="E548" t="str">
            <v>m</v>
          </cell>
          <cell r="G548">
            <v>2772.04</v>
          </cell>
          <cell r="M548">
            <v>3101.58</v>
          </cell>
          <cell r="O548">
            <v>3190.53</v>
          </cell>
          <cell r="Q548">
            <v>3149.19</v>
          </cell>
          <cell r="S548">
            <v>3201.55</v>
          </cell>
        </row>
        <row r="549">
          <cell r="A549" t="str">
            <v>2 S 04 220 22</v>
          </cell>
          <cell r="B549" t="str">
            <v>Corpo BTCC 2,00 x 2,00 m alt. 10,00 a 12,50 m</v>
          </cell>
          <cell r="E549" t="str">
            <v>m</v>
          </cell>
          <cell r="G549">
            <v>4127.93</v>
          </cell>
          <cell r="M549">
            <v>4618.25</v>
          </cell>
          <cell r="O549">
            <v>4747.88</v>
          </cell>
          <cell r="Q549">
            <v>4681.63</v>
          </cell>
          <cell r="S549">
            <v>4762.93</v>
          </cell>
        </row>
        <row r="550">
          <cell r="A550" t="str">
            <v>2 S 04 220 23</v>
          </cell>
          <cell r="B550" t="str">
            <v>Corpo BTCC 2,50 x 2,50 m alt. 10,00 a 12,50 m</v>
          </cell>
          <cell r="E550" t="str">
            <v>m</v>
          </cell>
          <cell r="G550">
            <v>5506.61</v>
          </cell>
          <cell r="M550">
            <v>6169.96</v>
          </cell>
          <cell r="O550">
            <v>6343.05</v>
          </cell>
          <cell r="Q550">
            <v>6259.85</v>
          </cell>
          <cell r="S550">
            <v>6358.25</v>
          </cell>
        </row>
        <row r="551">
          <cell r="A551" t="str">
            <v>2 S 04 220 24</v>
          </cell>
          <cell r="B551" t="str">
            <v>Corpo BTCC 3,00 x 3,00 m alt. 10,00 a 12,50 m</v>
          </cell>
          <cell r="E551" t="str">
            <v>m</v>
          </cell>
          <cell r="G551">
            <v>7506.17</v>
          </cell>
          <cell r="M551">
            <v>8402.76</v>
          </cell>
          <cell r="O551">
            <v>8637.1299999999992</v>
          </cell>
          <cell r="Q551">
            <v>8513.74</v>
          </cell>
          <cell r="S551">
            <v>8657.6200000000008</v>
          </cell>
        </row>
        <row r="552">
          <cell r="A552" t="str">
            <v>2 S 04 220 25</v>
          </cell>
          <cell r="B552" t="str">
            <v>Corpo BTCC 1,50 x 1,50 m alt. 12,50 a 15,00 m</v>
          </cell>
          <cell r="E552" t="str">
            <v>m</v>
          </cell>
          <cell r="G552">
            <v>2817.12</v>
          </cell>
          <cell r="M552">
            <v>3152.67</v>
          </cell>
          <cell r="O552">
            <v>3243.5</v>
          </cell>
          <cell r="Q552">
            <v>3202.17</v>
          </cell>
          <cell r="S552">
            <v>3254.53</v>
          </cell>
        </row>
        <row r="553">
          <cell r="A553" t="str">
            <v>2 S 04 220 26</v>
          </cell>
          <cell r="B553" t="str">
            <v>Corpo BTCC 2,00 x 2,00 m alt. 12,50 a 15,00 m</v>
          </cell>
          <cell r="E553" t="str">
            <v>m</v>
          </cell>
          <cell r="G553">
            <v>4406.42</v>
          </cell>
          <cell r="M553">
            <v>4933.76</v>
          </cell>
          <cell r="O553">
            <v>5075.12</v>
          </cell>
          <cell r="Q553">
            <v>5008.88</v>
          </cell>
          <cell r="S553">
            <v>5090.18</v>
          </cell>
        </row>
        <row r="554">
          <cell r="A554" t="str">
            <v>2 S 04 220 27</v>
          </cell>
          <cell r="B554" t="str">
            <v>Corpo BTCC 2,50 x 2,50 m alt. 12,50 a 15,00 m</v>
          </cell>
          <cell r="E554" t="str">
            <v>m</v>
          </cell>
          <cell r="G554">
            <v>5899.33</v>
          </cell>
          <cell r="M554">
            <v>6611.8</v>
          </cell>
          <cell r="O554">
            <v>6803.35</v>
          </cell>
          <cell r="Q554">
            <v>6720.13</v>
          </cell>
          <cell r="S554">
            <v>6818.52</v>
          </cell>
        </row>
        <row r="555">
          <cell r="A555" t="str">
            <v>2 S 04 220 28</v>
          </cell>
          <cell r="B555" t="str">
            <v>Corpo BTCC 3,00 x 3,00 m alt. 12,50 a 15,00 m</v>
          </cell>
          <cell r="E555" t="str">
            <v>m</v>
          </cell>
          <cell r="G555">
            <v>8137.42</v>
          </cell>
          <cell r="M555">
            <v>9119.17</v>
          </cell>
          <cell r="O555">
            <v>9379.32</v>
          </cell>
          <cell r="Q555">
            <v>9255.92</v>
          </cell>
          <cell r="S555">
            <v>9399.7900000000009</v>
          </cell>
        </row>
        <row r="556">
          <cell r="A556" t="str">
            <v>2 S 04 221 01</v>
          </cell>
          <cell r="B556" t="str">
            <v>Boca BTCC 1,50 x 1,50 m normal</v>
          </cell>
          <cell r="E556" t="str">
            <v>und</v>
          </cell>
          <cell r="G556">
            <v>6834.02</v>
          </cell>
          <cell r="M556">
            <v>7602.28</v>
          </cell>
          <cell r="O556">
            <v>7797.68</v>
          </cell>
          <cell r="Q556">
            <v>7705.31</v>
          </cell>
          <cell r="S556">
            <v>7834.72</v>
          </cell>
        </row>
        <row r="557">
          <cell r="A557" t="str">
            <v>2 S 04 221 02</v>
          </cell>
          <cell r="B557" t="str">
            <v>Boca BTCC 2,00 x 2,00 m normal</v>
          </cell>
          <cell r="E557" t="str">
            <v>und</v>
          </cell>
          <cell r="G557">
            <v>10442.6</v>
          </cell>
          <cell r="M557">
            <v>11617.89</v>
          </cell>
          <cell r="O557">
            <v>11925.54</v>
          </cell>
          <cell r="Q557">
            <v>11773.57</v>
          </cell>
          <cell r="S557">
            <v>11982.73</v>
          </cell>
        </row>
        <row r="558">
          <cell r="A558" t="str">
            <v>2 S 04 221 03</v>
          </cell>
          <cell r="B558" t="str">
            <v>Boca BTCC 2,50 x 2,50 m normal</v>
          </cell>
          <cell r="E558" t="str">
            <v>und</v>
          </cell>
          <cell r="G558">
            <v>14778.85</v>
          </cell>
          <cell r="M558">
            <v>16452.62</v>
          </cell>
          <cell r="O558">
            <v>16899.830000000002</v>
          </cell>
          <cell r="Q558">
            <v>16686.86</v>
          </cell>
          <cell r="S558">
            <v>16978.09</v>
          </cell>
        </row>
        <row r="559">
          <cell r="A559" t="str">
            <v>2 S 04 221 04</v>
          </cell>
          <cell r="B559" t="str">
            <v>Boca BTCC 3,00 x 3,00 m normal</v>
          </cell>
          <cell r="E559" t="str">
            <v>und</v>
          </cell>
          <cell r="G559">
            <v>20968.3</v>
          </cell>
          <cell r="M559">
            <v>23347.09</v>
          </cell>
          <cell r="O559">
            <v>23995.86</v>
          </cell>
          <cell r="Q559">
            <v>23683.61</v>
          </cell>
          <cell r="S559">
            <v>24106.81</v>
          </cell>
        </row>
        <row r="560">
          <cell r="A560" t="str">
            <v>2 S 04 221 05</v>
          </cell>
          <cell r="B560" t="str">
            <v>Boca BTCC 1,50 x 1,50 m esc=15</v>
          </cell>
          <cell r="E560" t="str">
            <v>und</v>
          </cell>
          <cell r="G560">
            <v>7397.26</v>
          </cell>
          <cell r="M560">
            <v>8231.84</v>
          </cell>
          <cell r="O560">
            <v>8445.08</v>
          </cell>
          <cell r="Q560">
            <v>8350.2199999999993</v>
          </cell>
          <cell r="S560">
            <v>8483.83</v>
          </cell>
        </row>
        <row r="561">
          <cell r="A561" t="str">
            <v>2 S 04 221 06</v>
          </cell>
          <cell r="B561" t="str">
            <v>Boca BTCC 2,00 x 2,00 m esc=15</v>
          </cell>
          <cell r="E561" t="str">
            <v>und</v>
          </cell>
          <cell r="G561">
            <v>11225.72</v>
          </cell>
          <cell r="M561">
            <v>12491.76</v>
          </cell>
          <cell r="O561">
            <v>12824.04</v>
          </cell>
          <cell r="Q561">
            <v>12669.76</v>
          </cell>
          <cell r="S561">
            <v>12883.6</v>
          </cell>
        </row>
        <row r="562">
          <cell r="A562" t="str">
            <v>2 S 04 221 07</v>
          </cell>
          <cell r="B562" t="str">
            <v>Boca BTCC 2,50 x 2,50 m esc=15</v>
          </cell>
          <cell r="E562" t="str">
            <v>und</v>
          </cell>
          <cell r="G562">
            <v>15934.13</v>
          </cell>
          <cell r="M562">
            <v>17744.04</v>
          </cell>
          <cell r="O562">
            <v>18228.060000000001</v>
          </cell>
          <cell r="Q562">
            <v>18010.16</v>
          </cell>
          <cell r="S562">
            <v>18309.91</v>
          </cell>
        </row>
        <row r="563">
          <cell r="A563" t="str">
            <v>2 S 04 221 08</v>
          </cell>
          <cell r="B563" t="str">
            <v>Boca BTCC 3,00 x 3,00 m esc=15</v>
          </cell>
          <cell r="E563" t="str">
            <v>und</v>
          </cell>
          <cell r="G563">
            <v>20385.79</v>
          </cell>
          <cell r="M563">
            <v>22727.27</v>
          </cell>
          <cell r="O563">
            <v>23361.34</v>
          </cell>
          <cell r="Q563">
            <v>23106.97</v>
          </cell>
          <cell r="S563">
            <v>23457.64</v>
          </cell>
        </row>
        <row r="564">
          <cell r="A564" t="str">
            <v>2 S 04 221 09</v>
          </cell>
          <cell r="B564" t="str">
            <v>Boca BTCC 1,50 x 1,50 m esc=30</v>
          </cell>
          <cell r="E564" t="str">
            <v>und</v>
          </cell>
          <cell r="G564">
            <v>7769.9</v>
          </cell>
          <cell r="M564">
            <v>8638.36</v>
          </cell>
          <cell r="O564">
            <v>8856.08</v>
          </cell>
          <cell r="Q564">
            <v>8750.32</v>
          </cell>
          <cell r="S564">
            <v>8899.2000000000007</v>
          </cell>
        </row>
        <row r="565">
          <cell r="A565" t="str">
            <v>2 S 04 221 10</v>
          </cell>
          <cell r="B565" t="str">
            <v>Boca BTCC 2,00 x 2,00 m exc.=30</v>
          </cell>
          <cell r="E565" t="str">
            <v>und</v>
          </cell>
          <cell r="G565">
            <v>12407.74</v>
          </cell>
          <cell r="M565">
            <v>13805.31</v>
          </cell>
          <cell r="O565">
            <v>14169.67</v>
          </cell>
          <cell r="Q565">
            <v>13995.46</v>
          </cell>
          <cell r="S565">
            <v>14236.63</v>
          </cell>
        </row>
        <row r="566">
          <cell r="A566" t="str">
            <v>2 S 04 221 11</v>
          </cell>
          <cell r="B566" t="str">
            <v>Boca BTCC 2,50 x 2,50 m esc=30</v>
          </cell>
          <cell r="E566" t="str">
            <v>und</v>
          </cell>
          <cell r="G566">
            <v>18141.84</v>
          </cell>
          <cell r="M566">
            <v>20209.45</v>
          </cell>
          <cell r="O566">
            <v>20764.759999999998</v>
          </cell>
          <cell r="Q566">
            <v>20520.7</v>
          </cell>
          <cell r="S566">
            <v>20856.25</v>
          </cell>
        </row>
        <row r="567">
          <cell r="A567" t="str">
            <v>2 S 04 221 12</v>
          </cell>
          <cell r="B567" t="str">
            <v>Boca BTCC 3,00 x 3,00 m esc=30</v>
          </cell>
          <cell r="E567" t="str">
            <v>und</v>
          </cell>
          <cell r="G567">
            <v>26122.78</v>
          </cell>
          <cell r="M567">
            <v>29122.06</v>
          </cell>
          <cell r="O567">
            <v>29949.200000000001</v>
          </cell>
          <cell r="Q567">
            <v>29600.32</v>
          </cell>
          <cell r="S567">
            <v>30075.55</v>
          </cell>
        </row>
        <row r="568">
          <cell r="A568" t="str">
            <v>2 S 04 221 13</v>
          </cell>
          <cell r="B568" t="str">
            <v>Boca BTCC 1,50 x 1,50 m esc.=45</v>
          </cell>
          <cell r="E568" t="str">
            <v>und</v>
          </cell>
          <cell r="G568">
            <v>9797.1299999999992</v>
          </cell>
          <cell r="M568">
            <v>10898.18</v>
          </cell>
          <cell r="O568">
            <v>11176.09</v>
          </cell>
          <cell r="Q568">
            <v>11045.71</v>
          </cell>
          <cell r="S568">
            <v>11229.12</v>
          </cell>
        </row>
        <row r="569">
          <cell r="A569" t="str">
            <v>2 S 04 221 14</v>
          </cell>
          <cell r="B569" t="str">
            <v>Boca BTCC 2,00 x 2,00 m esc=45</v>
          </cell>
          <cell r="E569" t="str">
            <v>und</v>
          </cell>
          <cell r="G569">
            <v>15697.17</v>
          </cell>
          <cell r="M569">
            <v>17473.490000000002</v>
          </cell>
          <cell r="O569">
            <v>17941.25</v>
          </cell>
          <cell r="Q569">
            <v>17726.71</v>
          </cell>
          <cell r="S569">
            <v>18023.490000000002</v>
          </cell>
        </row>
        <row r="570">
          <cell r="A570" t="str">
            <v>2 S 04 221 15</v>
          </cell>
          <cell r="B570" t="str">
            <v>Boca BTCC 2,50 x 2,50 m esc=45</v>
          </cell>
          <cell r="E570" t="str">
            <v>und</v>
          </cell>
          <cell r="G570">
            <v>22932.6</v>
          </cell>
          <cell r="M570">
            <v>25557.73</v>
          </cell>
          <cell r="O570">
            <v>26268.53</v>
          </cell>
          <cell r="Q570">
            <v>25969.21</v>
          </cell>
          <cell r="S570">
            <v>26380.68</v>
          </cell>
        </row>
        <row r="571">
          <cell r="A571" t="str">
            <v>2 S 04 221 16</v>
          </cell>
          <cell r="B571" t="str">
            <v>Boca BTCC 3,00 x 3,00 m esc=45</v>
          </cell>
          <cell r="E571" t="str">
            <v>und</v>
          </cell>
          <cell r="G571">
            <v>33087.33</v>
          </cell>
          <cell r="M571">
            <v>36898.26</v>
          </cell>
          <cell r="O571">
            <v>37956.39</v>
          </cell>
          <cell r="Q571">
            <v>37523.9</v>
          </cell>
          <cell r="S571">
            <v>38112.68</v>
          </cell>
        </row>
        <row r="572">
          <cell r="A572" t="str">
            <v>2 S 04 300 16</v>
          </cell>
          <cell r="B572" t="str">
            <v>Bueiro met. chapas múltiplas D=1,60 m galv.</v>
          </cell>
          <cell r="E572" t="str">
            <v>m</v>
          </cell>
          <cell r="G572">
            <v>845.64</v>
          </cell>
          <cell r="M572">
            <v>981.36</v>
          </cell>
          <cell r="O572">
            <v>1028.1099999999999</v>
          </cell>
          <cell r="Q572">
            <v>1026.23</v>
          </cell>
          <cell r="S572">
            <v>1027.33</v>
          </cell>
        </row>
        <row r="573">
          <cell r="A573" t="str">
            <v>2 S 04 300 20</v>
          </cell>
          <cell r="B573" t="str">
            <v>Bueiro met.chapas múltiplas D=2,00 m galv.</v>
          </cell>
          <cell r="E573" t="str">
            <v>m</v>
          </cell>
          <cell r="G573">
            <v>1056.94</v>
          </cell>
          <cell r="M573">
            <v>1210.78</v>
          </cell>
          <cell r="O573">
            <v>1279.3399999999999</v>
          </cell>
          <cell r="Q573">
            <v>1277.26</v>
          </cell>
          <cell r="S573">
            <v>1278.49</v>
          </cell>
        </row>
        <row r="574">
          <cell r="A574" t="str">
            <v>2 S 04 301 16</v>
          </cell>
          <cell r="B574" t="str">
            <v>Bueiro met. chapas múltiplas D=1,60 m rev. epoxy</v>
          </cell>
          <cell r="E574" t="str">
            <v>m</v>
          </cell>
          <cell r="G574">
            <v>921.74</v>
          </cell>
          <cell r="M574">
            <v>1066.28</v>
          </cell>
          <cell r="O574">
            <v>1076.94</v>
          </cell>
          <cell r="Q574">
            <v>1075.6600000000001</v>
          </cell>
          <cell r="S574">
            <v>1076.77</v>
          </cell>
        </row>
        <row r="575">
          <cell r="A575" t="str">
            <v>2 S 04 301 20</v>
          </cell>
          <cell r="B575" t="str">
            <v>Bueiro met. chapa múltipla D=2,00 m rev. epoxy</v>
          </cell>
          <cell r="E575" t="str">
            <v>m</v>
          </cell>
          <cell r="G575">
            <v>1150.75</v>
          </cell>
          <cell r="M575">
            <v>1315.77</v>
          </cell>
          <cell r="O575">
            <v>1339.98</v>
          </cell>
          <cell r="Q575">
            <v>1337.99</v>
          </cell>
          <cell r="S575">
            <v>1339.22</v>
          </cell>
        </row>
        <row r="576">
          <cell r="A576" t="str">
            <v>2 S 04 310 16</v>
          </cell>
          <cell r="B576" t="str">
            <v>Bueiro met.s/ interrupção tráf. D=1,60m galv.</v>
          </cell>
          <cell r="E576" t="str">
            <v>m</v>
          </cell>
          <cell r="G576">
            <v>1667.71</v>
          </cell>
          <cell r="M576">
            <v>1957.4</v>
          </cell>
          <cell r="O576">
            <v>1958.05</v>
          </cell>
          <cell r="Q576">
            <v>1892.17</v>
          </cell>
          <cell r="S576">
            <v>1893.36</v>
          </cell>
        </row>
        <row r="577">
          <cell r="A577" t="str">
            <v>2 S 04 310 20</v>
          </cell>
          <cell r="B577" t="str">
            <v>Bueiro met.s/ interrupção tráf. D=2,00m galv.</v>
          </cell>
          <cell r="E577" t="str">
            <v>m</v>
          </cell>
          <cell r="G577">
            <v>2013.11</v>
          </cell>
          <cell r="M577">
            <v>2434.67</v>
          </cell>
          <cell r="O577">
            <v>2435.4499999999998</v>
          </cell>
          <cell r="Q577">
            <v>2282.92</v>
          </cell>
          <cell r="S577">
            <v>2284.36</v>
          </cell>
        </row>
        <row r="578">
          <cell r="A578" t="str">
            <v>2 S 04 311 16</v>
          </cell>
          <cell r="B578" t="str">
            <v>Bueiro met.s/interrupção tráf.D=1,60 m rev.epoxy</v>
          </cell>
          <cell r="E578" t="str">
            <v>m</v>
          </cell>
          <cell r="G578">
            <v>1700.88</v>
          </cell>
          <cell r="M578">
            <v>2030.38</v>
          </cell>
          <cell r="O578">
            <v>2031.03</v>
          </cell>
          <cell r="Q578">
            <v>1828.85</v>
          </cell>
          <cell r="S578">
            <v>1830.05</v>
          </cell>
        </row>
        <row r="579">
          <cell r="A579" t="str">
            <v>2 S 04 311 20</v>
          </cell>
          <cell r="B579" t="str">
            <v>Bueiro met.s/interrupção traf.D=2,00 m rev.epoxy</v>
          </cell>
          <cell r="E579" t="str">
            <v>m</v>
          </cell>
          <cell r="G579">
            <v>2222.9899999999998</v>
          </cell>
          <cell r="M579">
            <v>2441.5700000000002</v>
          </cell>
          <cell r="O579">
            <v>2442.35</v>
          </cell>
          <cell r="Q579">
            <v>2288.87</v>
          </cell>
          <cell r="S579">
            <v>2290.3000000000002</v>
          </cell>
        </row>
        <row r="580">
          <cell r="A580" t="str">
            <v>2 S 04 400 01</v>
          </cell>
          <cell r="B580" t="str">
            <v>Valeta prot.cortes c/revest. vegetal - VPC 01</v>
          </cell>
          <cell r="E580" t="str">
            <v>m</v>
          </cell>
          <cell r="G580">
            <v>34.69</v>
          </cell>
          <cell r="M580">
            <v>41.23</v>
          </cell>
          <cell r="O580">
            <v>41.27</v>
          </cell>
          <cell r="Q580">
            <v>41.16</v>
          </cell>
          <cell r="S580">
            <v>41.16</v>
          </cell>
        </row>
        <row r="581">
          <cell r="A581" t="str">
            <v>2 S 04 400 02</v>
          </cell>
          <cell r="B581" t="str">
            <v>Valeta prot.cortes c/revest. vegetal - VPC 02</v>
          </cell>
          <cell r="E581" t="str">
            <v>m</v>
          </cell>
          <cell r="G581">
            <v>25.86</v>
          </cell>
          <cell r="M581">
            <v>30.72</v>
          </cell>
          <cell r="O581">
            <v>30.75</v>
          </cell>
          <cell r="Q581">
            <v>30.65</v>
          </cell>
          <cell r="S581">
            <v>30.65</v>
          </cell>
        </row>
        <row r="582">
          <cell r="A582" t="str">
            <v>2 S 04 400 03</v>
          </cell>
          <cell r="B582" t="str">
            <v>Valeta prot.cortes c/revest.concreto - VPC 03</v>
          </cell>
          <cell r="E582" t="str">
            <v>m</v>
          </cell>
          <cell r="G582">
            <v>51.72</v>
          </cell>
          <cell r="M582">
            <v>59.04</v>
          </cell>
          <cell r="O582">
            <v>59.73</v>
          </cell>
          <cell r="Q582">
            <v>58.59</v>
          </cell>
          <cell r="S582">
            <v>59.99</v>
          </cell>
        </row>
        <row r="583">
          <cell r="A583" t="str">
            <v>2 S 04 400 04</v>
          </cell>
          <cell r="B583" t="str">
            <v>Valeta prot.cortes c/revest.concreto - VPC 04</v>
          </cell>
          <cell r="E583" t="str">
            <v>m</v>
          </cell>
          <cell r="G583">
            <v>40.29</v>
          </cell>
          <cell r="M583">
            <v>45.99</v>
          </cell>
          <cell r="O583">
            <v>46.54</v>
          </cell>
          <cell r="Q583">
            <v>45.64</v>
          </cell>
          <cell r="S583">
            <v>46.73</v>
          </cell>
        </row>
        <row r="584">
          <cell r="A584" t="str">
            <v>2 S 04 401 01</v>
          </cell>
          <cell r="B584" t="str">
            <v>Valeta prot.aterros c/revest. vegetal - VPA 01</v>
          </cell>
          <cell r="E584" t="str">
            <v>m</v>
          </cell>
          <cell r="G584">
            <v>35.89</v>
          </cell>
          <cell r="M584">
            <v>42.6</v>
          </cell>
          <cell r="O584">
            <v>42.65</v>
          </cell>
          <cell r="Q584">
            <v>42.51</v>
          </cell>
          <cell r="S584">
            <v>42.51</v>
          </cell>
        </row>
        <row r="585">
          <cell r="A585" t="str">
            <v>2 S 04 401 02</v>
          </cell>
          <cell r="B585" t="str">
            <v>Valeta prot.aterros c/revest. vegetal - VPA 02</v>
          </cell>
          <cell r="E585" t="str">
            <v>m</v>
          </cell>
          <cell r="G585">
            <v>26.91</v>
          </cell>
          <cell r="M585">
            <v>31.98</v>
          </cell>
          <cell r="O585">
            <v>32.01</v>
          </cell>
          <cell r="Q585">
            <v>31.91</v>
          </cell>
          <cell r="S585">
            <v>31.91</v>
          </cell>
        </row>
        <row r="586">
          <cell r="A586" t="str">
            <v>2 S 04 401 03</v>
          </cell>
          <cell r="B586" t="str">
            <v>Valeta prot.aterro c/revest. concreto - VPA 03</v>
          </cell>
          <cell r="E586" t="str">
            <v>m</v>
          </cell>
          <cell r="G586">
            <v>51.82</v>
          </cell>
          <cell r="M586">
            <v>59.31</v>
          </cell>
          <cell r="O586">
            <v>59.97</v>
          </cell>
          <cell r="Q586">
            <v>58.88</v>
          </cell>
          <cell r="S586">
            <v>60.16</v>
          </cell>
        </row>
        <row r="587">
          <cell r="A587" t="str">
            <v>2 S 04 401 04</v>
          </cell>
          <cell r="B587" t="str">
            <v>Valeta prot.aterro c/revest. concreto - VPA 04</v>
          </cell>
          <cell r="E587" t="str">
            <v>m</v>
          </cell>
          <cell r="G587">
            <v>39.229999999999997</v>
          </cell>
          <cell r="M587">
            <v>44.9</v>
          </cell>
          <cell r="O587">
            <v>45.4</v>
          </cell>
          <cell r="Q587">
            <v>44.57</v>
          </cell>
          <cell r="S587">
            <v>45.57</v>
          </cell>
        </row>
        <row r="588">
          <cell r="A588" t="str">
            <v>2 S 04 401 05</v>
          </cell>
          <cell r="B588" t="str">
            <v>Valeta prot.corte/aterro s/rev. - VPC 05/VPA 05</v>
          </cell>
          <cell r="E588" t="str">
            <v>m</v>
          </cell>
          <cell r="G588">
            <v>20.6</v>
          </cell>
          <cell r="M588">
            <v>24.52</v>
          </cell>
          <cell r="O588">
            <v>24.52</v>
          </cell>
          <cell r="Q588">
            <v>24.5</v>
          </cell>
          <cell r="S588">
            <v>24.5</v>
          </cell>
        </row>
        <row r="589">
          <cell r="A589" t="str">
            <v>2 S 04 401 06</v>
          </cell>
          <cell r="B589" t="str">
            <v>Valeta prot.corte/aterro s/rev. - VPC 06/VPA 06</v>
          </cell>
          <cell r="E589" t="str">
            <v>m</v>
          </cell>
          <cell r="G589">
            <v>14.72</v>
          </cell>
          <cell r="M589">
            <v>17.53</v>
          </cell>
          <cell r="O589">
            <v>17.53</v>
          </cell>
          <cell r="Q589">
            <v>17.52</v>
          </cell>
          <cell r="S589">
            <v>17.52</v>
          </cell>
        </row>
        <row r="590">
          <cell r="A590" t="str">
            <v>2 S 04 500 01</v>
          </cell>
          <cell r="B590" t="str">
            <v>Dreno longitudinal prof. p/corte em solo - DPS 01</v>
          </cell>
          <cell r="E590" t="str">
            <v>m</v>
          </cell>
          <cell r="G590">
            <v>23.79</v>
          </cell>
          <cell r="M590">
            <v>27.1</v>
          </cell>
          <cell r="O590">
            <v>27.55</v>
          </cell>
          <cell r="Q590">
            <v>27.16</v>
          </cell>
          <cell r="S590">
            <v>27.57</v>
          </cell>
        </row>
        <row r="591">
          <cell r="A591" t="str">
            <v>2 S 04 500 02</v>
          </cell>
          <cell r="B591" t="str">
            <v>Dreno longitudinal prof. p/corte em solo - DPS 02</v>
          </cell>
          <cell r="E591" t="str">
            <v>m</v>
          </cell>
          <cell r="G591">
            <v>23.47</v>
          </cell>
          <cell r="M591">
            <v>26.64</v>
          </cell>
          <cell r="O591">
            <v>27.14</v>
          </cell>
          <cell r="Q591">
            <v>26.74</v>
          </cell>
          <cell r="S591">
            <v>27.14</v>
          </cell>
        </row>
        <row r="592">
          <cell r="A592" t="str">
            <v>2 S 04 500 03</v>
          </cell>
          <cell r="B592" t="str">
            <v>Dreno longitudinal prof. p/corte em solo - DPS 03</v>
          </cell>
          <cell r="E592" t="str">
            <v>m</v>
          </cell>
          <cell r="G592">
            <v>33.57</v>
          </cell>
          <cell r="M592">
            <v>38.21</v>
          </cell>
          <cell r="O592">
            <v>38.75</v>
          </cell>
          <cell r="Q592">
            <v>38.299999999999997</v>
          </cell>
          <cell r="S592">
            <v>38.840000000000003</v>
          </cell>
        </row>
        <row r="593">
          <cell r="A593" t="str">
            <v>2 S 04 500 04</v>
          </cell>
          <cell r="B593" t="str">
            <v>Dreno longitudinal prof. p/corte em solo - DPS 04</v>
          </cell>
          <cell r="E593" t="str">
            <v>m</v>
          </cell>
          <cell r="G593">
            <v>33.18</v>
          </cell>
          <cell r="M593">
            <v>37.67</v>
          </cell>
          <cell r="O593">
            <v>38.26</v>
          </cell>
          <cell r="Q593">
            <v>37.79</v>
          </cell>
          <cell r="S593">
            <v>38.340000000000003</v>
          </cell>
        </row>
        <row r="594">
          <cell r="A594" t="str">
            <v>2 S 04 500 05</v>
          </cell>
          <cell r="B594" t="str">
            <v>Dreno longitudinal prof. p/corte em solo - DPS 05</v>
          </cell>
          <cell r="E594" t="str">
            <v>m</v>
          </cell>
          <cell r="G594">
            <v>36.200000000000003</v>
          </cell>
          <cell r="M594">
            <v>40.58</v>
          </cell>
          <cell r="O594">
            <v>44.31</v>
          </cell>
          <cell r="Q594">
            <v>40.57</v>
          </cell>
          <cell r="S594">
            <v>41.33</v>
          </cell>
        </row>
        <row r="595">
          <cell r="A595" t="str">
            <v>2 S 04 500 06</v>
          </cell>
          <cell r="B595" t="str">
            <v>Dreno longitudinal prof. p/corte em solo - DPS 06</v>
          </cell>
          <cell r="E595" t="str">
            <v>m</v>
          </cell>
          <cell r="G595">
            <v>41.64</v>
          </cell>
          <cell r="M595">
            <v>46.52</v>
          </cell>
          <cell r="O595">
            <v>50.88</v>
          </cell>
          <cell r="Q595">
            <v>46.48</v>
          </cell>
          <cell r="S595">
            <v>47.4</v>
          </cell>
        </row>
        <row r="596">
          <cell r="A596" t="str">
            <v>2 S 04 500 07</v>
          </cell>
          <cell r="B596" t="str">
            <v>Dreno longitudinal prof. p/corte em solo - DPS 07</v>
          </cell>
          <cell r="E596" t="str">
            <v>m</v>
          </cell>
          <cell r="G596">
            <v>50.87</v>
          </cell>
          <cell r="M596">
            <v>57.29</v>
          </cell>
          <cell r="O596">
            <v>61.18</v>
          </cell>
          <cell r="Q596">
            <v>57.17</v>
          </cell>
          <cell r="S596">
            <v>58.24</v>
          </cell>
        </row>
        <row r="597">
          <cell r="A597" t="str">
            <v>2 S 04 500 08</v>
          </cell>
          <cell r="B597" t="str">
            <v>Dreno longitudinal prof. p/corte em solo - DPS 08</v>
          </cell>
          <cell r="E597" t="str">
            <v>m</v>
          </cell>
          <cell r="G597">
            <v>56.3</v>
          </cell>
          <cell r="M597">
            <v>63.23</v>
          </cell>
          <cell r="O597">
            <v>67.75</v>
          </cell>
          <cell r="Q597">
            <v>63.08</v>
          </cell>
          <cell r="S597">
            <v>64.319999999999993</v>
          </cell>
        </row>
        <row r="598">
          <cell r="A598" t="str">
            <v>2 S 04 501 01</v>
          </cell>
          <cell r="B598" t="str">
            <v>Dreno longitudinal prof. p/corte em rocha - DPR 01</v>
          </cell>
          <cell r="E598" t="str">
            <v>m</v>
          </cell>
          <cell r="G598">
            <v>20.65</v>
          </cell>
          <cell r="M598">
            <v>23.64</v>
          </cell>
          <cell r="O598">
            <v>23.89</v>
          </cell>
          <cell r="Q598">
            <v>23.52</v>
          </cell>
          <cell r="S598">
            <v>24.08</v>
          </cell>
        </row>
        <row r="599">
          <cell r="A599" t="str">
            <v>2 S 04 501 02</v>
          </cell>
          <cell r="B599" t="str">
            <v>Dreno longitudinal prof. p/corte em rocha - DPR 02</v>
          </cell>
          <cell r="E599" t="str">
            <v>m</v>
          </cell>
          <cell r="G599">
            <v>32.01</v>
          </cell>
          <cell r="M599">
            <v>36.14</v>
          </cell>
          <cell r="O599">
            <v>38.26</v>
          </cell>
          <cell r="Q599">
            <v>36.03</v>
          </cell>
          <cell r="S599">
            <v>36.590000000000003</v>
          </cell>
        </row>
        <row r="600">
          <cell r="A600" t="str">
            <v>2 S 04 501 03</v>
          </cell>
          <cell r="B600" t="str">
            <v>Dreno longitudinal prof. p/corte em rocha - DPR 03</v>
          </cell>
          <cell r="E600" t="str">
            <v>m</v>
          </cell>
          <cell r="G600">
            <v>17.760000000000002</v>
          </cell>
          <cell r="M600">
            <v>19.940000000000001</v>
          </cell>
          <cell r="O600">
            <v>21.89</v>
          </cell>
          <cell r="Q600">
            <v>19.940000000000001</v>
          </cell>
          <cell r="S600">
            <v>20.18</v>
          </cell>
        </row>
        <row r="601">
          <cell r="A601" t="str">
            <v>2 S 04 501 04</v>
          </cell>
          <cell r="B601" t="str">
            <v>Dreno longitudinal prof. p/corte em rocha - DPR 04</v>
          </cell>
          <cell r="E601" t="str">
            <v>m</v>
          </cell>
          <cell r="G601">
            <v>6.21</v>
          </cell>
          <cell r="M601">
            <v>7.2</v>
          </cell>
          <cell r="O601">
            <v>7.29</v>
          </cell>
          <cell r="Q601">
            <v>7.19</v>
          </cell>
          <cell r="S601">
            <v>7.44</v>
          </cell>
        </row>
        <row r="602">
          <cell r="A602" t="str">
            <v>2 S 04 501 05</v>
          </cell>
          <cell r="B602" t="str">
            <v>Dreno longitudinal prof. p/corte em rocha - DPR 05</v>
          </cell>
          <cell r="E602" t="str">
            <v>m</v>
          </cell>
          <cell r="G602">
            <v>18.64</v>
          </cell>
          <cell r="M602">
            <v>21.3</v>
          </cell>
          <cell r="O602">
            <v>21.55</v>
          </cell>
          <cell r="Q602">
            <v>21.23</v>
          </cell>
          <cell r="S602">
            <v>21.63</v>
          </cell>
        </row>
        <row r="603">
          <cell r="A603" t="str">
            <v>2 S 04 502 01</v>
          </cell>
          <cell r="B603" t="str">
            <v>Boca saída p/dreno longitudinal prof. BSD 01</v>
          </cell>
          <cell r="E603" t="str">
            <v>und</v>
          </cell>
          <cell r="G603">
            <v>62.93</v>
          </cell>
          <cell r="M603">
            <v>70.08</v>
          </cell>
          <cell r="O603">
            <v>71.16</v>
          </cell>
          <cell r="Q603">
            <v>69.53</v>
          </cell>
          <cell r="S603">
            <v>71.72</v>
          </cell>
        </row>
        <row r="604">
          <cell r="A604" t="str">
            <v>2 S 04 502 02</v>
          </cell>
          <cell r="B604" t="str">
            <v>Boca saída p/dreno longitudinal prof. BSD 02</v>
          </cell>
          <cell r="E604" t="str">
            <v>und</v>
          </cell>
          <cell r="G604">
            <v>73.39</v>
          </cell>
          <cell r="M604">
            <v>81.55</v>
          </cell>
          <cell r="O604">
            <v>82.9</v>
          </cell>
          <cell r="Q604">
            <v>80.84</v>
          </cell>
          <cell r="S604">
            <v>83.59</v>
          </cell>
        </row>
        <row r="605">
          <cell r="A605" t="str">
            <v>2 S 04 510 01</v>
          </cell>
          <cell r="B605" t="str">
            <v>Dreno sub-superficial - DSS 01</v>
          </cell>
          <cell r="E605" t="str">
            <v>m</v>
          </cell>
          <cell r="G605">
            <v>6.99</v>
          </cell>
          <cell r="M605">
            <v>7.36</v>
          </cell>
          <cell r="O605">
            <v>7.42</v>
          </cell>
          <cell r="Q605">
            <v>7.62</v>
          </cell>
          <cell r="S605">
            <v>7.62</v>
          </cell>
        </row>
        <row r="606">
          <cell r="A606" t="str">
            <v>2 S 04 510 02</v>
          </cell>
          <cell r="B606" t="str">
            <v>Dreno sub-superficial - DSS 02</v>
          </cell>
          <cell r="E606" t="str">
            <v>m</v>
          </cell>
          <cell r="G606">
            <v>16.21</v>
          </cell>
          <cell r="M606">
            <v>18.05</v>
          </cell>
          <cell r="O606">
            <v>20.12</v>
          </cell>
          <cell r="Q606">
            <v>18.05</v>
          </cell>
          <cell r="S606">
            <v>18.239999999999998</v>
          </cell>
        </row>
        <row r="607">
          <cell r="A607" t="str">
            <v>2 S 04 510 03</v>
          </cell>
          <cell r="B607" t="str">
            <v>Dreno sub-superficial - DSS 03</v>
          </cell>
          <cell r="E607" t="str">
            <v>m</v>
          </cell>
          <cell r="G607">
            <v>4.33</v>
          </cell>
          <cell r="M607">
            <v>4.99</v>
          </cell>
          <cell r="O607">
            <v>5.0599999999999996</v>
          </cell>
          <cell r="Q607">
            <v>4.9800000000000004</v>
          </cell>
          <cell r="S607">
            <v>5.18</v>
          </cell>
        </row>
        <row r="608">
          <cell r="A608" t="str">
            <v>2 S 04 510 04</v>
          </cell>
          <cell r="B608" t="str">
            <v>Dreno sub-superficial - DSS 04</v>
          </cell>
          <cell r="E608" t="str">
            <v>m</v>
          </cell>
          <cell r="G608">
            <v>22.31</v>
          </cell>
          <cell r="M608">
            <v>24.45</v>
          </cell>
          <cell r="O608">
            <v>26.52</v>
          </cell>
          <cell r="Q608">
            <v>24.66</v>
          </cell>
          <cell r="S608">
            <v>24.85</v>
          </cell>
        </row>
        <row r="609">
          <cell r="A609" t="str">
            <v>2 S 04 511 01</v>
          </cell>
          <cell r="B609" t="str">
            <v>Boca saída p/dreno sub-superficial - BSD 03</v>
          </cell>
          <cell r="E609" t="str">
            <v>und</v>
          </cell>
          <cell r="G609">
            <v>29.17</v>
          </cell>
          <cell r="M609">
            <v>32.25</v>
          </cell>
          <cell r="O609">
            <v>32.799999999999997</v>
          </cell>
          <cell r="Q609">
            <v>31.98</v>
          </cell>
          <cell r="S609">
            <v>33.090000000000003</v>
          </cell>
        </row>
        <row r="610">
          <cell r="A610" t="str">
            <v>2 S 04 520 01</v>
          </cell>
          <cell r="B610" t="str">
            <v>Dreno sub-horizontal - DSH 01</v>
          </cell>
          <cell r="E610" t="str">
            <v>m</v>
          </cell>
          <cell r="G610">
            <v>106.82</v>
          </cell>
          <cell r="M610">
            <v>127</v>
          </cell>
          <cell r="O610">
            <v>127.19</v>
          </cell>
          <cell r="Q610">
            <v>127</v>
          </cell>
          <cell r="S610">
            <v>126.96</v>
          </cell>
        </row>
        <row r="611">
          <cell r="A611" t="str">
            <v>2 S 04 521 01</v>
          </cell>
          <cell r="B611" t="str">
            <v>Boca saída p/dreno sub-horizontal - BSD 04</v>
          </cell>
          <cell r="E611" t="str">
            <v>und</v>
          </cell>
          <cell r="G611">
            <v>7.51</v>
          </cell>
          <cell r="M611">
            <v>8.34</v>
          </cell>
          <cell r="O611">
            <v>8.4700000000000006</v>
          </cell>
          <cell r="Q611">
            <v>8.2799999999999994</v>
          </cell>
          <cell r="S611">
            <v>8.5299999999999994</v>
          </cell>
        </row>
        <row r="612">
          <cell r="A612" t="str">
            <v>2 S 04 900 01</v>
          </cell>
          <cell r="B612" t="str">
            <v>Sarjeta triangular de concreto - STC 01</v>
          </cell>
          <cell r="E612" t="str">
            <v>m</v>
          </cell>
          <cell r="G612">
            <v>32.65</v>
          </cell>
          <cell r="M612">
            <v>36.340000000000003</v>
          </cell>
          <cell r="O612">
            <v>37.07</v>
          </cell>
          <cell r="Q612">
            <v>35.979999999999997</v>
          </cell>
          <cell r="S612">
            <v>37.369999999999997</v>
          </cell>
        </row>
        <row r="613">
          <cell r="A613" t="str">
            <v>2 S 04 900 02</v>
          </cell>
          <cell r="B613" t="str">
            <v>Sarjeta triangular de concreto - STC 02</v>
          </cell>
          <cell r="E613" t="str">
            <v>m</v>
          </cell>
          <cell r="G613">
            <v>22</v>
          </cell>
          <cell r="M613">
            <v>24.56</v>
          </cell>
          <cell r="O613">
            <v>25.03</v>
          </cell>
          <cell r="Q613">
            <v>24.34</v>
          </cell>
          <cell r="S613">
            <v>25.22</v>
          </cell>
        </row>
        <row r="614">
          <cell r="A614" t="str">
            <v>2 S 04 900 03</v>
          </cell>
          <cell r="B614" t="str">
            <v>Sarjeta triangular de concreto - STC 03</v>
          </cell>
          <cell r="E614" t="str">
            <v>m</v>
          </cell>
          <cell r="G614">
            <v>19.07</v>
          </cell>
          <cell r="M614">
            <v>21.27</v>
          </cell>
          <cell r="O614">
            <v>21.69</v>
          </cell>
          <cell r="Q614">
            <v>21.08</v>
          </cell>
          <cell r="S614">
            <v>21.85</v>
          </cell>
        </row>
        <row r="615">
          <cell r="A615" t="str">
            <v>2 S 04 900 04</v>
          </cell>
          <cell r="B615" t="str">
            <v>Sarjeta triangular de concreto - STC 04</v>
          </cell>
          <cell r="E615" t="str">
            <v>m</v>
          </cell>
          <cell r="G615">
            <v>15.49</v>
          </cell>
          <cell r="M615">
            <v>17.25</v>
          </cell>
          <cell r="O615">
            <v>17.600000000000001</v>
          </cell>
          <cell r="Q615">
            <v>17.100000000000001</v>
          </cell>
          <cell r="S615">
            <v>17.73</v>
          </cell>
        </row>
        <row r="616">
          <cell r="A616" t="str">
            <v>2 S 04 900 05</v>
          </cell>
          <cell r="B616" t="str">
            <v>Sarjeta triangular de concreto - STC 05</v>
          </cell>
          <cell r="E616" t="str">
            <v>m</v>
          </cell>
          <cell r="G616">
            <v>26.9</v>
          </cell>
          <cell r="M616">
            <v>29.55</v>
          </cell>
          <cell r="O616">
            <v>30.24</v>
          </cell>
          <cell r="Q616">
            <v>29.23</v>
          </cell>
          <cell r="S616">
            <v>30.52</v>
          </cell>
        </row>
        <row r="617">
          <cell r="A617" t="str">
            <v>2 S 04 900 06</v>
          </cell>
          <cell r="B617" t="str">
            <v>Sarjeta triangular de concreto - STC 06</v>
          </cell>
          <cell r="E617" t="str">
            <v>m</v>
          </cell>
          <cell r="G617">
            <v>18.13</v>
          </cell>
          <cell r="M617">
            <v>19.98</v>
          </cell>
          <cell r="O617">
            <v>20.420000000000002</v>
          </cell>
          <cell r="Q617">
            <v>19.78</v>
          </cell>
          <cell r="S617">
            <v>20.6</v>
          </cell>
        </row>
        <row r="618">
          <cell r="A618" t="str">
            <v>2 S 04 900 07</v>
          </cell>
          <cell r="B618" t="str">
            <v>Sarjeta triangular de concreto - STC 07</v>
          </cell>
          <cell r="E618" t="str">
            <v>m</v>
          </cell>
          <cell r="G618">
            <v>15.65</v>
          </cell>
          <cell r="M618">
            <v>17.22</v>
          </cell>
          <cell r="O618">
            <v>17.61</v>
          </cell>
          <cell r="Q618">
            <v>17.059999999999999</v>
          </cell>
          <cell r="S618">
            <v>17.760000000000002</v>
          </cell>
        </row>
        <row r="619">
          <cell r="A619" t="str">
            <v>2 S 04 900 08</v>
          </cell>
          <cell r="B619" t="str">
            <v>Sarjeta triangular de concreto - STC 08</v>
          </cell>
          <cell r="E619" t="str">
            <v>m</v>
          </cell>
          <cell r="G619">
            <v>13.06</v>
          </cell>
          <cell r="M619">
            <v>14.38</v>
          </cell>
          <cell r="O619">
            <v>14.71</v>
          </cell>
          <cell r="Q619">
            <v>14.25</v>
          </cell>
          <cell r="S619">
            <v>14.83</v>
          </cell>
        </row>
        <row r="620">
          <cell r="A620" t="str">
            <v>2 S 04 900 21</v>
          </cell>
          <cell r="B620" t="str">
            <v>Sarjeta canteiro central concreto - SCC 01</v>
          </cell>
          <cell r="E620" t="str">
            <v>m</v>
          </cell>
          <cell r="G620">
            <v>19</v>
          </cell>
          <cell r="M620">
            <v>21.01</v>
          </cell>
          <cell r="O620">
            <v>21.45</v>
          </cell>
          <cell r="Q620">
            <v>20.77</v>
          </cell>
          <cell r="S620">
            <v>21.64</v>
          </cell>
        </row>
        <row r="621">
          <cell r="A621" t="str">
            <v>2 S 04 900 22</v>
          </cell>
          <cell r="B621" t="str">
            <v>Sarjeta canteiro central concreto - SCC 02</v>
          </cell>
          <cell r="E621" t="str">
            <v>m</v>
          </cell>
          <cell r="G621">
            <v>26.2</v>
          </cell>
          <cell r="M621">
            <v>29.11</v>
          </cell>
          <cell r="O621">
            <v>29.69</v>
          </cell>
          <cell r="Q621">
            <v>28.79</v>
          </cell>
          <cell r="S621">
            <v>29.95</v>
          </cell>
        </row>
        <row r="622">
          <cell r="A622" t="str">
            <v>2 S 04 900 31</v>
          </cell>
          <cell r="B622" t="str">
            <v>Sarjeta triangular de grama - STG 01</v>
          </cell>
          <cell r="E622" t="str">
            <v>m</v>
          </cell>
          <cell r="G622">
            <v>11.64</v>
          </cell>
          <cell r="M622">
            <v>13.82</v>
          </cell>
          <cell r="O622">
            <v>13.88</v>
          </cell>
          <cell r="Q622">
            <v>13.86</v>
          </cell>
          <cell r="S622">
            <v>13.86</v>
          </cell>
        </row>
        <row r="623">
          <cell r="A623" t="str">
            <v>2 S 04 900 32</v>
          </cell>
          <cell r="B623" t="str">
            <v>Sarjeta triangular de grama - STG 02</v>
          </cell>
          <cell r="E623" t="str">
            <v>m</v>
          </cell>
          <cell r="G623">
            <v>9.65</v>
          </cell>
          <cell r="M623">
            <v>11.45</v>
          </cell>
          <cell r="O623">
            <v>11.5</v>
          </cell>
          <cell r="Q623">
            <v>11.48</v>
          </cell>
          <cell r="S623">
            <v>11.48</v>
          </cell>
        </row>
        <row r="624">
          <cell r="A624" t="str">
            <v>2 S 04 900 33</v>
          </cell>
          <cell r="B624" t="str">
            <v>Sarjeta triangular de grama - STG 03</v>
          </cell>
          <cell r="E624" t="str">
            <v>m</v>
          </cell>
          <cell r="G624">
            <v>8.31</v>
          </cell>
          <cell r="M624">
            <v>9.85</v>
          </cell>
          <cell r="O624">
            <v>9.89</v>
          </cell>
          <cell r="Q624">
            <v>9.8800000000000008</v>
          </cell>
          <cell r="S624">
            <v>9.8800000000000008</v>
          </cell>
        </row>
        <row r="625">
          <cell r="A625" t="str">
            <v>2 S 04 900 34</v>
          </cell>
          <cell r="B625" t="str">
            <v>Sarjeta triangular de grama - STG 04</v>
          </cell>
          <cell r="E625" t="str">
            <v>m</v>
          </cell>
          <cell r="G625">
            <v>6.39</v>
          </cell>
          <cell r="M625">
            <v>7.55</v>
          </cell>
          <cell r="O625">
            <v>7.59</v>
          </cell>
          <cell r="Q625">
            <v>7.58</v>
          </cell>
          <cell r="S625">
            <v>7.58</v>
          </cell>
        </row>
        <row r="626">
          <cell r="A626" t="str">
            <v>2 S 04 900 41</v>
          </cell>
          <cell r="B626" t="str">
            <v>Sarjeta triangular não revestida - STT 01</v>
          </cell>
          <cell r="E626" t="str">
            <v>m</v>
          </cell>
          <cell r="G626">
            <v>6.45</v>
          </cell>
          <cell r="M626">
            <v>7.6</v>
          </cell>
          <cell r="O626">
            <v>7.66</v>
          </cell>
          <cell r="Q626">
            <v>7.64</v>
          </cell>
          <cell r="S626">
            <v>7.64</v>
          </cell>
        </row>
        <row r="627">
          <cell r="A627" t="str">
            <v>2 S 04 900 42</v>
          </cell>
          <cell r="B627" t="str">
            <v>Sarjeta triangular não revestida - STT 02</v>
          </cell>
          <cell r="E627" t="str">
            <v>m</v>
          </cell>
          <cell r="G627">
            <v>5.38</v>
          </cell>
          <cell r="M627">
            <v>6.35</v>
          </cell>
          <cell r="O627">
            <v>6.4</v>
          </cell>
          <cell r="Q627">
            <v>6.39</v>
          </cell>
          <cell r="S627">
            <v>6.39</v>
          </cell>
        </row>
        <row r="628">
          <cell r="A628" t="str">
            <v>2 S 04 900 43</v>
          </cell>
          <cell r="B628" t="str">
            <v>Sarjeta triangular não revestida - STT 03</v>
          </cell>
          <cell r="E628" t="str">
            <v>m</v>
          </cell>
          <cell r="G628">
            <v>4.58</v>
          </cell>
          <cell r="M628">
            <v>5.39</v>
          </cell>
          <cell r="O628">
            <v>5.44</v>
          </cell>
          <cell r="Q628">
            <v>5.42</v>
          </cell>
          <cell r="S628">
            <v>5.42</v>
          </cell>
        </row>
        <row r="629">
          <cell r="A629" t="str">
            <v>2 S 04 900 44</v>
          </cell>
          <cell r="B629" t="str">
            <v>Sarjeta triangular não revestida - STT 04</v>
          </cell>
          <cell r="E629" t="str">
            <v>m</v>
          </cell>
          <cell r="G629">
            <v>3.38</v>
          </cell>
          <cell r="M629">
            <v>3.94</v>
          </cell>
          <cell r="O629">
            <v>3.99</v>
          </cell>
          <cell r="Q629">
            <v>3.98</v>
          </cell>
          <cell r="S629">
            <v>3.98</v>
          </cell>
        </row>
        <row r="630">
          <cell r="A630" t="str">
            <v>2 S 04 901 01</v>
          </cell>
          <cell r="B630" t="str">
            <v>Sarjeta trapezoidal de concreto - SZC 01</v>
          </cell>
          <cell r="E630" t="str">
            <v>m</v>
          </cell>
          <cell r="G630">
            <v>26.16</v>
          </cell>
          <cell r="M630">
            <v>29.12</v>
          </cell>
          <cell r="O630">
            <v>29.78</v>
          </cell>
          <cell r="Q630">
            <v>29.04</v>
          </cell>
          <cell r="S630">
            <v>29.93</v>
          </cell>
        </row>
        <row r="631">
          <cell r="A631" t="str">
            <v>2 S 04 901 02</v>
          </cell>
          <cell r="B631" t="str">
            <v>Sarjeta trapezoidal de concreto - SZC 02</v>
          </cell>
          <cell r="E631" t="str">
            <v>m</v>
          </cell>
          <cell r="G631">
            <v>16.03</v>
          </cell>
          <cell r="M631">
            <v>17.89</v>
          </cell>
          <cell r="O631">
            <v>18.239999999999998</v>
          </cell>
          <cell r="Q631">
            <v>17.75</v>
          </cell>
          <cell r="S631">
            <v>18.37</v>
          </cell>
        </row>
        <row r="632">
          <cell r="A632" t="str">
            <v>2 S 04 901 21</v>
          </cell>
          <cell r="B632" t="str">
            <v>Sarjeta de canteiro central de concreto - SCC 03</v>
          </cell>
          <cell r="E632" t="str">
            <v>m</v>
          </cell>
          <cell r="G632">
            <v>21.05</v>
          </cell>
          <cell r="M632">
            <v>23.4</v>
          </cell>
          <cell r="O632">
            <v>23.88</v>
          </cell>
          <cell r="Q632">
            <v>23.17</v>
          </cell>
          <cell r="S632">
            <v>24.08</v>
          </cell>
        </row>
        <row r="633">
          <cell r="A633" t="str">
            <v>2 S 04 901 22</v>
          </cell>
          <cell r="B633" t="str">
            <v>Sarjeta de canteiro central de cocnreto - SCC 04</v>
          </cell>
          <cell r="E633" t="str">
            <v>m</v>
          </cell>
          <cell r="G633">
            <v>38.590000000000003</v>
          </cell>
          <cell r="M633">
            <v>42.83</v>
          </cell>
          <cell r="O633">
            <v>43.71</v>
          </cell>
          <cell r="Q633">
            <v>42.36</v>
          </cell>
          <cell r="S633">
            <v>44.09</v>
          </cell>
        </row>
        <row r="634">
          <cell r="A634" t="str">
            <v>2 S 04 901 31</v>
          </cell>
          <cell r="B634" t="str">
            <v>Sarjeta trapezoidal de grama - SZG 01</v>
          </cell>
          <cell r="E634" t="str">
            <v>m</v>
          </cell>
          <cell r="G634">
            <v>10.44</v>
          </cell>
          <cell r="M634">
            <v>12.41</v>
          </cell>
          <cell r="O634">
            <v>12.46</v>
          </cell>
          <cell r="Q634">
            <v>12.44</v>
          </cell>
          <cell r="S634">
            <v>12.44</v>
          </cell>
        </row>
        <row r="635">
          <cell r="A635" t="str">
            <v>2 S 04 901 32</v>
          </cell>
          <cell r="B635" t="str">
            <v>Sarjeta trapezoidal de grama - SZG 02</v>
          </cell>
          <cell r="E635" t="str">
            <v>m</v>
          </cell>
          <cell r="G635">
            <v>6.75</v>
          </cell>
          <cell r="M635">
            <v>7.99</v>
          </cell>
          <cell r="O635">
            <v>8.0299999999999994</v>
          </cell>
          <cell r="Q635">
            <v>8.02</v>
          </cell>
          <cell r="S635">
            <v>8.02</v>
          </cell>
        </row>
        <row r="636">
          <cell r="A636" t="str">
            <v>2 S 04 901 41</v>
          </cell>
          <cell r="B636" t="str">
            <v>Sarjeta trapezoidal não revestida - SZT 01</v>
          </cell>
          <cell r="E636" t="str">
            <v>m</v>
          </cell>
          <cell r="G636">
            <v>6.34</v>
          </cell>
          <cell r="M636">
            <v>7.5</v>
          </cell>
          <cell r="O636">
            <v>7.55</v>
          </cell>
          <cell r="Q636">
            <v>7.54</v>
          </cell>
          <cell r="S636">
            <v>7.54</v>
          </cell>
        </row>
        <row r="637">
          <cell r="A637" t="str">
            <v>2 S 04 901 42</v>
          </cell>
          <cell r="B637" t="str">
            <v>Sarjeta trapezoidal não revestida - SZT 02</v>
          </cell>
          <cell r="E637" t="str">
            <v>m</v>
          </cell>
          <cell r="G637">
            <v>3.93</v>
          </cell>
          <cell r="M637">
            <v>4.6100000000000003</v>
          </cell>
          <cell r="O637">
            <v>4.66</v>
          </cell>
          <cell r="Q637">
            <v>4.6500000000000004</v>
          </cell>
          <cell r="S637">
            <v>4.6500000000000004</v>
          </cell>
        </row>
        <row r="638">
          <cell r="A638" t="str">
            <v>2 S 04 910 01</v>
          </cell>
          <cell r="B638" t="str">
            <v>Meio fio de concreto - MFC 01</v>
          </cell>
          <cell r="E638" t="str">
            <v>m</v>
          </cell>
          <cell r="G638">
            <v>34.21</v>
          </cell>
          <cell r="M638">
            <v>37.880000000000003</v>
          </cell>
          <cell r="O638">
            <v>38.630000000000003</v>
          </cell>
          <cell r="Q638">
            <v>37.479999999999997</v>
          </cell>
          <cell r="S638">
            <v>39.04</v>
          </cell>
        </row>
        <row r="639">
          <cell r="A639" t="str">
            <v>2 S 04 910 02</v>
          </cell>
          <cell r="B639" t="str">
            <v>Meio fio de concreto - MFC 02</v>
          </cell>
          <cell r="E639" t="str">
            <v>m</v>
          </cell>
          <cell r="G639">
            <v>27.19</v>
          </cell>
          <cell r="M639">
            <v>30.16</v>
          </cell>
          <cell r="O639">
            <v>30.75</v>
          </cell>
          <cell r="Q639">
            <v>29.84</v>
          </cell>
          <cell r="S639">
            <v>31.09</v>
          </cell>
        </row>
        <row r="640">
          <cell r="A640" t="str">
            <v>2 S 04 910 03</v>
          </cell>
          <cell r="B640" t="str">
            <v>Meio fio de concreto - MFC 03</v>
          </cell>
          <cell r="E640" t="str">
            <v>m</v>
          </cell>
          <cell r="G640">
            <v>15.95</v>
          </cell>
          <cell r="M640">
            <v>17.72</v>
          </cell>
          <cell r="O640">
            <v>18.04</v>
          </cell>
          <cell r="Q640">
            <v>17.55</v>
          </cell>
          <cell r="S640">
            <v>18.23</v>
          </cell>
        </row>
        <row r="641">
          <cell r="A641" t="str">
            <v>2 S 04 910 04</v>
          </cell>
          <cell r="B641" t="str">
            <v>Meio fio de concreto - MFC 04</v>
          </cell>
          <cell r="E641" t="str">
            <v>m</v>
          </cell>
          <cell r="G641">
            <v>11.19</v>
          </cell>
          <cell r="M641">
            <v>12.46</v>
          </cell>
          <cell r="O641">
            <v>12.69</v>
          </cell>
          <cell r="Q641">
            <v>12.35</v>
          </cell>
          <cell r="S641">
            <v>12.83</v>
          </cell>
        </row>
        <row r="642">
          <cell r="A642" t="str">
            <v>2 S 04 910 05</v>
          </cell>
          <cell r="B642" t="str">
            <v>Meio fio de concreto - MFC 05</v>
          </cell>
          <cell r="E642" t="str">
            <v>m</v>
          </cell>
          <cell r="G642">
            <v>15.64</v>
          </cell>
          <cell r="M642">
            <v>17.420000000000002</v>
          </cell>
          <cell r="O642">
            <v>17.72</v>
          </cell>
          <cell r="Q642">
            <v>17.27</v>
          </cell>
          <cell r="S642">
            <v>17.89</v>
          </cell>
        </row>
        <row r="643">
          <cell r="A643" t="str">
            <v>2 S 04 910 06</v>
          </cell>
          <cell r="B643" t="str">
            <v>Meio fio de concreto - MFC 06</v>
          </cell>
          <cell r="E643" t="str">
            <v>m</v>
          </cell>
          <cell r="G643">
            <v>9.75</v>
          </cell>
          <cell r="M643">
            <v>10.89</v>
          </cell>
          <cell r="O643">
            <v>11.07</v>
          </cell>
          <cell r="Q643">
            <v>10.8</v>
          </cell>
          <cell r="S643">
            <v>11.18</v>
          </cell>
        </row>
        <row r="644">
          <cell r="A644" t="str">
            <v>2 S 04 910 07</v>
          </cell>
          <cell r="B644" t="str">
            <v>Meio fio de concreto - MFC 07</v>
          </cell>
          <cell r="E644" t="str">
            <v>m</v>
          </cell>
          <cell r="G644">
            <v>15.4</v>
          </cell>
          <cell r="M644">
            <v>17.12</v>
          </cell>
          <cell r="O644">
            <v>17.420000000000002</v>
          </cell>
          <cell r="Q644">
            <v>16.96</v>
          </cell>
          <cell r="S644">
            <v>17.600000000000001</v>
          </cell>
        </row>
        <row r="645">
          <cell r="A645" t="str">
            <v>2 S 04 910 08</v>
          </cell>
          <cell r="B645" t="str">
            <v>Meio fio de concreto - MFC 08</v>
          </cell>
          <cell r="E645" t="str">
            <v>m</v>
          </cell>
          <cell r="G645">
            <v>25.94</v>
          </cell>
          <cell r="M645">
            <v>28.71</v>
          </cell>
          <cell r="O645">
            <v>29.27</v>
          </cell>
          <cell r="Q645">
            <v>28.4</v>
          </cell>
          <cell r="S645">
            <v>29.57</v>
          </cell>
        </row>
        <row r="646">
          <cell r="A646" t="str">
            <v>2 S 04 930 01</v>
          </cell>
          <cell r="B646" t="str">
            <v>Caixa coletora de sarjeta - CCS 01</v>
          </cell>
          <cell r="E646" t="str">
            <v>und</v>
          </cell>
          <cell r="G646">
            <v>806.61</v>
          </cell>
          <cell r="M646">
            <v>897.18</v>
          </cell>
          <cell r="O646">
            <v>909.9</v>
          </cell>
          <cell r="Q646">
            <v>891.81</v>
          </cell>
          <cell r="S646">
            <v>917.04</v>
          </cell>
        </row>
        <row r="647">
          <cell r="A647" t="str">
            <v>2 S 04 930 02</v>
          </cell>
          <cell r="B647" t="str">
            <v>Caixa coletora de sarjeta - CCS 02</v>
          </cell>
          <cell r="E647" t="str">
            <v>und</v>
          </cell>
          <cell r="G647">
            <v>785.39</v>
          </cell>
          <cell r="M647">
            <v>873.99</v>
          </cell>
          <cell r="O647">
            <v>886.15</v>
          </cell>
          <cell r="Q647">
            <v>868.96</v>
          </cell>
          <cell r="S647">
            <v>893.02</v>
          </cell>
        </row>
        <row r="648">
          <cell r="A648" t="str">
            <v>2 S 04 930 03</v>
          </cell>
          <cell r="B648" t="str">
            <v>Caixa coletora de sarjeta - CCS 03</v>
          </cell>
          <cell r="E648" t="str">
            <v>und</v>
          </cell>
          <cell r="G648">
            <v>764.18</v>
          </cell>
          <cell r="M648">
            <v>850.8</v>
          </cell>
          <cell r="O648">
            <v>862.39</v>
          </cell>
          <cell r="Q648">
            <v>846.11</v>
          </cell>
          <cell r="S648">
            <v>869</v>
          </cell>
        </row>
        <row r="649">
          <cell r="A649" t="str">
            <v>2 S 04 930 04</v>
          </cell>
          <cell r="B649" t="str">
            <v>Caixa coletora de sarjeta - CCS 04</v>
          </cell>
          <cell r="E649" t="str">
            <v>und</v>
          </cell>
          <cell r="G649">
            <v>742.06</v>
          </cell>
          <cell r="M649">
            <v>826.53</v>
          </cell>
          <cell r="O649">
            <v>837.56</v>
          </cell>
          <cell r="Q649">
            <v>822.17</v>
          </cell>
          <cell r="S649">
            <v>843.91</v>
          </cell>
        </row>
        <row r="650">
          <cell r="A650" t="str">
            <v>2 S 04 930 05</v>
          </cell>
          <cell r="B650" t="str">
            <v>Caixa coletora de sarjeta - CCS 05</v>
          </cell>
          <cell r="E650" t="str">
            <v>und</v>
          </cell>
          <cell r="G650">
            <v>1013.22</v>
          </cell>
          <cell r="M650">
            <v>1127.2</v>
          </cell>
          <cell r="O650">
            <v>1143.0899999999999</v>
          </cell>
          <cell r="Q650">
            <v>1120.5</v>
          </cell>
          <cell r="S650">
            <v>1152.03</v>
          </cell>
        </row>
        <row r="651">
          <cell r="A651" t="str">
            <v>2 S 04 930 06</v>
          </cell>
          <cell r="B651" t="str">
            <v>Caixa coletora de sarjeta - CCS 06</v>
          </cell>
          <cell r="E651" t="str">
            <v>und</v>
          </cell>
          <cell r="G651">
            <v>991.1</v>
          </cell>
          <cell r="M651">
            <v>1102.93</v>
          </cell>
          <cell r="O651">
            <v>1118.26</v>
          </cell>
          <cell r="Q651">
            <v>1096.57</v>
          </cell>
          <cell r="S651">
            <v>1126.93</v>
          </cell>
        </row>
        <row r="652">
          <cell r="A652" t="str">
            <v>2 S 04 930 07</v>
          </cell>
          <cell r="B652" t="str">
            <v>Caixa coletora de sarjeta - CCS 07</v>
          </cell>
          <cell r="E652" t="str">
            <v>und</v>
          </cell>
          <cell r="G652">
            <v>968.98</v>
          </cell>
          <cell r="M652">
            <v>1078.6500000000001</v>
          </cell>
          <cell r="O652">
            <v>1093.43</v>
          </cell>
          <cell r="Q652">
            <v>1072.6400000000001</v>
          </cell>
          <cell r="S652">
            <v>1101.8399999999999</v>
          </cell>
        </row>
        <row r="653">
          <cell r="A653" t="str">
            <v>2 S 04 930 08</v>
          </cell>
          <cell r="B653" t="str">
            <v>Caixa coletora de sarjeta - CCS 08</v>
          </cell>
          <cell r="E653" t="str">
            <v>und</v>
          </cell>
          <cell r="G653">
            <v>947.77</v>
          </cell>
          <cell r="M653">
            <v>1055.46</v>
          </cell>
          <cell r="O653">
            <v>1069.67</v>
          </cell>
          <cell r="Q653">
            <v>1049.78</v>
          </cell>
          <cell r="S653">
            <v>1077.82</v>
          </cell>
        </row>
        <row r="654">
          <cell r="A654" t="str">
            <v>2 S 04 930 09</v>
          </cell>
          <cell r="B654" t="str">
            <v>Caixa coletora de sarjeta - CCS 09</v>
          </cell>
          <cell r="E654" t="str">
            <v>und</v>
          </cell>
          <cell r="G654">
            <v>1218.93</v>
          </cell>
          <cell r="M654">
            <v>1356.13</v>
          </cell>
          <cell r="O654">
            <v>1375.21</v>
          </cell>
          <cell r="Q654">
            <v>1348.12</v>
          </cell>
          <cell r="S654">
            <v>1385.95</v>
          </cell>
        </row>
        <row r="655">
          <cell r="A655" t="str">
            <v>2 S 04 930 10</v>
          </cell>
          <cell r="B655" t="str">
            <v>Caixa coletora de sarjeta - CCS 10</v>
          </cell>
          <cell r="E655" t="str">
            <v>und</v>
          </cell>
          <cell r="G655">
            <v>1196.81</v>
          </cell>
          <cell r="M655">
            <v>1331.86</v>
          </cell>
          <cell r="O655">
            <v>1350.38</v>
          </cell>
          <cell r="Q655">
            <v>1324.18</v>
          </cell>
          <cell r="S655">
            <v>1360.85</v>
          </cell>
        </row>
        <row r="656">
          <cell r="A656" t="str">
            <v>2 S 04 930 11</v>
          </cell>
          <cell r="B656" t="str">
            <v>Caixa coletora de sarjeta - CCS 11</v>
          </cell>
          <cell r="E656" t="str">
            <v>und</v>
          </cell>
          <cell r="G656">
            <v>1174.69</v>
          </cell>
          <cell r="M656">
            <v>1307.5899999999999</v>
          </cell>
          <cell r="O656">
            <v>1325.54</v>
          </cell>
          <cell r="Q656">
            <v>1300.25</v>
          </cell>
          <cell r="S656">
            <v>1335.75</v>
          </cell>
        </row>
        <row r="657">
          <cell r="A657" t="str">
            <v>2 S 04 930 12</v>
          </cell>
          <cell r="B657" t="str">
            <v>Caixa coletora de sarjeta - CCS 12</v>
          </cell>
          <cell r="E657" t="str">
            <v>und</v>
          </cell>
          <cell r="G657">
            <v>1152.58</v>
          </cell>
          <cell r="M657">
            <v>1283.32</v>
          </cell>
          <cell r="O657">
            <v>1300.71</v>
          </cell>
          <cell r="Q657">
            <v>1276.32</v>
          </cell>
          <cell r="S657">
            <v>1310.6500000000001</v>
          </cell>
        </row>
        <row r="658">
          <cell r="A658" t="str">
            <v>2 S 04 930 13</v>
          </cell>
          <cell r="B658" t="str">
            <v>Caixa coletora de sarjeta - CCS 13</v>
          </cell>
          <cell r="E658" t="str">
            <v>und</v>
          </cell>
          <cell r="G658">
            <v>1420.13</v>
          </cell>
          <cell r="M658">
            <v>1579.66</v>
          </cell>
          <cell r="O658">
            <v>1601.92</v>
          </cell>
          <cell r="Q658">
            <v>1570.32</v>
          </cell>
          <cell r="S658">
            <v>1614.46</v>
          </cell>
        </row>
        <row r="659">
          <cell r="A659" t="str">
            <v>2 S 04 930 14</v>
          </cell>
          <cell r="B659" t="str">
            <v>Caixa coletora de sarjeta - CCS14</v>
          </cell>
          <cell r="E659" t="str">
            <v>und</v>
          </cell>
          <cell r="G659">
            <v>1398.01</v>
          </cell>
          <cell r="M659">
            <v>1555.39</v>
          </cell>
          <cell r="O659">
            <v>1577.09</v>
          </cell>
          <cell r="Q659">
            <v>1546.39</v>
          </cell>
          <cell r="S659">
            <v>1589.36</v>
          </cell>
        </row>
        <row r="660">
          <cell r="A660" t="str">
            <v>2 S 04 930 15</v>
          </cell>
          <cell r="B660" t="str">
            <v>Caixa coletora de sarjeta - CCS 15</v>
          </cell>
          <cell r="E660" t="str">
            <v>und</v>
          </cell>
          <cell r="G660">
            <v>1375.9</v>
          </cell>
          <cell r="M660">
            <v>1531.12</v>
          </cell>
          <cell r="O660">
            <v>1552.25</v>
          </cell>
          <cell r="Q660">
            <v>1522.46</v>
          </cell>
          <cell r="S660">
            <v>1564.26</v>
          </cell>
        </row>
        <row r="661">
          <cell r="A661" t="str">
            <v>2 S 04 930 16</v>
          </cell>
          <cell r="B661" t="str">
            <v>Caixa coletora de sarjeta - CCS 16</v>
          </cell>
          <cell r="E661" t="str">
            <v>und</v>
          </cell>
          <cell r="G661">
            <v>1353.78</v>
          </cell>
          <cell r="M661">
            <v>1506.84</v>
          </cell>
          <cell r="O661">
            <v>1527.42</v>
          </cell>
          <cell r="Q661">
            <v>1498.52</v>
          </cell>
          <cell r="S661">
            <v>1539.16</v>
          </cell>
        </row>
        <row r="662">
          <cell r="A662" t="str">
            <v>2 S 04 930 17</v>
          </cell>
          <cell r="B662" t="str">
            <v>Caixa coletora de sarjeta - CCS 17</v>
          </cell>
          <cell r="E662" t="str">
            <v>und</v>
          </cell>
          <cell r="G662">
            <v>1625.84</v>
          </cell>
          <cell r="M662">
            <v>1808.59</v>
          </cell>
          <cell r="O662">
            <v>1834.04</v>
          </cell>
          <cell r="Q662">
            <v>1797.94</v>
          </cell>
          <cell r="S662">
            <v>1848.37</v>
          </cell>
        </row>
        <row r="663">
          <cell r="A663" t="str">
            <v>2 S 04 930 18</v>
          </cell>
          <cell r="B663" t="str">
            <v>Caixa coletora de sarjeta - CCS 18</v>
          </cell>
          <cell r="E663" t="str">
            <v>und</v>
          </cell>
          <cell r="G663">
            <v>1603.72</v>
          </cell>
          <cell r="M663">
            <v>1784.32</v>
          </cell>
          <cell r="O663">
            <v>1809.2</v>
          </cell>
          <cell r="Q663">
            <v>1774</v>
          </cell>
          <cell r="S663">
            <v>1823.27</v>
          </cell>
        </row>
        <row r="664">
          <cell r="A664" t="str">
            <v>2 S 04 930 19</v>
          </cell>
          <cell r="B664" t="str">
            <v>Caixa coletora de sarjeta - CCS 19</v>
          </cell>
          <cell r="E664" t="str">
            <v>und</v>
          </cell>
          <cell r="G664">
            <v>1581.61</v>
          </cell>
          <cell r="M664">
            <v>1760.05</v>
          </cell>
          <cell r="O664">
            <v>1784.37</v>
          </cell>
          <cell r="Q664">
            <v>1750.07</v>
          </cell>
          <cell r="S664">
            <v>1798.18</v>
          </cell>
        </row>
        <row r="665">
          <cell r="A665" t="str">
            <v>2 S 04 930 20</v>
          </cell>
          <cell r="B665" t="str">
            <v>Caixa coletora de sarjeta - CCS 20</v>
          </cell>
          <cell r="E665" t="str">
            <v>und</v>
          </cell>
          <cell r="G665">
            <v>1559.49</v>
          </cell>
          <cell r="M665">
            <v>1735.78</v>
          </cell>
          <cell r="O665">
            <v>1759.53</v>
          </cell>
          <cell r="Q665">
            <v>1726.14</v>
          </cell>
          <cell r="S665">
            <v>1773.08</v>
          </cell>
        </row>
        <row r="666">
          <cell r="A666" t="str">
            <v>2 S 04 931 01</v>
          </cell>
          <cell r="B666" t="str">
            <v>Caixa coletora de talvegue - CCT 01</v>
          </cell>
          <cell r="E666" t="str">
            <v>und</v>
          </cell>
          <cell r="G666">
            <v>821.14</v>
          </cell>
          <cell r="M666">
            <v>913.26</v>
          </cell>
          <cell r="O666">
            <v>926.31</v>
          </cell>
          <cell r="Q666">
            <v>907.68</v>
          </cell>
          <cell r="S666">
            <v>933.61</v>
          </cell>
        </row>
        <row r="667">
          <cell r="A667" t="str">
            <v>2 S 04 931 02</v>
          </cell>
          <cell r="B667" t="str">
            <v>Caixa coletora de talvegue - CCT 02</v>
          </cell>
          <cell r="E667" t="str">
            <v>und</v>
          </cell>
          <cell r="G667">
            <v>799.02</v>
          </cell>
          <cell r="M667">
            <v>888.99</v>
          </cell>
          <cell r="O667">
            <v>901.48</v>
          </cell>
          <cell r="Q667">
            <v>883.75</v>
          </cell>
          <cell r="S667">
            <v>908.51</v>
          </cell>
        </row>
        <row r="668">
          <cell r="A668" t="str">
            <v>2 S 04 931 03</v>
          </cell>
          <cell r="B668" t="str">
            <v>Caixa coletora de talvegue - CCT 03</v>
          </cell>
          <cell r="E668" t="str">
            <v>und</v>
          </cell>
          <cell r="G668">
            <v>779.03</v>
          </cell>
          <cell r="M668">
            <v>867.04</v>
          </cell>
          <cell r="O668">
            <v>879.02</v>
          </cell>
          <cell r="Q668">
            <v>862.1</v>
          </cell>
          <cell r="S668">
            <v>885.82</v>
          </cell>
        </row>
        <row r="669">
          <cell r="A669" t="str">
            <v>2 S 04 931 04</v>
          </cell>
          <cell r="B669" t="str">
            <v>Caixa coletora de talvegue - CCT 04</v>
          </cell>
          <cell r="E669" t="str">
            <v>und</v>
          </cell>
          <cell r="G669">
            <v>754.79</v>
          </cell>
          <cell r="M669">
            <v>840.45</v>
          </cell>
          <cell r="O669">
            <v>851.81</v>
          </cell>
          <cell r="Q669">
            <v>835.88</v>
          </cell>
          <cell r="S669">
            <v>858.32</v>
          </cell>
        </row>
        <row r="670">
          <cell r="A670" t="str">
            <v>2 S 04 931 05</v>
          </cell>
          <cell r="B670" t="str">
            <v>Caixa coletora de talvegue - CCT 05</v>
          </cell>
          <cell r="E670" t="str">
            <v>und</v>
          </cell>
          <cell r="G670">
            <v>1025.95</v>
          </cell>
          <cell r="M670">
            <v>1141.1099999999999</v>
          </cell>
          <cell r="O670">
            <v>1157.3499999999999</v>
          </cell>
          <cell r="Q670">
            <v>1134.21</v>
          </cell>
          <cell r="S670">
            <v>1166.44</v>
          </cell>
        </row>
        <row r="671">
          <cell r="A671" t="str">
            <v>2 S 04 931 06</v>
          </cell>
          <cell r="B671" t="str">
            <v>Caixa coletora de talvegue - CCT 06</v>
          </cell>
          <cell r="E671" t="str">
            <v>und</v>
          </cell>
          <cell r="G671">
            <v>1004.73</v>
          </cell>
          <cell r="M671">
            <v>1117.92</v>
          </cell>
          <cell r="O671">
            <v>1133.5899999999999</v>
          </cell>
          <cell r="Q671">
            <v>1111.3599999999999</v>
          </cell>
          <cell r="S671">
            <v>1142.43</v>
          </cell>
        </row>
        <row r="672">
          <cell r="A672" t="str">
            <v>2 S 04 931 07</v>
          </cell>
          <cell r="B672" t="str">
            <v>Caixa coletora de talvegue - CCT 07</v>
          </cell>
          <cell r="E672" t="str">
            <v>und</v>
          </cell>
          <cell r="G672">
            <v>984.74</v>
          </cell>
          <cell r="M672">
            <v>1095.97</v>
          </cell>
          <cell r="O672">
            <v>1111.1400000000001</v>
          </cell>
          <cell r="Q672">
            <v>1089.71</v>
          </cell>
          <cell r="S672">
            <v>1119.73</v>
          </cell>
        </row>
        <row r="673">
          <cell r="A673" t="str">
            <v>2 S 04 931 08</v>
          </cell>
          <cell r="B673" t="str">
            <v>Caixa coletora de talvegue - CCT 08</v>
          </cell>
          <cell r="E673" t="str">
            <v>und</v>
          </cell>
          <cell r="G673">
            <v>1048.06</v>
          </cell>
          <cell r="M673">
            <v>1165.3800000000001</v>
          </cell>
          <cell r="O673">
            <v>1182.18</v>
          </cell>
          <cell r="Q673">
            <v>1158.1500000000001</v>
          </cell>
          <cell r="S673">
            <v>1191.54</v>
          </cell>
        </row>
        <row r="674">
          <cell r="A674" t="str">
            <v>2 S 04 931 09</v>
          </cell>
          <cell r="B674" t="str">
            <v>Caixa coletora de talvegue - CCT 09</v>
          </cell>
          <cell r="E674" t="str">
            <v>und</v>
          </cell>
          <cell r="G674">
            <v>1231.6500000000001</v>
          </cell>
          <cell r="M674">
            <v>1370.04</v>
          </cell>
          <cell r="O674">
            <v>1389.46</v>
          </cell>
          <cell r="Q674">
            <v>1361.83</v>
          </cell>
          <cell r="S674">
            <v>1400.36</v>
          </cell>
        </row>
        <row r="675">
          <cell r="A675" t="str">
            <v>2 S 04 931 10</v>
          </cell>
          <cell r="B675" t="str">
            <v>Caixa coletora de talvegue - CCT 10</v>
          </cell>
          <cell r="E675" t="str">
            <v>und</v>
          </cell>
          <cell r="G675">
            <v>1210.44</v>
          </cell>
          <cell r="M675">
            <v>1346.85</v>
          </cell>
          <cell r="O675">
            <v>1365.71</v>
          </cell>
          <cell r="Q675">
            <v>1338.97</v>
          </cell>
          <cell r="S675">
            <v>1376.34</v>
          </cell>
        </row>
        <row r="676">
          <cell r="A676" t="str">
            <v>2 S 04 931 11</v>
          </cell>
          <cell r="B676" t="str">
            <v>Caixa coletora de talvegue - CCT 11</v>
          </cell>
          <cell r="E676" t="str">
            <v>und</v>
          </cell>
          <cell r="G676">
            <v>1190.45</v>
          </cell>
          <cell r="M676">
            <v>1324.9</v>
          </cell>
          <cell r="O676">
            <v>1343.25</v>
          </cell>
          <cell r="Q676">
            <v>1317.33</v>
          </cell>
          <cell r="S676">
            <v>1353.64</v>
          </cell>
        </row>
        <row r="677">
          <cell r="A677" t="str">
            <v>2 S 04 931 12</v>
          </cell>
          <cell r="B677" t="str">
            <v>Caixa coletora de talvegue - CCT 12</v>
          </cell>
          <cell r="E677" t="str">
            <v>und</v>
          </cell>
          <cell r="G677">
            <v>1166.21</v>
          </cell>
          <cell r="M677">
            <v>1298.31</v>
          </cell>
          <cell r="O677">
            <v>1316.04</v>
          </cell>
          <cell r="Q677">
            <v>1291.1099999999999</v>
          </cell>
          <cell r="S677">
            <v>1326.15</v>
          </cell>
        </row>
        <row r="678">
          <cell r="A678" t="str">
            <v>2 S 04 931 13</v>
          </cell>
          <cell r="B678" t="str">
            <v>Caixa coletora de talvegue - CCT 13</v>
          </cell>
          <cell r="E678" t="str">
            <v>und</v>
          </cell>
          <cell r="G678">
            <v>1432.86</v>
          </cell>
          <cell r="M678">
            <v>1593.57</v>
          </cell>
          <cell r="O678">
            <v>1616.17</v>
          </cell>
          <cell r="Q678">
            <v>1584.03</v>
          </cell>
          <cell r="S678">
            <v>1628.87</v>
          </cell>
        </row>
        <row r="679">
          <cell r="A679" t="str">
            <v>2 S 04 931 14</v>
          </cell>
          <cell r="B679" t="str">
            <v>Caixa coletora de talvegue - CCT 14</v>
          </cell>
          <cell r="E679" t="str">
            <v>und</v>
          </cell>
          <cell r="G679">
            <v>1410.74</v>
          </cell>
          <cell r="M679">
            <v>1569.3</v>
          </cell>
          <cell r="O679">
            <v>1591.34</v>
          </cell>
          <cell r="Q679">
            <v>1560.1</v>
          </cell>
          <cell r="S679">
            <v>1603.77</v>
          </cell>
        </row>
        <row r="680">
          <cell r="A680" t="str">
            <v>2 S 04 931 15</v>
          </cell>
          <cell r="B680" t="str">
            <v>Caixa coletora de talvegue - CCT 15</v>
          </cell>
          <cell r="E680" t="str">
            <v>und</v>
          </cell>
          <cell r="G680">
            <v>1391.65</v>
          </cell>
          <cell r="M680">
            <v>1548.43</v>
          </cell>
          <cell r="O680">
            <v>1569.96</v>
          </cell>
          <cell r="Q680">
            <v>1539.53</v>
          </cell>
          <cell r="S680">
            <v>1582.15</v>
          </cell>
        </row>
        <row r="681">
          <cell r="A681" t="str">
            <v>2 S 04 931 16</v>
          </cell>
          <cell r="B681" t="str">
            <v>Caixa coletora de talvegue - CCT 16</v>
          </cell>
          <cell r="E681" t="str">
            <v>und</v>
          </cell>
          <cell r="G681">
            <v>1367.41</v>
          </cell>
          <cell r="M681">
            <v>1521.84</v>
          </cell>
          <cell r="O681">
            <v>1542.75</v>
          </cell>
          <cell r="Q681">
            <v>1513.32</v>
          </cell>
          <cell r="S681">
            <v>1554.66</v>
          </cell>
        </row>
        <row r="682">
          <cell r="A682" t="str">
            <v>2 S 04 931 17</v>
          </cell>
          <cell r="B682" t="str">
            <v>Caixa coletora de talvegue - CCT 17</v>
          </cell>
          <cell r="E682" t="str">
            <v>und</v>
          </cell>
          <cell r="G682">
            <v>1638.57</v>
          </cell>
          <cell r="M682">
            <v>1822.51</v>
          </cell>
          <cell r="O682">
            <v>1848.29</v>
          </cell>
          <cell r="Q682">
            <v>1811.65</v>
          </cell>
          <cell r="S682">
            <v>1862.78</v>
          </cell>
        </row>
        <row r="683">
          <cell r="A683" t="str">
            <v>2 S 04 931 18</v>
          </cell>
          <cell r="B683" t="str">
            <v>Caixa coletora de talvegue - CCT 18</v>
          </cell>
          <cell r="E683" t="str">
            <v>und</v>
          </cell>
          <cell r="G683">
            <v>1616.45</v>
          </cell>
          <cell r="M683">
            <v>1798.23</v>
          </cell>
          <cell r="O683">
            <v>1823.45</v>
          </cell>
          <cell r="Q683">
            <v>1787.71</v>
          </cell>
          <cell r="S683">
            <v>1837.68</v>
          </cell>
        </row>
        <row r="684">
          <cell r="A684" t="str">
            <v>2 S 04 931 19</v>
          </cell>
          <cell r="B684" t="str">
            <v>Caixa coletora de talvegue - CCT 19</v>
          </cell>
          <cell r="E684" t="str">
            <v>und</v>
          </cell>
          <cell r="G684">
            <v>1597.36</v>
          </cell>
          <cell r="M684">
            <v>1777.36</v>
          </cell>
          <cell r="O684">
            <v>1802.08</v>
          </cell>
          <cell r="Q684">
            <v>1767.15</v>
          </cell>
          <cell r="S684">
            <v>1816.07</v>
          </cell>
        </row>
        <row r="685">
          <cell r="A685" t="str">
            <v>2 S 04 931 20</v>
          </cell>
          <cell r="B685" t="str">
            <v>Caixa coletora de talvegue - CCT 20</v>
          </cell>
          <cell r="E685" t="str">
            <v>und</v>
          </cell>
          <cell r="G685">
            <v>1573.12</v>
          </cell>
          <cell r="M685">
            <v>1750.77</v>
          </cell>
          <cell r="O685">
            <v>1774.87</v>
          </cell>
          <cell r="Q685">
            <v>1740.93</v>
          </cell>
          <cell r="S685">
            <v>1788.57</v>
          </cell>
        </row>
        <row r="686">
          <cell r="A686" t="str">
            <v>2 S 04 940 01</v>
          </cell>
          <cell r="B686" t="str">
            <v>Descida d'água tipo rap. - calha concr. - DAR 01</v>
          </cell>
          <cell r="E686" t="str">
            <v>m</v>
          </cell>
          <cell r="G686">
            <v>89.54</v>
          </cell>
          <cell r="M686">
            <v>97.74</v>
          </cell>
          <cell r="O686">
            <v>98.8</v>
          </cell>
          <cell r="Q686">
            <v>97.11</v>
          </cell>
          <cell r="S686">
            <v>99.3</v>
          </cell>
        </row>
        <row r="687">
          <cell r="A687" t="str">
            <v>2 S 04 940 02</v>
          </cell>
          <cell r="B687" t="str">
            <v>Descida d'água tipo rap. - canal retang.- DAR 02</v>
          </cell>
          <cell r="E687" t="str">
            <v>m</v>
          </cell>
          <cell r="G687">
            <v>44.36</v>
          </cell>
          <cell r="M687">
            <v>49.51</v>
          </cell>
          <cell r="O687">
            <v>50.34</v>
          </cell>
          <cell r="Q687">
            <v>49.03</v>
          </cell>
          <cell r="S687">
            <v>50.74</v>
          </cell>
        </row>
        <row r="688">
          <cell r="A688" t="str">
            <v>2 S 04 940 03</v>
          </cell>
          <cell r="B688" t="str">
            <v>Descida d'água tipo rap. - canal retang.- DAR 03</v>
          </cell>
          <cell r="E688" t="str">
            <v>m</v>
          </cell>
          <cell r="G688">
            <v>64.510000000000005</v>
          </cell>
          <cell r="M688">
            <v>72.08</v>
          </cell>
          <cell r="O688">
            <v>73.92</v>
          </cell>
          <cell r="Q688">
            <v>72.61</v>
          </cell>
          <cell r="S688">
            <v>74.319999999999993</v>
          </cell>
        </row>
        <row r="689">
          <cell r="A689" t="str">
            <v>2 S 04 940 04</v>
          </cell>
          <cell r="B689" t="str">
            <v>Descida d'água tipo rap. - calha metálica - DAR</v>
          </cell>
          <cell r="E689" t="str">
            <v>m</v>
          </cell>
          <cell r="G689">
            <v>99.1</v>
          </cell>
          <cell r="M689">
            <v>119.12</v>
          </cell>
          <cell r="O689">
            <v>131.97999999999999</v>
          </cell>
          <cell r="Q689">
            <v>132.58000000000001</v>
          </cell>
          <cell r="S689">
            <v>132.83000000000001</v>
          </cell>
        </row>
        <row r="690">
          <cell r="A690" t="str">
            <v>2 S 04 941 01</v>
          </cell>
          <cell r="B690" t="str">
            <v>Descida d'água aterros em degraus - DAD 01</v>
          </cell>
          <cell r="E690" t="str">
            <v>m</v>
          </cell>
          <cell r="G690">
            <v>59.41</v>
          </cell>
          <cell r="M690">
            <v>66.69</v>
          </cell>
          <cell r="O690">
            <v>67.7</v>
          </cell>
          <cell r="Q690">
            <v>66.11</v>
          </cell>
          <cell r="S690">
            <v>68.19</v>
          </cell>
        </row>
        <row r="691">
          <cell r="A691" t="str">
            <v>2 S 04 941 02</v>
          </cell>
          <cell r="B691" t="str">
            <v>Descida d'água aterros em degraus - arm - DAD</v>
          </cell>
          <cell r="E691" t="str">
            <v>m</v>
          </cell>
          <cell r="G691">
            <v>84.63</v>
          </cell>
          <cell r="M691">
            <v>94.91</v>
          </cell>
          <cell r="O691">
            <v>97.2</v>
          </cell>
          <cell r="Q691">
            <v>95.62</v>
          </cell>
          <cell r="S691">
            <v>97.69</v>
          </cell>
        </row>
        <row r="692">
          <cell r="A692" t="str">
            <v>2 S 04 941 03</v>
          </cell>
          <cell r="B692" t="str">
            <v>Descida d'água aterros em degraus - DAD 03</v>
          </cell>
          <cell r="E692" t="str">
            <v>m</v>
          </cell>
          <cell r="G692">
            <v>155.47</v>
          </cell>
          <cell r="M692">
            <v>174.49</v>
          </cell>
          <cell r="O692">
            <v>177.28</v>
          </cell>
          <cell r="Q692">
            <v>172.86</v>
          </cell>
          <cell r="S692">
            <v>178.62</v>
          </cell>
        </row>
        <row r="693">
          <cell r="A693" t="str">
            <v>2 S 04 941 04</v>
          </cell>
          <cell r="B693" t="str">
            <v>Descida d'água aterros em degraus - arm - DAD</v>
          </cell>
          <cell r="E693" t="str">
            <v>m</v>
          </cell>
          <cell r="G693">
            <v>197.66</v>
          </cell>
          <cell r="M693">
            <v>220.43</v>
          </cell>
          <cell r="O693">
            <v>226.16</v>
          </cell>
          <cell r="Q693">
            <v>221.75</v>
          </cell>
          <cell r="S693">
            <v>227.5</v>
          </cell>
        </row>
        <row r="694">
          <cell r="A694" t="str">
            <v>2 S 04 941 05</v>
          </cell>
          <cell r="B694" t="str">
            <v>Descida d'água aterros em degraus - DAD 05</v>
          </cell>
          <cell r="E694" t="str">
            <v>m</v>
          </cell>
          <cell r="G694">
            <v>187.9</v>
          </cell>
          <cell r="M694">
            <v>211.03</v>
          </cell>
          <cell r="O694">
            <v>214.38</v>
          </cell>
          <cell r="Q694">
            <v>209.08</v>
          </cell>
          <cell r="S694">
            <v>215.98</v>
          </cell>
        </row>
        <row r="695">
          <cell r="A695" t="str">
            <v>2 S 04 941 06</v>
          </cell>
          <cell r="B695" t="str">
            <v>Descida d'água aterros em degraus - arm - DAD</v>
          </cell>
          <cell r="E695" t="str">
            <v>m</v>
          </cell>
          <cell r="G695">
            <v>261.95999999999998</v>
          </cell>
          <cell r="M695">
            <v>293.89</v>
          </cell>
          <cell r="O695">
            <v>301.01</v>
          </cell>
          <cell r="Q695">
            <v>295.72000000000003</v>
          </cell>
          <cell r="S695">
            <v>302.62</v>
          </cell>
        </row>
        <row r="696">
          <cell r="A696" t="str">
            <v>2 S 04 941 07</v>
          </cell>
          <cell r="B696" t="str">
            <v>Descida d'água aterros em degraus - DAD 07</v>
          </cell>
          <cell r="E696" t="str">
            <v>m</v>
          </cell>
          <cell r="G696">
            <v>221.32</v>
          </cell>
          <cell r="M696">
            <v>248.68</v>
          </cell>
          <cell r="O696">
            <v>252.6</v>
          </cell>
          <cell r="Q696">
            <v>246.39</v>
          </cell>
          <cell r="S696">
            <v>254.48</v>
          </cell>
        </row>
        <row r="697">
          <cell r="A697" t="str">
            <v>2 S 04 941 08</v>
          </cell>
          <cell r="B697" t="str">
            <v>Descida d'água aterros em degraus - arm - DAD</v>
          </cell>
          <cell r="E697" t="str">
            <v>m</v>
          </cell>
          <cell r="G697">
            <v>304.54000000000002</v>
          </cell>
          <cell r="M697">
            <v>341.79</v>
          </cell>
          <cell r="O697">
            <v>349.95</v>
          </cell>
          <cell r="Q697">
            <v>343.74</v>
          </cell>
          <cell r="S697">
            <v>351.84</v>
          </cell>
        </row>
        <row r="698">
          <cell r="A698" t="str">
            <v>2 S 04 941 09</v>
          </cell>
          <cell r="B698" t="str">
            <v>Descida d'água aterros em degraus - DAD 09</v>
          </cell>
          <cell r="E698" t="str">
            <v>m</v>
          </cell>
          <cell r="G698">
            <v>252.54</v>
          </cell>
          <cell r="M698">
            <v>283.95</v>
          </cell>
          <cell r="O698">
            <v>288.38</v>
          </cell>
          <cell r="Q698">
            <v>281.36</v>
          </cell>
          <cell r="S698">
            <v>290.52</v>
          </cell>
        </row>
        <row r="699">
          <cell r="A699" t="str">
            <v>2 S 04 941 10</v>
          </cell>
          <cell r="B699" t="str">
            <v>Descida d'água aterros em degraus - arm - DAD</v>
          </cell>
          <cell r="E699" t="str">
            <v>m</v>
          </cell>
          <cell r="G699">
            <v>346.89</v>
          </cell>
          <cell r="M699">
            <v>389.52</v>
          </cell>
          <cell r="O699">
            <v>398.76</v>
          </cell>
          <cell r="Q699">
            <v>391.73</v>
          </cell>
          <cell r="S699">
            <v>400.89</v>
          </cell>
        </row>
        <row r="700">
          <cell r="A700" t="str">
            <v>2 S 04 941 11</v>
          </cell>
          <cell r="B700" t="str">
            <v>Descida d'água aterros em degraus - DAD 11</v>
          </cell>
          <cell r="E700" t="str">
            <v>m</v>
          </cell>
          <cell r="G700">
            <v>331.9</v>
          </cell>
          <cell r="M700">
            <v>373.46</v>
          </cell>
          <cell r="O700">
            <v>379.25</v>
          </cell>
          <cell r="Q700">
            <v>370.06</v>
          </cell>
          <cell r="S700">
            <v>382.03</v>
          </cell>
        </row>
        <row r="701">
          <cell r="A701" t="str">
            <v>2 S 04 941 12</v>
          </cell>
          <cell r="B701" t="str">
            <v>Descida d'água aterros em degraus - arm - dad 12</v>
          </cell>
          <cell r="E701" t="str">
            <v>m</v>
          </cell>
          <cell r="G701">
            <v>453.41</v>
          </cell>
          <cell r="M701">
            <v>509.39</v>
          </cell>
          <cell r="O701">
            <v>521.38</v>
          </cell>
          <cell r="Q701">
            <v>512.20000000000005</v>
          </cell>
          <cell r="S701">
            <v>524.16999999999996</v>
          </cell>
        </row>
        <row r="702">
          <cell r="A702" t="str">
            <v>2 S 04 941 13</v>
          </cell>
          <cell r="B702" t="str">
            <v>Descida d'água aterros em degraus - DAD 13</v>
          </cell>
          <cell r="E702" t="str">
            <v>m</v>
          </cell>
          <cell r="G702">
            <v>311.99</v>
          </cell>
          <cell r="M702">
            <v>350.83</v>
          </cell>
          <cell r="O702">
            <v>356.33</v>
          </cell>
          <cell r="Q702">
            <v>347.6</v>
          </cell>
          <cell r="S702">
            <v>358.98</v>
          </cell>
        </row>
        <row r="703">
          <cell r="A703" t="str">
            <v>2 S 04 941 14</v>
          </cell>
          <cell r="B703" t="str">
            <v>Descida d'água aterros em degraus - arm - DAD 14</v>
          </cell>
          <cell r="E703" t="str">
            <v>m</v>
          </cell>
          <cell r="G703">
            <v>426.18</v>
          </cell>
          <cell r="M703">
            <v>478.59</v>
          </cell>
          <cell r="O703">
            <v>489.91</v>
          </cell>
          <cell r="Q703">
            <v>481.19</v>
          </cell>
          <cell r="S703">
            <v>492.56</v>
          </cell>
        </row>
        <row r="704">
          <cell r="A704" t="str">
            <v>2 S 04 941 15</v>
          </cell>
          <cell r="B704" t="str">
            <v>Descida d'água aterros em degraus - DAD 15</v>
          </cell>
          <cell r="E704" t="str">
            <v>m</v>
          </cell>
          <cell r="G704">
            <v>356.8</v>
          </cell>
          <cell r="M704">
            <v>401.49</v>
          </cell>
          <cell r="O704">
            <v>407.72</v>
          </cell>
          <cell r="Q704">
            <v>397.83</v>
          </cell>
          <cell r="S704">
            <v>410.72</v>
          </cell>
        </row>
        <row r="705">
          <cell r="A705" t="str">
            <v>2 S 04 941 16</v>
          </cell>
          <cell r="B705" t="str">
            <v>Descida d'água aterros em degraus - arm - DAD 16</v>
          </cell>
          <cell r="E705" t="str">
            <v>m</v>
          </cell>
          <cell r="G705">
            <v>486.35</v>
          </cell>
          <cell r="M705">
            <v>546.44000000000005</v>
          </cell>
          <cell r="O705">
            <v>559.28</v>
          </cell>
          <cell r="Q705">
            <v>549.39</v>
          </cell>
          <cell r="S705">
            <v>562.28</v>
          </cell>
        </row>
        <row r="706">
          <cell r="A706" t="str">
            <v>2 S 04 941 17</v>
          </cell>
          <cell r="B706" t="str">
            <v>Descida d'água aterros em degraus - DAD 17</v>
          </cell>
          <cell r="E706" t="str">
            <v>m</v>
          </cell>
          <cell r="G706">
            <v>456.27</v>
          </cell>
          <cell r="M706">
            <v>513.77</v>
          </cell>
          <cell r="O706">
            <v>521.67999999999995</v>
          </cell>
          <cell r="Q706">
            <v>509.11</v>
          </cell>
          <cell r="S706">
            <v>525.49</v>
          </cell>
        </row>
        <row r="707">
          <cell r="A707" t="str">
            <v>2 S 04 941 18</v>
          </cell>
          <cell r="B707" t="str">
            <v>Descida d'água aterros em degraus - arm - DAD 18</v>
          </cell>
          <cell r="E707" t="str">
            <v>m</v>
          </cell>
          <cell r="G707">
            <v>617.5</v>
          </cell>
          <cell r="M707">
            <v>694.14</v>
          </cell>
          <cell r="O707">
            <v>710.29</v>
          </cell>
          <cell r="Q707">
            <v>697.72</v>
          </cell>
          <cell r="S707">
            <v>714.1</v>
          </cell>
        </row>
        <row r="708">
          <cell r="A708" t="str">
            <v>2 S 04 941 31</v>
          </cell>
          <cell r="B708" t="str">
            <v>Descida d'água cortes em degraus - DCD 01</v>
          </cell>
          <cell r="E708" t="str">
            <v>m</v>
          </cell>
          <cell r="G708">
            <v>60.11</v>
          </cell>
          <cell r="M708">
            <v>67.47</v>
          </cell>
          <cell r="O708">
            <v>68.489999999999995</v>
          </cell>
          <cell r="Q708">
            <v>66.89</v>
          </cell>
          <cell r="S708">
            <v>68.989999999999995</v>
          </cell>
        </row>
        <row r="709">
          <cell r="A709" t="str">
            <v>2 S 04 941 32</v>
          </cell>
          <cell r="B709" t="str">
            <v>Descida d'água cortes em degraus - arm - DCD 02</v>
          </cell>
          <cell r="E709" t="str">
            <v>m</v>
          </cell>
          <cell r="G709">
            <v>85.42</v>
          </cell>
          <cell r="M709">
            <v>95.78</v>
          </cell>
          <cell r="O709">
            <v>98.09</v>
          </cell>
          <cell r="Q709">
            <v>96.49</v>
          </cell>
          <cell r="S709">
            <v>98.59</v>
          </cell>
        </row>
        <row r="710">
          <cell r="A710" t="str">
            <v>2 S 04 941 33</v>
          </cell>
          <cell r="B710" t="str">
            <v>Descida d'água cortes em degraus - DCD 03</v>
          </cell>
          <cell r="E710" t="str">
            <v>m</v>
          </cell>
          <cell r="G710">
            <v>94.5</v>
          </cell>
          <cell r="M710">
            <v>106.12</v>
          </cell>
          <cell r="O710">
            <v>107.74</v>
          </cell>
          <cell r="Q710">
            <v>105.19</v>
          </cell>
          <cell r="S710">
            <v>108.52</v>
          </cell>
        </row>
        <row r="711">
          <cell r="A711" t="str">
            <v>2 S 04 941 34</v>
          </cell>
          <cell r="B711" t="str">
            <v>Descida d'água cortes em degraus - arm - DCD 04</v>
          </cell>
          <cell r="E711" t="str">
            <v>m</v>
          </cell>
          <cell r="G711">
            <v>134.63</v>
          </cell>
          <cell r="M711">
            <v>151.02000000000001</v>
          </cell>
          <cell r="O711">
            <v>154.69</v>
          </cell>
          <cell r="Q711">
            <v>152.13999999999999</v>
          </cell>
          <cell r="S711">
            <v>155.47</v>
          </cell>
        </row>
        <row r="712">
          <cell r="A712" t="str">
            <v>2 S 04 942 01</v>
          </cell>
          <cell r="B712" t="str">
            <v>Entrada d'água - EDA 01</v>
          </cell>
          <cell r="E712" t="str">
            <v>und</v>
          </cell>
          <cell r="G712">
            <v>25.42</v>
          </cell>
          <cell r="M712">
            <v>27.93</v>
          </cell>
          <cell r="O712">
            <v>28.55</v>
          </cell>
          <cell r="Q712">
            <v>27.57</v>
          </cell>
          <cell r="S712">
            <v>28.85</v>
          </cell>
        </row>
        <row r="713">
          <cell r="A713" t="str">
            <v>2 S 04 942 02</v>
          </cell>
          <cell r="B713" t="str">
            <v>Entrada d'água - EDA 02</v>
          </cell>
          <cell r="E713" t="str">
            <v>und</v>
          </cell>
          <cell r="G713">
            <v>31.14</v>
          </cell>
          <cell r="M713">
            <v>34.17</v>
          </cell>
          <cell r="O713">
            <v>34.96</v>
          </cell>
          <cell r="Q713">
            <v>33.700000000000003</v>
          </cell>
          <cell r="S713">
            <v>35.33</v>
          </cell>
        </row>
        <row r="714">
          <cell r="A714" t="str">
            <v>2 S 04 950 01</v>
          </cell>
          <cell r="B714" t="str">
            <v>Dissipador de energia - DES 01</v>
          </cell>
          <cell r="E714" t="str">
            <v>und</v>
          </cell>
          <cell r="G714">
            <v>109.52</v>
          </cell>
          <cell r="M714">
            <v>122.7</v>
          </cell>
          <cell r="O714">
            <v>124.94</v>
          </cell>
          <cell r="Q714">
            <v>121.49</v>
          </cell>
          <cell r="S714">
            <v>126.17</v>
          </cell>
        </row>
        <row r="715">
          <cell r="A715" t="str">
            <v>2 S 04 950 02</v>
          </cell>
          <cell r="B715" t="str">
            <v>Dissipador de energia - DES 02</v>
          </cell>
          <cell r="E715" t="str">
            <v>und</v>
          </cell>
          <cell r="G715">
            <v>130.26</v>
          </cell>
          <cell r="M715">
            <v>145.93</v>
          </cell>
          <cell r="O715">
            <v>148.59</v>
          </cell>
          <cell r="Q715">
            <v>144.49</v>
          </cell>
          <cell r="S715">
            <v>150.05000000000001</v>
          </cell>
        </row>
        <row r="716">
          <cell r="A716" t="str">
            <v>2 S 04 950 03</v>
          </cell>
          <cell r="B716" t="str">
            <v>Dissipador de energia - DES 03</v>
          </cell>
          <cell r="E716" t="str">
            <v>und</v>
          </cell>
          <cell r="G716">
            <v>155.27000000000001</v>
          </cell>
          <cell r="M716">
            <v>173.95</v>
          </cell>
          <cell r="O716">
            <v>177.12</v>
          </cell>
          <cell r="Q716">
            <v>172.24</v>
          </cell>
          <cell r="S716">
            <v>178.87</v>
          </cell>
        </row>
        <row r="717">
          <cell r="A717" t="str">
            <v>2 S 04 950 04</v>
          </cell>
          <cell r="B717" t="str">
            <v>Dissipador de energia - DES04</v>
          </cell>
          <cell r="E717" t="str">
            <v>und</v>
          </cell>
          <cell r="G717">
            <v>189.74</v>
          </cell>
          <cell r="M717">
            <v>212.56</v>
          </cell>
          <cell r="O717">
            <v>216.44</v>
          </cell>
          <cell r="Q717">
            <v>210.46</v>
          </cell>
          <cell r="S717">
            <v>218.57</v>
          </cell>
        </row>
        <row r="718">
          <cell r="A718" t="str">
            <v>2 S 04 950 21</v>
          </cell>
          <cell r="B718" t="str">
            <v>Dissipador de energia - DEB 01</v>
          </cell>
          <cell r="E718" t="str">
            <v>und</v>
          </cell>
          <cell r="G718">
            <v>133.94999999999999</v>
          </cell>
          <cell r="M718">
            <v>149.51</v>
          </cell>
          <cell r="O718">
            <v>152.07</v>
          </cell>
          <cell r="Q718">
            <v>148.12</v>
          </cell>
          <cell r="S718">
            <v>153.38</v>
          </cell>
        </row>
        <row r="719">
          <cell r="A719" t="str">
            <v>2 S 04 950 22</v>
          </cell>
          <cell r="B719" t="str">
            <v>Dissipador de energia - DEB 02</v>
          </cell>
          <cell r="E719" t="str">
            <v>und</v>
          </cell>
          <cell r="G719">
            <v>438.54</v>
          </cell>
          <cell r="M719">
            <v>489.69</v>
          </cell>
          <cell r="O719">
            <v>498.54</v>
          </cell>
          <cell r="Q719">
            <v>484.76</v>
          </cell>
          <cell r="S719">
            <v>503.09</v>
          </cell>
        </row>
        <row r="720">
          <cell r="A720" t="str">
            <v>2 S 04 950 23</v>
          </cell>
          <cell r="B720" t="str">
            <v>Dissipador de energia - DEB 03</v>
          </cell>
          <cell r="E720" t="str">
            <v>und</v>
          </cell>
          <cell r="G720">
            <v>702.27</v>
          </cell>
          <cell r="M720">
            <v>784.07</v>
          </cell>
          <cell r="O720">
            <v>798.34</v>
          </cell>
          <cell r="Q720">
            <v>776.11</v>
          </cell>
          <cell r="S720">
            <v>805.69</v>
          </cell>
        </row>
        <row r="721">
          <cell r="A721" t="str">
            <v>2 S 04 950 24</v>
          </cell>
          <cell r="B721" t="str">
            <v>Dissipador de energia - DEB 04</v>
          </cell>
          <cell r="E721" t="str">
            <v>und</v>
          </cell>
          <cell r="G721">
            <v>1031.04</v>
          </cell>
          <cell r="M721">
            <v>1151.06</v>
          </cell>
          <cell r="O721">
            <v>1172.0999999999999</v>
          </cell>
          <cell r="Q721">
            <v>1139.32</v>
          </cell>
          <cell r="S721">
            <v>1182.95</v>
          </cell>
        </row>
        <row r="722">
          <cell r="A722" t="str">
            <v>2 S 04 950 25</v>
          </cell>
          <cell r="B722" t="str">
            <v>Dissipador de energia - DEB 05</v>
          </cell>
          <cell r="E722" t="str">
            <v>und</v>
          </cell>
          <cell r="G722">
            <v>1398.85</v>
          </cell>
          <cell r="M722">
            <v>1561.63</v>
          </cell>
          <cell r="O722">
            <v>1590.25</v>
          </cell>
          <cell r="Q722">
            <v>1545.66</v>
          </cell>
          <cell r="S722">
            <v>1605.01</v>
          </cell>
        </row>
        <row r="723">
          <cell r="A723" t="str">
            <v>2 S 04 950 26</v>
          </cell>
          <cell r="B723" t="str">
            <v>Dissipador de energia - DEB 06</v>
          </cell>
          <cell r="E723" t="str">
            <v>und</v>
          </cell>
          <cell r="G723">
            <v>2297.1799999999998</v>
          </cell>
          <cell r="M723">
            <v>2564.4899999999998</v>
          </cell>
          <cell r="O723">
            <v>2611.79</v>
          </cell>
          <cell r="Q723">
            <v>2538.0500000000002</v>
          </cell>
          <cell r="S723">
            <v>2636.21</v>
          </cell>
        </row>
        <row r="724">
          <cell r="A724" t="str">
            <v>2 S 04 950 27</v>
          </cell>
          <cell r="B724" t="str">
            <v>Dissipador de energia - DEB 07</v>
          </cell>
          <cell r="E724" t="str">
            <v>und</v>
          </cell>
          <cell r="G724">
            <v>1460.18</v>
          </cell>
          <cell r="M724">
            <v>1630.2</v>
          </cell>
          <cell r="O724">
            <v>1660.19</v>
          </cell>
          <cell r="Q724">
            <v>1613.43</v>
          </cell>
          <cell r="S724">
            <v>1675.67</v>
          </cell>
        </row>
        <row r="725">
          <cell r="A725" t="str">
            <v>2 S 04 950 28</v>
          </cell>
          <cell r="B725" t="str">
            <v>Dissipador de energia - DEB 08</v>
          </cell>
          <cell r="E725" t="str">
            <v>und</v>
          </cell>
          <cell r="G725">
            <v>1985.57</v>
          </cell>
          <cell r="M725">
            <v>2216.66</v>
          </cell>
          <cell r="O725">
            <v>2257.5500000000002</v>
          </cell>
          <cell r="Q725">
            <v>2193.79</v>
          </cell>
          <cell r="S725">
            <v>2278.66</v>
          </cell>
        </row>
        <row r="726">
          <cell r="A726" t="str">
            <v>2 S 04 950 29</v>
          </cell>
          <cell r="B726" t="str">
            <v>Dissipador de energia - DEB 09</v>
          </cell>
          <cell r="E726" t="str">
            <v>und</v>
          </cell>
          <cell r="G726">
            <v>3156.44</v>
          </cell>
          <cell r="M726">
            <v>3523.93</v>
          </cell>
          <cell r="O726">
            <v>3589.18</v>
          </cell>
          <cell r="Q726">
            <v>3487.38</v>
          </cell>
          <cell r="S726">
            <v>3622.88</v>
          </cell>
        </row>
        <row r="727">
          <cell r="A727" t="str">
            <v>2 S 04 950 30</v>
          </cell>
          <cell r="B727" t="str">
            <v>Dissipador de energia - DEB 10</v>
          </cell>
          <cell r="E727" t="str">
            <v>und</v>
          </cell>
          <cell r="G727">
            <v>1890.25</v>
          </cell>
          <cell r="M727">
            <v>2110.37</v>
          </cell>
          <cell r="O727">
            <v>2149.31</v>
          </cell>
          <cell r="Q727">
            <v>2088.58</v>
          </cell>
          <cell r="S727">
            <v>2169.42</v>
          </cell>
        </row>
        <row r="728">
          <cell r="A728" t="str">
            <v>2 S 04 950 31</v>
          </cell>
          <cell r="B728" t="str">
            <v>Dissipador de energia - DEB 11</v>
          </cell>
          <cell r="E728" t="str">
            <v>und</v>
          </cell>
          <cell r="G728">
            <v>2572.0700000000002</v>
          </cell>
          <cell r="M728">
            <v>2871.58</v>
          </cell>
          <cell r="O728">
            <v>2924.69</v>
          </cell>
          <cell r="Q728">
            <v>2841.84</v>
          </cell>
          <cell r="S728">
            <v>2952.11</v>
          </cell>
        </row>
        <row r="729">
          <cell r="A729" t="str">
            <v>2 S 04 950 32</v>
          </cell>
          <cell r="B729" t="str">
            <v>Dissipador de energia - DEB 12</v>
          </cell>
          <cell r="E729" t="str">
            <v>und</v>
          </cell>
          <cell r="G729">
            <v>4015.3</v>
          </cell>
          <cell r="M729">
            <v>4482.91</v>
          </cell>
          <cell r="O729">
            <v>4566.1099999999997</v>
          </cell>
          <cell r="Q729">
            <v>4436.26</v>
          </cell>
          <cell r="S729">
            <v>4609.09</v>
          </cell>
        </row>
        <row r="730">
          <cell r="A730" t="str">
            <v>2 S 04 950 51</v>
          </cell>
          <cell r="B730" t="str">
            <v>Dissipador de energia - DED 01</v>
          </cell>
          <cell r="E730" t="str">
            <v>und</v>
          </cell>
          <cell r="G730">
            <v>149.19</v>
          </cell>
          <cell r="M730">
            <v>166.8</v>
          </cell>
          <cell r="O730">
            <v>169.25</v>
          </cell>
          <cell r="Q730">
            <v>165.54</v>
          </cell>
          <cell r="S730">
            <v>170.51</v>
          </cell>
        </row>
        <row r="731">
          <cell r="A731" t="str">
            <v>2 S 04 960 01</v>
          </cell>
          <cell r="B731" t="str">
            <v>Boca de lobo simples grelha concr. - BLS 01</v>
          </cell>
          <cell r="E731" t="str">
            <v>und</v>
          </cell>
          <cell r="G731">
            <v>266.39</v>
          </cell>
          <cell r="M731">
            <v>309.48</v>
          </cell>
          <cell r="O731">
            <v>313.18</v>
          </cell>
          <cell r="Q731">
            <v>309.02</v>
          </cell>
          <cell r="S731">
            <v>314.64999999999998</v>
          </cell>
        </row>
        <row r="732">
          <cell r="A732" t="str">
            <v>2 S 04 960 02</v>
          </cell>
          <cell r="B732" t="str">
            <v>Boca de lobo simples grelha concr. - BLS 02</v>
          </cell>
          <cell r="E732" t="str">
            <v>und</v>
          </cell>
          <cell r="G732">
            <v>329.01</v>
          </cell>
          <cell r="M732">
            <v>385.68</v>
          </cell>
          <cell r="O732">
            <v>389.8</v>
          </cell>
          <cell r="Q732">
            <v>384.99</v>
          </cell>
          <cell r="S732">
            <v>391.44</v>
          </cell>
        </row>
        <row r="733">
          <cell r="A733" t="str">
            <v>2 S 04 960 03</v>
          </cell>
          <cell r="B733" t="str">
            <v>Boca de lobo simples grelha concr. - BLS 03</v>
          </cell>
          <cell r="E733" t="str">
            <v>und</v>
          </cell>
          <cell r="G733">
            <v>391.72</v>
          </cell>
          <cell r="M733">
            <v>461.98</v>
          </cell>
          <cell r="O733">
            <v>466.53</v>
          </cell>
          <cell r="Q733">
            <v>461.06</v>
          </cell>
          <cell r="S733">
            <v>468.34</v>
          </cell>
        </row>
        <row r="734">
          <cell r="A734" t="str">
            <v>2 S 04 960 04</v>
          </cell>
          <cell r="B734" t="str">
            <v>Boca de lobo simples grelha concr. - BLS 04</v>
          </cell>
          <cell r="E734" t="str">
            <v>und</v>
          </cell>
          <cell r="G734">
            <v>442.58</v>
          </cell>
          <cell r="M734">
            <v>525.03</v>
          </cell>
          <cell r="O734">
            <v>529.41</v>
          </cell>
          <cell r="Q734">
            <v>523.29</v>
          </cell>
          <cell r="S734">
            <v>531.39</v>
          </cell>
        </row>
        <row r="735">
          <cell r="A735" t="str">
            <v>2 S 04 960 05</v>
          </cell>
          <cell r="B735" t="str">
            <v>Boca de lobo simples grelha concr. - BLS 05</v>
          </cell>
          <cell r="E735" t="str">
            <v>und</v>
          </cell>
          <cell r="G735">
            <v>513.99</v>
          </cell>
          <cell r="M735">
            <v>611.13</v>
          </cell>
          <cell r="O735">
            <v>616.46</v>
          </cell>
          <cell r="Q735">
            <v>609.80999999999995</v>
          </cell>
          <cell r="S735">
            <v>618.58000000000004</v>
          </cell>
        </row>
        <row r="736">
          <cell r="A736" t="str">
            <v>2 S 04 960 06</v>
          </cell>
          <cell r="B736" t="str">
            <v>Boca de lobo simples grelha concr. - BLS 06</v>
          </cell>
          <cell r="E736" t="str">
            <v>und</v>
          </cell>
          <cell r="G736">
            <v>576.61</v>
          </cell>
          <cell r="M736">
            <v>687.33</v>
          </cell>
          <cell r="O736">
            <v>693.08</v>
          </cell>
          <cell r="Q736">
            <v>685.78</v>
          </cell>
          <cell r="S736">
            <v>695.38</v>
          </cell>
        </row>
        <row r="737">
          <cell r="A737" t="str">
            <v>2 S 04 960 07</v>
          </cell>
          <cell r="B737" t="str">
            <v>Boca de lobo simples grelha concr. - BLS 07</v>
          </cell>
          <cell r="E737" t="str">
            <v>und</v>
          </cell>
          <cell r="G737">
            <v>639.30999999999995</v>
          </cell>
          <cell r="M737">
            <v>763.63</v>
          </cell>
          <cell r="O737">
            <v>769.81</v>
          </cell>
          <cell r="Q737">
            <v>761.86</v>
          </cell>
          <cell r="S737">
            <v>772.28</v>
          </cell>
        </row>
        <row r="738">
          <cell r="A738" t="str">
            <v>2 S 04 961 01</v>
          </cell>
          <cell r="B738" t="str">
            <v>Boca de lobo dupla com grelha de concreto - BLD 01</v>
          </cell>
          <cell r="E738" t="str">
            <v>und</v>
          </cell>
          <cell r="G738">
            <v>515.27</v>
          </cell>
          <cell r="M738">
            <v>595.47</v>
          </cell>
          <cell r="O738">
            <v>603.79999999999995</v>
          </cell>
          <cell r="Q738">
            <v>596.32000000000005</v>
          </cell>
          <cell r="S738">
            <v>606.53</v>
          </cell>
        </row>
        <row r="739">
          <cell r="A739" t="str">
            <v>2 S 04 961 02</v>
          </cell>
          <cell r="B739" t="str">
            <v>Boca de lobo dupla com grelha de concreto - BLD 02</v>
          </cell>
          <cell r="E739" t="str">
            <v>und</v>
          </cell>
          <cell r="G739">
            <v>618.04999999999995</v>
          </cell>
          <cell r="M739">
            <v>720.51</v>
          </cell>
          <cell r="O739">
            <v>729.55</v>
          </cell>
          <cell r="Q739">
            <v>721</v>
          </cell>
          <cell r="S739">
            <v>732.57</v>
          </cell>
        </row>
        <row r="740">
          <cell r="A740" t="str">
            <v>2 S 04 961 03</v>
          </cell>
          <cell r="B740" t="str">
            <v>Boca de lobo dupla com grelha de concreto - BLD 03</v>
          </cell>
          <cell r="E740" t="str">
            <v>und</v>
          </cell>
          <cell r="G740">
            <v>723.89</v>
          </cell>
          <cell r="M740">
            <v>848.91</v>
          </cell>
          <cell r="O740">
            <v>858.72</v>
          </cell>
          <cell r="Q740">
            <v>848.97</v>
          </cell>
          <cell r="S740">
            <v>862.06</v>
          </cell>
        </row>
        <row r="741">
          <cell r="A741" t="str">
            <v>2 S 04 961 04</v>
          </cell>
          <cell r="B741" t="str">
            <v>Boca de lobo dupla com grelha de concreto - BLD 04</v>
          </cell>
          <cell r="E741" t="str">
            <v>und</v>
          </cell>
          <cell r="G741">
            <v>826.68</v>
          </cell>
          <cell r="M741">
            <v>973.96</v>
          </cell>
          <cell r="O741">
            <v>984.47</v>
          </cell>
          <cell r="Q741">
            <v>973.64</v>
          </cell>
          <cell r="S741">
            <v>988.09</v>
          </cell>
        </row>
        <row r="742">
          <cell r="A742" t="str">
            <v>2 S 04 961 05</v>
          </cell>
          <cell r="B742" t="str">
            <v>Boca de lobo dupla com grelha de concreto - BLD 05</v>
          </cell>
          <cell r="E742" t="str">
            <v>und</v>
          </cell>
          <cell r="G742">
            <v>929.47</v>
          </cell>
          <cell r="M742">
            <v>1099.01</v>
          </cell>
          <cell r="O742">
            <v>1110.22</v>
          </cell>
          <cell r="Q742">
            <v>1098.31</v>
          </cell>
          <cell r="S742">
            <v>1114.1300000000001</v>
          </cell>
        </row>
        <row r="743">
          <cell r="A743" t="str">
            <v>2 S 04 961 06</v>
          </cell>
          <cell r="B743" t="str">
            <v>Boca de lobo dupla com grelha de concreto - BLD 06</v>
          </cell>
          <cell r="E743" t="str">
            <v>und</v>
          </cell>
          <cell r="G743">
            <v>1035.3</v>
          </cell>
          <cell r="M743">
            <v>1227.4000000000001</v>
          </cell>
          <cell r="O743">
            <v>1239.4000000000001</v>
          </cell>
          <cell r="Q743">
            <v>1226.29</v>
          </cell>
          <cell r="S743">
            <v>1243.6099999999999</v>
          </cell>
        </row>
        <row r="744">
          <cell r="A744" t="str">
            <v>2 S 04 961 07</v>
          </cell>
          <cell r="B744" t="str">
            <v>Boca de lobo dupla com grelha de concreto - BLD 07</v>
          </cell>
          <cell r="E744" t="str">
            <v>und</v>
          </cell>
          <cell r="G744">
            <v>1138.0899999999999</v>
          </cell>
          <cell r="M744">
            <v>1352.45</v>
          </cell>
          <cell r="O744">
            <v>1365.15</v>
          </cell>
          <cell r="Q744">
            <v>1350.96</v>
          </cell>
          <cell r="S744">
            <v>1369.65</v>
          </cell>
        </row>
        <row r="745">
          <cell r="A745" t="str">
            <v>2 S 04 962 01</v>
          </cell>
          <cell r="B745" t="str">
            <v>Caixa de ligação e passagem - CLP 01</v>
          </cell>
          <cell r="E745" t="str">
            <v>und</v>
          </cell>
          <cell r="G745">
            <v>540.91</v>
          </cell>
          <cell r="M745">
            <v>601.1</v>
          </cell>
          <cell r="O745">
            <v>610.66</v>
          </cell>
          <cell r="Q745">
            <v>598.01</v>
          </cell>
          <cell r="S745">
            <v>615.46</v>
          </cell>
        </row>
        <row r="746">
          <cell r="A746" t="str">
            <v>2 S 04 962 02</v>
          </cell>
          <cell r="B746" t="str">
            <v>Caixa de ligação e passagem - CLP 02</v>
          </cell>
          <cell r="E746" t="str">
            <v>und</v>
          </cell>
          <cell r="G746">
            <v>524.20000000000005</v>
          </cell>
          <cell r="M746">
            <v>582.51</v>
          </cell>
          <cell r="O746">
            <v>591.71</v>
          </cell>
          <cell r="Q746">
            <v>579.64</v>
          </cell>
          <cell r="S746">
            <v>596.34</v>
          </cell>
        </row>
        <row r="747">
          <cell r="A747" t="str">
            <v>2 S 04 962 03</v>
          </cell>
          <cell r="B747" t="str">
            <v>Caixa de ligação e passagem - CLP 03</v>
          </cell>
          <cell r="E747" t="str">
            <v>und</v>
          </cell>
          <cell r="G747">
            <v>737.95</v>
          </cell>
          <cell r="M747">
            <v>820.1</v>
          </cell>
          <cell r="O747">
            <v>833.32</v>
          </cell>
          <cell r="Q747">
            <v>815.85</v>
          </cell>
          <cell r="S747">
            <v>839.88</v>
          </cell>
        </row>
        <row r="748">
          <cell r="A748" t="str">
            <v>2 S 04 962 04</v>
          </cell>
          <cell r="B748" t="str">
            <v>Caixa de ligação e passagem - CLP 04</v>
          </cell>
          <cell r="E748" t="str">
            <v>und</v>
          </cell>
          <cell r="G748">
            <v>938.94</v>
          </cell>
          <cell r="M748">
            <v>1043.45</v>
          </cell>
          <cell r="O748">
            <v>1060.18</v>
          </cell>
          <cell r="Q748">
            <v>1038.28</v>
          </cell>
          <cell r="S748">
            <v>1068.48</v>
          </cell>
        </row>
        <row r="749">
          <cell r="A749" t="str">
            <v>2 S 04 962 05</v>
          </cell>
          <cell r="B749" t="str">
            <v>Caixa de ligação e passagem - CLP 05</v>
          </cell>
          <cell r="E749" t="str">
            <v>und</v>
          </cell>
          <cell r="G749">
            <v>1104.49</v>
          </cell>
          <cell r="M749">
            <v>1227.46</v>
          </cell>
          <cell r="O749">
            <v>1247.31</v>
          </cell>
          <cell r="Q749">
            <v>1222.07</v>
          </cell>
          <cell r="S749">
            <v>1256.96</v>
          </cell>
        </row>
        <row r="750">
          <cell r="A750" t="str">
            <v>2 S 04 962 06</v>
          </cell>
          <cell r="B750" t="str">
            <v>Caixa de ligação e passagem - CLP 06</v>
          </cell>
          <cell r="E750" t="str">
            <v>und</v>
          </cell>
          <cell r="G750">
            <v>1376.38</v>
          </cell>
          <cell r="M750">
            <v>1529.53</v>
          </cell>
          <cell r="O750">
            <v>1554.04</v>
          </cell>
          <cell r="Q750">
            <v>1523.76</v>
          </cell>
          <cell r="S750">
            <v>1565.9</v>
          </cell>
        </row>
        <row r="751">
          <cell r="A751" t="str">
            <v>2 S 04 962 07</v>
          </cell>
          <cell r="B751" t="str">
            <v>Caixa de ligação e passagem - CLP 07</v>
          </cell>
          <cell r="E751" t="str">
            <v>und</v>
          </cell>
          <cell r="G751">
            <v>643.64</v>
          </cell>
          <cell r="M751">
            <v>715.22</v>
          </cell>
          <cell r="O751">
            <v>726.46</v>
          </cell>
          <cell r="Q751">
            <v>711.4</v>
          </cell>
          <cell r="S751">
            <v>732.19</v>
          </cell>
        </row>
        <row r="752">
          <cell r="A752" t="str">
            <v>2 S 04 962 08</v>
          </cell>
          <cell r="B752" t="str">
            <v>Caixa de ligação e passagem - CLP 08</v>
          </cell>
          <cell r="E752" t="str">
            <v>und</v>
          </cell>
          <cell r="G752">
            <v>624.15</v>
          </cell>
          <cell r="M752">
            <v>693.54</v>
          </cell>
          <cell r="O752">
            <v>704.35</v>
          </cell>
          <cell r="Q752">
            <v>689.97</v>
          </cell>
          <cell r="S752">
            <v>709.88</v>
          </cell>
        </row>
        <row r="753">
          <cell r="A753" t="str">
            <v>2 S 04 962 09</v>
          </cell>
          <cell r="B753" t="str">
            <v>Caixa de ligação e passagem - CLP 09</v>
          </cell>
          <cell r="E753" t="str">
            <v>und</v>
          </cell>
          <cell r="G753">
            <v>860.14</v>
          </cell>
          <cell r="M753">
            <v>955.86</v>
          </cell>
          <cell r="O753">
            <v>971.12</v>
          </cell>
          <cell r="Q753">
            <v>950.68</v>
          </cell>
          <cell r="S753">
            <v>978.8</v>
          </cell>
        </row>
        <row r="754">
          <cell r="A754" t="str">
            <v>2 S 04 962 10</v>
          </cell>
          <cell r="B754" t="str">
            <v>Caixa de ligação e passagem - CLP 10</v>
          </cell>
          <cell r="E754" t="str">
            <v>und</v>
          </cell>
          <cell r="G754">
            <v>1068.9000000000001</v>
          </cell>
          <cell r="M754">
            <v>1187.8399999999999</v>
          </cell>
          <cell r="O754">
            <v>1206.74</v>
          </cell>
          <cell r="Q754">
            <v>1181.69</v>
          </cell>
          <cell r="S754">
            <v>1216.23</v>
          </cell>
        </row>
        <row r="755">
          <cell r="A755" t="str">
            <v>2 S 04 962 11</v>
          </cell>
          <cell r="B755" t="str">
            <v>Caixa de ligação e passagem - CLP 11</v>
          </cell>
          <cell r="E755" t="str">
            <v>und</v>
          </cell>
          <cell r="G755">
            <v>1245.02</v>
          </cell>
          <cell r="M755">
            <v>1383.59</v>
          </cell>
          <cell r="O755">
            <v>1405.78</v>
          </cell>
          <cell r="Q755">
            <v>1377.12</v>
          </cell>
          <cell r="S755">
            <v>1416.72</v>
          </cell>
        </row>
        <row r="756">
          <cell r="A756" t="str">
            <v>2 S 04 962 12</v>
          </cell>
          <cell r="B756" t="str">
            <v>Caixa de ligação e passagem - CLP 12</v>
          </cell>
          <cell r="E756" t="str">
            <v>und</v>
          </cell>
          <cell r="G756">
            <v>1513.9</v>
          </cell>
          <cell r="M756">
            <v>1682.39</v>
          </cell>
          <cell r="O756">
            <v>1709.41</v>
          </cell>
          <cell r="Q756">
            <v>1675.34</v>
          </cell>
          <cell r="S756">
            <v>1722.57</v>
          </cell>
        </row>
        <row r="757">
          <cell r="A757" t="str">
            <v>2 S 04 962 13</v>
          </cell>
          <cell r="B757" t="str">
            <v>Caixa de ligação e passagem - CLP 13</v>
          </cell>
          <cell r="E757" t="str">
            <v>und</v>
          </cell>
          <cell r="G757">
            <v>749.15</v>
          </cell>
          <cell r="M757">
            <v>832.45</v>
          </cell>
          <cell r="O757">
            <v>845.41</v>
          </cell>
          <cell r="Q757">
            <v>827.85</v>
          </cell>
          <cell r="S757">
            <v>852.1</v>
          </cell>
        </row>
        <row r="758">
          <cell r="A758" t="str">
            <v>2 S 04 962 14</v>
          </cell>
          <cell r="B758" t="str">
            <v>Caixa de ligação e passagem - CLP 14</v>
          </cell>
          <cell r="E758" t="str">
            <v>und</v>
          </cell>
          <cell r="G758">
            <v>732.45</v>
          </cell>
          <cell r="M758">
            <v>813.86</v>
          </cell>
          <cell r="O758">
            <v>826.46</v>
          </cell>
          <cell r="Q758">
            <v>809.48</v>
          </cell>
          <cell r="S758">
            <v>832.98</v>
          </cell>
        </row>
        <row r="759">
          <cell r="A759" t="str">
            <v>2 S 04 962 15</v>
          </cell>
          <cell r="B759" t="str">
            <v>Caixa de ligação e passagem - CLP 15</v>
          </cell>
          <cell r="E759" t="str">
            <v>und</v>
          </cell>
          <cell r="G759">
            <v>990.68</v>
          </cell>
          <cell r="M759">
            <v>1100.92</v>
          </cell>
          <cell r="O759">
            <v>1118.3900000000001</v>
          </cell>
          <cell r="Q759">
            <v>1094.7</v>
          </cell>
          <cell r="S759">
            <v>1127.27</v>
          </cell>
        </row>
        <row r="760">
          <cell r="A760" t="str">
            <v>2 S 04 962 16</v>
          </cell>
          <cell r="B760" t="str">
            <v>Caixa de ligação e passagem - CLP 16</v>
          </cell>
          <cell r="E760" t="str">
            <v>und</v>
          </cell>
          <cell r="G760">
            <v>1212.79</v>
          </cell>
          <cell r="M760">
            <v>1347.73</v>
          </cell>
          <cell r="O760">
            <v>1369.08</v>
          </cell>
          <cell r="Q760">
            <v>1340.41</v>
          </cell>
          <cell r="S760">
            <v>1379.9</v>
          </cell>
        </row>
        <row r="761">
          <cell r="A761" t="str">
            <v>2 S 04 962 17</v>
          </cell>
          <cell r="B761" t="str">
            <v>Caixa de ligação e passagem - CLP 17</v>
          </cell>
          <cell r="E761" t="str">
            <v>und</v>
          </cell>
          <cell r="G761">
            <v>1396.68</v>
          </cell>
          <cell r="M761">
            <v>1552.1</v>
          </cell>
          <cell r="O761">
            <v>1576.88</v>
          </cell>
          <cell r="Q761">
            <v>1544.42</v>
          </cell>
          <cell r="S761">
            <v>1589.22</v>
          </cell>
        </row>
        <row r="762">
          <cell r="A762" t="str">
            <v>2 S 04 962 18</v>
          </cell>
          <cell r="B762" t="str">
            <v>Caixa de ligação e passagem - CLP 18</v>
          </cell>
          <cell r="E762" t="str">
            <v>und</v>
          </cell>
          <cell r="G762">
            <v>1682.79</v>
          </cell>
          <cell r="M762">
            <v>1870.06</v>
          </cell>
          <cell r="O762">
            <v>1899.96</v>
          </cell>
          <cell r="Q762">
            <v>1861.63</v>
          </cell>
          <cell r="S762">
            <v>1914.69</v>
          </cell>
        </row>
        <row r="763">
          <cell r="A763" t="str">
            <v>2 S 04 963 01</v>
          </cell>
          <cell r="B763" t="str">
            <v>Poço de visita - PVI 01</v>
          </cell>
          <cell r="E763" t="str">
            <v>und</v>
          </cell>
          <cell r="G763">
            <v>721.97</v>
          </cell>
          <cell r="M763">
            <v>802.82</v>
          </cell>
          <cell r="O763">
            <v>817.12</v>
          </cell>
          <cell r="Q763">
            <v>801.54</v>
          </cell>
          <cell r="S763">
            <v>823.07</v>
          </cell>
        </row>
        <row r="764">
          <cell r="A764" t="str">
            <v>2 S 04 963 02</v>
          </cell>
          <cell r="B764" t="str">
            <v>Poço de visita - PVI 02</v>
          </cell>
          <cell r="E764" t="str">
            <v>und</v>
          </cell>
          <cell r="G764">
            <v>700.67</v>
          </cell>
          <cell r="M764">
            <v>778.97</v>
          </cell>
          <cell r="O764">
            <v>792.86</v>
          </cell>
          <cell r="Q764">
            <v>777.95</v>
          </cell>
          <cell r="S764">
            <v>798.6</v>
          </cell>
        </row>
        <row r="765">
          <cell r="A765" t="str">
            <v>2 S 04 963 03</v>
          </cell>
          <cell r="B765" t="str">
            <v>Poço de visita - PVI 03</v>
          </cell>
          <cell r="E765" t="str">
            <v>und</v>
          </cell>
          <cell r="G765">
            <v>834.3</v>
          </cell>
          <cell r="M765">
            <v>927.54</v>
          </cell>
          <cell r="O765">
            <v>944.03</v>
          </cell>
          <cell r="Q765">
            <v>925.28</v>
          </cell>
          <cell r="S765">
            <v>951.05</v>
          </cell>
        </row>
        <row r="766">
          <cell r="A766" t="str">
            <v>2 S 04 963 04</v>
          </cell>
          <cell r="B766" t="str">
            <v>Poço de visita - PVI 04</v>
          </cell>
          <cell r="E766" t="str">
            <v>und</v>
          </cell>
          <cell r="G766">
            <v>1001.03</v>
          </cell>
          <cell r="M766">
            <v>1112.97</v>
          </cell>
          <cell r="O766">
            <v>1133.06</v>
          </cell>
          <cell r="Q766">
            <v>1110.69</v>
          </cell>
          <cell r="S766">
            <v>1141.4100000000001</v>
          </cell>
        </row>
        <row r="767">
          <cell r="A767" t="str">
            <v>2 S 04 963 05</v>
          </cell>
          <cell r="B767" t="str">
            <v>Poço de visita - PVI 05</v>
          </cell>
          <cell r="E767" t="str">
            <v>und</v>
          </cell>
          <cell r="G767">
            <v>1170.56</v>
          </cell>
          <cell r="M767">
            <v>1301.3800000000001</v>
          </cell>
          <cell r="O767">
            <v>1324.59</v>
          </cell>
          <cell r="Q767">
            <v>1298.58</v>
          </cell>
          <cell r="S767">
            <v>1334.37</v>
          </cell>
        </row>
        <row r="768">
          <cell r="A768" t="str">
            <v>2 S 04 963 06</v>
          </cell>
          <cell r="B768" t="str">
            <v>Poço de visita - PVI 06</v>
          </cell>
          <cell r="E768" t="str">
            <v>und</v>
          </cell>
          <cell r="G768">
            <v>1437.04</v>
          </cell>
          <cell r="M768">
            <v>1597.58</v>
          </cell>
          <cell r="O768">
            <v>1625.81</v>
          </cell>
          <cell r="Q768">
            <v>1594.45</v>
          </cell>
          <cell r="S768">
            <v>1637.76</v>
          </cell>
        </row>
        <row r="769">
          <cell r="A769" t="str">
            <v>2 S 04 963 07</v>
          </cell>
          <cell r="B769" t="str">
            <v>Poço de visita - PVI 07</v>
          </cell>
          <cell r="E769" t="str">
            <v>und</v>
          </cell>
          <cell r="G769">
            <v>831.77</v>
          </cell>
          <cell r="M769">
            <v>924.63</v>
          </cell>
          <cell r="O769">
            <v>940.74</v>
          </cell>
          <cell r="Q769">
            <v>922.58</v>
          </cell>
          <cell r="S769">
            <v>947.69</v>
          </cell>
        </row>
        <row r="770">
          <cell r="A770" t="str">
            <v>2 S 04 963 08</v>
          </cell>
          <cell r="B770" t="str">
            <v>Poço de visita - PVI 08</v>
          </cell>
          <cell r="E770" t="str">
            <v>und</v>
          </cell>
          <cell r="G770">
            <v>815.06</v>
          </cell>
          <cell r="M770">
            <v>906.05</v>
          </cell>
          <cell r="O770">
            <v>921.79</v>
          </cell>
          <cell r="Q770">
            <v>904.21</v>
          </cell>
          <cell r="S770">
            <v>928.57</v>
          </cell>
        </row>
        <row r="771">
          <cell r="A771" t="str">
            <v>2 S 04 963 09</v>
          </cell>
          <cell r="B771" t="str">
            <v>Poço de visita - PVI 09</v>
          </cell>
          <cell r="E771" t="str">
            <v>und</v>
          </cell>
          <cell r="G771">
            <v>960.38</v>
          </cell>
          <cell r="M771">
            <v>1067.6199999999999</v>
          </cell>
          <cell r="O771">
            <v>1086.21</v>
          </cell>
          <cell r="Q771">
            <v>1064.4000000000001</v>
          </cell>
          <cell r="S771">
            <v>1094.3800000000001</v>
          </cell>
        </row>
        <row r="772">
          <cell r="A772" t="str">
            <v>2 S 04 963 10</v>
          </cell>
          <cell r="B772" t="str">
            <v>Poço de visita - PVI 10</v>
          </cell>
          <cell r="E772" t="str">
            <v>und</v>
          </cell>
          <cell r="G772">
            <v>1111.52</v>
          </cell>
          <cell r="M772">
            <v>1235.83</v>
          </cell>
          <cell r="O772">
            <v>1258.0999999999999</v>
          </cell>
          <cell r="Q772">
            <v>1232.32</v>
          </cell>
          <cell r="S772">
            <v>1267.54</v>
          </cell>
        </row>
        <row r="773">
          <cell r="A773" t="str">
            <v>2 S 04 963 11</v>
          </cell>
          <cell r="B773" t="str">
            <v>Poço de visita - PVI 11</v>
          </cell>
          <cell r="E773" t="str">
            <v>und</v>
          </cell>
          <cell r="G773">
            <v>1311.08</v>
          </cell>
          <cell r="M773">
            <v>1457.51</v>
          </cell>
          <cell r="O773">
            <v>1483.06</v>
          </cell>
          <cell r="Q773">
            <v>1453.64</v>
          </cell>
          <cell r="S773">
            <v>1494.13</v>
          </cell>
        </row>
        <row r="774">
          <cell r="A774" t="str">
            <v>2 S 04 963 12</v>
          </cell>
          <cell r="B774" t="str">
            <v>Poço de visita - PVI 12</v>
          </cell>
          <cell r="E774" t="str">
            <v>und</v>
          </cell>
          <cell r="G774">
            <v>1592.01</v>
          </cell>
          <cell r="M774">
            <v>1769.75</v>
          </cell>
          <cell r="O774">
            <v>1800.58</v>
          </cell>
          <cell r="Q774">
            <v>1765.44</v>
          </cell>
          <cell r="S774">
            <v>1813.95</v>
          </cell>
        </row>
        <row r="775">
          <cell r="A775" t="str">
            <v>2 S 04 963 13</v>
          </cell>
          <cell r="B775" t="str">
            <v>Poço de visita - PVI 13</v>
          </cell>
          <cell r="E775" t="str">
            <v>und</v>
          </cell>
          <cell r="G775">
            <v>986.4</v>
          </cell>
          <cell r="M775">
            <v>1099.27</v>
          </cell>
          <cell r="O775">
            <v>1117.4100000000001</v>
          </cell>
          <cell r="Q775">
            <v>1096.29</v>
          </cell>
          <cell r="S775">
            <v>1125.48</v>
          </cell>
        </row>
        <row r="776">
          <cell r="A776" t="str">
            <v>2 S 04 963 14</v>
          </cell>
          <cell r="B776" t="str">
            <v>Poço de visita - PVI 14</v>
          </cell>
          <cell r="E776" t="str">
            <v>und</v>
          </cell>
          <cell r="G776">
            <v>937.81</v>
          </cell>
          <cell r="M776">
            <v>1042.42</v>
          </cell>
          <cell r="O776">
            <v>1060.2</v>
          </cell>
          <cell r="Q776">
            <v>1039.6600000000001</v>
          </cell>
          <cell r="S776">
            <v>1068.0999999999999</v>
          </cell>
        </row>
        <row r="777">
          <cell r="A777" t="str">
            <v>2 S 04 963 15</v>
          </cell>
          <cell r="B777" t="str">
            <v>Poço de visita - PVI 15</v>
          </cell>
          <cell r="E777" t="str">
            <v>und</v>
          </cell>
          <cell r="G777">
            <v>1097.5999999999999</v>
          </cell>
          <cell r="M777">
            <v>1220.0899999999999</v>
          </cell>
          <cell r="O777">
            <v>1241.01</v>
          </cell>
          <cell r="Q777">
            <v>1215.77</v>
          </cell>
          <cell r="S777">
            <v>1250.45</v>
          </cell>
        </row>
        <row r="778">
          <cell r="A778" t="str">
            <v>2 S 04 963 16</v>
          </cell>
          <cell r="B778" t="str">
            <v>Poço de visita - PVI 16</v>
          </cell>
          <cell r="E778" t="str">
            <v>und</v>
          </cell>
          <cell r="G778">
            <v>1277.67</v>
          </cell>
          <cell r="M778">
            <v>1420.35</v>
          </cell>
          <cell r="O778">
            <v>1445.11</v>
          </cell>
          <cell r="Q778">
            <v>1415.88</v>
          </cell>
          <cell r="S778">
            <v>1456.02</v>
          </cell>
        </row>
        <row r="779">
          <cell r="A779" t="str">
            <v>2 S 04 963 17</v>
          </cell>
          <cell r="B779" t="str">
            <v>Poço de visita - PVI 17</v>
          </cell>
          <cell r="E779" t="str">
            <v>und</v>
          </cell>
          <cell r="G779">
            <v>1462.74</v>
          </cell>
          <cell r="M779">
            <v>1626.03</v>
          </cell>
          <cell r="O779">
            <v>1654.16</v>
          </cell>
          <cell r="Q779">
            <v>1620.94</v>
          </cell>
          <cell r="S779">
            <v>1666.64</v>
          </cell>
        </row>
        <row r="780">
          <cell r="A780" t="str">
            <v>2 S 04 963 18</v>
          </cell>
          <cell r="B780" t="str">
            <v>Poço de visita - PVI 18</v>
          </cell>
          <cell r="E780" t="str">
            <v>und</v>
          </cell>
          <cell r="G780">
            <v>1758.11</v>
          </cell>
          <cell r="M780">
            <v>1954.32</v>
          </cell>
          <cell r="O780">
            <v>1987.98</v>
          </cell>
          <cell r="Q780">
            <v>1948.67</v>
          </cell>
          <cell r="S780">
            <v>2002.88</v>
          </cell>
        </row>
        <row r="781">
          <cell r="A781" t="str">
            <v>2 S 04 963 31</v>
          </cell>
          <cell r="B781" t="str">
            <v>Chaminé dos poços de visita - CPV 01</v>
          </cell>
          <cell r="E781" t="str">
            <v>und</v>
          </cell>
          <cell r="G781">
            <v>442.45</v>
          </cell>
          <cell r="M781">
            <v>509.54</v>
          </cell>
          <cell r="O781">
            <v>562.11</v>
          </cell>
          <cell r="Q781">
            <v>537.12</v>
          </cell>
          <cell r="S781">
            <v>554.4</v>
          </cell>
        </row>
        <row r="782">
          <cell r="A782" t="str">
            <v>2 S 04 963 32</v>
          </cell>
          <cell r="B782" t="str">
            <v>Chaminé dos poços de visita - CPV 02</v>
          </cell>
          <cell r="E782" t="str">
            <v>und</v>
          </cell>
          <cell r="G782">
            <v>511.03</v>
          </cell>
          <cell r="M782">
            <v>592.39</v>
          </cell>
          <cell r="O782">
            <v>645.38</v>
          </cell>
          <cell r="Q782">
            <v>620.66999999999996</v>
          </cell>
          <cell r="S782">
            <v>638.73</v>
          </cell>
        </row>
        <row r="783">
          <cell r="A783" t="str">
            <v>2 S 04 963 33</v>
          </cell>
          <cell r="B783" t="str">
            <v>Chaminé dos poços de visita - CPV 03</v>
          </cell>
          <cell r="E783" t="str">
            <v>und</v>
          </cell>
          <cell r="G783">
            <v>576.21</v>
          </cell>
          <cell r="M783">
            <v>671.46</v>
          </cell>
          <cell r="O783">
            <v>724.79</v>
          </cell>
          <cell r="Q783">
            <v>700.49</v>
          </cell>
          <cell r="S783">
            <v>719.18</v>
          </cell>
        </row>
        <row r="784">
          <cell r="A784" t="str">
            <v>2 S 04 963 34</v>
          </cell>
          <cell r="B784" t="str">
            <v>Chaminé dos poços de visita - CPV 04</v>
          </cell>
          <cell r="E784" t="str">
            <v>und</v>
          </cell>
          <cell r="G784">
            <v>645.29</v>
          </cell>
          <cell r="M784">
            <v>754.91</v>
          </cell>
          <cell r="O784">
            <v>808.65</v>
          </cell>
          <cell r="Q784">
            <v>784.67</v>
          </cell>
          <cell r="S784">
            <v>804.14</v>
          </cell>
        </row>
        <row r="785">
          <cell r="A785" t="str">
            <v>2 S 04 963 35</v>
          </cell>
          <cell r="B785" t="str">
            <v>Chaminé dos poços de visita - CPV 05</v>
          </cell>
          <cell r="E785" t="str">
            <v>und</v>
          </cell>
          <cell r="G785">
            <v>710.83</v>
          </cell>
          <cell r="M785">
            <v>834.37</v>
          </cell>
          <cell r="O785">
            <v>888.46</v>
          </cell>
          <cell r="Q785">
            <v>864.87</v>
          </cell>
          <cell r="S785">
            <v>884.98</v>
          </cell>
        </row>
        <row r="786">
          <cell r="A786" t="str">
            <v>2 S 04 963 36</v>
          </cell>
          <cell r="B786" t="str">
            <v>Chaminé dos poços de visita - CPV 06</v>
          </cell>
          <cell r="E786" t="str">
            <v>und</v>
          </cell>
          <cell r="G786">
            <v>779.05</v>
          </cell>
          <cell r="M786">
            <v>916.83</v>
          </cell>
          <cell r="O786">
            <v>971.33</v>
          </cell>
          <cell r="Q786">
            <v>948.04</v>
          </cell>
          <cell r="S786">
            <v>968.91</v>
          </cell>
        </row>
        <row r="787">
          <cell r="A787" t="str">
            <v>2 S 04 963 37</v>
          </cell>
          <cell r="B787" t="str">
            <v>Chaminé dos poços de visita - CPV 07</v>
          </cell>
          <cell r="E787" t="str">
            <v>und</v>
          </cell>
          <cell r="G787">
            <v>844.73</v>
          </cell>
          <cell r="M787">
            <v>996.49</v>
          </cell>
          <cell r="O787">
            <v>1051.33</v>
          </cell>
          <cell r="Q787">
            <v>1028.49</v>
          </cell>
          <cell r="S787">
            <v>1049.98</v>
          </cell>
        </row>
        <row r="788">
          <cell r="A788" t="str">
            <v>2 S 04 964 01</v>
          </cell>
          <cell r="B788" t="str">
            <v>Tubulação de drenagem urbana - D=0,40 m s/ berço</v>
          </cell>
          <cell r="E788" t="str">
            <v>m</v>
          </cell>
          <cell r="G788">
            <v>59.04</v>
          </cell>
          <cell r="M788">
            <v>68.3</v>
          </cell>
          <cell r="O788">
            <v>68.849999999999994</v>
          </cell>
          <cell r="Q788">
            <v>67.930000000000007</v>
          </cell>
          <cell r="S788">
            <v>69.08</v>
          </cell>
        </row>
        <row r="789">
          <cell r="A789" t="str">
            <v>2 S 04 964 02</v>
          </cell>
          <cell r="B789" t="str">
            <v>Tubulação de drenagem urbana - D=0,60 m s/ berço</v>
          </cell>
          <cell r="E789" t="str">
            <v>m</v>
          </cell>
          <cell r="G789">
            <v>141.44999999999999</v>
          </cell>
          <cell r="M789">
            <v>156.36000000000001</v>
          </cell>
          <cell r="O789">
            <v>160.61000000000001</v>
          </cell>
          <cell r="Q789">
            <v>158.63</v>
          </cell>
          <cell r="S789">
            <v>160.9</v>
          </cell>
        </row>
        <row r="790">
          <cell r="A790" t="str">
            <v>2 S 04 964 03</v>
          </cell>
          <cell r="B790" t="str">
            <v>Tubulação de drenagem urbana - D=0,80 m s/ berço</v>
          </cell>
          <cell r="E790" t="str">
            <v>m</v>
          </cell>
          <cell r="G790">
            <v>200.51</v>
          </cell>
          <cell r="M790">
            <v>219.69</v>
          </cell>
          <cell r="O790">
            <v>226.37</v>
          </cell>
          <cell r="Q790">
            <v>223.11</v>
          </cell>
          <cell r="S790">
            <v>226.87</v>
          </cell>
        </row>
        <row r="791">
          <cell r="A791" t="str">
            <v>2 S 04 964 04</v>
          </cell>
          <cell r="B791" t="str">
            <v>Tubulação de drenagem urbana - D=1,00 m s/ berço</v>
          </cell>
          <cell r="E791" t="str">
            <v>m</v>
          </cell>
          <cell r="G791">
            <v>290.27</v>
          </cell>
          <cell r="M791">
            <v>316.49</v>
          </cell>
          <cell r="O791">
            <v>326.72000000000003</v>
          </cell>
          <cell r="Q791">
            <v>321.83</v>
          </cell>
          <cell r="S791">
            <v>327.41000000000003</v>
          </cell>
        </row>
        <row r="792">
          <cell r="A792" t="str">
            <v>2 S 04 964 05</v>
          </cell>
          <cell r="B792" t="str">
            <v>Tubulação de drenagem urbana - D=1,20 m s/ berço</v>
          </cell>
          <cell r="E792" t="str">
            <v>m</v>
          </cell>
          <cell r="G792">
            <v>392.57</v>
          </cell>
          <cell r="M792">
            <v>426.67</v>
          </cell>
          <cell r="O792">
            <v>441.13</v>
          </cell>
          <cell r="Q792">
            <v>434.7</v>
          </cell>
          <cell r="S792">
            <v>441.96</v>
          </cell>
        </row>
        <row r="793">
          <cell r="A793" t="str">
            <v>2 S 04 964 06</v>
          </cell>
          <cell r="B793" t="str">
            <v>Tubulação de drenagem urbana - D=1,50 m s/ berço</v>
          </cell>
          <cell r="E793" t="str">
            <v>m</v>
          </cell>
          <cell r="G793">
            <v>589.83000000000004</v>
          </cell>
          <cell r="M793">
            <v>638.17999999999995</v>
          </cell>
          <cell r="O793">
            <v>661.36</v>
          </cell>
          <cell r="Q793">
            <v>652.57000000000005</v>
          </cell>
          <cell r="S793">
            <v>662.25</v>
          </cell>
        </row>
        <row r="794">
          <cell r="A794" t="str">
            <v>2 S 04 990 01</v>
          </cell>
          <cell r="B794" t="str">
            <v>Transposição de segmento de sarjetas - TSS 01</v>
          </cell>
          <cell r="E794" t="str">
            <v>m</v>
          </cell>
          <cell r="G794">
            <v>90.17</v>
          </cell>
          <cell r="M794">
            <v>99.78</v>
          </cell>
          <cell r="O794">
            <v>101.81</v>
          </cell>
          <cell r="Q794">
            <v>98.56</v>
          </cell>
          <cell r="S794">
            <v>102.76</v>
          </cell>
        </row>
        <row r="795">
          <cell r="A795" t="str">
            <v>2 S 04 990 02</v>
          </cell>
          <cell r="B795" t="str">
            <v>Transposição de segmento de sarjetas - TSS 02</v>
          </cell>
          <cell r="E795" t="str">
            <v>m</v>
          </cell>
          <cell r="G795">
            <v>109.42</v>
          </cell>
          <cell r="M795">
            <v>120.95</v>
          </cell>
          <cell r="O795">
            <v>123.46</v>
          </cell>
          <cell r="Q795">
            <v>119.44</v>
          </cell>
          <cell r="S795">
            <v>124.64</v>
          </cell>
        </row>
        <row r="796">
          <cell r="A796" t="str">
            <v>2 S 04 990 03</v>
          </cell>
          <cell r="B796" t="str">
            <v>Transposição de segmento de sarjetas - TSS 03</v>
          </cell>
          <cell r="E796" t="str">
            <v>m</v>
          </cell>
          <cell r="G796">
            <v>158.63999999999999</v>
          </cell>
          <cell r="M796">
            <v>176.2</v>
          </cell>
          <cell r="O796">
            <v>181.44</v>
          </cell>
          <cell r="Q796">
            <v>178.45</v>
          </cell>
          <cell r="S796">
            <v>182.42</v>
          </cell>
        </row>
        <row r="797">
          <cell r="A797" t="str">
            <v>2 S 04 990 04</v>
          </cell>
          <cell r="B797" t="str">
            <v>Transposição de segmento de sarjetas - TSS 04</v>
          </cell>
          <cell r="E797" t="str">
            <v>m</v>
          </cell>
          <cell r="G797">
            <v>137.9</v>
          </cell>
          <cell r="M797">
            <v>153.11000000000001</v>
          </cell>
          <cell r="O797">
            <v>157.61000000000001</v>
          </cell>
          <cell r="Q797">
            <v>154.88999999999999</v>
          </cell>
          <cell r="S797">
            <v>158.49</v>
          </cell>
        </row>
        <row r="798">
          <cell r="A798" t="str">
            <v>2 S 04 990 05</v>
          </cell>
          <cell r="B798" t="str">
            <v>Transposição de segmento de sarjetas - TSS 05</v>
          </cell>
          <cell r="E798" t="str">
            <v>m</v>
          </cell>
          <cell r="G798">
            <v>124.09</v>
          </cell>
          <cell r="M798">
            <v>137.72999999999999</v>
          </cell>
          <cell r="O798">
            <v>141.74</v>
          </cell>
          <cell r="Q798">
            <v>139.21</v>
          </cell>
          <cell r="S798">
            <v>142.56</v>
          </cell>
        </row>
        <row r="799">
          <cell r="A799" t="str">
            <v>2 S 04 990 06</v>
          </cell>
          <cell r="B799" t="str">
            <v>Transposição de segmento de sarjetas - TSS 06</v>
          </cell>
          <cell r="E799" t="str">
            <v>m</v>
          </cell>
          <cell r="G799">
            <v>117.12</v>
          </cell>
          <cell r="M799">
            <v>129.96</v>
          </cell>
          <cell r="O799">
            <v>133.72999999999999</v>
          </cell>
          <cell r="Q799">
            <v>131.29</v>
          </cell>
          <cell r="S799">
            <v>134.52000000000001</v>
          </cell>
        </row>
        <row r="800">
          <cell r="A800" t="str">
            <v>2 S 04 991 01</v>
          </cell>
          <cell r="B800" t="str">
            <v>Tampa concr. p/caixa colet. (4 nervuras) - TCC 01</v>
          </cell>
          <cell r="E800" t="str">
            <v>und</v>
          </cell>
          <cell r="G800">
            <v>79.02</v>
          </cell>
          <cell r="M800">
            <v>88.19</v>
          </cell>
          <cell r="O800">
            <v>91.29</v>
          </cell>
          <cell r="Q800">
            <v>90.43</v>
          </cell>
          <cell r="S800">
            <v>91.57</v>
          </cell>
        </row>
        <row r="801">
          <cell r="A801" t="str">
            <v>2 S 04 991 02</v>
          </cell>
          <cell r="B801" t="str">
            <v>Tampa de ferro p/ caixa coletora - TCC 02</v>
          </cell>
          <cell r="E801" t="str">
            <v>und</v>
          </cell>
          <cell r="G801">
            <v>148.72999999999999</v>
          </cell>
          <cell r="M801">
            <v>188.86</v>
          </cell>
          <cell r="O801">
            <v>194.39</v>
          </cell>
          <cell r="Q801">
            <v>192.07</v>
          </cell>
          <cell r="S801">
            <v>192.14</v>
          </cell>
        </row>
        <row r="802">
          <cell r="A802" t="str">
            <v>2 S 04 999 03</v>
          </cell>
          <cell r="B802" t="str">
            <v>Escoramento de bueiros celulares</v>
          </cell>
          <cell r="E802" t="str">
            <v>m3</v>
          </cell>
          <cell r="G802">
            <v>25.9</v>
          </cell>
          <cell r="M802">
            <v>30.26</v>
          </cell>
          <cell r="O802">
            <v>30.27</v>
          </cell>
          <cell r="Q802">
            <v>29.95</v>
          </cell>
          <cell r="S802">
            <v>29.82</v>
          </cell>
        </row>
        <row r="803">
          <cell r="A803" t="str">
            <v>2 S 04 999 06</v>
          </cell>
          <cell r="B803" t="str">
            <v>Solo local / selo de argila apiloado</v>
          </cell>
          <cell r="E803" t="str">
            <v>m3</v>
          </cell>
          <cell r="G803">
            <v>8.43</v>
          </cell>
          <cell r="M803">
            <v>10.119999999999999</v>
          </cell>
          <cell r="O803">
            <v>10.119999999999999</v>
          </cell>
          <cell r="Q803">
            <v>10.119999999999999</v>
          </cell>
          <cell r="S803">
            <v>10.119999999999999</v>
          </cell>
        </row>
        <row r="804">
          <cell r="A804" t="str">
            <v>2 S 04 999 07</v>
          </cell>
          <cell r="B804" t="str">
            <v>Lastro de brita</v>
          </cell>
          <cell r="E804" t="str">
            <v>m3</v>
          </cell>
          <cell r="G804">
            <v>27.8</v>
          </cell>
          <cell r="M804">
            <v>31.46</v>
          </cell>
          <cell r="O804">
            <v>32.03</v>
          </cell>
          <cell r="Q804">
            <v>31.41</v>
          </cell>
          <cell r="S804">
            <v>32.880000000000003</v>
          </cell>
        </row>
        <row r="805">
          <cell r="A805" t="str">
            <v>2 S 05 000 06</v>
          </cell>
          <cell r="B805" t="str">
            <v>Calha metálica semi-circular D=0,40 m</v>
          </cell>
          <cell r="E805" t="str">
            <v>m</v>
          </cell>
          <cell r="G805">
            <v>93.01</v>
          </cell>
          <cell r="M805">
            <v>112.33</v>
          </cell>
          <cell r="O805">
            <v>125.07</v>
          </cell>
          <cell r="Q805">
            <v>125.87</v>
          </cell>
          <cell r="S805">
            <v>125.87</v>
          </cell>
        </row>
        <row r="806">
          <cell r="A806" t="str">
            <v>2 S 05 000 09</v>
          </cell>
          <cell r="B806" t="str">
            <v>Dentes para bueiros simples D=0,60 m</v>
          </cell>
          <cell r="E806" t="str">
            <v>und</v>
          </cell>
          <cell r="G806">
            <v>31.33</v>
          </cell>
          <cell r="M806">
            <v>34.75</v>
          </cell>
          <cell r="O806">
            <v>35.590000000000003</v>
          </cell>
          <cell r="Q806">
            <v>34.590000000000003</v>
          </cell>
          <cell r="S806">
            <v>35.909999999999997</v>
          </cell>
        </row>
        <row r="807">
          <cell r="A807" t="str">
            <v>2 S 05 000 10</v>
          </cell>
          <cell r="B807" t="str">
            <v>Dentes para bueiros simples D=0,80 m</v>
          </cell>
          <cell r="E807" t="str">
            <v>und</v>
          </cell>
          <cell r="G807">
            <v>39</v>
          </cell>
          <cell r="M807">
            <v>43.21</v>
          </cell>
          <cell r="O807">
            <v>44.28</v>
          </cell>
          <cell r="Q807">
            <v>43.04</v>
          </cell>
          <cell r="S807">
            <v>44.69</v>
          </cell>
        </row>
        <row r="808">
          <cell r="A808" t="str">
            <v>2 S 05 000 11</v>
          </cell>
          <cell r="B808" t="str">
            <v>Dentes para bueiros simples D=1,00 m</v>
          </cell>
          <cell r="E808" t="str">
            <v>und</v>
          </cell>
          <cell r="G808">
            <v>46.37</v>
          </cell>
          <cell r="M808">
            <v>51.38</v>
          </cell>
          <cell r="O808">
            <v>52.64</v>
          </cell>
          <cell r="Q808">
            <v>51.15</v>
          </cell>
          <cell r="S808">
            <v>53.12</v>
          </cell>
        </row>
        <row r="809">
          <cell r="A809" t="str">
            <v>2 S 05 000 12</v>
          </cell>
          <cell r="B809" t="str">
            <v>Dentes para bueiros simples D=1,20 m</v>
          </cell>
          <cell r="E809" t="str">
            <v>und</v>
          </cell>
          <cell r="G809">
            <v>52.65</v>
          </cell>
          <cell r="M809">
            <v>58.29</v>
          </cell>
          <cell r="O809">
            <v>59.73</v>
          </cell>
          <cell r="Q809">
            <v>58</v>
          </cell>
          <cell r="S809">
            <v>60.28</v>
          </cell>
        </row>
        <row r="810">
          <cell r="A810" t="str">
            <v>2 S 05 000 13</v>
          </cell>
          <cell r="B810" t="str">
            <v>Dentes para bueiros simples D=1,50 m</v>
          </cell>
          <cell r="E810" t="str">
            <v>und</v>
          </cell>
          <cell r="G810">
            <v>66.75</v>
          </cell>
          <cell r="M810">
            <v>73.989999999999995</v>
          </cell>
          <cell r="O810">
            <v>75.87</v>
          </cell>
          <cell r="Q810">
            <v>73.819999999999993</v>
          </cell>
          <cell r="S810">
            <v>76.540000000000006</v>
          </cell>
        </row>
        <row r="811">
          <cell r="A811" t="str">
            <v>2 S 05 000 14</v>
          </cell>
          <cell r="B811" t="str">
            <v>Dentes para bueiros duplos D=1,00 m</v>
          </cell>
          <cell r="E811" t="str">
            <v>und</v>
          </cell>
          <cell r="G811">
            <v>92.9</v>
          </cell>
          <cell r="M811">
            <v>102.94</v>
          </cell>
          <cell r="O811">
            <v>105.47</v>
          </cell>
          <cell r="Q811">
            <v>102.48</v>
          </cell>
          <cell r="S811">
            <v>106.44</v>
          </cell>
        </row>
        <row r="812">
          <cell r="A812" t="str">
            <v>2 S 05 000 15</v>
          </cell>
          <cell r="B812" t="str">
            <v>Dentes para bueiros duplos D=1,20 m</v>
          </cell>
          <cell r="E812" t="str">
            <v>und</v>
          </cell>
          <cell r="G812">
            <v>105.15</v>
          </cell>
          <cell r="M812">
            <v>116.41</v>
          </cell>
          <cell r="O812">
            <v>119.28</v>
          </cell>
          <cell r="Q812">
            <v>115.84</v>
          </cell>
          <cell r="S812">
            <v>120.39</v>
          </cell>
        </row>
        <row r="813">
          <cell r="A813" t="str">
            <v>2 S 05 000 16</v>
          </cell>
          <cell r="B813" t="str">
            <v>Dentes para bueiros duplos D=1,50 m</v>
          </cell>
          <cell r="E813" t="str">
            <v>und</v>
          </cell>
          <cell r="G813">
            <v>129.72</v>
          </cell>
          <cell r="M813">
            <v>143.77000000000001</v>
          </cell>
          <cell r="O813">
            <v>147.33000000000001</v>
          </cell>
          <cell r="Q813">
            <v>143.22999999999999</v>
          </cell>
          <cell r="S813">
            <v>148.66</v>
          </cell>
        </row>
        <row r="814">
          <cell r="A814" t="str">
            <v>2 S 05 000 17</v>
          </cell>
          <cell r="B814" t="str">
            <v>Dentes para bueiros triplos D=1,00 m</v>
          </cell>
          <cell r="E814" t="str">
            <v>und</v>
          </cell>
          <cell r="G814">
            <v>136.16999999999999</v>
          </cell>
          <cell r="M814">
            <v>150.86000000000001</v>
          </cell>
          <cell r="O814">
            <v>154.47999999999999</v>
          </cell>
          <cell r="Q814">
            <v>150.01</v>
          </cell>
          <cell r="S814">
            <v>155.93</v>
          </cell>
        </row>
        <row r="815">
          <cell r="A815" t="str">
            <v>2 S 05 000 18</v>
          </cell>
          <cell r="B815" t="str">
            <v>Dentes para bueiros triplos D=1,20</v>
          </cell>
          <cell r="E815" t="str">
            <v>und</v>
          </cell>
          <cell r="G815">
            <v>157.81</v>
          </cell>
          <cell r="M815">
            <v>174.71</v>
          </cell>
          <cell r="O815">
            <v>179.01</v>
          </cell>
          <cell r="Q815">
            <v>173.85</v>
          </cell>
          <cell r="S815">
            <v>180.68</v>
          </cell>
        </row>
        <row r="816">
          <cell r="A816" t="str">
            <v>2 S 05 000 19</v>
          </cell>
          <cell r="B816" t="str">
            <v>Dentes para bueiros triplos D=1,50 m</v>
          </cell>
          <cell r="E816" t="str">
            <v>und</v>
          </cell>
          <cell r="G816">
            <v>192.19</v>
          </cell>
          <cell r="M816">
            <v>212.96</v>
          </cell>
          <cell r="O816">
            <v>218.2</v>
          </cell>
          <cell r="Q816">
            <v>212.05</v>
          </cell>
          <cell r="S816">
            <v>220.2</v>
          </cell>
        </row>
        <row r="817">
          <cell r="A817" t="str">
            <v>2 S 05 100 00</v>
          </cell>
          <cell r="B817" t="str">
            <v>Enleivamento</v>
          </cell>
          <cell r="E817" t="str">
            <v>m2</v>
          </cell>
          <cell r="G817">
            <v>3.36</v>
          </cell>
          <cell r="M817">
            <v>3.92</v>
          </cell>
          <cell r="O817">
            <v>3.92</v>
          </cell>
          <cell r="Q817">
            <v>3.85</v>
          </cell>
          <cell r="S817">
            <v>3.85</v>
          </cell>
        </row>
        <row r="818">
          <cell r="A818" t="str">
            <v>2 S 05 102 00</v>
          </cell>
          <cell r="B818" t="str">
            <v>Hidrossemeadura</v>
          </cell>
          <cell r="E818" t="str">
            <v>m2</v>
          </cell>
          <cell r="G818">
            <v>1.1399999999999999</v>
          </cell>
          <cell r="M818">
            <v>0.84</v>
          </cell>
          <cell r="O818">
            <v>0.86</v>
          </cell>
          <cell r="Q818">
            <v>0.84</v>
          </cell>
          <cell r="S818">
            <v>0.85</v>
          </cell>
        </row>
        <row r="819">
          <cell r="A819" t="str">
            <v>2 S 05 300 01</v>
          </cell>
          <cell r="B819" t="str">
            <v>Alvenaria de pedra arrumada</v>
          </cell>
          <cell r="E819" t="str">
            <v>m3</v>
          </cell>
          <cell r="G819">
            <v>47.78</v>
          </cell>
          <cell r="M819">
            <v>55.63</v>
          </cell>
          <cell r="O819">
            <v>56.22</v>
          </cell>
          <cell r="Q819">
            <v>55.59</v>
          </cell>
          <cell r="S819">
            <v>57.06</v>
          </cell>
        </row>
        <row r="820">
          <cell r="A820" t="str">
            <v>2 S 05 300 02</v>
          </cell>
          <cell r="B820" t="str">
            <v>Enrocamento de pedra jogada</v>
          </cell>
          <cell r="E820" t="str">
            <v>m3</v>
          </cell>
          <cell r="G820">
            <v>27.48</v>
          </cell>
          <cell r="M820">
            <v>31.54</v>
          </cell>
          <cell r="O820">
            <v>32.03</v>
          </cell>
          <cell r="Q820">
            <v>31.5</v>
          </cell>
          <cell r="S820">
            <v>32.729999999999997</v>
          </cell>
        </row>
        <row r="821">
          <cell r="A821" t="str">
            <v>2 S 05 301 00</v>
          </cell>
          <cell r="B821" t="str">
            <v>Alvenaria de pedra argamassada</v>
          </cell>
          <cell r="E821" t="str">
            <v>m3</v>
          </cell>
          <cell r="G821">
            <v>123.04</v>
          </cell>
          <cell r="M821">
            <v>136.59</v>
          </cell>
          <cell r="O821">
            <v>139.43</v>
          </cell>
          <cell r="Q821">
            <v>135.06</v>
          </cell>
          <cell r="S821">
            <v>140.97999999999999</v>
          </cell>
        </row>
        <row r="822">
          <cell r="A822" t="str">
            <v>2 S 05 301 01</v>
          </cell>
          <cell r="B822" t="str">
            <v>Alvenaria tijolos de 20 cm de espessura</v>
          </cell>
          <cell r="E822" t="str">
            <v>m2</v>
          </cell>
          <cell r="G822">
            <v>26.67</v>
          </cell>
          <cell r="M822">
            <v>33.06</v>
          </cell>
          <cell r="O822">
            <v>33.17</v>
          </cell>
          <cell r="Q822">
            <v>33.01</v>
          </cell>
          <cell r="S822">
            <v>33.21</v>
          </cell>
        </row>
        <row r="823">
          <cell r="A823" t="str">
            <v>2 S 05 302 01</v>
          </cell>
          <cell r="B823" t="str">
            <v>Muro gabião tipo caixa</v>
          </cell>
          <cell r="E823" t="str">
            <v>m3</v>
          </cell>
          <cell r="G823">
            <v>124.7</v>
          </cell>
          <cell r="M823">
            <v>145.96</v>
          </cell>
          <cell r="O823">
            <v>138.34</v>
          </cell>
          <cell r="Q823">
            <v>137.43</v>
          </cell>
          <cell r="S823">
            <v>138.84</v>
          </cell>
        </row>
        <row r="824">
          <cell r="A824" t="str">
            <v>2 S 05 303 01</v>
          </cell>
          <cell r="B824" t="str">
            <v>Terra armada - ECE - greide 0,0&lt;h&lt;6,00m</v>
          </cell>
          <cell r="E824" t="str">
            <v>m2</v>
          </cell>
          <cell r="G824">
            <v>185.44</v>
          </cell>
          <cell r="M824">
            <v>196.56</v>
          </cell>
          <cell r="O824">
            <v>196.56</v>
          </cell>
          <cell r="Q824">
            <v>218.81</v>
          </cell>
          <cell r="S824">
            <v>218.81</v>
          </cell>
        </row>
        <row r="825">
          <cell r="A825" t="str">
            <v>2 S 05 303 02</v>
          </cell>
          <cell r="B825" t="str">
            <v>Terra armada - ECE - greide 6,0&lt;h&lt;9,00m</v>
          </cell>
          <cell r="E825" t="str">
            <v>m2</v>
          </cell>
          <cell r="G825">
            <v>208.05</v>
          </cell>
          <cell r="M825">
            <v>220.52</v>
          </cell>
          <cell r="O825">
            <v>220.52</v>
          </cell>
          <cell r="Q825">
            <v>245.49</v>
          </cell>
          <cell r="S825">
            <v>245.49</v>
          </cell>
        </row>
        <row r="826">
          <cell r="A826" t="str">
            <v>2 S 05 303 03</v>
          </cell>
          <cell r="B826" t="str">
            <v>Terra armada - ECE - greide 9,0&lt;h&lt;12,00m</v>
          </cell>
          <cell r="E826" t="str">
            <v>m2</v>
          </cell>
          <cell r="G826">
            <v>230.67</v>
          </cell>
          <cell r="M826">
            <v>244.38</v>
          </cell>
          <cell r="O826">
            <v>244.38</v>
          </cell>
          <cell r="Q826">
            <v>272.19</v>
          </cell>
          <cell r="S826">
            <v>272.19</v>
          </cell>
        </row>
        <row r="827">
          <cell r="A827" t="str">
            <v>2 S 05 303 04</v>
          </cell>
          <cell r="B827" t="str">
            <v>Terra armada - ECE - pé de talude 0,0&lt;h&lt;6,00m</v>
          </cell>
          <cell r="E827" t="str">
            <v>m2</v>
          </cell>
          <cell r="G827">
            <v>218.61</v>
          </cell>
          <cell r="M827">
            <v>231.72</v>
          </cell>
          <cell r="O827">
            <v>231.72</v>
          </cell>
          <cell r="Q827">
            <v>257.95</v>
          </cell>
          <cell r="S827">
            <v>257.95</v>
          </cell>
        </row>
        <row r="828">
          <cell r="A828" t="str">
            <v>2 S 05 303 05</v>
          </cell>
          <cell r="B828" t="str">
            <v>Terra armada - ECE - pé de talude 6,0&lt;h&lt;9,00m</v>
          </cell>
          <cell r="E828" t="str">
            <v>m2</v>
          </cell>
          <cell r="G828">
            <v>245.74</v>
          </cell>
          <cell r="M828">
            <v>260.49</v>
          </cell>
          <cell r="O828">
            <v>260.49</v>
          </cell>
          <cell r="Q828">
            <v>289.97000000000003</v>
          </cell>
          <cell r="S828">
            <v>289.97000000000003</v>
          </cell>
        </row>
        <row r="829">
          <cell r="A829" t="str">
            <v>2 S 05 303 06</v>
          </cell>
          <cell r="B829" t="str">
            <v>Terra armada - ECE - pé de talude 9,0&lt;h&lt;12,00m</v>
          </cell>
          <cell r="E829" t="str">
            <v>m2</v>
          </cell>
          <cell r="G829">
            <v>271.38</v>
          </cell>
          <cell r="M829">
            <v>287.66000000000003</v>
          </cell>
          <cell r="O829">
            <v>287.66000000000003</v>
          </cell>
          <cell r="Q829">
            <v>324.2</v>
          </cell>
          <cell r="S829">
            <v>324.2</v>
          </cell>
        </row>
        <row r="830">
          <cell r="A830" t="str">
            <v>2 S 05 303 07</v>
          </cell>
          <cell r="B830" t="str">
            <v>Terra armada - ECE - encontro portante 0,0&lt;h&lt;6,00m</v>
          </cell>
          <cell r="E830" t="str">
            <v>m2</v>
          </cell>
          <cell r="G830">
            <v>398.04</v>
          </cell>
          <cell r="M830">
            <v>421.92</v>
          </cell>
          <cell r="O830">
            <v>421.92</v>
          </cell>
          <cell r="Q830">
            <v>469.68</v>
          </cell>
          <cell r="S830">
            <v>469.68</v>
          </cell>
        </row>
        <row r="831">
          <cell r="A831" t="str">
            <v>2 S 05 303 08</v>
          </cell>
          <cell r="B831" t="str">
            <v>Terra armada - ECE - encontro portante 6,0&lt;h&lt;9,00m</v>
          </cell>
          <cell r="E831" t="str">
            <v>m2</v>
          </cell>
          <cell r="G831">
            <v>530.41999999999996</v>
          </cell>
          <cell r="M831">
            <v>562.24</v>
          </cell>
          <cell r="O831">
            <v>562.24</v>
          </cell>
          <cell r="Q831">
            <v>625.9</v>
          </cell>
          <cell r="S831">
            <v>625.9</v>
          </cell>
        </row>
        <row r="832">
          <cell r="A832" t="str">
            <v>2 S 05 303 09</v>
          </cell>
          <cell r="B832" t="str">
            <v>Escamas de concreto armado para terra armada</v>
          </cell>
          <cell r="E832" t="str">
            <v>m3</v>
          </cell>
          <cell r="G832">
            <v>470.28</v>
          </cell>
          <cell r="M832">
            <v>517.65</v>
          </cell>
          <cell r="O832">
            <v>535.33000000000004</v>
          </cell>
          <cell r="Q832">
            <v>524.22</v>
          </cell>
          <cell r="S832">
            <v>539.16999999999996</v>
          </cell>
        </row>
        <row r="833">
          <cell r="A833" t="str">
            <v>2 S 05 303 10</v>
          </cell>
          <cell r="B833" t="str">
            <v>Concr. soleira e arremates de maciço terra armada</v>
          </cell>
          <cell r="E833" t="str">
            <v>m3</v>
          </cell>
          <cell r="G833">
            <v>227.24</v>
          </cell>
          <cell r="M833">
            <v>248.06</v>
          </cell>
          <cell r="O833">
            <v>254.14</v>
          </cell>
          <cell r="Q833">
            <v>244.32</v>
          </cell>
          <cell r="S833">
            <v>256.86</v>
          </cell>
        </row>
        <row r="834">
          <cell r="A834" t="str">
            <v>2 S 05 303 11</v>
          </cell>
          <cell r="B834" t="str">
            <v>Montagem de maciço terra armada</v>
          </cell>
          <cell r="E834" t="str">
            <v>m2</v>
          </cell>
          <cell r="G834">
            <v>54.44</v>
          </cell>
          <cell r="M834">
            <v>63.72</v>
          </cell>
          <cell r="O834">
            <v>63.72</v>
          </cell>
          <cell r="Q834">
            <v>62.93</v>
          </cell>
          <cell r="S834">
            <v>62.93</v>
          </cell>
        </row>
        <row r="835">
          <cell r="A835" t="str">
            <v>2 S 05 340 01</v>
          </cell>
          <cell r="B835" t="str">
            <v>Execução cortina atirantada conc.armado fck=15 MPa</v>
          </cell>
          <cell r="E835" t="str">
            <v>m2</v>
          </cell>
          <cell r="G835">
            <v>776.35</v>
          </cell>
          <cell r="M835">
            <v>859.06</v>
          </cell>
          <cell r="O835">
            <v>882.36</v>
          </cell>
          <cell r="Q835">
            <v>881.64</v>
          </cell>
          <cell r="S835">
            <v>893.71</v>
          </cell>
        </row>
        <row r="836">
          <cell r="A836" t="str">
            <v>2 S 05 900 01</v>
          </cell>
          <cell r="B836" t="str">
            <v>Tirante protendido p/ cort. aço st 85/105 D= 32mm</v>
          </cell>
          <cell r="E836" t="str">
            <v>m</v>
          </cell>
          <cell r="G836">
            <v>75.650000000000006</v>
          </cell>
          <cell r="M836">
            <v>85.2</v>
          </cell>
          <cell r="O836">
            <v>86.05</v>
          </cell>
          <cell r="Q836">
            <v>86.03</v>
          </cell>
          <cell r="S836">
            <v>86.08</v>
          </cell>
        </row>
        <row r="837">
          <cell r="A837" t="str">
            <v>2 S 06 210 01</v>
          </cell>
          <cell r="B837" t="str">
            <v>Pórtico metálico</v>
          </cell>
          <cell r="E837" t="str">
            <v>und</v>
          </cell>
          <cell r="G837">
            <v>39739.339999999997</v>
          </cell>
          <cell r="M837">
            <v>40019.26</v>
          </cell>
          <cell r="O837">
            <v>40044.01</v>
          </cell>
          <cell r="Q837">
            <v>40004.67</v>
          </cell>
          <cell r="S837">
            <v>40055.39</v>
          </cell>
        </row>
        <row r="838">
          <cell r="A838" t="str">
            <v>2 S 06 400 01</v>
          </cell>
          <cell r="B838" t="str">
            <v>Cerca arame farp. c/ mourão concr. seção quadrada</v>
          </cell>
          <cell r="E838" t="str">
            <v>m</v>
          </cell>
          <cell r="G838">
            <v>12.2</v>
          </cell>
          <cell r="M838">
            <v>14.91</v>
          </cell>
          <cell r="O838">
            <v>15.13</v>
          </cell>
          <cell r="Q838">
            <v>15.44</v>
          </cell>
          <cell r="S838">
            <v>14.52</v>
          </cell>
        </row>
        <row r="839">
          <cell r="A839" t="str">
            <v>2 S 06 400 02</v>
          </cell>
          <cell r="B839" t="str">
            <v>Cerca arame farp. c/ mourão concr. seção triang.</v>
          </cell>
          <cell r="E839" t="str">
            <v>m</v>
          </cell>
          <cell r="G839">
            <v>9.64</v>
          </cell>
          <cell r="M839">
            <v>11.54</v>
          </cell>
          <cell r="O839">
            <v>11.7</v>
          </cell>
          <cell r="Q839">
            <v>12.02</v>
          </cell>
          <cell r="S839">
            <v>11.56</v>
          </cell>
        </row>
        <row r="840">
          <cell r="A840" t="str">
            <v>2 S 06 410 00</v>
          </cell>
          <cell r="B840" t="str">
            <v>Cercas de arame farpado com suportes de madeira</v>
          </cell>
          <cell r="E840" t="str">
            <v>m</v>
          </cell>
          <cell r="G840">
            <v>5.53</v>
          </cell>
          <cell r="M840">
            <v>7.8</v>
          </cell>
          <cell r="O840">
            <v>7.83</v>
          </cell>
          <cell r="Q840">
            <v>8.1199999999999992</v>
          </cell>
          <cell r="S840">
            <v>8.1199999999999992</v>
          </cell>
        </row>
        <row r="841">
          <cell r="A841" t="str">
            <v>2 S 09 001 05</v>
          </cell>
          <cell r="B841" t="str">
            <v>Transporte local em rodov. não pav. (const.)</v>
          </cell>
          <cell r="E841" t="str">
            <v>tkm</v>
          </cell>
          <cell r="G841">
            <v>0.42</v>
          </cell>
          <cell r="M841">
            <v>0.46</v>
          </cell>
          <cell r="O841">
            <v>0.47</v>
          </cell>
          <cell r="Q841">
            <v>0.45</v>
          </cell>
          <cell r="S841">
            <v>0.45</v>
          </cell>
        </row>
        <row r="842">
          <cell r="A842" t="str">
            <v>2 S 09 001 40</v>
          </cell>
          <cell r="B842" t="str">
            <v>Transporte local c/ carroceria em rodovia não pav.</v>
          </cell>
          <cell r="E842" t="str">
            <v>tkm</v>
          </cell>
          <cell r="G842">
            <v>0.47</v>
          </cell>
          <cell r="M842">
            <v>0.53</v>
          </cell>
          <cell r="O842">
            <v>0.53</v>
          </cell>
          <cell r="Q842">
            <v>0.51</v>
          </cell>
          <cell r="S842">
            <v>0.51</v>
          </cell>
        </row>
        <row r="843">
          <cell r="A843" t="str">
            <v>2 S 09 001 90</v>
          </cell>
          <cell r="B843" t="str">
            <v>Transporte comercial c/ carr. rodov. não pav.</v>
          </cell>
          <cell r="E843" t="str">
            <v>tkm</v>
          </cell>
          <cell r="G843">
            <v>0.32</v>
          </cell>
          <cell r="M843">
            <v>0.35</v>
          </cell>
          <cell r="O843">
            <v>0.36</v>
          </cell>
          <cell r="Q843">
            <v>0.35</v>
          </cell>
          <cell r="S843">
            <v>0.35</v>
          </cell>
        </row>
        <row r="844">
          <cell r="A844" t="str">
            <v>2 S 09 002 05</v>
          </cell>
          <cell r="B844" t="str">
            <v>Transporte local em rodov. pavim. (const.)</v>
          </cell>
          <cell r="E844" t="str">
            <v>tkm</v>
          </cell>
          <cell r="G844">
            <v>0.32</v>
          </cell>
          <cell r="M844">
            <v>0.36</v>
          </cell>
          <cell r="O844">
            <v>0.36</v>
          </cell>
          <cell r="Q844">
            <v>0.35</v>
          </cell>
          <cell r="S844">
            <v>0.35</v>
          </cell>
        </row>
        <row r="845">
          <cell r="A845" t="str">
            <v>2 S 09 002 40</v>
          </cell>
          <cell r="B845" t="str">
            <v>Transporte local c/ carroceria em rodov. pavim.</v>
          </cell>
          <cell r="E845" t="str">
            <v>tkm</v>
          </cell>
          <cell r="G845">
            <v>0.35</v>
          </cell>
          <cell r="M845">
            <v>0.39</v>
          </cell>
          <cell r="O845">
            <v>0.4</v>
          </cell>
          <cell r="Q845">
            <v>0.38</v>
          </cell>
          <cell r="S845">
            <v>0.38</v>
          </cell>
        </row>
        <row r="846">
          <cell r="A846" t="str">
            <v>2 S 09 002 90</v>
          </cell>
          <cell r="B846" t="str">
            <v>Transporte comerc. c/ carr. rodov. pavim.</v>
          </cell>
          <cell r="E846" t="str">
            <v>tkm</v>
          </cell>
          <cell r="G846">
            <v>0.21</v>
          </cell>
          <cell r="M846">
            <v>0.23</v>
          </cell>
          <cell r="O846">
            <v>0.24</v>
          </cell>
          <cell r="Q846">
            <v>0.23</v>
          </cell>
          <cell r="S846">
            <v>0.23</v>
          </cell>
        </row>
        <row r="847">
          <cell r="B847" t="str">
            <v>Conservação</v>
          </cell>
        </row>
        <row r="848">
          <cell r="A848" t="str">
            <v>3 S 01 200 00</v>
          </cell>
          <cell r="B848" t="str">
            <v>Escavação e carga mat. jazida (consv)</v>
          </cell>
          <cell r="E848" t="str">
            <v>m3</v>
          </cell>
          <cell r="G848">
            <v>6.5</v>
          </cell>
          <cell r="M848">
            <v>6.73</v>
          </cell>
          <cell r="O848">
            <v>6.81</v>
          </cell>
          <cell r="Q848">
            <v>6.71</v>
          </cell>
          <cell r="S848">
            <v>6.71</v>
          </cell>
        </row>
        <row r="849">
          <cell r="A849" t="str">
            <v>3 S 01 401 00</v>
          </cell>
          <cell r="B849" t="str">
            <v>Recomposição de revestimento primário</v>
          </cell>
          <cell r="E849" t="str">
            <v>m3</v>
          </cell>
          <cell r="G849">
            <v>9.89</v>
          </cell>
          <cell r="M849">
            <v>10.41</v>
          </cell>
          <cell r="O849">
            <v>10.57</v>
          </cell>
          <cell r="Q849">
            <v>10.37</v>
          </cell>
          <cell r="S849">
            <v>10.37</v>
          </cell>
        </row>
        <row r="850">
          <cell r="A850" t="str">
            <v>3 S 01 930 00</v>
          </cell>
          <cell r="B850" t="str">
            <v>Regularização mecânica da faixa de domínio</v>
          </cell>
          <cell r="E850" t="str">
            <v>m2</v>
          </cell>
          <cell r="G850">
            <v>0.15</v>
          </cell>
          <cell r="M850">
            <v>0.15</v>
          </cell>
          <cell r="O850">
            <v>0.15</v>
          </cell>
          <cell r="Q850">
            <v>0.15</v>
          </cell>
          <cell r="S850">
            <v>0.15</v>
          </cell>
        </row>
        <row r="851">
          <cell r="A851" t="str">
            <v>3 S 02 200 00</v>
          </cell>
          <cell r="B851" t="str">
            <v>Solo p/ base de remendo profundo</v>
          </cell>
          <cell r="E851" t="str">
            <v>m3</v>
          </cell>
          <cell r="G851">
            <v>7.48</v>
          </cell>
          <cell r="M851">
            <v>7.74</v>
          </cell>
          <cell r="O851">
            <v>7.84</v>
          </cell>
          <cell r="Q851">
            <v>7.72</v>
          </cell>
          <cell r="S851">
            <v>7.72</v>
          </cell>
        </row>
        <row r="852">
          <cell r="A852" t="str">
            <v>3 S 02 200 01</v>
          </cell>
          <cell r="B852" t="str">
            <v>Recomposição de camada granular do pavimento</v>
          </cell>
          <cell r="E852" t="str">
            <v>m3</v>
          </cell>
          <cell r="G852">
            <v>11.61</v>
          </cell>
          <cell r="M852">
            <v>12.45</v>
          </cell>
          <cell r="O852">
            <v>12.57</v>
          </cell>
          <cell r="Q852">
            <v>12.32</v>
          </cell>
          <cell r="S852">
            <v>12.32</v>
          </cell>
        </row>
        <row r="853">
          <cell r="A853" t="str">
            <v>3 S 02 220 00</v>
          </cell>
          <cell r="B853" t="str">
            <v>Solo brita p/ base de rem. profundo</v>
          </cell>
          <cell r="E853" t="str">
            <v>m3</v>
          </cell>
          <cell r="G853">
            <v>17.2</v>
          </cell>
          <cell r="M853">
            <v>19.63</v>
          </cell>
          <cell r="O853">
            <v>19.899999999999999</v>
          </cell>
          <cell r="Q853">
            <v>19.63</v>
          </cell>
          <cell r="S853">
            <v>20.28</v>
          </cell>
        </row>
        <row r="854">
          <cell r="A854" t="str">
            <v>3 S 02 230 00</v>
          </cell>
          <cell r="B854" t="str">
            <v>Brita para base de remendo profundo</v>
          </cell>
          <cell r="E854" t="str">
            <v>m3</v>
          </cell>
          <cell r="G854">
            <v>37.79</v>
          </cell>
          <cell r="M854">
            <v>44.64</v>
          </cell>
          <cell r="O854">
            <v>45.27</v>
          </cell>
          <cell r="Q854">
            <v>44.67</v>
          </cell>
          <cell r="S854">
            <v>46.63</v>
          </cell>
        </row>
        <row r="855">
          <cell r="A855" t="str">
            <v>3 S 02 241 00</v>
          </cell>
          <cell r="B855" t="str">
            <v>Solo melhorado c/ cimento p/ base rem. profundo</v>
          </cell>
          <cell r="E855" t="str">
            <v>m3</v>
          </cell>
          <cell r="G855">
            <v>35.979999999999997</v>
          </cell>
          <cell r="M855">
            <v>37.99</v>
          </cell>
          <cell r="O855">
            <v>39.04</v>
          </cell>
          <cell r="Q855">
            <v>37.33</v>
          </cell>
          <cell r="S855">
            <v>39.4</v>
          </cell>
        </row>
        <row r="856">
          <cell r="A856" t="str">
            <v>3 S 02 300 00</v>
          </cell>
          <cell r="B856" t="str">
            <v>Imprimação</v>
          </cell>
          <cell r="E856" t="str">
            <v>m2</v>
          </cell>
          <cell r="G856">
            <v>0.13</v>
          </cell>
          <cell r="M856">
            <v>0.14000000000000001</v>
          </cell>
          <cell r="O856">
            <v>0.14000000000000001</v>
          </cell>
          <cell r="Q856">
            <v>0.14000000000000001</v>
          </cell>
          <cell r="S856">
            <v>0.14000000000000001</v>
          </cell>
        </row>
        <row r="857">
          <cell r="A857" t="str">
            <v>3 S 02 400 00</v>
          </cell>
          <cell r="B857" t="str">
            <v>Pintura de ligação</v>
          </cell>
          <cell r="E857" t="str">
            <v>m2</v>
          </cell>
          <cell r="G857">
            <v>0.09</v>
          </cell>
          <cell r="M857">
            <v>0.1</v>
          </cell>
          <cell r="O857">
            <v>0.1</v>
          </cell>
          <cell r="Q857">
            <v>0.1</v>
          </cell>
          <cell r="S857">
            <v>0.1</v>
          </cell>
        </row>
        <row r="858">
          <cell r="A858" t="str">
            <v>3 S 02 500 00</v>
          </cell>
          <cell r="B858" t="str">
            <v>Capa selante com pedrisco</v>
          </cell>
          <cell r="E858" t="str">
            <v>m2</v>
          </cell>
          <cell r="G858">
            <v>0.35</v>
          </cell>
          <cell r="M858">
            <v>0.41</v>
          </cell>
          <cell r="O858">
            <v>0.41</v>
          </cell>
          <cell r="Q858">
            <v>0.4</v>
          </cell>
          <cell r="S858">
            <v>0.41</v>
          </cell>
        </row>
        <row r="859">
          <cell r="A859" t="str">
            <v>3 S 02 500 01</v>
          </cell>
          <cell r="B859" t="str">
            <v>Capa selante com areia</v>
          </cell>
          <cell r="E859" t="str">
            <v>m2</v>
          </cell>
          <cell r="G859">
            <v>0.18</v>
          </cell>
          <cell r="M859">
            <v>0.21</v>
          </cell>
          <cell r="O859">
            <v>0.21</v>
          </cell>
          <cell r="Q859">
            <v>0.2</v>
          </cell>
          <cell r="S859">
            <v>0.2</v>
          </cell>
        </row>
        <row r="860">
          <cell r="A860" t="str">
            <v>3 S 02 500 02</v>
          </cell>
          <cell r="B860" t="str">
            <v>Tratamento superficial simples com CAP</v>
          </cell>
          <cell r="E860" t="str">
            <v>m2</v>
          </cell>
          <cell r="G860">
            <v>0.49</v>
          </cell>
          <cell r="M860">
            <v>0.56999999999999995</v>
          </cell>
          <cell r="O860">
            <v>0.56999999999999995</v>
          </cell>
          <cell r="Q860">
            <v>0.56000000000000005</v>
          </cell>
          <cell r="S860">
            <v>0.56999999999999995</v>
          </cell>
        </row>
        <row r="861">
          <cell r="A861" t="str">
            <v>3 S 02 500 03</v>
          </cell>
          <cell r="B861" t="str">
            <v>Tratamento superficial simples com emulsão</v>
          </cell>
          <cell r="E861" t="str">
            <v>m2</v>
          </cell>
          <cell r="G861">
            <v>0.46</v>
          </cell>
          <cell r="M861">
            <v>0.53</v>
          </cell>
          <cell r="O861">
            <v>0.54</v>
          </cell>
          <cell r="Q861">
            <v>0.53</v>
          </cell>
          <cell r="S861">
            <v>0.54</v>
          </cell>
        </row>
        <row r="862">
          <cell r="A862" t="str">
            <v>3 S 02 500 04</v>
          </cell>
          <cell r="B862" t="str">
            <v>Tratamento superficial simples c/ banho diluído</v>
          </cell>
          <cell r="E862" t="str">
            <v>m2</v>
          </cell>
          <cell r="G862">
            <v>0.52</v>
          </cell>
          <cell r="M862">
            <v>0.6</v>
          </cell>
          <cell r="O862">
            <v>0.61</v>
          </cell>
          <cell r="Q862">
            <v>0.6</v>
          </cell>
          <cell r="S862">
            <v>0.61</v>
          </cell>
        </row>
        <row r="863">
          <cell r="A863" t="str">
            <v>3 S 02 501 00</v>
          </cell>
          <cell r="B863" t="str">
            <v>Tratamento superficial duplo c/ CAP</v>
          </cell>
          <cell r="E863" t="str">
            <v>m2</v>
          </cell>
          <cell r="G863">
            <v>1.48</v>
          </cell>
          <cell r="M863">
            <v>1.71</v>
          </cell>
          <cell r="O863">
            <v>1.72</v>
          </cell>
          <cell r="Q863">
            <v>1.68</v>
          </cell>
          <cell r="S863">
            <v>1.72</v>
          </cell>
        </row>
        <row r="864">
          <cell r="A864" t="str">
            <v>3 S 02 501 01</v>
          </cell>
          <cell r="B864" t="str">
            <v>Tratamento superficial duplo com emulsão</v>
          </cell>
          <cell r="E864" t="str">
            <v>m2</v>
          </cell>
          <cell r="G864">
            <v>1.47</v>
          </cell>
          <cell r="M864">
            <v>1.69</v>
          </cell>
          <cell r="O864">
            <v>1.7</v>
          </cell>
          <cell r="Q864">
            <v>1.67</v>
          </cell>
          <cell r="S864">
            <v>1.71</v>
          </cell>
        </row>
        <row r="865">
          <cell r="A865" t="str">
            <v>3 S 02 501 02</v>
          </cell>
          <cell r="B865" t="str">
            <v>Tratamento superficial duplo com banho diluído</v>
          </cell>
          <cell r="E865" t="str">
            <v>m2</v>
          </cell>
          <cell r="G865">
            <v>1.6</v>
          </cell>
          <cell r="M865">
            <v>1.85</v>
          </cell>
          <cell r="O865">
            <v>1.86</v>
          </cell>
          <cell r="Q865">
            <v>1.82</v>
          </cell>
          <cell r="S865">
            <v>1.86</v>
          </cell>
        </row>
        <row r="866">
          <cell r="A866" t="str">
            <v>3 S 02 502 00</v>
          </cell>
          <cell r="B866" t="str">
            <v>Tratamento superficial triplo com c.a.p.</v>
          </cell>
          <cell r="E866" t="str">
            <v>m2</v>
          </cell>
          <cell r="G866">
            <v>2.11</v>
          </cell>
          <cell r="M866">
            <v>2.4300000000000002</v>
          </cell>
          <cell r="O866">
            <v>2.44</v>
          </cell>
          <cell r="Q866">
            <v>2.39</v>
          </cell>
          <cell r="S866">
            <v>2.44</v>
          </cell>
        </row>
        <row r="867">
          <cell r="A867" t="str">
            <v>3 S 02 502 01</v>
          </cell>
          <cell r="B867" t="str">
            <v>Tratamento superficial triplo com emulsão</v>
          </cell>
          <cell r="E867" t="str">
            <v>m2</v>
          </cell>
          <cell r="G867">
            <v>2.13</v>
          </cell>
          <cell r="M867">
            <v>2.4500000000000002</v>
          </cell>
          <cell r="O867">
            <v>2.4700000000000002</v>
          </cell>
          <cell r="Q867">
            <v>2.41</v>
          </cell>
          <cell r="S867">
            <v>2.46</v>
          </cell>
        </row>
        <row r="868">
          <cell r="A868" t="str">
            <v>3 S 02 502 02</v>
          </cell>
          <cell r="B868" t="str">
            <v>Tratamento superficial triplo com banho diluído</v>
          </cell>
          <cell r="E868" t="str">
            <v>m2</v>
          </cell>
          <cell r="G868">
            <v>2.2799999999999998</v>
          </cell>
          <cell r="M868">
            <v>2.62</v>
          </cell>
          <cell r="O868">
            <v>2.64</v>
          </cell>
          <cell r="Q868">
            <v>2.58</v>
          </cell>
          <cell r="S868">
            <v>2.63</v>
          </cell>
        </row>
        <row r="869">
          <cell r="A869" t="str">
            <v>3 S 02 510 00</v>
          </cell>
          <cell r="B869" t="str">
            <v>Lama asfáltica fina (granulometrias I e II )</v>
          </cell>
          <cell r="E869" t="str">
            <v>m2</v>
          </cell>
          <cell r="G869">
            <v>0.51</v>
          </cell>
          <cell r="M869">
            <v>0.59</v>
          </cell>
          <cell r="O869">
            <v>0.59</v>
          </cell>
          <cell r="Q869">
            <v>0.57999999999999996</v>
          </cell>
          <cell r="S869">
            <v>0.59</v>
          </cell>
        </row>
        <row r="870">
          <cell r="A870" t="str">
            <v>3 S 02 510 01</v>
          </cell>
          <cell r="B870" t="str">
            <v>Lama asfáltica grossa (granulometrias III e IV)</v>
          </cell>
          <cell r="E870" t="str">
            <v>m2</v>
          </cell>
          <cell r="G870">
            <v>0.92</v>
          </cell>
          <cell r="M870">
            <v>1.07</v>
          </cell>
          <cell r="O870">
            <v>1.07</v>
          </cell>
          <cell r="Q870">
            <v>1.05</v>
          </cell>
          <cell r="S870">
            <v>1.06</v>
          </cell>
        </row>
        <row r="871">
          <cell r="A871" t="str">
            <v>3 S 02 520 00</v>
          </cell>
          <cell r="B871" t="str">
            <v>Mistura areia-asfalto em betoneira</v>
          </cell>
          <cell r="E871" t="str">
            <v>m3</v>
          </cell>
          <cell r="G871">
            <v>26</v>
          </cell>
          <cell r="M871">
            <v>29.71</v>
          </cell>
          <cell r="O871">
            <v>29.78</v>
          </cell>
          <cell r="Q871">
            <v>29.51</v>
          </cell>
          <cell r="S871">
            <v>29.51</v>
          </cell>
        </row>
        <row r="872">
          <cell r="A872" t="str">
            <v>3 S 02 520 01</v>
          </cell>
          <cell r="B872" t="str">
            <v>Mistura areia-asfalto usinada a frio</v>
          </cell>
          <cell r="E872" t="str">
            <v>m3</v>
          </cell>
          <cell r="G872">
            <v>17.82</v>
          </cell>
          <cell r="M872">
            <v>19.87</v>
          </cell>
          <cell r="O872">
            <v>19.96</v>
          </cell>
          <cell r="Q872">
            <v>19.559999999999999</v>
          </cell>
          <cell r="S872">
            <v>19.559999999999999</v>
          </cell>
        </row>
        <row r="873">
          <cell r="A873" t="str">
            <v>3 S 02 520 02</v>
          </cell>
          <cell r="B873" t="str">
            <v>Rec.do rev. com areia asfalto a frio</v>
          </cell>
          <cell r="E873" t="str">
            <v>m3</v>
          </cell>
          <cell r="G873">
            <v>20.87</v>
          </cell>
          <cell r="M873">
            <v>23.8</v>
          </cell>
          <cell r="O873">
            <v>23.8</v>
          </cell>
          <cell r="Q873">
            <v>23.26</v>
          </cell>
          <cell r="S873">
            <v>23.26</v>
          </cell>
        </row>
        <row r="874">
          <cell r="A874" t="str">
            <v>3 S 02 521 00</v>
          </cell>
          <cell r="B874" t="str">
            <v>Mistura areia-asfalto usinada a quente</v>
          </cell>
          <cell r="E874" t="str">
            <v>m3</v>
          </cell>
          <cell r="G874">
            <v>60.43</v>
          </cell>
          <cell r="M874">
            <v>64.95</v>
          </cell>
          <cell r="O874">
            <v>65.11</v>
          </cell>
          <cell r="Q874">
            <v>78.69</v>
          </cell>
          <cell r="S874">
            <v>62.94</v>
          </cell>
        </row>
        <row r="875">
          <cell r="A875" t="str">
            <v>3 S 02 521 01</v>
          </cell>
          <cell r="B875" t="str">
            <v>Rec. do rev. com areia asfalto a quente</v>
          </cell>
          <cell r="E875" t="str">
            <v>m3</v>
          </cell>
          <cell r="G875">
            <v>14.12</v>
          </cell>
          <cell r="M875">
            <v>16.22</v>
          </cell>
          <cell r="O875">
            <v>16.22</v>
          </cell>
          <cell r="Q875">
            <v>15.89</v>
          </cell>
          <cell r="S875">
            <v>15.89</v>
          </cell>
        </row>
        <row r="876">
          <cell r="A876" t="str">
            <v>3 S 02 530 00</v>
          </cell>
          <cell r="B876" t="str">
            <v>Mistura betuminosa em betoneira</v>
          </cell>
          <cell r="E876" t="str">
            <v>m3</v>
          </cell>
          <cell r="G876">
            <v>36.840000000000003</v>
          </cell>
          <cell r="M876">
            <v>43.11</v>
          </cell>
          <cell r="O876">
            <v>43.5</v>
          </cell>
          <cell r="Q876">
            <v>43</v>
          </cell>
          <cell r="S876">
            <v>44.07</v>
          </cell>
        </row>
        <row r="877">
          <cell r="A877" t="str">
            <v>3 S 02 530 01</v>
          </cell>
          <cell r="B877" t="str">
            <v>Mistura betuminosa usinada a frio</v>
          </cell>
          <cell r="E877" t="str">
            <v>m3</v>
          </cell>
          <cell r="G877">
            <v>35.82</v>
          </cell>
          <cell r="M877">
            <v>41.72</v>
          </cell>
          <cell r="O877">
            <v>42.13</v>
          </cell>
          <cell r="Q877">
            <v>41.43</v>
          </cell>
          <cell r="S877">
            <v>42.51</v>
          </cell>
        </row>
        <row r="878">
          <cell r="A878" t="str">
            <v>3 S 02 530 02</v>
          </cell>
          <cell r="B878" t="str">
            <v>Rec.do rev. com mistura betuminosa a frio</v>
          </cell>
          <cell r="E878" t="str">
            <v>m3</v>
          </cell>
          <cell r="G878">
            <v>23.66</v>
          </cell>
          <cell r="M878">
            <v>26.99</v>
          </cell>
          <cell r="O878">
            <v>26.99</v>
          </cell>
          <cell r="Q878">
            <v>26.39</v>
          </cell>
          <cell r="S878">
            <v>26.39</v>
          </cell>
        </row>
        <row r="879">
          <cell r="A879" t="str">
            <v>3 S 02 540 00</v>
          </cell>
          <cell r="B879" t="str">
            <v>Mistura betuminosa usinada a quente</v>
          </cell>
          <cell r="E879" t="str">
            <v>m3</v>
          </cell>
          <cell r="G879">
            <v>75.17</v>
          </cell>
          <cell r="M879">
            <v>83.64</v>
          </cell>
          <cell r="O879">
            <v>84.21</v>
          </cell>
          <cell r="Q879">
            <v>92.85</v>
          </cell>
          <cell r="S879">
            <v>83.6</v>
          </cell>
        </row>
        <row r="880">
          <cell r="A880" t="str">
            <v>3 S 02 540 01</v>
          </cell>
          <cell r="B880" t="str">
            <v>Rec.do rev.com mistura betuminosa a quente</v>
          </cell>
          <cell r="E880" t="str">
            <v>m3</v>
          </cell>
          <cell r="G880">
            <v>16.399999999999999</v>
          </cell>
          <cell r="M880">
            <v>18.84</v>
          </cell>
          <cell r="O880">
            <v>18.84</v>
          </cell>
          <cell r="Q880">
            <v>18.46</v>
          </cell>
          <cell r="S880">
            <v>18.46</v>
          </cell>
        </row>
        <row r="881">
          <cell r="A881" t="str">
            <v>3 S 02 601 00</v>
          </cell>
          <cell r="B881" t="str">
            <v>Recomposição de placa de concreto</v>
          </cell>
          <cell r="E881" t="str">
            <v>m3</v>
          </cell>
          <cell r="G881">
            <v>218.14</v>
          </cell>
          <cell r="M881">
            <v>237.8</v>
          </cell>
          <cell r="O881">
            <v>243.59</v>
          </cell>
          <cell r="Q881">
            <v>233.72</v>
          </cell>
          <cell r="S881">
            <v>246.49</v>
          </cell>
        </row>
        <row r="882">
          <cell r="A882" t="str">
            <v>3 S 02 900 00</v>
          </cell>
          <cell r="B882" t="str">
            <v>Remoção mecanizada de revestimento betuminoso</v>
          </cell>
          <cell r="E882" t="str">
            <v>m3</v>
          </cell>
          <cell r="G882">
            <v>5.77</v>
          </cell>
          <cell r="M882">
            <v>6.35</v>
          </cell>
          <cell r="O882">
            <v>6.65</v>
          </cell>
          <cell r="Q882">
            <v>6.48</v>
          </cell>
          <cell r="S882">
            <v>6.48</v>
          </cell>
        </row>
        <row r="883">
          <cell r="A883" t="str">
            <v>3 S 02 901 00</v>
          </cell>
          <cell r="B883" t="str">
            <v>Remoção manual de revestimento betuminoso</v>
          </cell>
          <cell r="E883" t="str">
            <v>m3</v>
          </cell>
          <cell r="G883">
            <v>94.96</v>
          </cell>
          <cell r="M883">
            <v>110.07</v>
          </cell>
          <cell r="O883">
            <v>110.91</v>
          </cell>
          <cell r="Q883">
            <v>109.05</v>
          </cell>
          <cell r="S883">
            <v>109.05</v>
          </cell>
        </row>
        <row r="884">
          <cell r="A884" t="str">
            <v>3 S 02 902 00</v>
          </cell>
          <cell r="B884" t="str">
            <v>Remoção mecanizada da camada granular do pavimento</v>
          </cell>
          <cell r="E884" t="str">
            <v>m3</v>
          </cell>
          <cell r="G884">
            <v>3.69</v>
          </cell>
          <cell r="M884">
            <v>4.03</v>
          </cell>
          <cell r="O884">
            <v>4.24</v>
          </cell>
          <cell r="Q884">
            <v>4.13</v>
          </cell>
          <cell r="S884">
            <v>4.13</v>
          </cell>
        </row>
        <row r="885">
          <cell r="A885" t="str">
            <v>3 S 02 903 00</v>
          </cell>
          <cell r="B885" t="str">
            <v>Remoção manual da camada granular do pavimento</v>
          </cell>
          <cell r="E885" t="str">
            <v>m3</v>
          </cell>
          <cell r="G885">
            <v>49.73</v>
          </cell>
          <cell r="M885">
            <v>58.21</v>
          </cell>
          <cell r="O885">
            <v>58.52</v>
          </cell>
          <cell r="Q885">
            <v>57.82</v>
          </cell>
          <cell r="S885">
            <v>57.82</v>
          </cell>
        </row>
        <row r="886">
          <cell r="A886" t="str">
            <v>3 S 02 999 00</v>
          </cell>
          <cell r="B886" t="str">
            <v>Peneiramento</v>
          </cell>
          <cell r="E886" t="str">
            <v>m3</v>
          </cell>
          <cell r="G886">
            <v>5.81</v>
          </cell>
          <cell r="M886">
            <v>6.98</v>
          </cell>
          <cell r="O886">
            <v>6.98</v>
          </cell>
          <cell r="Q886">
            <v>6.98</v>
          </cell>
          <cell r="S886">
            <v>6.98</v>
          </cell>
        </row>
        <row r="887">
          <cell r="A887" t="str">
            <v>3 S 03 310 00</v>
          </cell>
          <cell r="B887" t="str">
            <v>Concreto ciclópico</v>
          </cell>
          <cell r="E887" t="str">
            <v>m3</v>
          </cell>
          <cell r="G887">
            <v>166.47</v>
          </cell>
          <cell r="M887">
            <v>183.45</v>
          </cell>
          <cell r="O887">
            <v>187.34</v>
          </cell>
          <cell r="Q887">
            <v>180.79</v>
          </cell>
          <cell r="S887">
            <v>189.32</v>
          </cell>
        </row>
        <row r="888">
          <cell r="A888" t="str">
            <v>3 S 03 329 00</v>
          </cell>
          <cell r="B888" t="str">
            <v>Concreto de cimento (confecção e lançamento)</v>
          </cell>
          <cell r="E888" t="str">
            <v>m3</v>
          </cell>
          <cell r="G888">
            <v>209.35</v>
          </cell>
          <cell r="M888">
            <v>229.42</v>
          </cell>
          <cell r="O888">
            <v>234.67</v>
          </cell>
          <cell r="Q888">
            <v>225.85</v>
          </cell>
          <cell r="S888">
            <v>237.3</v>
          </cell>
        </row>
        <row r="889">
          <cell r="A889" t="str">
            <v>3 S 03 329 01</v>
          </cell>
          <cell r="B889" t="str">
            <v>Concreto de cimento(confecção manual e lançamento)</v>
          </cell>
          <cell r="E889" t="str">
            <v>m3</v>
          </cell>
          <cell r="G889">
            <v>242.57</v>
          </cell>
          <cell r="M889">
            <v>268.77999999999997</v>
          </cell>
          <cell r="O889">
            <v>274.27</v>
          </cell>
          <cell r="Q889">
            <v>265.27</v>
          </cell>
          <cell r="S889">
            <v>277.31</v>
          </cell>
        </row>
        <row r="890">
          <cell r="A890" t="str">
            <v>3 S 03 340 02</v>
          </cell>
          <cell r="B890" t="str">
            <v>Argamassa cimento areia 1-6</v>
          </cell>
          <cell r="E890" t="str">
            <v>m3</v>
          </cell>
          <cell r="G890">
            <v>180.21</v>
          </cell>
          <cell r="M890">
            <v>196.36</v>
          </cell>
          <cell r="O890">
            <v>200.78</v>
          </cell>
          <cell r="Q890">
            <v>193</v>
          </cell>
          <cell r="S890">
            <v>202.39</v>
          </cell>
        </row>
        <row r="891">
          <cell r="A891" t="str">
            <v>3 S 03 340 03</v>
          </cell>
          <cell r="B891" t="str">
            <v>Argamassa cimento solo 1:10</v>
          </cell>
          <cell r="E891" t="str">
            <v>m3</v>
          </cell>
          <cell r="G891">
            <v>113.44</v>
          </cell>
          <cell r="M891">
            <v>125.25</v>
          </cell>
          <cell r="O891">
            <v>127.58</v>
          </cell>
          <cell r="Q891">
            <v>123.54</v>
          </cell>
          <cell r="S891">
            <v>128.30000000000001</v>
          </cell>
        </row>
        <row r="892">
          <cell r="A892" t="str">
            <v>3 S 03 353 00</v>
          </cell>
          <cell r="B892" t="str">
            <v>Dobragem e colocação de armadura</v>
          </cell>
          <cell r="E892" t="str">
            <v>kg</v>
          </cell>
          <cell r="G892">
            <v>3.89</v>
          </cell>
          <cell r="M892">
            <v>4.34</v>
          </cell>
          <cell r="O892">
            <v>4.55</v>
          </cell>
          <cell r="Q892">
            <v>4.55</v>
          </cell>
          <cell r="S892">
            <v>4.55</v>
          </cell>
        </row>
        <row r="893">
          <cell r="A893" t="str">
            <v>3 S 03 370 00</v>
          </cell>
          <cell r="B893" t="str">
            <v>Forma comum de madeira</v>
          </cell>
          <cell r="E893" t="str">
            <v>m2</v>
          </cell>
          <cell r="G893">
            <v>27.81</v>
          </cell>
          <cell r="M893">
            <v>30.76</v>
          </cell>
          <cell r="O893">
            <v>30.84</v>
          </cell>
          <cell r="Q893">
            <v>31.06</v>
          </cell>
          <cell r="S893">
            <v>31.01</v>
          </cell>
        </row>
        <row r="894">
          <cell r="A894" t="str">
            <v>3 S 03 940 01</v>
          </cell>
          <cell r="B894" t="str">
            <v>Reaterro e compactação p/ bueiro</v>
          </cell>
          <cell r="E894" t="str">
            <v>m3</v>
          </cell>
          <cell r="G894">
            <v>13.94</v>
          </cell>
          <cell r="M894">
            <v>16.04</v>
          </cell>
          <cell r="O894">
            <v>16.04</v>
          </cell>
          <cell r="Q894">
            <v>15.98</v>
          </cell>
          <cell r="S894">
            <v>15.98</v>
          </cell>
        </row>
        <row r="895">
          <cell r="A895" t="str">
            <v>3 S 03 940 02</v>
          </cell>
          <cell r="B895" t="str">
            <v>Reaterro apiloado</v>
          </cell>
          <cell r="E895" t="str">
            <v>m3</v>
          </cell>
          <cell r="G895">
            <v>8.75</v>
          </cell>
          <cell r="M895">
            <v>10.5</v>
          </cell>
          <cell r="O895">
            <v>10.5</v>
          </cell>
          <cell r="Q895">
            <v>10.5</v>
          </cell>
          <cell r="S895">
            <v>10.5</v>
          </cell>
        </row>
        <row r="896">
          <cell r="A896" t="str">
            <v>3 S 03 950 00</v>
          </cell>
          <cell r="B896" t="str">
            <v>Limpeza de ponte</v>
          </cell>
          <cell r="E896" t="str">
            <v>m</v>
          </cell>
          <cell r="G896">
            <v>2.14</v>
          </cell>
          <cell r="M896">
            <v>2.52</v>
          </cell>
          <cell r="O896">
            <v>2.5299999999999998</v>
          </cell>
          <cell r="Q896">
            <v>2.5</v>
          </cell>
          <cell r="S896">
            <v>2.5</v>
          </cell>
        </row>
        <row r="897">
          <cell r="A897" t="str">
            <v>3 S 04 000 00</v>
          </cell>
          <cell r="B897" t="str">
            <v>Escavação manual em material de 1a categoria</v>
          </cell>
          <cell r="E897" t="str">
            <v>m3</v>
          </cell>
          <cell r="G897">
            <v>15.79</v>
          </cell>
          <cell r="M897">
            <v>18.95</v>
          </cell>
          <cell r="O897">
            <v>18.95</v>
          </cell>
          <cell r="Q897">
            <v>18.95</v>
          </cell>
          <cell r="S897">
            <v>18.95</v>
          </cell>
        </row>
        <row r="898">
          <cell r="A898" t="str">
            <v>3 S 04 000 01</v>
          </cell>
          <cell r="B898" t="str">
            <v>Escavação manual em material de 2a categoria</v>
          </cell>
          <cell r="E898" t="str">
            <v>m3</v>
          </cell>
          <cell r="G898">
            <v>21.06</v>
          </cell>
          <cell r="M898">
            <v>25.27</v>
          </cell>
          <cell r="O898">
            <v>25.27</v>
          </cell>
          <cell r="Q898">
            <v>25.27</v>
          </cell>
          <cell r="S898">
            <v>25.27</v>
          </cell>
        </row>
        <row r="899">
          <cell r="A899" t="str">
            <v>3 S 04 001 00</v>
          </cell>
          <cell r="B899" t="str">
            <v>Escavação mecaniz. de vala em mater. de 1a cat.</v>
          </cell>
          <cell r="E899" t="str">
            <v>m3</v>
          </cell>
          <cell r="G899">
            <v>3.82</v>
          </cell>
          <cell r="M899">
            <v>4.37</v>
          </cell>
          <cell r="O899">
            <v>4.37</v>
          </cell>
          <cell r="Q899">
            <v>4.26</v>
          </cell>
          <cell r="S899">
            <v>4.26</v>
          </cell>
        </row>
        <row r="900">
          <cell r="A900" t="str">
            <v>3 S 04 010 00</v>
          </cell>
          <cell r="B900" t="str">
            <v>Escavação mecaniz.de vala em material de 2a cat.</v>
          </cell>
          <cell r="E900" t="str">
            <v>m3</v>
          </cell>
          <cell r="G900">
            <v>4.7699999999999996</v>
          </cell>
          <cell r="M900">
            <v>5.46</v>
          </cell>
          <cell r="O900">
            <v>5.46</v>
          </cell>
          <cell r="Q900">
            <v>5.32</v>
          </cell>
          <cell r="S900">
            <v>5.32</v>
          </cell>
        </row>
        <row r="901">
          <cell r="A901" t="str">
            <v>3 S 04 020 00</v>
          </cell>
          <cell r="B901" t="str">
            <v>Escavação e carga de material de 3a cat. em valas</v>
          </cell>
          <cell r="E901" t="str">
            <v>m3</v>
          </cell>
          <cell r="G901">
            <v>46.48</v>
          </cell>
          <cell r="M901">
            <v>50.78</v>
          </cell>
          <cell r="O901">
            <v>52.49</v>
          </cell>
          <cell r="Q901">
            <v>51.87</v>
          </cell>
          <cell r="S901">
            <v>62.39</v>
          </cell>
        </row>
        <row r="902">
          <cell r="A902" t="str">
            <v>3 S 04 300 16</v>
          </cell>
          <cell r="B902" t="str">
            <v>Bueiro met. chapa múltipla D=1,60m galv.</v>
          </cell>
          <cell r="E902" t="str">
            <v>m</v>
          </cell>
          <cell r="G902">
            <v>852.26</v>
          </cell>
          <cell r="M902">
            <v>990.04</v>
          </cell>
          <cell r="O902">
            <v>1036.74</v>
          </cell>
          <cell r="Q902">
            <v>1034.93</v>
          </cell>
          <cell r="S902">
            <v>1036.1500000000001</v>
          </cell>
        </row>
        <row r="903">
          <cell r="A903" t="str">
            <v>3 S 04 300 20</v>
          </cell>
          <cell r="B903" t="str">
            <v>Bueiro met. chapa múltipla D=2,00m galv.</v>
          </cell>
          <cell r="E903" t="str">
            <v>m</v>
          </cell>
          <cell r="G903">
            <v>1061.68</v>
          </cell>
          <cell r="M903">
            <v>1217.3399999999999</v>
          </cell>
          <cell r="O903">
            <v>1285.8</v>
          </cell>
          <cell r="Q903">
            <v>1283.8499999999999</v>
          </cell>
          <cell r="S903">
            <v>1285.08</v>
          </cell>
        </row>
        <row r="904">
          <cell r="A904" t="str">
            <v>3 S 04 301 16</v>
          </cell>
          <cell r="B904" t="str">
            <v>Bueiro met.chapas múlt. D=1,60 m rev. epoxy</v>
          </cell>
          <cell r="E904" t="str">
            <v>m</v>
          </cell>
          <cell r="G904">
            <v>928.35</v>
          </cell>
          <cell r="M904">
            <v>1074.95</v>
          </cell>
          <cell r="O904">
            <v>1085.56</v>
          </cell>
          <cell r="Q904">
            <v>1084.3599999999999</v>
          </cell>
          <cell r="S904">
            <v>1085.5899999999999</v>
          </cell>
        </row>
        <row r="905">
          <cell r="A905" t="str">
            <v>3 S 04 301 20</v>
          </cell>
          <cell r="B905" t="str">
            <v>Bueiro met. chapas múlt. D=2,00 m rev. epoxy</v>
          </cell>
          <cell r="E905" t="str">
            <v>m</v>
          </cell>
          <cell r="G905">
            <v>1155.49</v>
          </cell>
          <cell r="M905">
            <v>1322.33</v>
          </cell>
          <cell r="O905">
            <v>1346.44</v>
          </cell>
          <cell r="Q905">
            <v>1344.58</v>
          </cell>
          <cell r="S905">
            <v>1345.8</v>
          </cell>
        </row>
        <row r="906">
          <cell r="A906" t="str">
            <v>3 S 04 310 16</v>
          </cell>
          <cell r="B906" t="str">
            <v>Bueiro met. s/interrupção tráf. D=1,60 m galv.</v>
          </cell>
          <cell r="E906" t="str">
            <v>m</v>
          </cell>
          <cell r="G906">
            <v>1667.71</v>
          </cell>
          <cell r="M906">
            <v>1957.4</v>
          </cell>
          <cell r="O906">
            <v>1958.05</v>
          </cell>
          <cell r="Q906">
            <v>1892.17</v>
          </cell>
          <cell r="S906">
            <v>1893.36</v>
          </cell>
        </row>
        <row r="907">
          <cell r="A907" t="str">
            <v>3 S 04 310 20</v>
          </cell>
          <cell r="B907" t="str">
            <v>Bueiro met. s/interrupção tráf. D=2,00 m galv.</v>
          </cell>
          <cell r="E907" t="str">
            <v>m</v>
          </cell>
          <cell r="G907">
            <v>2013.11</v>
          </cell>
          <cell r="M907">
            <v>2434.67</v>
          </cell>
          <cell r="O907">
            <v>2435.4499999999998</v>
          </cell>
          <cell r="Q907">
            <v>2282.92</v>
          </cell>
          <cell r="S907">
            <v>2284.36</v>
          </cell>
        </row>
        <row r="908">
          <cell r="A908" t="str">
            <v>3 S 04 311 16</v>
          </cell>
          <cell r="B908" t="str">
            <v>Bueiro met.s/interrupção tráf. D=1,60 m rev. epoxy</v>
          </cell>
          <cell r="E908" t="str">
            <v>m</v>
          </cell>
          <cell r="G908">
            <v>1700.88</v>
          </cell>
          <cell r="M908">
            <v>2030.38</v>
          </cell>
          <cell r="O908">
            <v>2031.03</v>
          </cell>
          <cell r="Q908">
            <v>1828.85</v>
          </cell>
          <cell r="S908">
            <v>1830.05</v>
          </cell>
        </row>
        <row r="909">
          <cell r="A909" t="str">
            <v>3 S 04 311 20</v>
          </cell>
          <cell r="B909" t="str">
            <v>Bueiro met.s/interrupção tráf. D=2,00 m rev. epoxy</v>
          </cell>
          <cell r="E909" t="str">
            <v>m</v>
          </cell>
          <cell r="G909">
            <v>2222.9899999999998</v>
          </cell>
          <cell r="M909">
            <v>2441.5700000000002</v>
          </cell>
          <cell r="O909">
            <v>2442.35</v>
          </cell>
          <cell r="Q909">
            <v>2288.87</v>
          </cell>
          <cell r="S909">
            <v>2290.3000000000002</v>
          </cell>
        </row>
        <row r="910">
          <cell r="A910" t="str">
            <v>3 S 04 590 00</v>
          </cell>
          <cell r="B910" t="str">
            <v>Assentamento de dreno profundo</v>
          </cell>
          <cell r="E910" t="str">
            <v>m</v>
          </cell>
          <cell r="G910">
            <v>34.85</v>
          </cell>
          <cell r="M910">
            <v>40.54</v>
          </cell>
          <cell r="O910">
            <v>40.96</v>
          </cell>
          <cell r="Q910">
            <v>40.409999999999997</v>
          </cell>
          <cell r="S910">
            <v>41.48</v>
          </cell>
        </row>
        <row r="911">
          <cell r="A911" t="str">
            <v>3 S 04 999 08</v>
          </cell>
          <cell r="B911" t="str">
            <v>Selo de argila apiloado com solo local</v>
          </cell>
          <cell r="E911" t="str">
            <v>m3</v>
          </cell>
          <cell r="G911">
            <v>8.75</v>
          </cell>
          <cell r="M911">
            <v>10.5</v>
          </cell>
          <cell r="O911">
            <v>10.5</v>
          </cell>
          <cell r="Q911">
            <v>10.5</v>
          </cell>
          <cell r="S911">
            <v>10.5</v>
          </cell>
        </row>
        <row r="912">
          <cell r="A912" t="str">
            <v>3 S 05 000 00</v>
          </cell>
          <cell r="B912" t="str">
            <v>Enrocamento de pedra arrumada</v>
          </cell>
          <cell r="E912" t="str">
            <v>m3</v>
          </cell>
          <cell r="G912">
            <v>61.59</v>
          </cell>
          <cell r="M912">
            <v>72.58</v>
          </cell>
          <cell r="O912">
            <v>73.02</v>
          </cell>
          <cell r="Q912">
            <v>72.75</v>
          </cell>
          <cell r="S912">
            <v>74.23</v>
          </cell>
        </row>
        <row r="913">
          <cell r="A913" t="str">
            <v>3 S 05 001 00</v>
          </cell>
          <cell r="B913" t="str">
            <v>Enrocamento de pedra jogada</v>
          </cell>
          <cell r="E913" t="str">
            <v>m3</v>
          </cell>
          <cell r="G913">
            <v>40.799999999999997</v>
          </cell>
          <cell r="M913">
            <v>47.86</v>
          </cell>
          <cell r="O913">
            <v>48.23</v>
          </cell>
          <cell r="Q913">
            <v>48</v>
          </cell>
          <cell r="S913">
            <v>49.23</v>
          </cell>
        </row>
        <row r="914">
          <cell r="A914" t="str">
            <v>3 S 05 101 01</v>
          </cell>
          <cell r="B914" t="str">
            <v>Revestimento vegetal com mudas</v>
          </cell>
          <cell r="E914" t="str">
            <v>m2</v>
          </cell>
          <cell r="G914">
            <v>2.96</v>
          </cell>
          <cell r="M914">
            <v>3.46</v>
          </cell>
          <cell r="O914">
            <v>3.47</v>
          </cell>
          <cell r="Q914">
            <v>3.42</v>
          </cell>
          <cell r="S914">
            <v>3.42</v>
          </cell>
        </row>
        <row r="915">
          <cell r="A915" t="str">
            <v>3 S 05 101 02</v>
          </cell>
          <cell r="B915" t="str">
            <v>Revestimento vegetal com grama em leivas</v>
          </cell>
          <cell r="E915" t="str">
            <v>m2</v>
          </cell>
          <cell r="G915">
            <v>3.17</v>
          </cell>
          <cell r="M915">
            <v>3.69</v>
          </cell>
          <cell r="O915">
            <v>3.7</v>
          </cell>
          <cell r="Q915">
            <v>3.64</v>
          </cell>
          <cell r="S915">
            <v>3.64</v>
          </cell>
        </row>
        <row r="916">
          <cell r="A916" t="str">
            <v>3 S 08 001 00</v>
          </cell>
          <cell r="B916" t="str">
            <v>Reconformação da plataforma</v>
          </cell>
          <cell r="E916" t="str">
            <v>ha</v>
          </cell>
          <cell r="G916">
            <v>105.07</v>
          </cell>
          <cell r="M916">
            <v>110.09</v>
          </cell>
          <cell r="O916">
            <v>120.63</v>
          </cell>
          <cell r="Q916">
            <v>117.37</v>
          </cell>
          <cell r="S916">
            <v>117.37</v>
          </cell>
        </row>
        <row r="917">
          <cell r="A917" t="str">
            <v>3 S 08 100 00</v>
          </cell>
          <cell r="B917" t="str">
            <v>Tapa buraco</v>
          </cell>
          <cell r="E917" t="str">
            <v>m3</v>
          </cell>
          <cell r="G917">
            <v>92.24</v>
          </cell>
          <cell r="M917">
            <v>110.38</v>
          </cell>
          <cell r="O917">
            <v>110.38</v>
          </cell>
          <cell r="Q917">
            <v>110.34</v>
          </cell>
          <cell r="S917">
            <v>110.34</v>
          </cell>
        </row>
        <row r="918">
          <cell r="A918" t="str">
            <v>3 S 08 101 01</v>
          </cell>
          <cell r="B918" t="str">
            <v>Remendo profundo com demolição manual</v>
          </cell>
          <cell r="E918" t="str">
            <v>m3</v>
          </cell>
          <cell r="G918">
            <v>109.06</v>
          </cell>
          <cell r="M918">
            <v>129.85</v>
          </cell>
          <cell r="O918">
            <v>129.85</v>
          </cell>
          <cell r="Q918">
            <v>129.75</v>
          </cell>
          <cell r="S918">
            <v>129.75</v>
          </cell>
        </row>
        <row r="919">
          <cell r="A919" t="str">
            <v>3 S 08 101 02</v>
          </cell>
          <cell r="B919" t="str">
            <v>Remendo profundo com demolição mecanizada</v>
          </cell>
          <cell r="E919" t="str">
            <v>m3</v>
          </cell>
          <cell r="G919">
            <v>80</v>
          </cell>
          <cell r="M919">
            <v>94.79</v>
          </cell>
          <cell r="O919">
            <v>94.79</v>
          </cell>
          <cell r="Q919">
            <v>94.15</v>
          </cell>
          <cell r="S919">
            <v>94.15</v>
          </cell>
        </row>
        <row r="920">
          <cell r="A920" t="str">
            <v>3 S 08 102 00</v>
          </cell>
          <cell r="B920" t="str">
            <v>Limpeza ench. juntas pav. concr. a quente (consv)</v>
          </cell>
          <cell r="E920" t="str">
            <v>m</v>
          </cell>
          <cell r="G920">
            <v>1.32</v>
          </cell>
          <cell r="M920">
            <v>1.53</v>
          </cell>
          <cell r="O920">
            <v>1.54</v>
          </cell>
          <cell r="Q920">
            <v>1.51</v>
          </cell>
          <cell r="S920">
            <v>1.52</v>
          </cell>
        </row>
        <row r="921">
          <cell r="A921" t="str">
            <v>3 S 08 102 01</v>
          </cell>
          <cell r="B921" t="str">
            <v>Limpeza ench. juntas pav. concr. a frio (consv)</v>
          </cell>
          <cell r="E921" t="str">
            <v>m</v>
          </cell>
          <cell r="G921">
            <v>1.06</v>
          </cell>
          <cell r="M921">
            <v>1.23</v>
          </cell>
          <cell r="O921">
            <v>1.23</v>
          </cell>
          <cell r="Q921">
            <v>1.2</v>
          </cell>
          <cell r="S921">
            <v>1.2</v>
          </cell>
        </row>
        <row r="922">
          <cell r="A922" t="str">
            <v>3 S 08 103 00</v>
          </cell>
          <cell r="B922" t="str">
            <v>Selagem de trinca</v>
          </cell>
          <cell r="E922" t="str">
            <v>l</v>
          </cell>
          <cell r="G922">
            <v>0.82</v>
          </cell>
          <cell r="M922">
            <v>0.96</v>
          </cell>
          <cell r="O922">
            <v>0.96</v>
          </cell>
          <cell r="Q922">
            <v>0.94</v>
          </cell>
          <cell r="S922">
            <v>0.94</v>
          </cell>
        </row>
        <row r="923">
          <cell r="A923" t="str">
            <v>3 S 08 104 01</v>
          </cell>
          <cell r="B923" t="str">
            <v>Combate à exsudação com areia</v>
          </cell>
          <cell r="E923" t="str">
            <v>m2</v>
          </cell>
          <cell r="G923">
            <v>0.28999999999999998</v>
          </cell>
          <cell r="M923">
            <v>0.32</v>
          </cell>
          <cell r="O923">
            <v>0.32</v>
          </cell>
          <cell r="Q923">
            <v>0.32</v>
          </cell>
          <cell r="S923">
            <v>0.32</v>
          </cell>
        </row>
        <row r="924">
          <cell r="A924" t="str">
            <v>3 S 08 104 02</v>
          </cell>
          <cell r="B924" t="str">
            <v>Combate à exsudação com pedrisco</v>
          </cell>
          <cell r="E924" t="str">
            <v>m2</v>
          </cell>
          <cell r="G924">
            <v>0.34</v>
          </cell>
          <cell r="M924">
            <v>0.39</v>
          </cell>
          <cell r="O924">
            <v>0.39</v>
          </cell>
          <cell r="Q924">
            <v>0.39</v>
          </cell>
          <cell r="S924">
            <v>0.39</v>
          </cell>
        </row>
        <row r="925">
          <cell r="A925" t="str">
            <v>3 S 08 109 00</v>
          </cell>
          <cell r="B925" t="str">
            <v>Correção de defeitos com mistura betuminosa</v>
          </cell>
          <cell r="E925" t="str">
            <v>m3</v>
          </cell>
          <cell r="G925">
            <v>61.12</v>
          </cell>
          <cell r="M925">
            <v>69.45</v>
          </cell>
          <cell r="O925">
            <v>69.45</v>
          </cell>
          <cell r="Q925">
            <v>68.17</v>
          </cell>
          <cell r="S925">
            <v>68.17</v>
          </cell>
        </row>
        <row r="926">
          <cell r="A926" t="str">
            <v>3 S 08 109 12</v>
          </cell>
          <cell r="B926" t="str">
            <v>Correção de defeitos por fresagem descontínua</v>
          </cell>
          <cell r="E926" t="str">
            <v>m3</v>
          </cell>
          <cell r="G926">
            <v>155.58000000000001</v>
          </cell>
          <cell r="M926">
            <v>152.16</v>
          </cell>
          <cell r="O926">
            <v>152.65</v>
          </cell>
          <cell r="Q926">
            <v>151.75</v>
          </cell>
          <cell r="S926">
            <v>147.24</v>
          </cell>
        </row>
        <row r="927">
          <cell r="A927" t="str">
            <v>3 S 08 110 00</v>
          </cell>
          <cell r="B927" t="str">
            <v>Correção de defeitos por penetração</v>
          </cell>
          <cell r="E927" t="str">
            <v>m2</v>
          </cell>
          <cell r="G927">
            <v>6.73</v>
          </cell>
          <cell r="M927">
            <v>7.66</v>
          </cell>
          <cell r="O927">
            <v>7.66</v>
          </cell>
          <cell r="Q927">
            <v>7.52</v>
          </cell>
          <cell r="S927">
            <v>7.53</v>
          </cell>
        </row>
        <row r="928">
          <cell r="A928" t="str">
            <v>3 S 08 200 00</v>
          </cell>
          <cell r="B928" t="str">
            <v>Recomp. de guarda corpo</v>
          </cell>
          <cell r="E928" t="str">
            <v>m</v>
          </cell>
          <cell r="G928">
            <v>57.3</v>
          </cell>
          <cell r="M928">
            <v>65.900000000000006</v>
          </cell>
          <cell r="O928">
            <v>67</v>
          </cell>
          <cell r="Q928">
            <v>66.03</v>
          </cell>
          <cell r="S928">
            <v>66.64</v>
          </cell>
        </row>
        <row r="929">
          <cell r="A929" t="str">
            <v>3 S 08 200 01</v>
          </cell>
          <cell r="B929" t="str">
            <v>Recomposição de sarjeta em alvenaria de tijolo</v>
          </cell>
          <cell r="E929" t="str">
            <v>m2</v>
          </cell>
          <cell r="G929">
            <v>25.78</v>
          </cell>
          <cell r="M929">
            <v>29.96</v>
          </cell>
          <cell r="O929">
            <v>30.01</v>
          </cell>
          <cell r="Q929">
            <v>29.93</v>
          </cell>
          <cell r="S929">
            <v>30.03</v>
          </cell>
        </row>
        <row r="930">
          <cell r="A930" t="str">
            <v>3 S 08 300 01</v>
          </cell>
          <cell r="B930" t="str">
            <v>Limpeza de sarjeta e meio fio</v>
          </cell>
          <cell r="E930" t="str">
            <v>m</v>
          </cell>
          <cell r="G930">
            <v>0.17</v>
          </cell>
          <cell r="M930">
            <v>0.21</v>
          </cell>
          <cell r="O930">
            <v>0.21</v>
          </cell>
          <cell r="Q930">
            <v>0.21</v>
          </cell>
          <cell r="S930">
            <v>0.21</v>
          </cell>
        </row>
        <row r="931">
          <cell r="A931" t="str">
            <v>3 S 08 301 01</v>
          </cell>
          <cell r="B931" t="str">
            <v>Limpeza de valeta de corte</v>
          </cell>
          <cell r="E931" t="str">
            <v>m</v>
          </cell>
          <cell r="G931">
            <v>0.26</v>
          </cell>
          <cell r="M931">
            <v>0.32</v>
          </cell>
          <cell r="O931">
            <v>0.32</v>
          </cell>
          <cell r="Q931">
            <v>0.32</v>
          </cell>
          <cell r="S931">
            <v>0.32</v>
          </cell>
        </row>
        <row r="932">
          <cell r="A932" t="str">
            <v>3 S 08 301 02</v>
          </cell>
          <cell r="B932" t="str">
            <v>Limpeza de vala de drenagem</v>
          </cell>
          <cell r="E932" t="str">
            <v>m</v>
          </cell>
          <cell r="G932">
            <v>1.06</v>
          </cell>
          <cell r="M932">
            <v>1.28</v>
          </cell>
          <cell r="O932">
            <v>1.28</v>
          </cell>
          <cell r="Q932">
            <v>1.28</v>
          </cell>
          <cell r="S932">
            <v>1.28</v>
          </cell>
        </row>
        <row r="933">
          <cell r="A933" t="str">
            <v>3 S 08 301 03</v>
          </cell>
          <cell r="B933" t="str">
            <v>Limpeza de descida d'água</v>
          </cell>
          <cell r="E933" t="str">
            <v>m</v>
          </cell>
          <cell r="G933">
            <v>0.35</v>
          </cell>
          <cell r="M933">
            <v>0.42</v>
          </cell>
          <cell r="O933">
            <v>0.42</v>
          </cell>
          <cell r="Q933">
            <v>0.42</v>
          </cell>
          <cell r="S933">
            <v>0.42</v>
          </cell>
        </row>
        <row r="934">
          <cell r="A934" t="str">
            <v>3 S 08 302 01</v>
          </cell>
          <cell r="B934" t="str">
            <v>Limpeza de bueiro</v>
          </cell>
          <cell r="E934" t="str">
            <v>m3</v>
          </cell>
          <cell r="G934">
            <v>5.81</v>
          </cell>
          <cell r="M934">
            <v>6.98</v>
          </cell>
          <cell r="O934">
            <v>6.98</v>
          </cell>
          <cell r="Q934">
            <v>6.98</v>
          </cell>
          <cell r="S934">
            <v>6.98</v>
          </cell>
        </row>
        <row r="935">
          <cell r="A935" t="str">
            <v>3 S 08 302 02</v>
          </cell>
          <cell r="B935" t="str">
            <v>Desobstrução de bueiro</v>
          </cell>
          <cell r="E935" t="str">
            <v>m3</v>
          </cell>
          <cell r="G935">
            <v>16.98</v>
          </cell>
          <cell r="M935">
            <v>20.37</v>
          </cell>
          <cell r="O935">
            <v>20.37</v>
          </cell>
          <cell r="Q935">
            <v>20.37</v>
          </cell>
          <cell r="S935">
            <v>20.37</v>
          </cell>
        </row>
        <row r="936">
          <cell r="A936" t="str">
            <v>3 S 08 302 03</v>
          </cell>
          <cell r="B936" t="str">
            <v>Assentamento de tubo D=0,60 m</v>
          </cell>
          <cell r="E936" t="str">
            <v>m</v>
          </cell>
          <cell r="G936">
            <v>123.51</v>
          </cell>
          <cell r="M936">
            <v>134.66999999999999</v>
          </cell>
          <cell r="O936">
            <v>138.94</v>
          </cell>
          <cell r="Q936">
            <v>136.88</v>
          </cell>
          <cell r="S936">
            <v>139.09</v>
          </cell>
        </row>
        <row r="937">
          <cell r="A937" t="str">
            <v>3 S 08 302 04</v>
          </cell>
          <cell r="B937" t="str">
            <v>Assentamento de tubo D=0,80 m</v>
          </cell>
          <cell r="E937" t="str">
            <v>m</v>
          </cell>
          <cell r="G937">
            <v>186.91</v>
          </cell>
          <cell r="M937">
            <v>203.38</v>
          </cell>
          <cell r="O937">
            <v>210.07</v>
          </cell>
          <cell r="Q937">
            <v>206.79</v>
          </cell>
          <cell r="S937">
            <v>210.44</v>
          </cell>
        </row>
        <row r="938">
          <cell r="A938" t="str">
            <v>3 S 08 302 05</v>
          </cell>
          <cell r="B938" t="str">
            <v>Assentamento de tubo D=1,0 m</v>
          </cell>
          <cell r="E938" t="str">
            <v>m</v>
          </cell>
          <cell r="G938">
            <v>275.91000000000003</v>
          </cell>
          <cell r="M938">
            <v>299.38</v>
          </cell>
          <cell r="O938">
            <v>309.63</v>
          </cell>
          <cell r="Q938">
            <v>304.77</v>
          </cell>
          <cell r="S938">
            <v>310.23</v>
          </cell>
        </row>
        <row r="939">
          <cell r="A939" t="str">
            <v>3 S 08 302 06</v>
          </cell>
          <cell r="B939" t="str">
            <v>Assentamento de tubo D=1,20 m</v>
          </cell>
          <cell r="E939" t="str">
            <v>m</v>
          </cell>
          <cell r="G939">
            <v>396.82</v>
          </cell>
          <cell r="M939">
            <v>432.17</v>
          </cell>
          <cell r="O939">
            <v>446.58</v>
          </cell>
          <cell r="Q939">
            <v>440.3</v>
          </cell>
          <cell r="S939">
            <v>447.32</v>
          </cell>
        </row>
        <row r="940">
          <cell r="A940" t="str">
            <v>3 S 08 400 00</v>
          </cell>
          <cell r="B940" t="str">
            <v>Limpeza de placa de sinalização</v>
          </cell>
          <cell r="E940" t="str">
            <v>m2</v>
          </cell>
          <cell r="G940">
            <v>2.6</v>
          </cell>
          <cell r="M940">
            <v>3.06</v>
          </cell>
          <cell r="O940">
            <v>3.06</v>
          </cell>
          <cell r="Q940">
            <v>3.02</v>
          </cell>
          <cell r="S940">
            <v>3.02</v>
          </cell>
        </row>
        <row r="941">
          <cell r="A941" t="str">
            <v>3 S 08 400 01</v>
          </cell>
          <cell r="B941" t="str">
            <v>Recomposição placa de sinalização</v>
          </cell>
          <cell r="E941" t="str">
            <v>m2</v>
          </cell>
          <cell r="G941">
            <v>10.85</v>
          </cell>
          <cell r="M941">
            <v>12.72</v>
          </cell>
          <cell r="O941">
            <v>12.73</v>
          </cell>
          <cell r="Q941">
            <v>12.55</v>
          </cell>
          <cell r="S941">
            <v>12.55</v>
          </cell>
        </row>
        <row r="942">
          <cell r="A942" t="str">
            <v>3 S 08 400 02</v>
          </cell>
          <cell r="B942" t="str">
            <v>Substituição de balizador</v>
          </cell>
          <cell r="E942" t="str">
            <v>un</v>
          </cell>
          <cell r="G942">
            <v>13.4</v>
          </cell>
          <cell r="M942">
            <v>15.4</v>
          </cell>
          <cell r="O942">
            <v>15.52</v>
          </cell>
          <cell r="Q942">
            <v>15.31</v>
          </cell>
          <cell r="S942">
            <v>15.41</v>
          </cell>
        </row>
        <row r="943">
          <cell r="A943" t="str">
            <v>3 S 08 401 00</v>
          </cell>
          <cell r="B943" t="str">
            <v>Recomposição de defensa metálica</v>
          </cell>
          <cell r="E943" t="str">
            <v>m</v>
          </cell>
          <cell r="G943">
            <v>104.13</v>
          </cell>
          <cell r="M943">
            <v>125.77</v>
          </cell>
          <cell r="O943">
            <v>127.92</v>
          </cell>
          <cell r="Q943">
            <v>127.96</v>
          </cell>
          <cell r="S943">
            <v>127.96</v>
          </cell>
        </row>
        <row r="944">
          <cell r="A944" t="str">
            <v>3 S 08 402 00</v>
          </cell>
          <cell r="B944" t="str">
            <v>Caiação</v>
          </cell>
          <cell r="E944" t="str">
            <v>m2</v>
          </cell>
          <cell r="G944">
            <v>0.8</v>
          </cell>
          <cell r="M944">
            <v>0.98</v>
          </cell>
          <cell r="O944">
            <v>0.97</v>
          </cell>
          <cell r="Q944">
            <v>0.97</v>
          </cell>
          <cell r="S944">
            <v>0.97</v>
          </cell>
        </row>
        <row r="945">
          <cell r="A945" t="str">
            <v>3 S 08 403 00</v>
          </cell>
          <cell r="B945" t="str">
            <v>Renovação de sinalização horizontal</v>
          </cell>
          <cell r="E945" t="str">
            <v>m2</v>
          </cell>
          <cell r="G945">
            <v>17.86</v>
          </cell>
          <cell r="M945">
            <v>19.66</v>
          </cell>
          <cell r="O945">
            <v>19.87</v>
          </cell>
          <cell r="Q945">
            <v>19.72</v>
          </cell>
          <cell r="S945">
            <v>19.72</v>
          </cell>
        </row>
        <row r="946">
          <cell r="A946" t="str">
            <v>3 S 08 404 00</v>
          </cell>
          <cell r="B946" t="str">
            <v>Recomp. tot. cerca c/ mourão de conc. secção quad.</v>
          </cell>
          <cell r="E946" t="str">
            <v>m</v>
          </cell>
          <cell r="G946">
            <v>11.94</v>
          </cell>
          <cell r="M946">
            <v>14.47</v>
          </cell>
          <cell r="O946">
            <v>14.72</v>
          </cell>
          <cell r="Q946">
            <v>14.97</v>
          </cell>
          <cell r="S946">
            <v>14.05</v>
          </cell>
        </row>
        <row r="947">
          <cell r="A947" t="str">
            <v>3 S 08 404 01</v>
          </cell>
          <cell r="B947" t="str">
            <v>Recomp. parc. cerca de conc. seção quad. - mourão</v>
          </cell>
          <cell r="E947" t="str">
            <v>m</v>
          </cell>
          <cell r="G947">
            <v>9.98</v>
          </cell>
          <cell r="M947">
            <v>12.39</v>
          </cell>
          <cell r="O947">
            <v>12.62</v>
          </cell>
          <cell r="Q947">
            <v>12.57</v>
          </cell>
          <cell r="S947">
            <v>11.65</v>
          </cell>
        </row>
        <row r="948">
          <cell r="A948" t="str">
            <v>3 S 08 404 02</v>
          </cell>
          <cell r="B948" t="str">
            <v>Recomp. parc. cerca c/ mourão de concr.-arame</v>
          </cell>
          <cell r="E948" t="str">
            <v>m</v>
          </cell>
          <cell r="G948">
            <v>2.42</v>
          </cell>
          <cell r="M948">
            <v>2.7</v>
          </cell>
          <cell r="O948">
            <v>2.71</v>
          </cell>
          <cell r="Q948">
            <v>3.03</v>
          </cell>
          <cell r="S948">
            <v>3.03</v>
          </cell>
        </row>
        <row r="949">
          <cell r="A949" t="str">
            <v>3 S 08 404 03</v>
          </cell>
          <cell r="B949" t="str">
            <v>Recomp. tot. cerca c/ mourão concr. seção triang.</v>
          </cell>
          <cell r="E949" t="str">
            <v>m</v>
          </cell>
          <cell r="G949">
            <v>10.06</v>
          </cell>
          <cell r="M949">
            <v>11.95</v>
          </cell>
          <cell r="O949">
            <v>12.13</v>
          </cell>
          <cell r="Q949">
            <v>12.41</v>
          </cell>
          <cell r="S949">
            <v>11.95</v>
          </cell>
        </row>
        <row r="950">
          <cell r="A950" t="str">
            <v>3 S 08 404 04</v>
          </cell>
          <cell r="B950" t="str">
            <v>Recomp. parc. cerca c/ mourão concr. seção triang.</v>
          </cell>
          <cell r="E950" t="str">
            <v>m</v>
          </cell>
          <cell r="G950">
            <v>8.44</v>
          </cell>
          <cell r="M950">
            <v>10.15</v>
          </cell>
          <cell r="O950">
            <v>10.34</v>
          </cell>
          <cell r="Q950">
            <v>10.26</v>
          </cell>
          <cell r="S950">
            <v>9.7899999999999991</v>
          </cell>
        </row>
        <row r="951">
          <cell r="A951" t="str">
            <v>3 S 08 414 00</v>
          </cell>
          <cell r="B951" t="str">
            <v>Recomposição total de cerca com mourão de madeira</v>
          </cell>
          <cell r="E951" t="str">
            <v>m</v>
          </cell>
          <cell r="G951">
            <v>4.66</v>
          </cell>
          <cell r="M951">
            <v>6.83</v>
          </cell>
          <cell r="O951">
            <v>6.84</v>
          </cell>
          <cell r="Q951">
            <v>7.16</v>
          </cell>
          <cell r="S951">
            <v>7.16</v>
          </cell>
        </row>
        <row r="952">
          <cell r="A952" t="str">
            <v>3 S 08 414 01</v>
          </cell>
          <cell r="B952" t="str">
            <v>Recomposição parcial cerca de madeira - mourão</v>
          </cell>
          <cell r="E952" t="str">
            <v>m</v>
          </cell>
          <cell r="G952">
            <v>3.53</v>
          </cell>
          <cell r="M952">
            <v>5.62</v>
          </cell>
          <cell r="O952">
            <v>5.64</v>
          </cell>
          <cell r="Q952">
            <v>5.61</v>
          </cell>
          <cell r="S952">
            <v>5.61</v>
          </cell>
        </row>
        <row r="953">
          <cell r="A953" t="str">
            <v>3 S 08 414 02</v>
          </cell>
          <cell r="B953" t="str">
            <v>Recomp. parcial cerca c/ mourão de madeira - arame</v>
          </cell>
          <cell r="E953" t="str">
            <v>m</v>
          </cell>
          <cell r="G953">
            <v>1.9</v>
          </cell>
          <cell r="M953">
            <v>2.0699999999999998</v>
          </cell>
          <cell r="O953">
            <v>2.0699999999999998</v>
          </cell>
          <cell r="Q953">
            <v>2.4</v>
          </cell>
          <cell r="S953">
            <v>2.4</v>
          </cell>
        </row>
        <row r="954">
          <cell r="A954" t="str">
            <v>3 S 08 500 00</v>
          </cell>
          <cell r="B954" t="str">
            <v>Recomposição manual de aterro</v>
          </cell>
          <cell r="E954" t="str">
            <v>m3</v>
          </cell>
          <cell r="G954">
            <v>45.61</v>
          </cell>
          <cell r="M954">
            <v>51.9</v>
          </cell>
          <cell r="O954">
            <v>52</v>
          </cell>
          <cell r="Q954">
            <v>51.45</v>
          </cell>
          <cell r="S954">
            <v>51.45</v>
          </cell>
        </row>
        <row r="955">
          <cell r="A955" t="str">
            <v>3 S 08 501 00</v>
          </cell>
          <cell r="B955" t="str">
            <v>Recomposição mecanizada de aterro</v>
          </cell>
          <cell r="E955" t="str">
            <v>m3</v>
          </cell>
          <cell r="G955">
            <v>14.25</v>
          </cell>
          <cell r="M955">
            <v>14.94</v>
          </cell>
          <cell r="O955">
            <v>15.04</v>
          </cell>
          <cell r="Q955">
            <v>14.76</v>
          </cell>
          <cell r="S955">
            <v>14.76</v>
          </cell>
        </row>
        <row r="956">
          <cell r="A956" t="str">
            <v>3 S 08 510 00</v>
          </cell>
          <cell r="B956" t="str">
            <v>Remoção manual de barreira em solo</v>
          </cell>
          <cell r="E956" t="str">
            <v>m3</v>
          </cell>
          <cell r="G956">
            <v>11.4</v>
          </cell>
          <cell r="M956">
            <v>13</v>
          </cell>
          <cell r="O956">
            <v>13</v>
          </cell>
          <cell r="Q956">
            <v>12.73</v>
          </cell>
          <cell r="S956">
            <v>12.73</v>
          </cell>
        </row>
        <row r="957">
          <cell r="A957" t="str">
            <v>3 S 08 510 01</v>
          </cell>
          <cell r="B957" t="str">
            <v>Remoção manual de barreira em rocha</v>
          </cell>
          <cell r="E957" t="str">
            <v>m3</v>
          </cell>
          <cell r="G957">
            <v>14.25</v>
          </cell>
          <cell r="M957">
            <v>16.260000000000002</v>
          </cell>
          <cell r="O957">
            <v>16.260000000000002</v>
          </cell>
          <cell r="Q957">
            <v>15.91</v>
          </cell>
          <cell r="S957">
            <v>15.91</v>
          </cell>
        </row>
        <row r="958">
          <cell r="A958" t="str">
            <v>3 S 08 511 00</v>
          </cell>
          <cell r="B958" t="str">
            <v>Remoção mecanizada de barreira - solo</v>
          </cell>
          <cell r="E958" t="str">
            <v>m3</v>
          </cell>
          <cell r="G958">
            <v>2.9</v>
          </cell>
          <cell r="M958">
            <v>3.16</v>
          </cell>
          <cell r="O958">
            <v>3.23</v>
          </cell>
          <cell r="Q958">
            <v>3.13</v>
          </cell>
          <cell r="S958">
            <v>3.13</v>
          </cell>
        </row>
        <row r="959">
          <cell r="A959" t="str">
            <v>3 S 08 512 00</v>
          </cell>
          <cell r="B959" t="str">
            <v>Remoção mecanizada de barreira - rocha</v>
          </cell>
          <cell r="E959" t="str">
            <v>m3</v>
          </cell>
          <cell r="G959">
            <v>4.45</v>
          </cell>
          <cell r="M959">
            <v>4.84</v>
          </cell>
          <cell r="O959">
            <v>4.95</v>
          </cell>
          <cell r="Q959">
            <v>4.79</v>
          </cell>
          <cell r="S959">
            <v>4.79</v>
          </cell>
        </row>
        <row r="960">
          <cell r="A960" t="str">
            <v>3 S 08 513 00</v>
          </cell>
          <cell r="B960" t="str">
            <v>Remoção de matacões</v>
          </cell>
          <cell r="E960" t="str">
            <v>m3</v>
          </cell>
          <cell r="G960">
            <v>37</v>
          </cell>
          <cell r="M960">
            <v>42.05</v>
          </cell>
          <cell r="O960">
            <v>43.7</v>
          </cell>
          <cell r="Q960">
            <v>43.09</v>
          </cell>
          <cell r="S960">
            <v>46.84</v>
          </cell>
        </row>
        <row r="961">
          <cell r="A961" t="str">
            <v>3 S 08 900 00</v>
          </cell>
          <cell r="B961" t="str">
            <v>Roçada manual</v>
          </cell>
          <cell r="E961" t="str">
            <v>ha</v>
          </cell>
          <cell r="G961">
            <v>484.84</v>
          </cell>
          <cell r="M961">
            <v>581.79999999999995</v>
          </cell>
          <cell r="O961">
            <v>581.79999999999995</v>
          </cell>
          <cell r="Q961">
            <v>581.79999999999995</v>
          </cell>
          <cell r="S961">
            <v>581.79999999999995</v>
          </cell>
        </row>
        <row r="962">
          <cell r="A962" t="str">
            <v>3 S 08 900 01</v>
          </cell>
          <cell r="B962" t="str">
            <v>Roçada de capim colonião</v>
          </cell>
          <cell r="E962" t="str">
            <v>ha</v>
          </cell>
          <cell r="G962">
            <v>1163.6300000000001</v>
          </cell>
          <cell r="M962">
            <v>1396.33</v>
          </cell>
          <cell r="O962">
            <v>1396.33</v>
          </cell>
          <cell r="Q962">
            <v>1396.33</v>
          </cell>
          <cell r="S962">
            <v>1396.33</v>
          </cell>
        </row>
        <row r="963">
          <cell r="A963" t="str">
            <v>3 S 08 901 00</v>
          </cell>
          <cell r="B963" t="str">
            <v>Roçada mecanizada</v>
          </cell>
          <cell r="E963" t="str">
            <v>ha</v>
          </cell>
          <cell r="G963">
            <v>169.16</v>
          </cell>
          <cell r="M963">
            <v>189.77</v>
          </cell>
          <cell r="O963">
            <v>189.77</v>
          </cell>
          <cell r="Q963">
            <v>183.79</v>
          </cell>
          <cell r="S963">
            <v>183.79</v>
          </cell>
        </row>
        <row r="964">
          <cell r="A964" t="str">
            <v>3 S 08 901 01</v>
          </cell>
          <cell r="B964" t="str">
            <v>Corte e limpeza de áreas gramadas</v>
          </cell>
          <cell r="E964" t="str">
            <v>m2</v>
          </cell>
          <cell r="G964">
            <v>0.05</v>
          </cell>
          <cell r="M964">
            <v>0.06</v>
          </cell>
          <cell r="O964">
            <v>0.06</v>
          </cell>
          <cell r="Q964">
            <v>0.05</v>
          </cell>
          <cell r="S964">
            <v>0.05</v>
          </cell>
        </row>
        <row r="965">
          <cell r="A965" t="str">
            <v>3 S 08 910 00</v>
          </cell>
          <cell r="B965" t="str">
            <v>Capina manual</v>
          </cell>
          <cell r="E965" t="str">
            <v>m2</v>
          </cell>
          <cell r="G965">
            <v>0.19</v>
          </cell>
          <cell r="M965">
            <v>0.23</v>
          </cell>
          <cell r="O965">
            <v>0.23</v>
          </cell>
          <cell r="Q965">
            <v>0.23</v>
          </cell>
          <cell r="S965">
            <v>0.23</v>
          </cell>
        </row>
        <row r="966">
          <cell r="A966" t="str">
            <v>3 S 09 001 00</v>
          </cell>
          <cell r="B966" t="str">
            <v>Transporte local c/ basc. 5m3 em rodov. não pav.</v>
          </cell>
          <cell r="E966" t="str">
            <v>tkm</v>
          </cell>
          <cell r="G966">
            <v>0.49</v>
          </cell>
          <cell r="M966">
            <v>0.54</v>
          </cell>
          <cell r="O966">
            <v>0.54</v>
          </cell>
          <cell r="Q966">
            <v>0.52</v>
          </cell>
          <cell r="S966">
            <v>0.52</v>
          </cell>
        </row>
        <row r="967">
          <cell r="A967" t="str">
            <v>3 S 09 001 06</v>
          </cell>
          <cell r="B967" t="str">
            <v>Transporte local c/ basc. 10m3 em rodov. não pav.</v>
          </cell>
          <cell r="E967" t="str">
            <v>tkm</v>
          </cell>
          <cell r="G967">
            <v>0.49</v>
          </cell>
          <cell r="M967">
            <v>0.54</v>
          </cell>
          <cell r="O967">
            <v>0.55000000000000004</v>
          </cell>
          <cell r="Q967">
            <v>0.53</v>
          </cell>
          <cell r="S967">
            <v>0.53</v>
          </cell>
        </row>
        <row r="968">
          <cell r="A968" t="str">
            <v>3 S 09 001 41</v>
          </cell>
          <cell r="B968" t="str">
            <v>Transp. local c/ carroceria 4t em rodov. não pav.</v>
          </cell>
          <cell r="E968" t="str">
            <v>tkm</v>
          </cell>
          <cell r="G968">
            <v>0.68</v>
          </cell>
          <cell r="M968">
            <v>0.77</v>
          </cell>
          <cell r="O968">
            <v>0.78</v>
          </cell>
          <cell r="Q968">
            <v>0.75</v>
          </cell>
          <cell r="S968">
            <v>0.75</v>
          </cell>
        </row>
        <row r="969">
          <cell r="A969" t="str">
            <v>3 S 09 001 90</v>
          </cell>
          <cell r="B969" t="str">
            <v>Transporte comercial c/ carroc. rodov. não pav.</v>
          </cell>
          <cell r="E969" t="str">
            <v>tkm</v>
          </cell>
          <cell r="G969">
            <v>0.32</v>
          </cell>
          <cell r="M969">
            <v>0.35</v>
          </cell>
          <cell r="O969">
            <v>0.36</v>
          </cell>
          <cell r="Q969">
            <v>0.35</v>
          </cell>
          <cell r="S969">
            <v>0.35</v>
          </cell>
        </row>
        <row r="970">
          <cell r="A970" t="str">
            <v>3 S 09 002 00</v>
          </cell>
          <cell r="B970" t="str">
            <v>Transporte local basc. 5m3 em rodov. pav.</v>
          </cell>
          <cell r="E970" t="str">
            <v>tkm</v>
          </cell>
          <cell r="G970">
            <v>0.39</v>
          </cell>
          <cell r="M970">
            <v>0.43</v>
          </cell>
          <cell r="O970">
            <v>0.43</v>
          </cell>
          <cell r="Q970">
            <v>0.41</v>
          </cell>
          <cell r="S970">
            <v>0.41</v>
          </cell>
        </row>
        <row r="971">
          <cell r="A971" t="str">
            <v>3 S 09 002 03</v>
          </cell>
          <cell r="B971" t="str">
            <v>Transporte local de material para remendos</v>
          </cell>
          <cell r="E971" t="str">
            <v>tkm</v>
          </cell>
          <cell r="G971">
            <v>0.56000000000000005</v>
          </cell>
          <cell r="M971">
            <v>0.64</v>
          </cell>
          <cell r="O971">
            <v>0.64</v>
          </cell>
          <cell r="Q971">
            <v>0.62</v>
          </cell>
          <cell r="S971">
            <v>0.62</v>
          </cell>
        </row>
        <row r="972">
          <cell r="A972" t="str">
            <v>3 S 09 002 06</v>
          </cell>
          <cell r="B972" t="str">
            <v>Transporte local c/ basc. 10m3 em rodov. pav.</v>
          </cell>
          <cell r="E972" t="str">
            <v>tkm</v>
          </cell>
          <cell r="G972">
            <v>0.36</v>
          </cell>
          <cell r="M972">
            <v>0.4</v>
          </cell>
          <cell r="O972">
            <v>0.41</v>
          </cell>
          <cell r="Q972">
            <v>0.39</v>
          </cell>
          <cell r="S972">
            <v>0.39</v>
          </cell>
        </row>
        <row r="973">
          <cell r="A973" t="str">
            <v>3 S 09 002 41</v>
          </cell>
          <cell r="B973" t="str">
            <v>Transp. local c/ carroceria 4t em rodov. pav.</v>
          </cell>
          <cell r="E973" t="str">
            <v>tkm</v>
          </cell>
          <cell r="G973">
            <v>0.53</v>
          </cell>
          <cell r="M973">
            <v>0.6</v>
          </cell>
          <cell r="O973">
            <v>0.6</v>
          </cell>
          <cell r="Q973">
            <v>0.59</v>
          </cell>
          <cell r="S973">
            <v>0.59</v>
          </cell>
        </row>
        <row r="974">
          <cell r="A974" t="str">
            <v>3 S 09 002 90</v>
          </cell>
          <cell r="B974" t="str">
            <v>Transporte comercial c/ carroceria rodov. pav.</v>
          </cell>
          <cell r="E974" t="str">
            <v>tkm</v>
          </cell>
          <cell r="G974">
            <v>0.21</v>
          </cell>
          <cell r="M974">
            <v>0.23</v>
          </cell>
          <cell r="O974">
            <v>0.24</v>
          </cell>
          <cell r="Q974">
            <v>0.23</v>
          </cell>
          <cell r="S974">
            <v>0.23</v>
          </cell>
        </row>
        <row r="975">
          <cell r="A975" t="str">
            <v>3 S 09 102 00</v>
          </cell>
          <cell r="B975" t="str">
            <v>Transporte local material betuminoso</v>
          </cell>
          <cell r="E975" t="str">
            <v>tkm</v>
          </cell>
          <cell r="G975">
            <v>0.91</v>
          </cell>
          <cell r="M975">
            <v>1.03</v>
          </cell>
          <cell r="O975">
            <v>1.03</v>
          </cell>
          <cell r="Q975">
            <v>0.99</v>
          </cell>
          <cell r="S975">
            <v>0.99</v>
          </cell>
        </row>
        <row r="976">
          <cell r="A976" t="str">
            <v>3 S 09 201 70</v>
          </cell>
          <cell r="B976" t="str">
            <v>Transp. local água c/ cam. tanque rodov. não pav.</v>
          </cell>
          <cell r="E976" t="str">
            <v>tkm</v>
          </cell>
          <cell r="G976">
            <v>0.95</v>
          </cell>
          <cell r="M976">
            <v>1.07</v>
          </cell>
          <cell r="O976">
            <v>1.07</v>
          </cell>
          <cell r="Q976">
            <v>1.03</v>
          </cell>
          <cell r="S976">
            <v>1.03</v>
          </cell>
        </row>
        <row r="977">
          <cell r="A977" t="str">
            <v>3 S 09 202 70</v>
          </cell>
          <cell r="B977" t="str">
            <v>Transp. local água c/ cam. tanque em rodov. pav.</v>
          </cell>
          <cell r="E977" t="str">
            <v>tkm</v>
          </cell>
          <cell r="G977">
            <v>0.74</v>
          </cell>
          <cell r="M977">
            <v>0.84</v>
          </cell>
          <cell r="O977">
            <v>0.84</v>
          </cell>
          <cell r="Q977">
            <v>0.8</v>
          </cell>
          <cell r="S977">
            <v>0.8</v>
          </cell>
        </row>
        <row r="978">
          <cell r="B978" t="str">
            <v>Sinalização</v>
          </cell>
        </row>
        <row r="979">
          <cell r="A979" t="str">
            <v>4 S 03 300 01</v>
          </cell>
          <cell r="B979" t="str">
            <v>Confecção e lanç. de concreto magro em betoneira</v>
          </cell>
          <cell r="E979" t="str">
            <v>m3</v>
          </cell>
          <cell r="G979">
            <v>161.72999999999999</v>
          </cell>
          <cell r="M979">
            <v>179.41</v>
          </cell>
          <cell r="O979">
            <v>182.92</v>
          </cell>
          <cell r="Q979">
            <v>177.03</v>
          </cell>
          <cell r="S979">
            <v>184.74</v>
          </cell>
        </row>
        <row r="980">
          <cell r="A980" t="str">
            <v>4 S 03 323 01</v>
          </cell>
          <cell r="B980" t="str">
            <v>Conc.estr.fck=22 MPa contr.raz.uso ger.conf.e lanç</v>
          </cell>
          <cell r="E980" t="str">
            <v>m3</v>
          </cell>
          <cell r="G980">
            <v>260.76</v>
          </cell>
          <cell r="M980">
            <v>284.55</v>
          </cell>
          <cell r="O980">
            <v>291.39</v>
          </cell>
          <cell r="Q980">
            <v>279.93</v>
          </cell>
          <cell r="S980">
            <v>294.89</v>
          </cell>
        </row>
        <row r="981">
          <cell r="A981" t="str">
            <v>4 S 03 353 00</v>
          </cell>
          <cell r="B981" t="str">
            <v>Fornecimento, preparo colocação aço CA-50</v>
          </cell>
          <cell r="E981" t="str">
            <v>kg</v>
          </cell>
          <cell r="G981">
            <v>4.0999999999999996</v>
          </cell>
          <cell r="M981">
            <v>4.59</v>
          </cell>
          <cell r="O981">
            <v>4.8</v>
          </cell>
          <cell r="Q981">
            <v>4.8</v>
          </cell>
          <cell r="S981">
            <v>4.8</v>
          </cell>
        </row>
        <row r="982">
          <cell r="A982" t="str">
            <v>4 S 03 370 00</v>
          </cell>
          <cell r="B982" t="str">
            <v>Forma comum de madeira</v>
          </cell>
          <cell r="E982" t="str">
            <v>m2</v>
          </cell>
          <cell r="G982">
            <v>27.81</v>
          </cell>
          <cell r="M982">
            <v>30.76</v>
          </cell>
          <cell r="O982">
            <v>30.84</v>
          </cell>
          <cell r="Q982">
            <v>31.06</v>
          </cell>
          <cell r="S982">
            <v>31.01</v>
          </cell>
        </row>
        <row r="983">
          <cell r="A983" t="str">
            <v>4 S 06 000 01</v>
          </cell>
          <cell r="B983" t="str">
            <v>Defensa maleável simples (forn./ impl.)</v>
          </cell>
          <cell r="E983" t="str">
            <v>m</v>
          </cell>
          <cell r="G983">
            <v>149.19999999999999</v>
          </cell>
          <cell r="M983">
            <v>179.88</v>
          </cell>
          <cell r="O983">
            <v>183.82</v>
          </cell>
          <cell r="Q983">
            <v>183.55</v>
          </cell>
          <cell r="S983">
            <v>183.55</v>
          </cell>
        </row>
        <row r="984">
          <cell r="A984" t="str">
            <v>4 S 06 000 02</v>
          </cell>
          <cell r="B984" t="str">
            <v>Ancoragem de defensa maleável simples (forn/ impl)</v>
          </cell>
          <cell r="E984" t="str">
            <v>m</v>
          </cell>
          <cell r="G984">
            <v>164.22</v>
          </cell>
          <cell r="M984">
            <v>197.45</v>
          </cell>
          <cell r="O984">
            <v>201.4</v>
          </cell>
          <cell r="Q984">
            <v>200.75</v>
          </cell>
          <cell r="S984">
            <v>200.75</v>
          </cell>
        </row>
        <row r="985">
          <cell r="A985" t="str">
            <v>4 S 06 000 11</v>
          </cell>
          <cell r="B985" t="str">
            <v>Defensa maleável dupla (forn./ impl.)</v>
          </cell>
          <cell r="E985" t="str">
            <v>m</v>
          </cell>
          <cell r="G985">
            <v>186.7</v>
          </cell>
          <cell r="M985">
            <v>223.83</v>
          </cell>
          <cell r="O985">
            <v>228.84</v>
          </cell>
          <cell r="Q985">
            <v>228.76</v>
          </cell>
          <cell r="S985">
            <v>228.76</v>
          </cell>
        </row>
        <row r="986">
          <cell r="A986" t="str">
            <v>4 S 06 000 12</v>
          </cell>
          <cell r="B986" t="str">
            <v>Ancoragem de defensa maleável dupla (forn./ impl.)</v>
          </cell>
          <cell r="E986" t="str">
            <v>m</v>
          </cell>
          <cell r="G986">
            <v>204.49</v>
          </cell>
          <cell r="M986">
            <v>244.64</v>
          </cell>
          <cell r="O986">
            <v>249.65</v>
          </cell>
          <cell r="Q986">
            <v>249.13</v>
          </cell>
          <cell r="S986">
            <v>249.13</v>
          </cell>
        </row>
        <row r="987">
          <cell r="A987" t="str">
            <v>4 S 06 010 01</v>
          </cell>
          <cell r="B987" t="str">
            <v>Defensa semi-maleável simples (forn./ impl.)</v>
          </cell>
          <cell r="E987" t="str">
            <v>m</v>
          </cell>
          <cell r="G987">
            <v>103.56</v>
          </cell>
          <cell r="M987">
            <v>125.09</v>
          </cell>
          <cell r="O987">
            <v>127.24</v>
          </cell>
          <cell r="Q987">
            <v>127.25</v>
          </cell>
          <cell r="S987">
            <v>127.25</v>
          </cell>
        </row>
        <row r="988">
          <cell r="A988" t="str">
            <v>4 S 06 010 02</v>
          </cell>
          <cell r="B988" t="str">
            <v>Ancoragem defensa semi-maleável simples (forn/imp)</v>
          </cell>
          <cell r="E988" t="str">
            <v>m</v>
          </cell>
          <cell r="G988">
            <v>114.43</v>
          </cell>
          <cell r="M988">
            <v>137.81</v>
          </cell>
          <cell r="O988">
            <v>139.97</v>
          </cell>
          <cell r="Q988">
            <v>139.69999999999999</v>
          </cell>
          <cell r="S988">
            <v>139.69999999999999</v>
          </cell>
        </row>
        <row r="989">
          <cell r="A989" t="str">
            <v>4 S 06 010 11</v>
          </cell>
          <cell r="B989" t="str">
            <v>Defensa semi-maleável dupla (forn./ impl.)</v>
          </cell>
          <cell r="E989" t="str">
            <v>m</v>
          </cell>
          <cell r="G989">
            <v>176.82</v>
          </cell>
          <cell r="M989">
            <v>213.25</v>
          </cell>
          <cell r="O989">
            <v>217.45</v>
          </cell>
          <cell r="Q989">
            <v>217.42</v>
          </cell>
          <cell r="S989">
            <v>217.42</v>
          </cell>
        </row>
        <row r="990">
          <cell r="A990" t="str">
            <v>4 S 06 010 12</v>
          </cell>
          <cell r="B990" t="str">
            <v>Ancoragem defensa semi-maleável dupla (forn/ impl)</v>
          </cell>
          <cell r="E990" t="str">
            <v>m</v>
          </cell>
          <cell r="G990">
            <v>194.2</v>
          </cell>
          <cell r="M990">
            <v>233.57</v>
          </cell>
          <cell r="O990">
            <v>237.78</v>
          </cell>
          <cell r="Q990">
            <v>237.3</v>
          </cell>
          <cell r="S990">
            <v>237.3</v>
          </cell>
        </row>
        <row r="991">
          <cell r="A991" t="str">
            <v>4 S 06 030 11</v>
          </cell>
          <cell r="B991" t="str">
            <v>Barreira de segurança dupla DNER PRO 176/86</v>
          </cell>
          <cell r="E991" t="str">
            <v>m</v>
          </cell>
          <cell r="G991">
            <v>180.32</v>
          </cell>
          <cell r="M991">
            <v>197.95</v>
          </cell>
          <cell r="O991">
            <v>201.42</v>
          </cell>
          <cell r="Q991">
            <v>196.95</v>
          </cell>
          <cell r="S991">
            <v>202.92</v>
          </cell>
        </row>
        <row r="992">
          <cell r="A992" t="str">
            <v>4 S 06 100 11</v>
          </cell>
          <cell r="B992" t="str">
            <v>Pintura de faixa - tinta durabilidade - 1 ano</v>
          </cell>
          <cell r="E992" t="str">
            <v>m2</v>
          </cell>
          <cell r="G992">
            <v>6.47</v>
          </cell>
          <cell r="M992">
            <v>6.69</v>
          </cell>
          <cell r="O992">
            <v>6.87</v>
          </cell>
          <cell r="Q992">
            <v>6.85</v>
          </cell>
          <cell r="S992">
            <v>6.85</v>
          </cell>
        </row>
        <row r="993">
          <cell r="A993" t="str">
            <v>4 S 06 100 12</v>
          </cell>
          <cell r="B993" t="str">
            <v>Pint. setas e zebrado - tinta durabilidade - 1 ano</v>
          </cell>
          <cell r="E993" t="str">
            <v>m2</v>
          </cell>
          <cell r="G993">
            <v>9.74</v>
          </cell>
          <cell r="M993">
            <v>10.44</v>
          </cell>
          <cell r="O993">
            <v>10.66</v>
          </cell>
          <cell r="Q993">
            <v>10.57</v>
          </cell>
          <cell r="S993">
            <v>10.57</v>
          </cell>
        </row>
        <row r="994">
          <cell r="A994" t="str">
            <v>4 S 06 100 21</v>
          </cell>
          <cell r="B994" t="str">
            <v>Pintura faixa - tinta durabilidade - 2 anos</v>
          </cell>
          <cell r="E994" t="str">
            <v>m2</v>
          </cell>
          <cell r="G994">
            <v>9.5</v>
          </cell>
          <cell r="M994">
            <v>9.74</v>
          </cell>
          <cell r="O994">
            <v>9.9499999999999993</v>
          </cell>
          <cell r="Q994">
            <v>9.92</v>
          </cell>
          <cell r="S994">
            <v>9.92</v>
          </cell>
        </row>
        <row r="995">
          <cell r="A995" t="str">
            <v>4 S 06 100 22</v>
          </cell>
          <cell r="B995" t="str">
            <v>Pintura setas e zebrado - 2 anos</v>
          </cell>
          <cell r="E995" t="str">
            <v>m2</v>
          </cell>
          <cell r="G995">
            <v>12.61</v>
          </cell>
          <cell r="M995">
            <v>13.31</v>
          </cell>
          <cell r="O995">
            <v>13.56</v>
          </cell>
          <cell r="Q995">
            <v>13.47</v>
          </cell>
          <cell r="S995">
            <v>13.47</v>
          </cell>
        </row>
        <row r="996">
          <cell r="A996" t="str">
            <v>4 S 06 110 01</v>
          </cell>
          <cell r="B996" t="str">
            <v>Pintura faixa c/termoplástico-3 anos (p/ aspersão)</v>
          </cell>
          <cell r="E996" t="str">
            <v>m2</v>
          </cell>
          <cell r="G996">
            <v>22.73</v>
          </cell>
          <cell r="M996">
            <v>27.63</v>
          </cell>
          <cell r="O996">
            <v>27.8</v>
          </cell>
          <cell r="Q996">
            <v>27.16</v>
          </cell>
          <cell r="S996">
            <v>27.16</v>
          </cell>
        </row>
        <row r="997">
          <cell r="A997" t="str">
            <v>4 S 06 110 02</v>
          </cell>
          <cell r="B997" t="str">
            <v>Pintura setas e zebrado term.-3 anos (p/ aspersão)</v>
          </cell>
          <cell r="E997" t="str">
            <v>m2</v>
          </cell>
          <cell r="G997">
            <v>28.38</v>
          </cell>
          <cell r="M997">
            <v>34.22</v>
          </cell>
          <cell r="O997">
            <v>34.42</v>
          </cell>
          <cell r="Q997">
            <v>33.69</v>
          </cell>
          <cell r="S997">
            <v>33.69</v>
          </cell>
        </row>
        <row r="998">
          <cell r="A998" t="str">
            <v>4 S 06 110 03</v>
          </cell>
          <cell r="B998" t="str">
            <v>Pintura setas e zebrado term.-5 anos (p/ extrusão)</v>
          </cell>
          <cell r="E998" t="str">
            <v>m2</v>
          </cell>
          <cell r="G998">
            <v>32.29</v>
          </cell>
          <cell r="M998">
            <v>38.83</v>
          </cell>
          <cell r="O998">
            <v>39.03</v>
          </cell>
          <cell r="Q998">
            <v>38.159999999999997</v>
          </cell>
          <cell r="S998">
            <v>38.159999999999997</v>
          </cell>
        </row>
        <row r="999">
          <cell r="A999" t="str">
            <v>4 S 06 120 01</v>
          </cell>
          <cell r="B999" t="str">
            <v>Forn. e colocação de tacha reflet. monodirecional</v>
          </cell>
          <cell r="E999" t="str">
            <v>und</v>
          </cell>
          <cell r="G999">
            <v>8.09</v>
          </cell>
          <cell r="M999">
            <v>8.3000000000000007</v>
          </cell>
          <cell r="O999">
            <v>8.3000000000000007</v>
          </cell>
          <cell r="Q999">
            <v>8.26</v>
          </cell>
          <cell r="S999">
            <v>9.98</v>
          </cell>
        </row>
        <row r="1000">
          <cell r="A1000" t="str">
            <v>4 S 06 120 11</v>
          </cell>
          <cell r="B1000" t="str">
            <v>Forn. e colocação de tachão reflet. monodirecional</v>
          </cell>
          <cell r="E1000" t="str">
            <v>und</v>
          </cell>
          <cell r="G1000">
            <v>22.75</v>
          </cell>
          <cell r="M1000">
            <v>23.2</v>
          </cell>
          <cell r="O1000">
            <v>23.2</v>
          </cell>
          <cell r="Q1000">
            <v>23.1</v>
          </cell>
          <cell r="S1000">
            <v>25.09</v>
          </cell>
        </row>
        <row r="1001">
          <cell r="A1001" t="str">
            <v>4 S 06 121 01</v>
          </cell>
          <cell r="B1001" t="str">
            <v>Forn. e colocação de tacha reflet. bidirecional</v>
          </cell>
          <cell r="E1001" t="str">
            <v>und</v>
          </cell>
          <cell r="G1001">
            <v>8.76</v>
          </cell>
          <cell r="M1001">
            <v>8.9600000000000009</v>
          </cell>
          <cell r="O1001">
            <v>8.9600000000000009</v>
          </cell>
          <cell r="Q1001">
            <v>8.92</v>
          </cell>
          <cell r="S1001">
            <v>10.64</v>
          </cell>
        </row>
        <row r="1002">
          <cell r="A1002" t="str">
            <v>4 S 06 121 11</v>
          </cell>
          <cell r="B1002" t="str">
            <v>Forn. e colocação de tachão reflet. bidirecional</v>
          </cell>
          <cell r="E1002" t="str">
            <v>und</v>
          </cell>
          <cell r="G1002">
            <v>24.07</v>
          </cell>
          <cell r="M1002">
            <v>24.52</v>
          </cell>
          <cell r="O1002">
            <v>24.53</v>
          </cell>
          <cell r="Q1002">
            <v>24.42</v>
          </cell>
          <cell r="S1002">
            <v>26.41</v>
          </cell>
        </row>
        <row r="1003">
          <cell r="A1003" t="str">
            <v>4 S 06 200 01</v>
          </cell>
          <cell r="B1003" t="str">
            <v>Forn. e implantação placa sinaliz. semi-refletiva</v>
          </cell>
          <cell r="E1003" t="str">
            <v>m2</v>
          </cell>
          <cell r="G1003">
            <v>179.37</v>
          </cell>
          <cell r="M1003">
            <v>186.49</v>
          </cell>
          <cell r="O1003">
            <v>186.91</v>
          </cell>
          <cell r="Q1003">
            <v>190.43</v>
          </cell>
          <cell r="S1003">
            <v>190.43</v>
          </cell>
        </row>
        <row r="1004">
          <cell r="A1004" t="str">
            <v>4 S 06 200 02</v>
          </cell>
          <cell r="B1004" t="str">
            <v>Forn. e implantação placa sinaliz. tot.refletiva</v>
          </cell>
          <cell r="E1004" t="str">
            <v>m2</v>
          </cell>
          <cell r="G1004">
            <v>235.42</v>
          </cell>
          <cell r="M1004">
            <v>244.14</v>
          </cell>
          <cell r="O1004">
            <v>246.95</v>
          </cell>
          <cell r="Q1004">
            <v>247.75</v>
          </cell>
          <cell r="S1004">
            <v>247.75</v>
          </cell>
        </row>
        <row r="1005">
          <cell r="A1005" t="str">
            <v>4 S 06 200 91</v>
          </cell>
          <cell r="B1005" t="str">
            <v>Remoção de placa de sinalização</v>
          </cell>
          <cell r="E1005" t="str">
            <v>m2</v>
          </cell>
          <cell r="G1005">
            <v>10.210000000000001</v>
          </cell>
          <cell r="M1005">
            <v>11.74</v>
          </cell>
          <cell r="O1005">
            <v>11.76</v>
          </cell>
          <cell r="Q1005">
            <v>11.47</v>
          </cell>
          <cell r="S1005">
            <v>11.47</v>
          </cell>
        </row>
        <row r="1006">
          <cell r="A1006" t="str">
            <v>4 S 06 200 92</v>
          </cell>
          <cell r="B1006" t="str">
            <v>Recuperação de chapa p/placa de sinalização</v>
          </cell>
          <cell r="E1006" t="str">
            <v>m2</v>
          </cell>
          <cell r="G1006">
            <v>16.34</v>
          </cell>
          <cell r="M1006">
            <v>19.260000000000002</v>
          </cell>
          <cell r="O1006">
            <v>18.73</v>
          </cell>
          <cell r="Q1006">
            <v>18.73</v>
          </cell>
          <cell r="S1006">
            <v>18.87</v>
          </cell>
        </row>
        <row r="1007">
          <cell r="A1007" t="str">
            <v>4 S 06 202 01</v>
          </cell>
          <cell r="B1007" t="str">
            <v>Confecção de placa sinalização semi-refletiva</v>
          </cell>
          <cell r="E1007" t="str">
            <v>m2</v>
          </cell>
          <cell r="G1007">
            <v>143.52000000000001</v>
          </cell>
          <cell r="M1007">
            <v>147.25</v>
          </cell>
          <cell r="O1007">
            <v>147.65</v>
          </cell>
          <cell r="Q1007">
            <v>150.28</v>
          </cell>
          <cell r="S1007">
            <v>150.28</v>
          </cell>
        </row>
        <row r="1008">
          <cell r="A1008" t="str">
            <v>4 S 06 202 11</v>
          </cell>
          <cell r="B1008" t="str">
            <v>Confecção placa sinalização tot.refletiva</v>
          </cell>
          <cell r="E1008" t="str">
            <v>m2</v>
          </cell>
          <cell r="G1008">
            <v>199.57</v>
          </cell>
          <cell r="M1008">
            <v>204.9</v>
          </cell>
          <cell r="O1008">
            <v>207.69</v>
          </cell>
          <cell r="Q1008">
            <v>207.6</v>
          </cell>
          <cell r="S1008">
            <v>207.6</v>
          </cell>
        </row>
        <row r="1009">
          <cell r="A1009" t="str">
            <v>4 S 06 202 21</v>
          </cell>
          <cell r="B1009" t="str">
            <v>Conf.placa sinal.semi-refletiva chapa recuperada</v>
          </cell>
          <cell r="E1009" t="str">
            <v>m2</v>
          </cell>
          <cell r="G1009">
            <v>62.27</v>
          </cell>
          <cell r="M1009">
            <v>67.98</v>
          </cell>
          <cell r="O1009">
            <v>67.849999999999994</v>
          </cell>
          <cell r="Q1009">
            <v>70.48</v>
          </cell>
          <cell r="S1009">
            <v>70.61</v>
          </cell>
        </row>
        <row r="1010">
          <cell r="A1010" t="str">
            <v>4 S 06 202 31</v>
          </cell>
          <cell r="B1010" t="str">
            <v>Conf.placa sinal.tot.refletiva - chapa recuperada</v>
          </cell>
          <cell r="E1010" t="str">
            <v>m2</v>
          </cell>
          <cell r="G1010">
            <v>116.74</v>
          </cell>
          <cell r="M1010">
            <v>123.73</v>
          </cell>
          <cell r="O1010">
            <v>125.99</v>
          </cell>
          <cell r="Q1010">
            <v>125.9</v>
          </cell>
          <cell r="S1010">
            <v>126.03</v>
          </cell>
        </row>
        <row r="1011">
          <cell r="A1011" t="str">
            <v>4 S 06 203 01</v>
          </cell>
          <cell r="B1011" t="str">
            <v>Confecção suporte e travessa p/placa sinaliz.</v>
          </cell>
          <cell r="E1011" t="str">
            <v>und</v>
          </cell>
          <cell r="G1011">
            <v>23.11</v>
          </cell>
          <cell r="M1011">
            <v>24.73</v>
          </cell>
          <cell r="O1011">
            <v>24.73</v>
          </cell>
          <cell r="Q1011">
            <v>25.84</v>
          </cell>
          <cell r="S1011">
            <v>25.84</v>
          </cell>
        </row>
        <row r="1012">
          <cell r="A1012" t="str">
            <v>4 S 06 230 01</v>
          </cell>
          <cell r="B1012" t="str">
            <v>Forn. e implantação de balizador de concreto</v>
          </cell>
          <cell r="E1012" t="str">
            <v>und</v>
          </cell>
          <cell r="G1012">
            <v>15.37</v>
          </cell>
          <cell r="M1012">
            <v>17.28</v>
          </cell>
          <cell r="O1012">
            <v>17.399999999999999</v>
          </cell>
          <cell r="Q1012">
            <v>17.09</v>
          </cell>
          <cell r="S1012">
            <v>17.18</v>
          </cell>
        </row>
        <row r="1013">
          <cell r="A1013" t="str">
            <v>4 S 09 002 00</v>
          </cell>
          <cell r="B1013" t="str">
            <v>Transporte local c/ basc. 5 m3 rodov. pav.</v>
          </cell>
          <cell r="E1013" t="str">
            <v>tkm</v>
          </cell>
          <cell r="G1013">
            <v>0.39</v>
          </cell>
          <cell r="M1013">
            <v>0.43</v>
          </cell>
          <cell r="O1013">
            <v>0.43</v>
          </cell>
          <cell r="Q1013">
            <v>0.41</v>
          </cell>
          <cell r="S1013">
            <v>0.41</v>
          </cell>
        </row>
        <row r="1014">
          <cell r="A1014" t="str">
            <v>4 S 09 002 41</v>
          </cell>
          <cell r="B1014" t="str">
            <v>Transporte local c/ carroceria 4t rodov. pav.</v>
          </cell>
          <cell r="E1014" t="str">
            <v>tkm</v>
          </cell>
          <cell r="G1014">
            <v>0.53</v>
          </cell>
          <cell r="M1014">
            <v>0.6</v>
          </cell>
          <cell r="O1014">
            <v>0.6</v>
          </cell>
          <cell r="Q1014">
            <v>0.59</v>
          </cell>
          <cell r="S1014">
            <v>0.59</v>
          </cell>
        </row>
        <row r="1015">
          <cell r="A1015" t="str">
            <v>4 S 09 202 70</v>
          </cell>
          <cell r="B1015" t="str">
            <v>Transp. local de água c/ cam. tanque rodov. pav.</v>
          </cell>
          <cell r="E1015" t="str">
            <v>tkm</v>
          </cell>
          <cell r="G1015">
            <v>0.74</v>
          </cell>
          <cell r="M1015">
            <v>0.84</v>
          </cell>
          <cell r="O1015">
            <v>0.84</v>
          </cell>
          <cell r="Q1015">
            <v>0.8</v>
          </cell>
          <cell r="S1015">
            <v>0.8</v>
          </cell>
        </row>
        <row r="1016">
          <cell r="B1016" t="str">
            <v>Restauração</v>
          </cell>
        </row>
        <row r="1017">
          <cell r="A1017" t="str">
            <v>5 S 01 000 00</v>
          </cell>
          <cell r="B1017" t="str">
            <v>Desm. dest. e limp. áreas c/ arv. diam. até 0,15m</v>
          </cell>
          <cell r="E1017" t="str">
            <v>m2</v>
          </cell>
          <cell r="G1017">
            <v>0.21</v>
          </cell>
          <cell r="M1017">
            <v>0.22</v>
          </cell>
          <cell r="O1017">
            <v>0.24</v>
          </cell>
          <cell r="Q1017">
            <v>0.23</v>
          </cell>
          <cell r="S1017">
            <v>0.23</v>
          </cell>
        </row>
        <row r="1018">
          <cell r="A1018" t="str">
            <v>5 S 01 010 00</v>
          </cell>
          <cell r="B1018" t="str">
            <v>Destocamento de árvores c/ diâm. 0,15 a 030m</v>
          </cell>
          <cell r="E1018" t="str">
            <v>und</v>
          </cell>
          <cell r="G1018">
            <v>18.46</v>
          </cell>
          <cell r="M1018">
            <v>19.72</v>
          </cell>
          <cell r="O1018">
            <v>21.1</v>
          </cell>
          <cell r="Q1018">
            <v>20.57</v>
          </cell>
          <cell r="S1018">
            <v>20.57</v>
          </cell>
        </row>
        <row r="1019">
          <cell r="A1019" t="str">
            <v>5 S 01 011 00</v>
          </cell>
          <cell r="B1019" t="str">
            <v>Destocamento de árvores c/ diâm. &gt; 0,30m</v>
          </cell>
          <cell r="E1019" t="str">
            <v>und</v>
          </cell>
          <cell r="G1019">
            <v>46.15</v>
          </cell>
          <cell r="M1019">
            <v>49.3</v>
          </cell>
          <cell r="O1019">
            <v>52.76</v>
          </cell>
          <cell r="Q1019">
            <v>51.43</v>
          </cell>
          <cell r="S1019">
            <v>51.43</v>
          </cell>
        </row>
        <row r="1020">
          <cell r="A1020" t="str">
            <v>5 S 01 100 01</v>
          </cell>
          <cell r="B1020" t="str">
            <v>Esc. carga transp. mat 1a cat DMT 50m</v>
          </cell>
          <cell r="E1020" t="str">
            <v>m3</v>
          </cell>
          <cell r="G1020">
            <v>1.0900000000000001</v>
          </cell>
          <cell r="M1020">
            <v>1.1599999999999999</v>
          </cell>
          <cell r="O1020">
            <v>1.24</v>
          </cell>
          <cell r="Q1020">
            <v>1.21</v>
          </cell>
          <cell r="S1020">
            <v>1.21</v>
          </cell>
        </row>
        <row r="1021">
          <cell r="A1021" t="str">
            <v>5 S 01 100 09</v>
          </cell>
          <cell r="B1021" t="str">
            <v>Esc. carga tr. mat 1a c. DMT 50 a 200m c/carreg</v>
          </cell>
          <cell r="E1021" t="str">
            <v>m3</v>
          </cell>
          <cell r="G1021">
            <v>3.49</v>
          </cell>
          <cell r="M1021">
            <v>3.81</v>
          </cell>
          <cell r="O1021">
            <v>4</v>
          </cell>
          <cell r="Q1021">
            <v>3.88</v>
          </cell>
          <cell r="S1021">
            <v>3.88</v>
          </cell>
        </row>
        <row r="1022">
          <cell r="A1022" t="str">
            <v>5 S 01 100 10</v>
          </cell>
          <cell r="B1022" t="str">
            <v>Esc. carga tr. mat 1a c. DMT 200 a 400m c/carreg</v>
          </cell>
          <cell r="E1022" t="str">
            <v>m3</v>
          </cell>
          <cell r="G1022">
            <v>3.8</v>
          </cell>
          <cell r="M1022">
            <v>4.1399999999999997</v>
          </cell>
          <cell r="O1022">
            <v>4.33</v>
          </cell>
          <cell r="Q1022">
            <v>4.2</v>
          </cell>
          <cell r="S1022">
            <v>4.2</v>
          </cell>
        </row>
        <row r="1023">
          <cell r="A1023" t="str">
            <v>5 S 01 100 11</v>
          </cell>
          <cell r="B1023" t="str">
            <v>Esc. carga tr. mat 1a c. DMT 400 a 600m c/carreg</v>
          </cell>
          <cell r="E1023" t="str">
            <v>m3</v>
          </cell>
          <cell r="G1023">
            <v>4.03</v>
          </cell>
          <cell r="M1023">
            <v>4.4000000000000004</v>
          </cell>
          <cell r="O1023">
            <v>4.59</v>
          </cell>
          <cell r="Q1023">
            <v>4.45</v>
          </cell>
          <cell r="S1023">
            <v>4.45</v>
          </cell>
        </row>
        <row r="1024">
          <cell r="A1024" t="str">
            <v>5 S 01 100 12</v>
          </cell>
          <cell r="B1024" t="str">
            <v>Esc. carga tr. mat 1a c. DMT 600 a 800m c/carreg</v>
          </cell>
          <cell r="E1024" t="str">
            <v>m3</v>
          </cell>
          <cell r="G1024">
            <v>4.33</v>
          </cell>
          <cell r="M1024">
            <v>4.72</v>
          </cell>
          <cell r="O1024">
            <v>4.92</v>
          </cell>
          <cell r="Q1024">
            <v>4.7699999999999996</v>
          </cell>
          <cell r="S1024">
            <v>4.7699999999999996</v>
          </cell>
        </row>
        <row r="1025">
          <cell r="A1025" t="str">
            <v>5 S 01 100 13</v>
          </cell>
          <cell r="B1025" t="str">
            <v>Esc. carga tr. mat 1a c. DMT 800 a 1000m c/carreg</v>
          </cell>
          <cell r="E1025" t="str">
            <v>m3</v>
          </cell>
          <cell r="G1025">
            <v>4.57</v>
          </cell>
          <cell r="M1025">
            <v>4.9800000000000004</v>
          </cell>
          <cell r="O1025">
            <v>5.18</v>
          </cell>
          <cell r="Q1025">
            <v>5.0199999999999996</v>
          </cell>
          <cell r="S1025">
            <v>5.0199999999999996</v>
          </cell>
        </row>
        <row r="1026">
          <cell r="A1026" t="str">
            <v>5 S 01 100 14</v>
          </cell>
          <cell r="B1026" t="str">
            <v>Esc. carga tr. mat 1a c. DMT 1000 a 1200m c/carreg</v>
          </cell>
          <cell r="E1026" t="str">
            <v>m3</v>
          </cell>
          <cell r="G1026">
            <v>4.8600000000000003</v>
          </cell>
          <cell r="M1026">
            <v>5.3</v>
          </cell>
          <cell r="O1026">
            <v>5.49</v>
          </cell>
          <cell r="Q1026">
            <v>5.33</v>
          </cell>
          <cell r="S1026">
            <v>5.33</v>
          </cell>
        </row>
        <row r="1027">
          <cell r="A1027" t="str">
            <v>5 S 01 100 15</v>
          </cell>
          <cell r="B1027" t="str">
            <v>Esc. carga tr. mat 1a c. DMT 1200 a 1400m c/carreg</v>
          </cell>
          <cell r="E1027" t="str">
            <v>m3</v>
          </cell>
          <cell r="G1027">
            <v>5.04</v>
          </cell>
          <cell r="M1027">
            <v>5.49</v>
          </cell>
          <cell r="O1027">
            <v>5.69</v>
          </cell>
          <cell r="Q1027">
            <v>5.51</v>
          </cell>
          <cell r="S1027">
            <v>5.51</v>
          </cell>
        </row>
        <row r="1028">
          <cell r="A1028" t="str">
            <v>5 S 01 100 16</v>
          </cell>
          <cell r="B1028" t="str">
            <v>Esc. carga tr. mat 1a c. DMT 1400 a 1600m c/carreg</v>
          </cell>
          <cell r="E1028" t="str">
            <v>m3</v>
          </cell>
          <cell r="G1028">
            <v>5.18</v>
          </cell>
          <cell r="M1028">
            <v>5.64</v>
          </cell>
          <cell r="O1028">
            <v>5.84</v>
          </cell>
          <cell r="Q1028">
            <v>5.65</v>
          </cell>
          <cell r="S1028">
            <v>5.65</v>
          </cell>
        </row>
        <row r="1029">
          <cell r="A1029" t="str">
            <v>5 S 01 100 17</v>
          </cell>
          <cell r="B1029" t="str">
            <v>Esc. carga tr. mat 1a c. DMT 1600 a 1800m c/carreg</v>
          </cell>
          <cell r="E1029" t="str">
            <v>m3</v>
          </cell>
          <cell r="G1029">
            <v>5.41</v>
          </cell>
          <cell r="M1029">
            <v>5.88</v>
          </cell>
          <cell r="O1029">
            <v>6.09</v>
          </cell>
          <cell r="Q1029">
            <v>5.89</v>
          </cell>
          <cell r="S1029">
            <v>5.89</v>
          </cell>
        </row>
        <row r="1030">
          <cell r="A1030" t="str">
            <v>5 S 01 100 18</v>
          </cell>
          <cell r="B1030" t="str">
            <v>Esc. carga tr. mat 1a c. DMT 1800 a 2000m c/carreg</v>
          </cell>
          <cell r="E1030" t="str">
            <v>m3</v>
          </cell>
          <cell r="G1030">
            <v>5.62</v>
          </cell>
          <cell r="M1030">
            <v>6.12</v>
          </cell>
          <cell r="O1030">
            <v>6.33</v>
          </cell>
          <cell r="Q1030">
            <v>6.13</v>
          </cell>
          <cell r="S1030">
            <v>6.13</v>
          </cell>
        </row>
        <row r="1031">
          <cell r="A1031" t="str">
            <v>5 S 01 100 19</v>
          </cell>
          <cell r="B1031" t="str">
            <v>Esc. carga tr. mat 1a c. DMT 2000 a 3000m c/carreg</v>
          </cell>
          <cell r="E1031" t="str">
            <v>m3</v>
          </cell>
          <cell r="G1031">
            <v>6.41</v>
          </cell>
          <cell r="M1031">
            <v>6.98</v>
          </cell>
          <cell r="O1031">
            <v>7.19</v>
          </cell>
          <cell r="Q1031">
            <v>6.96</v>
          </cell>
          <cell r="S1031">
            <v>6.96</v>
          </cell>
        </row>
        <row r="1032">
          <cell r="A1032" t="str">
            <v>5 S 01 100 20</v>
          </cell>
          <cell r="B1032" t="str">
            <v>Esc. carga tr. mat 1a c. DMT 3000 a 5000m c/carreg</v>
          </cell>
          <cell r="E1032" t="str">
            <v>m3</v>
          </cell>
          <cell r="G1032">
            <v>8.51</v>
          </cell>
          <cell r="M1032">
            <v>9.25</v>
          </cell>
          <cell r="O1032">
            <v>9.48</v>
          </cell>
          <cell r="Q1032">
            <v>9.17</v>
          </cell>
          <cell r="S1032">
            <v>9.17</v>
          </cell>
        </row>
        <row r="1033">
          <cell r="A1033" t="str">
            <v>5 S 01 100 22</v>
          </cell>
          <cell r="B1033" t="str">
            <v>Esc. carga transp. mat 1a cat DMT 50 a 200m c/e</v>
          </cell>
          <cell r="E1033" t="str">
            <v>m3</v>
          </cell>
          <cell r="G1033">
            <v>3.73</v>
          </cell>
          <cell r="M1033">
            <v>3.89</v>
          </cell>
          <cell r="O1033">
            <v>3.89</v>
          </cell>
          <cell r="Q1033">
            <v>3.35</v>
          </cell>
          <cell r="S1033">
            <v>3.35</v>
          </cell>
        </row>
        <row r="1034">
          <cell r="A1034" t="str">
            <v>5 S 01 100 23</v>
          </cell>
          <cell r="B1034" t="str">
            <v>Esc. carga transp. mat 1a cat DMT 200 a 400m c/e</v>
          </cell>
          <cell r="E1034" t="str">
            <v>m3</v>
          </cell>
          <cell r="G1034">
            <v>4.08</v>
          </cell>
          <cell r="M1034">
            <v>4.28</v>
          </cell>
          <cell r="O1034">
            <v>4.28</v>
          </cell>
          <cell r="Q1034">
            <v>3.73</v>
          </cell>
          <cell r="S1034">
            <v>3.73</v>
          </cell>
        </row>
        <row r="1035">
          <cell r="A1035" t="str">
            <v>5 S 01 100 24</v>
          </cell>
          <cell r="B1035" t="str">
            <v>Esc. carga transp. mat 1a cat DMT 400 a 600m c/e</v>
          </cell>
          <cell r="E1035" t="str">
            <v>m3</v>
          </cell>
          <cell r="G1035">
            <v>4.3</v>
          </cell>
          <cell r="M1035">
            <v>4.5199999999999996</v>
          </cell>
          <cell r="O1035">
            <v>4.5199999999999996</v>
          </cell>
          <cell r="Q1035">
            <v>3.96</v>
          </cell>
          <cell r="S1035">
            <v>3.96</v>
          </cell>
        </row>
        <row r="1036">
          <cell r="A1036" t="str">
            <v>5 S 01 100 25</v>
          </cell>
          <cell r="B1036" t="str">
            <v>Esc. carga transp. mat 1a cat DMT 600 a 800m c/e</v>
          </cell>
          <cell r="E1036" t="str">
            <v>m3</v>
          </cell>
          <cell r="G1036">
            <v>4.57</v>
          </cell>
          <cell r="M1036">
            <v>4.8099999999999996</v>
          </cell>
          <cell r="O1036">
            <v>4.82</v>
          </cell>
          <cell r="Q1036">
            <v>4.24</v>
          </cell>
          <cell r="S1036">
            <v>4.24</v>
          </cell>
        </row>
        <row r="1037">
          <cell r="A1037" t="str">
            <v>5 S 01 100 26</v>
          </cell>
          <cell r="B1037" t="str">
            <v>Esc. carga transp. mat 1a cat DMT 800 a 1000m c/e</v>
          </cell>
          <cell r="E1037" t="str">
            <v>m3</v>
          </cell>
          <cell r="G1037">
            <v>4.8600000000000003</v>
          </cell>
          <cell r="M1037">
            <v>5.12</v>
          </cell>
          <cell r="O1037">
            <v>5.13</v>
          </cell>
          <cell r="Q1037">
            <v>4.55</v>
          </cell>
          <cell r="S1037">
            <v>4.55</v>
          </cell>
        </row>
        <row r="1038">
          <cell r="A1038" t="str">
            <v>5 S 01 100 27</v>
          </cell>
          <cell r="B1038" t="str">
            <v>Esc. carga transp. mat 1a cat DMT 1000 a 1200m c/e</v>
          </cell>
          <cell r="E1038" t="str">
            <v>m3</v>
          </cell>
          <cell r="G1038">
            <v>5.0999999999999996</v>
          </cell>
          <cell r="M1038">
            <v>5.38</v>
          </cell>
          <cell r="O1038">
            <v>5.39</v>
          </cell>
          <cell r="Q1038">
            <v>4.8</v>
          </cell>
          <cell r="S1038">
            <v>4.8</v>
          </cell>
        </row>
        <row r="1039">
          <cell r="A1039" t="str">
            <v>5 S 01 100 28</v>
          </cell>
          <cell r="B1039" t="str">
            <v>Esc. carga transp. mat 1a cat DMT 1200 a 1400m c/e</v>
          </cell>
          <cell r="E1039" t="str">
            <v>m3</v>
          </cell>
          <cell r="G1039">
            <v>5.29</v>
          </cell>
          <cell r="M1039">
            <v>5.58</v>
          </cell>
          <cell r="O1039">
            <v>5.6</v>
          </cell>
          <cell r="Q1039">
            <v>5</v>
          </cell>
          <cell r="S1039">
            <v>5</v>
          </cell>
        </row>
        <row r="1040">
          <cell r="A1040" t="str">
            <v>5 S 01 100 29</v>
          </cell>
          <cell r="B1040" t="str">
            <v>Esc. carga transp. mat 1a cat DMT 1400 a 1600m c/e</v>
          </cell>
          <cell r="E1040" t="str">
            <v>m3</v>
          </cell>
          <cell r="G1040">
            <v>5.53</v>
          </cell>
          <cell r="M1040">
            <v>5.85</v>
          </cell>
          <cell r="O1040">
            <v>5.87</v>
          </cell>
          <cell r="Q1040">
            <v>5.26</v>
          </cell>
          <cell r="S1040">
            <v>5.26</v>
          </cell>
        </row>
        <row r="1041">
          <cell r="A1041" t="str">
            <v>5 S 01 100 30</v>
          </cell>
          <cell r="B1041" t="str">
            <v>Esc. carga transp .mat 1a cat DMT 1600 a 1800m c/e</v>
          </cell>
          <cell r="E1041" t="str">
            <v>m3</v>
          </cell>
          <cell r="G1041">
            <v>5.69</v>
          </cell>
          <cell r="M1041">
            <v>6.02</v>
          </cell>
          <cell r="O1041">
            <v>6.04</v>
          </cell>
          <cell r="Q1041">
            <v>5.42</v>
          </cell>
          <cell r="S1041">
            <v>5.42</v>
          </cell>
        </row>
        <row r="1042">
          <cell r="A1042" t="str">
            <v>5 S 01 100 31</v>
          </cell>
          <cell r="B1042" t="str">
            <v>Esc. carga transp. mat 1a cat DMT 1800 a 2000m c/e</v>
          </cell>
          <cell r="E1042" t="str">
            <v>m3</v>
          </cell>
          <cell r="G1042">
            <v>5.88</v>
          </cell>
          <cell r="M1042">
            <v>6.23</v>
          </cell>
          <cell r="O1042">
            <v>6.25</v>
          </cell>
          <cell r="Q1042">
            <v>5.62</v>
          </cell>
          <cell r="S1042">
            <v>5.62</v>
          </cell>
        </row>
        <row r="1043">
          <cell r="A1043" t="str">
            <v>5 S 01 100 32</v>
          </cell>
          <cell r="B1043" t="str">
            <v>Esc. carga transp. mat 1a cat DMT 2000 a 3000m c/e</v>
          </cell>
          <cell r="E1043" t="str">
            <v>m3</v>
          </cell>
          <cell r="G1043">
            <v>6.66</v>
          </cell>
          <cell r="M1043">
            <v>7.07</v>
          </cell>
          <cell r="O1043">
            <v>7.1</v>
          </cell>
          <cell r="Q1043">
            <v>6.44</v>
          </cell>
          <cell r="S1043">
            <v>6.44</v>
          </cell>
        </row>
        <row r="1044">
          <cell r="A1044" t="str">
            <v>5 S 01 100 33</v>
          </cell>
          <cell r="B1044" t="str">
            <v>Esc. carga transp. mat 1a cat DMT 3000 a 5000m c/e</v>
          </cell>
          <cell r="E1044" t="str">
            <v>m3</v>
          </cell>
          <cell r="G1044">
            <v>8.81</v>
          </cell>
          <cell r="M1044">
            <v>9.39</v>
          </cell>
          <cell r="O1044">
            <v>9.44</v>
          </cell>
          <cell r="Q1044">
            <v>8.6999999999999993</v>
          </cell>
          <cell r="S1044">
            <v>8.6999999999999993</v>
          </cell>
        </row>
        <row r="1045">
          <cell r="A1045" t="str">
            <v>5 S 01 101 01</v>
          </cell>
          <cell r="B1045" t="str">
            <v>Esc. carga transp. mat 2a cat DMT 50m</v>
          </cell>
          <cell r="E1045" t="str">
            <v>m3</v>
          </cell>
          <cell r="G1045">
            <v>1.89</v>
          </cell>
          <cell r="M1045">
            <v>2.0099999999999998</v>
          </cell>
          <cell r="O1045">
            <v>2.16</v>
          </cell>
          <cell r="Q1045">
            <v>2.1</v>
          </cell>
          <cell r="S1045">
            <v>2.1</v>
          </cell>
        </row>
        <row r="1046">
          <cell r="A1046" t="str">
            <v>5 S 01 101 09</v>
          </cell>
          <cell r="B1046" t="str">
            <v>Esc. carga tr. mat 2a c. DMT 50 a 200m c/carreg</v>
          </cell>
          <cell r="E1046" t="str">
            <v>m3</v>
          </cell>
          <cell r="G1046">
            <v>5.58</v>
          </cell>
          <cell r="M1046">
            <v>6.06</v>
          </cell>
          <cell r="O1046">
            <v>6.39</v>
          </cell>
          <cell r="Q1046">
            <v>6.21</v>
          </cell>
          <cell r="S1046">
            <v>6.21</v>
          </cell>
        </row>
        <row r="1047">
          <cell r="A1047" t="str">
            <v>5 S 01 101 10</v>
          </cell>
          <cell r="B1047" t="str">
            <v>Esc. carga tr. mat 2a c. DMT 200 a 400m c/carreg</v>
          </cell>
          <cell r="E1047" t="str">
            <v>m3</v>
          </cell>
          <cell r="G1047">
            <v>6.03</v>
          </cell>
          <cell r="M1047">
            <v>6.55</v>
          </cell>
          <cell r="O1047">
            <v>6.89</v>
          </cell>
          <cell r="Q1047">
            <v>6.69</v>
          </cell>
          <cell r="S1047">
            <v>6.69</v>
          </cell>
        </row>
        <row r="1048">
          <cell r="A1048" t="str">
            <v>5 S 01 101 11</v>
          </cell>
          <cell r="B1048" t="str">
            <v>Esc. carga tr. mat 2a c. DMT 400 a 600m c/carreg</v>
          </cell>
          <cell r="E1048" t="str">
            <v>m3</v>
          </cell>
          <cell r="G1048">
            <v>6.29</v>
          </cell>
          <cell r="M1048">
            <v>6.84</v>
          </cell>
          <cell r="O1048">
            <v>7.17</v>
          </cell>
          <cell r="Q1048">
            <v>6.96</v>
          </cell>
          <cell r="S1048">
            <v>6.96</v>
          </cell>
        </row>
        <row r="1049">
          <cell r="A1049" t="str">
            <v>5 S 01 101 12</v>
          </cell>
          <cell r="B1049" t="str">
            <v>Esc. carga tr. mat 2a c. DMT 600 a 800m c/carreg</v>
          </cell>
          <cell r="E1049" t="str">
            <v>m3</v>
          </cell>
          <cell r="G1049">
            <v>6.7</v>
          </cell>
          <cell r="M1049">
            <v>7.28</v>
          </cell>
          <cell r="O1049">
            <v>7.62</v>
          </cell>
          <cell r="Q1049">
            <v>7.4</v>
          </cell>
          <cell r="S1049">
            <v>7.4</v>
          </cell>
        </row>
        <row r="1050">
          <cell r="A1050" t="str">
            <v>5 S 01 101 13</v>
          </cell>
          <cell r="B1050" t="str">
            <v>Esc. carga tr. mat 2a c. DMT 800 a 1000m c/carreg</v>
          </cell>
          <cell r="E1050" t="str">
            <v>m3</v>
          </cell>
          <cell r="G1050">
            <v>6.99</v>
          </cell>
          <cell r="M1050">
            <v>7.59</v>
          </cell>
          <cell r="O1050">
            <v>7.93</v>
          </cell>
          <cell r="Q1050">
            <v>7.7</v>
          </cell>
          <cell r="S1050">
            <v>7.7</v>
          </cell>
        </row>
        <row r="1051">
          <cell r="A1051" t="str">
            <v>5 S 01 101 14</v>
          </cell>
          <cell r="B1051" t="str">
            <v>Esc. carga tr. mat 2a c. DMT 1000 a 1200m c/carreg</v>
          </cell>
          <cell r="E1051" t="str">
            <v>m3</v>
          </cell>
          <cell r="G1051">
            <v>7.17</v>
          </cell>
          <cell r="M1051">
            <v>7.78</v>
          </cell>
          <cell r="O1051">
            <v>8.1300000000000008</v>
          </cell>
          <cell r="Q1051">
            <v>7.89</v>
          </cell>
          <cell r="S1051">
            <v>7.89</v>
          </cell>
        </row>
        <row r="1052">
          <cell r="A1052" t="str">
            <v>5 S 01 101 15</v>
          </cell>
          <cell r="B1052" t="str">
            <v>Esc. carga tr. mat 2a c. DMT 1200 a 1400m c/carreg</v>
          </cell>
          <cell r="E1052" t="str">
            <v>m3</v>
          </cell>
          <cell r="G1052">
            <v>7.46</v>
          </cell>
          <cell r="M1052">
            <v>8.1</v>
          </cell>
          <cell r="O1052">
            <v>8.4499999999999993</v>
          </cell>
          <cell r="Q1052">
            <v>8.19</v>
          </cell>
          <cell r="S1052">
            <v>8.19</v>
          </cell>
        </row>
        <row r="1053">
          <cell r="A1053" t="str">
            <v>5 S 01 101 16</v>
          </cell>
          <cell r="B1053" t="str">
            <v>Esc. carga tr. mat 2a c. DMT 1400 a 1600m c/carreg</v>
          </cell>
          <cell r="E1053" t="str">
            <v>m3</v>
          </cell>
          <cell r="G1053">
            <v>7.7</v>
          </cell>
          <cell r="M1053">
            <v>8.36</v>
          </cell>
          <cell r="O1053">
            <v>8.7100000000000009</v>
          </cell>
          <cell r="Q1053">
            <v>8.4499999999999993</v>
          </cell>
          <cell r="S1053">
            <v>8.4499999999999993</v>
          </cell>
        </row>
        <row r="1054">
          <cell r="A1054" t="str">
            <v>5 S 01 101 17</v>
          </cell>
          <cell r="B1054" t="str">
            <v>Esc. carga tr. mat 2a c. DMT 1600 a 1800m c/carreg</v>
          </cell>
          <cell r="E1054" t="str">
            <v>m3</v>
          </cell>
          <cell r="G1054">
            <v>7.84</v>
          </cell>
          <cell r="M1054">
            <v>8.51</v>
          </cell>
          <cell r="O1054">
            <v>8.86</v>
          </cell>
          <cell r="Q1054">
            <v>8.59</v>
          </cell>
          <cell r="S1054">
            <v>8.59</v>
          </cell>
        </row>
        <row r="1055">
          <cell r="A1055" t="str">
            <v>5 S 01 101 18</v>
          </cell>
          <cell r="B1055" t="str">
            <v>Esc. carga tr. mat 2a c. DMT 1800 a 2000m c/carreg</v>
          </cell>
          <cell r="E1055" t="str">
            <v>m3</v>
          </cell>
          <cell r="G1055">
            <v>8.19</v>
          </cell>
          <cell r="M1055">
            <v>8.89</v>
          </cell>
          <cell r="O1055">
            <v>9.25</v>
          </cell>
          <cell r="Q1055">
            <v>8.9600000000000009</v>
          </cell>
          <cell r="S1055">
            <v>8.9600000000000009</v>
          </cell>
        </row>
        <row r="1056">
          <cell r="A1056" t="str">
            <v>5 S 01 101 19</v>
          </cell>
          <cell r="B1056" t="str">
            <v>Esc. carga tr. mat 2a c. DMT 2000 a 3000m c/carreg</v>
          </cell>
          <cell r="E1056" t="str">
            <v>m3</v>
          </cell>
          <cell r="G1056">
            <v>9.08</v>
          </cell>
          <cell r="M1056">
            <v>9.86</v>
          </cell>
          <cell r="O1056">
            <v>10.220000000000001</v>
          </cell>
          <cell r="Q1056">
            <v>9.9</v>
          </cell>
          <cell r="S1056">
            <v>9.9</v>
          </cell>
        </row>
        <row r="1057">
          <cell r="A1057" t="str">
            <v>5 S 01 101 20</v>
          </cell>
          <cell r="B1057" t="str">
            <v>Esc. carga tr. mat 2a c. DMT 3000 a 5000m c/carreg</v>
          </cell>
          <cell r="E1057" t="str">
            <v>m3</v>
          </cell>
          <cell r="G1057">
            <v>11.46</v>
          </cell>
          <cell r="M1057">
            <v>12.43</v>
          </cell>
          <cell r="O1057">
            <v>12.81</v>
          </cell>
          <cell r="Q1057">
            <v>12.4</v>
          </cell>
          <cell r="S1057">
            <v>12.4</v>
          </cell>
        </row>
        <row r="1058">
          <cell r="A1058" t="str">
            <v>5 S 01 101 22</v>
          </cell>
          <cell r="B1058" t="str">
            <v>Esc. carga transp. mat 2a cat DMT 50 a 200m c/e</v>
          </cell>
          <cell r="E1058" t="str">
            <v>m3</v>
          </cell>
          <cell r="G1058">
            <v>5.24</v>
          </cell>
          <cell r="M1058">
            <v>5.45</v>
          </cell>
          <cell r="O1058">
            <v>5.46</v>
          </cell>
          <cell r="Q1058">
            <v>4.6500000000000004</v>
          </cell>
          <cell r="S1058">
            <v>4.6500000000000004</v>
          </cell>
        </row>
        <row r="1059">
          <cell r="A1059" t="str">
            <v>5 S 01 101 23</v>
          </cell>
          <cell r="B1059" t="str">
            <v>Esc. carga transp. mat 2a cat DMT 200 a 400m c/e</v>
          </cell>
          <cell r="E1059" t="str">
            <v>m3</v>
          </cell>
          <cell r="G1059">
            <v>5.58</v>
          </cell>
          <cell r="M1059">
            <v>5.82</v>
          </cell>
          <cell r="O1059">
            <v>5.83</v>
          </cell>
          <cell r="Q1059">
            <v>5.01</v>
          </cell>
          <cell r="S1059">
            <v>5.01</v>
          </cell>
        </row>
        <row r="1060">
          <cell r="A1060" t="str">
            <v>5 S 01 101 24</v>
          </cell>
          <cell r="B1060" t="str">
            <v>Esc. carga transp. mat 2a cat DMT 400 a 600m c/e</v>
          </cell>
          <cell r="E1060" t="str">
            <v>m3</v>
          </cell>
          <cell r="G1060">
            <v>5.96</v>
          </cell>
          <cell r="M1060">
            <v>6.24</v>
          </cell>
          <cell r="O1060">
            <v>6.26</v>
          </cell>
          <cell r="Q1060">
            <v>5.42</v>
          </cell>
          <cell r="S1060">
            <v>5.42</v>
          </cell>
        </row>
        <row r="1061">
          <cell r="A1061" t="str">
            <v>5 S 01 101 25</v>
          </cell>
          <cell r="B1061" t="str">
            <v>Esc. carga transp. mat 2a cat DMT 600 a 800m c/e</v>
          </cell>
          <cell r="E1061" t="str">
            <v>m3</v>
          </cell>
          <cell r="G1061">
            <v>6.31</v>
          </cell>
          <cell r="M1061">
            <v>6.62</v>
          </cell>
          <cell r="O1061">
            <v>6.63</v>
          </cell>
          <cell r="Q1061">
            <v>5.79</v>
          </cell>
          <cell r="S1061">
            <v>5.79</v>
          </cell>
        </row>
        <row r="1062">
          <cell r="A1062" t="str">
            <v>5 S 01 101 26</v>
          </cell>
          <cell r="B1062" t="str">
            <v>Esc. carga transp. mat 2a cat DMT 800 a 1000m c/e</v>
          </cell>
          <cell r="E1062" t="str">
            <v>m3</v>
          </cell>
          <cell r="G1062">
            <v>6.56</v>
          </cell>
          <cell r="M1062">
            <v>6.89</v>
          </cell>
          <cell r="O1062">
            <v>6.91</v>
          </cell>
          <cell r="Q1062">
            <v>6.05</v>
          </cell>
          <cell r="S1062">
            <v>6.05</v>
          </cell>
        </row>
        <row r="1063">
          <cell r="A1063" t="str">
            <v>5 S 01 101 27</v>
          </cell>
          <cell r="B1063" t="str">
            <v>Esc. carga transp. mat 2a cat DMT 1000 a 1200m c/e</v>
          </cell>
          <cell r="E1063" t="str">
            <v>m3</v>
          </cell>
          <cell r="G1063">
            <v>6.87</v>
          </cell>
          <cell r="M1063">
            <v>7.22</v>
          </cell>
          <cell r="O1063">
            <v>7.24</v>
          </cell>
          <cell r="Q1063">
            <v>6.37</v>
          </cell>
          <cell r="S1063">
            <v>6.37</v>
          </cell>
        </row>
        <row r="1064">
          <cell r="A1064" t="str">
            <v>5 S 01 101 28</v>
          </cell>
          <cell r="B1064" t="str">
            <v>Esc. carga transp. mat 2a cat DMT 1200 a 1400m c/e</v>
          </cell>
          <cell r="E1064" t="str">
            <v>m3</v>
          </cell>
          <cell r="G1064">
            <v>7.23</v>
          </cell>
          <cell r="M1064">
            <v>7.61</v>
          </cell>
          <cell r="O1064">
            <v>7.64</v>
          </cell>
          <cell r="Q1064">
            <v>6.76</v>
          </cell>
          <cell r="S1064">
            <v>6.76</v>
          </cell>
        </row>
        <row r="1065">
          <cell r="A1065" t="str">
            <v>5 S 01 101 29</v>
          </cell>
          <cell r="B1065" t="str">
            <v>Esc. carga transp. mat 2a cat DMT 1400 a 1600m c/e</v>
          </cell>
          <cell r="E1065" t="str">
            <v>m3</v>
          </cell>
          <cell r="G1065">
            <v>7.42</v>
          </cell>
          <cell r="M1065">
            <v>7.82</v>
          </cell>
          <cell r="O1065">
            <v>7.85</v>
          </cell>
          <cell r="Q1065">
            <v>6.96</v>
          </cell>
          <cell r="S1065">
            <v>6.96</v>
          </cell>
        </row>
        <row r="1066">
          <cell r="A1066" t="str">
            <v>5 S 01 101 30</v>
          </cell>
          <cell r="B1066" t="str">
            <v>Esc. carga transp. mat 2a cat DMT 1600 a 1800m c/e</v>
          </cell>
          <cell r="E1066" t="str">
            <v>m3</v>
          </cell>
          <cell r="G1066">
            <v>7.57</v>
          </cell>
          <cell r="M1066">
            <v>7.98</v>
          </cell>
          <cell r="O1066">
            <v>8.01</v>
          </cell>
          <cell r="Q1066">
            <v>7.11</v>
          </cell>
          <cell r="S1066">
            <v>7.11</v>
          </cell>
        </row>
        <row r="1067">
          <cell r="A1067" t="str">
            <v>5 S 01 101 31</v>
          </cell>
          <cell r="B1067" t="str">
            <v>Esc. carga transp. mat 2a cat DMT 1800 a 2000m c/e</v>
          </cell>
          <cell r="E1067" t="str">
            <v>m3</v>
          </cell>
          <cell r="G1067">
            <v>7.9</v>
          </cell>
          <cell r="M1067">
            <v>8.33</v>
          </cell>
          <cell r="O1067">
            <v>8.36</v>
          </cell>
          <cell r="Q1067">
            <v>7.45</v>
          </cell>
          <cell r="S1067">
            <v>7.45</v>
          </cell>
        </row>
        <row r="1068">
          <cell r="A1068" t="str">
            <v>5 S 01 101 32</v>
          </cell>
          <cell r="B1068" t="str">
            <v>Esc. carga transp. mat 2a cat DMT 2000 a 3000m c/e</v>
          </cell>
          <cell r="E1068" t="str">
            <v>m3</v>
          </cell>
          <cell r="G1068">
            <v>8.85</v>
          </cell>
          <cell r="M1068">
            <v>9.36</v>
          </cell>
          <cell r="O1068">
            <v>9.41</v>
          </cell>
          <cell r="Q1068">
            <v>8.4600000000000009</v>
          </cell>
          <cell r="S1068">
            <v>8.4600000000000009</v>
          </cell>
        </row>
        <row r="1069">
          <cell r="A1069" t="str">
            <v>5 S 01 101 33</v>
          </cell>
          <cell r="B1069" t="str">
            <v>Esc. carga transp. mat 2a cat DMT 3000 a 5000m c/e</v>
          </cell>
          <cell r="E1069" t="str">
            <v>m3</v>
          </cell>
          <cell r="G1069">
            <v>11.22</v>
          </cell>
          <cell r="M1069">
            <v>11.93</v>
          </cell>
          <cell r="O1069">
            <v>12</v>
          </cell>
          <cell r="Q1069">
            <v>10.96</v>
          </cell>
          <cell r="S1069">
            <v>10.96</v>
          </cell>
        </row>
        <row r="1070">
          <cell r="A1070" t="str">
            <v>5 S 01 102 01</v>
          </cell>
          <cell r="B1070" t="str">
            <v>Esc. carga transp. mat 3a cat DMT até 50m</v>
          </cell>
          <cell r="E1070" t="str">
            <v>m3</v>
          </cell>
          <cell r="G1070">
            <v>17.010000000000002</v>
          </cell>
          <cell r="M1070">
            <v>18.600000000000001</v>
          </cell>
          <cell r="O1070">
            <v>19.3</v>
          </cell>
          <cell r="Q1070">
            <v>18.73</v>
          </cell>
          <cell r="S1070">
            <v>20.89</v>
          </cell>
        </row>
        <row r="1071">
          <cell r="A1071" t="str">
            <v>5 S 01 102 02</v>
          </cell>
          <cell r="B1071" t="str">
            <v>Esc. carga transp. mat 3a cat DMT 50 a 200m</v>
          </cell>
          <cell r="E1071" t="str">
            <v>m3</v>
          </cell>
          <cell r="G1071">
            <v>19.05</v>
          </cell>
          <cell r="M1071">
            <v>21.02</v>
          </cell>
          <cell r="O1071">
            <v>21.71</v>
          </cell>
          <cell r="Q1071">
            <v>21.04</v>
          </cell>
          <cell r="S1071">
            <v>23.2</v>
          </cell>
        </row>
        <row r="1072">
          <cell r="A1072" t="str">
            <v>5 S 01 102 03</v>
          </cell>
          <cell r="B1072" t="str">
            <v>Esc. carga transp. mat 3a cat DMT 200 a 400m</v>
          </cell>
          <cell r="E1072" t="str">
            <v>m3</v>
          </cell>
          <cell r="G1072">
            <v>19.63</v>
          </cell>
          <cell r="M1072">
            <v>21.67</v>
          </cell>
          <cell r="O1072">
            <v>22.35</v>
          </cell>
          <cell r="Q1072">
            <v>21.66</v>
          </cell>
          <cell r="S1072">
            <v>23.82</v>
          </cell>
        </row>
        <row r="1073">
          <cell r="A1073" t="str">
            <v>5 S 01 102 04</v>
          </cell>
          <cell r="B1073" t="str">
            <v>Esc. carga transp. mat 3a cat DMT 400 a 600m</v>
          </cell>
          <cell r="E1073" t="str">
            <v>m3</v>
          </cell>
          <cell r="G1073">
            <v>20.309999999999999</v>
          </cell>
          <cell r="M1073">
            <v>22.44</v>
          </cell>
          <cell r="O1073">
            <v>23.12</v>
          </cell>
          <cell r="Q1073">
            <v>22.42</v>
          </cell>
          <cell r="S1073">
            <v>24.57</v>
          </cell>
        </row>
        <row r="1074">
          <cell r="A1074" t="str">
            <v>5 S 01 102 05</v>
          </cell>
          <cell r="B1074" t="str">
            <v>Esc. carga transp. mat 3a cat DMT 600 a 800m</v>
          </cell>
          <cell r="E1074" t="str">
            <v>m3</v>
          </cell>
          <cell r="G1074">
            <v>20.93</v>
          </cell>
          <cell r="M1074">
            <v>23.12</v>
          </cell>
          <cell r="O1074">
            <v>23.81</v>
          </cell>
          <cell r="Q1074">
            <v>23.08</v>
          </cell>
          <cell r="S1074">
            <v>25.24</v>
          </cell>
        </row>
        <row r="1075">
          <cell r="A1075" t="str">
            <v>5 S 01 102 06</v>
          </cell>
          <cell r="B1075" t="str">
            <v>Esc. carga transp. mat 3a cat DMT 800 a 1000m</v>
          </cell>
          <cell r="E1075" t="str">
            <v>m3</v>
          </cell>
          <cell r="G1075">
            <v>21.32</v>
          </cell>
          <cell r="M1075">
            <v>23.55</v>
          </cell>
          <cell r="O1075">
            <v>24.25</v>
          </cell>
          <cell r="Q1075">
            <v>23.5</v>
          </cell>
          <cell r="S1075">
            <v>25.65</v>
          </cell>
        </row>
        <row r="1076">
          <cell r="A1076" t="str">
            <v>5 S 01 102 07</v>
          </cell>
          <cell r="B1076" t="str">
            <v>Esc. carga transp. mat 3a cat DMT 1000 a 1200m</v>
          </cell>
          <cell r="E1076" t="str">
            <v>m3</v>
          </cell>
          <cell r="G1076">
            <v>21.71</v>
          </cell>
          <cell r="M1076">
            <v>23.98</v>
          </cell>
          <cell r="O1076">
            <v>24.68</v>
          </cell>
          <cell r="Q1076">
            <v>23.91</v>
          </cell>
          <cell r="S1076">
            <v>26.06</v>
          </cell>
        </row>
        <row r="1077">
          <cell r="A1077" t="str">
            <v>5 S 01 510 00</v>
          </cell>
          <cell r="B1077" t="str">
            <v>Compactação de aterros a 95% proctor normal</v>
          </cell>
          <cell r="E1077" t="str">
            <v>m3</v>
          </cell>
          <cell r="G1077">
            <v>1.5</v>
          </cell>
          <cell r="M1077">
            <v>1.67</v>
          </cell>
          <cell r="O1077">
            <v>1.7</v>
          </cell>
          <cell r="Q1077">
            <v>1.65</v>
          </cell>
          <cell r="S1077">
            <v>1.65</v>
          </cell>
        </row>
        <row r="1078">
          <cell r="A1078" t="str">
            <v>5 S 01 511 00</v>
          </cell>
          <cell r="B1078" t="str">
            <v>Compactação de aterros a 100% proctor normal</v>
          </cell>
          <cell r="E1078" t="str">
            <v>m3</v>
          </cell>
          <cell r="G1078">
            <v>1.78</v>
          </cell>
          <cell r="M1078">
            <v>1.99</v>
          </cell>
          <cell r="O1078">
            <v>2.02</v>
          </cell>
          <cell r="Q1078">
            <v>1.96</v>
          </cell>
          <cell r="S1078">
            <v>1.96</v>
          </cell>
        </row>
        <row r="1079">
          <cell r="A1079" t="str">
            <v>5 S 01 513 01</v>
          </cell>
          <cell r="B1079" t="str">
            <v>Compactação de material de "bota-fora"</v>
          </cell>
          <cell r="E1079" t="str">
            <v>m3</v>
          </cell>
          <cell r="G1079">
            <v>1.1499999999999999</v>
          </cell>
          <cell r="M1079">
            <v>1.28</v>
          </cell>
          <cell r="O1079">
            <v>1.3</v>
          </cell>
          <cell r="Q1079">
            <v>1.26</v>
          </cell>
          <cell r="S1079">
            <v>1.26</v>
          </cell>
        </row>
        <row r="1080">
          <cell r="A1080" t="str">
            <v>5 S 02 100 00</v>
          </cell>
          <cell r="B1080" t="str">
            <v>Reforço do subleito</v>
          </cell>
          <cell r="E1080" t="str">
            <v>m3</v>
          </cell>
          <cell r="G1080">
            <v>7.62</v>
          </cell>
          <cell r="M1080">
            <v>8.16</v>
          </cell>
          <cell r="O1080">
            <v>8.57</v>
          </cell>
          <cell r="Q1080">
            <v>8.3800000000000008</v>
          </cell>
          <cell r="S1080">
            <v>8.3800000000000008</v>
          </cell>
        </row>
        <row r="1081">
          <cell r="A1081" t="str">
            <v>5 S 02 110 00</v>
          </cell>
          <cell r="B1081" t="str">
            <v>Regularização do subleito</v>
          </cell>
          <cell r="E1081" t="str">
            <v>m2</v>
          </cell>
          <cell r="G1081">
            <v>0.46</v>
          </cell>
          <cell r="M1081">
            <v>0.52</v>
          </cell>
          <cell r="O1081">
            <v>0.53</v>
          </cell>
          <cell r="Q1081">
            <v>0.51</v>
          </cell>
          <cell r="S1081">
            <v>0.51</v>
          </cell>
        </row>
        <row r="1082">
          <cell r="A1082" t="str">
            <v>5 S 02 110 01</v>
          </cell>
          <cell r="B1082" t="str">
            <v>Regul. subleito c/ fresa. corte contr. aut. greide</v>
          </cell>
          <cell r="E1082" t="str">
            <v>m2</v>
          </cell>
          <cell r="G1082">
            <v>0.77</v>
          </cell>
          <cell r="M1082">
            <v>0.83</v>
          </cell>
          <cell r="O1082">
            <v>0.83</v>
          </cell>
          <cell r="Q1082">
            <v>0.81</v>
          </cell>
          <cell r="S1082">
            <v>0.81</v>
          </cell>
        </row>
        <row r="1083">
          <cell r="A1083" t="str">
            <v>5 S 02 200 00</v>
          </cell>
          <cell r="B1083" t="str">
            <v>Sub-base solo estabilizado granul. s/ mistura</v>
          </cell>
          <cell r="E1083" t="str">
            <v>m3</v>
          </cell>
          <cell r="G1083">
            <v>7.62</v>
          </cell>
          <cell r="M1083">
            <v>8.16</v>
          </cell>
          <cell r="O1083">
            <v>8.57</v>
          </cell>
          <cell r="Q1083">
            <v>8.3800000000000008</v>
          </cell>
          <cell r="S1083">
            <v>8.3800000000000008</v>
          </cell>
        </row>
        <row r="1084">
          <cell r="A1084" t="str">
            <v>5 S 02 200 01</v>
          </cell>
          <cell r="B1084" t="str">
            <v>Base solo estabilizado granul. s/ mistura</v>
          </cell>
          <cell r="E1084" t="str">
            <v>m3</v>
          </cell>
          <cell r="G1084">
            <v>7.62</v>
          </cell>
          <cell r="M1084">
            <v>8.16</v>
          </cell>
          <cell r="O1084">
            <v>8.57</v>
          </cell>
          <cell r="Q1084">
            <v>8.3800000000000008</v>
          </cell>
          <cell r="S1084">
            <v>8.3800000000000008</v>
          </cell>
        </row>
        <row r="1085">
          <cell r="A1085" t="str">
            <v>5 S 02 201 00</v>
          </cell>
          <cell r="B1085" t="str">
            <v>Recomposição camada de base s/ adição de material</v>
          </cell>
          <cell r="E1085" t="str">
            <v>m2</v>
          </cell>
          <cell r="G1085">
            <v>0.46</v>
          </cell>
          <cell r="M1085">
            <v>0.52</v>
          </cell>
          <cell r="O1085">
            <v>0.53</v>
          </cell>
          <cell r="Q1085">
            <v>0.51</v>
          </cell>
          <cell r="S1085">
            <v>0.51</v>
          </cell>
        </row>
        <row r="1086">
          <cell r="A1086" t="str">
            <v>5 S 02 210 00</v>
          </cell>
          <cell r="B1086" t="str">
            <v>Sub-base estabiliz. granul. c/ mist. solo na pista</v>
          </cell>
          <cell r="E1086" t="str">
            <v>m3</v>
          </cell>
          <cell r="G1086">
            <v>8.06</v>
          </cell>
          <cell r="M1086">
            <v>8.6300000000000008</v>
          </cell>
          <cell r="O1086">
            <v>9.07</v>
          </cell>
          <cell r="Q1086">
            <v>8.86</v>
          </cell>
          <cell r="S1086">
            <v>8.86</v>
          </cell>
        </row>
        <row r="1087">
          <cell r="A1087" t="str">
            <v>5 S 02 210 01</v>
          </cell>
          <cell r="B1087" t="str">
            <v>Sub-base estab. granul.c/mist. solo-areia na pista</v>
          </cell>
          <cell r="E1087" t="str">
            <v>m3</v>
          </cell>
          <cell r="G1087">
            <v>9.2200000000000006</v>
          </cell>
          <cell r="M1087">
            <v>9.89</v>
          </cell>
          <cell r="O1087">
            <v>10.43</v>
          </cell>
          <cell r="Q1087">
            <v>10.210000000000001</v>
          </cell>
          <cell r="S1087">
            <v>10.210000000000001</v>
          </cell>
        </row>
        <row r="1088">
          <cell r="A1088" t="str">
            <v>5 S 02 210 02</v>
          </cell>
          <cell r="B1088" t="str">
            <v>Base estabiliz.granul.c/ mist. solo areia na pista</v>
          </cell>
          <cell r="E1088" t="str">
            <v>m3</v>
          </cell>
          <cell r="G1088">
            <v>9.2200000000000006</v>
          </cell>
          <cell r="M1088">
            <v>9.89</v>
          </cell>
          <cell r="O1088">
            <v>10.43</v>
          </cell>
          <cell r="Q1088">
            <v>10.210000000000001</v>
          </cell>
          <cell r="S1088">
            <v>10.210000000000001</v>
          </cell>
        </row>
        <row r="1089">
          <cell r="A1089" t="str">
            <v>5 S 02 220 00</v>
          </cell>
          <cell r="B1089" t="str">
            <v>Base estabilizada granul. c/ mistura solo-brita</v>
          </cell>
          <cell r="E1089" t="str">
            <v>m3</v>
          </cell>
          <cell r="G1089">
            <v>24.16</v>
          </cell>
          <cell r="M1089">
            <v>26.7</v>
          </cell>
          <cell r="O1089">
            <v>27.52</v>
          </cell>
          <cell r="Q1089">
            <v>26.84</v>
          </cell>
          <cell r="S1089">
            <v>27.63</v>
          </cell>
        </row>
        <row r="1090">
          <cell r="A1090" t="str">
            <v>5 S 02 230 00</v>
          </cell>
          <cell r="B1090" t="str">
            <v>Base de brita graduada</v>
          </cell>
          <cell r="E1090" t="str">
            <v>m3</v>
          </cell>
          <cell r="G1090">
            <v>37.76</v>
          </cell>
          <cell r="M1090">
            <v>42.45</v>
          </cell>
          <cell r="O1090">
            <v>43.43</v>
          </cell>
          <cell r="Q1090">
            <v>42.37</v>
          </cell>
          <cell r="S1090">
            <v>44.33</v>
          </cell>
        </row>
        <row r="1091">
          <cell r="A1091" t="str">
            <v>5 S 02 230 01</v>
          </cell>
          <cell r="B1091" t="str">
            <v>Base brita grad.c/distr.agreg. contr. autom.greide</v>
          </cell>
          <cell r="E1091" t="str">
            <v>m3</v>
          </cell>
          <cell r="G1091">
            <v>38.92</v>
          </cell>
          <cell r="M1091">
            <v>43.59</v>
          </cell>
          <cell r="O1091">
            <v>44.54</v>
          </cell>
          <cell r="Q1091">
            <v>43.48</v>
          </cell>
          <cell r="S1091">
            <v>45.44</v>
          </cell>
        </row>
        <row r="1092">
          <cell r="A1092" t="str">
            <v>5 S 02 231 00</v>
          </cell>
          <cell r="B1092" t="str">
            <v>Base de macadame hidraúlico</v>
          </cell>
          <cell r="E1092" t="str">
            <v>m3</v>
          </cell>
          <cell r="G1092">
            <v>33.340000000000003</v>
          </cell>
          <cell r="M1092">
            <v>37.42</v>
          </cell>
          <cell r="O1092">
            <v>38.22</v>
          </cell>
          <cell r="Q1092">
            <v>37.299999999999997</v>
          </cell>
          <cell r="S1092">
            <v>39.14</v>
          </cell>
        </row>
        <row r="1093">
          <cell r="A1093" t="str">
            <v>5 S 02 240 11</v>
          </cell>
          <cell r="B1093" t="str">
            <v>Recomposição camada de base c/ adição de cimento</v>
          </cell>
          <cell r="E1093" t="str">
            <v>m3</v>
          </cell>
          <cell r="G1093">
            <v>47.94</v>
          </cell>
          <cell r="M1093">
            <v>50.71</v>
          </cell>
          <cell r="O1093">
            <v>52.12</v>
          </cell>
          <cell r="Q1093">
            <v>49.73</v>
          </cell>
          <cell r="S1093">
            <v>52.63</v>
          </cell>
        </row>
        <row r="1094">
          <cell r="A1094" t="str">
            <v>5 S 02 241 01</v>
          </cell>
          <cell r="B1094" t="str">
            <v>Base de solo cimento com mistura em usina</v>
          </cell>
          <cell r="E1094" t="str">
            <v>m3</v>
          </cell>
          <cell r="G1094">
            <v>100.06</v>
          </cell>
          <cell r="M1094">
            <v>106.26</v>
          </cell>
          <cell r="O1094">
            <v>109.61</v>
          </cell>
          <cell r="Q1094">
            <v>104.53</v>
          </cell>
          <cell r="S1094">
            <v>110.6</v>
          </cell>
        </row>
        <row r="1095">
          <cell r="A1095" t="str">
            <v>5 S 02 243 01</v>
          </cell>
          <cell r="B1095" t="str">
            <v>Sub-base solo melhorado c/cimento c/mist. em usina</v>
          </cell>
          <cell r="E1095" t="str">
            <v>m3</v>
          </cell>
          <cell r="G1095">
            <v>58.51</v>
          </cell>
          <cell r="M1095">
            <v>62.16</v>
          </cell>
          <cell r="O1095">
            <v>64.09</v>
          </cell>
          <cell r="Q1095">
            <v>61.33</v>
          </cell>
          <cell r="S1095">
            <v>64.37</v>
          </cell>
        </row>
        <row r="1096">
          <cell r="A1096" t="str">
            <v>5 S 02 249 11</v>
          </cell>
          <cell r="B1096" t="str">
            <v>Recomp. base c/ demol. do rev. e incorp. à base</v>
          </cell>
          <cell r="E1096" t="str">
            <v>m3</v>
          </cell>
          <cell r="G1096">
            <v>11.45</v>
          </cell>
          <cell r="M1096">
            <v>12.76</v>
          </cell>
          <cell r="O1096">
            <v>12.8</v>
          </cell>
          <cell r="Q1096">
            <v>12.65</v>
          </cell>
          <cell r="S1096">
            <v>12.65</v>
          </cell>
        </row>
        <row r="1097">
          <cell r="A1097" t="str">
            <v>5 S 02 300 00</v>
          </cell>
          <cell r="B1097" t="str">
            <v>Imprimação</v>
          </cell>
          <cell r="E1097" t="str">
            <v>m2</v>
          </cell>
          <cell r="G1097">
            <v>0.15</v>
          </cell>
          <cell r="M1097">
            <v>0.17</v>
          </cell>
          <cell r="O1097">
            <v>0.17</v>
          </cell>
          <cell r="Q1097">
            <v>0.16</v>
          </cell>
          <cell r="S1097">
            <v>0.16</v>
          </cell>
        </row>
        <row r="1098">
          <cell r="A1098" t="str">
            <v>5 S 02 400 00</v>
          </cell>
          <cell r="B1098" t="str">
            <v>Pintura de ligação</v>
          </cell>
          <cell r="E1098" t="str">
            <v>m2</v>
          </cell>
          <cell r="G1098">
            <v>0.09</v>
          </cell>
          <cell r="M1098">
            <v>0.1</v>
          </cell>
          <cell r="O1098">
            <v>0.1</v>
          </cell>
          <cell r="Q1098">
            <v>0.09</v>
          </cell>
          <cell r="S1098">
            <v>0.09</v>
          </cell>
        </row>
        <row r="1099">
          <cell r="A1099" t="str">
            <v>5 S 02 500 00</v>
          </cell>
          <cell r="B1099" t="str">
            <v>Tratamento superficial simples c/ CAP</v>
          </cell>
          <cell r="E1099" t="str">
            <v>m2</v>
          </cell>
          <cell r="G1099">
            <v>0.44</v>
          </cell>
          <cell r="M1099">
            <v>0.5</v>
          </cell>
          <cell r="O1099">
            <v>0.5</v>
          </cell>
          <cell r="Q1099">
            <v>0.49</v>
          </cell>
          <cell r="S1099">
            <v>0.5</v>
          </cell>
        </row>
        <row r="1100">
          <cell r="A1100" t="str">
            <v>5 S 02 500 01</v>
          </cell>
          <cell r="B1100" t="str">
            <v>Tratamento superficial simples c/ emulsão</v>
          </cell>
          <cell r="E1100" t="str">
            <v>m2</v>
          </cell>
          <cell r="G1100">
            <v>0.41</v>
          </cell>
          <cell r="M1100">
            <v>0.46</v>
          </cell>
          <cell r="O1100">
            <v>0.47</v>
          </cell>
          <cell r="Q1100">
            <v>0.46</v>
          </cell>
          <cell r="S1100">
            <v>0.47</v>
          </cell>
        </row>
        <row r="1101">
          <cell r="A1101" t="str">
            <v>5 S 02 500 02</v>
          </cell>
          <cell r="B1101" t="str">
            <v>Tratamento superficial simples c/ banho diluído</v>
          </cell>
          <cell r="E1101" t="str">
            <v>m2</v>
          </cell>
          <cell r="G1101">
            <v>0.47</v>
          </cell>
          <cell r="M1101">
            <v>0.53</v>
          </cell>
          <cell r="O1101">
            <v>0.54</v>
          </cell>
          <cell r="Q1101">
            <v>0.53</v>
          </cell>
          <cell r="S1101">
            <v>0.54</v>
          </cell>
        </row>
        <row r="1102">
          <cell r="A1102" t="str">
            <v>5 S 02 501 00</v>
          </cell>
          <cell r="B1102" t="str">
            <v>Tratamento superficial duplo c/ CAP</v>
          </cell>
          <cell r="E1102" t="str">
            <v>m2</v>
          </cell>
          <cell r="G1102">
            <v>1.3</v>
          </cell>
          <cell r="M1102">
            <v>1.48</v>
          </cell>
          <cell r="O1102">
            <v>1.49</v>
          </cell>
          <cell r="Q1102">
            <v>1.45</v>
          </cell>
          <cell r="S1102">
            <v>1.49</v>
          </cell>
        </row>
        <row r="1103">
          <cell r="A1103" t="str">
            <v>5 S 02 501 01</v>
          </cell>
          <cell r="B1103" t="str">
            <v>Tratamento superficial duplo c/ emulsão</v>
          </cell>
          <cell r="E1103" t="str">
            <v>m2</v>
          </cell>
          <cell r="G1103">
            <v>1.29</v>
          </cell>
          <cell r="M1103">
            <v>1.47</v>
          </cell>
          <cell r="O1103">
            <v>1.49</v>
          </cell>
          <cell r="Q1103">
            <v>1.45</v>
          </cell>
          <cell r="S1103">
            <v>1.49</v>
          </cell>
        </row>
        <row r="1104">
          <cell r="A1104" t="str">
            <v>5 S 02 501 02</v>
          </cell>
          <cell r="B1104" t="str">
            <v>Tratamento superficial duplo c/ banho diluído</v>
          </cell>
          <cell r="E1104" t="str">
            <v>m2</v>
          </cell>
          <cell r="G1104">
            <v>1.42</v>
          </cell>
          <cell r="M1104">
            <v>1.61</v>
          </cell>
          <cell r="O1104">
            <v>1.63</v>
          </cell>
          <cell r="Q1104">
            <v>1.59</v>
          </cell>
          <cell r="S1104">
            <v>1.63</v>
          </cell>
        </row>
        <row r="1105">
          <cell r="A1105" t="str">
            <v>5 S 02 502 00</v>
          </cell>
          <cell r="B1105" t="str">
            <v>Tratamento superficial triplo c/ CAP</v>
          </cell>
          <cell r="E1105" t="str">
            <v>m2</v>
          </cell>
          <cell r="G1105">
            <v>1.86</v>
          </cell>
          <cell r="M1105">
            <v>2.12</v>
          </cell>
          <cell r="O1105">
            <v>2.14</v>
          </cell>
          <cell r="Q1105">
            <v>2.09</v>
          </cell>
          <cell r="S1105">
            <v>2.13</v>
          </cell>
        </row>
        <row r="1106">
          <cell r="A1106" t="str">
            <v>5 S 02 502 01</v>
          </cell>
          <cell r="B1106" t="str">
            <v>Tratamento superficial triplo c/ emulsão</v>
          </cell>
          <cell r="E1106" t="str">
            <v>m2</v>
          </cell>
          <cell r="G1106">
            <v>1.88</v>
          </cell>
          <cell r="M1106">
            <v>2.14</v>
          </cell>
          <cell r="O1106">
            <v>2.16</v>
          </cell>
          <cell r="Q1106">
            <v>2.1</v>
          </cell>
          <cell r="S1106">
            <v>2.15</v>
          </cell>
        </row>
        <row r="1107">
          <cell r="A1107" t="str">
            <v>5 S 02 502 02</v>
          </cell>
          <cell r="B1107" t="str">
            <v>Tratamento superficial triplo c/ banho diluído</v>
          </cell>
          <cell r="E1107" t="str">
            <v>m2</v>
          </cell>
          <cell r="G1107">
            <v>2.04</v>
          </cell>
          <cell r="M1107">
            <v>2.33</v>
          </cell>
          <cell r="O1107">
            <v>2.34</v>
          </cell>
          <cell r="Q1107">
            <v>2.29</v>
          </cell>
          <cell r="S1107">
            <v>2.34</v>
          </cell>
        </row>
        <row r="1108">
          <cell r="A1108" t="str">
            <v>5 S 02 511 01</v>
          </cell>
          <cell r="B1108" t="str">
            <v>Micro-revestimento a frio - Microflex 0,8cm</v>
          </cell>
          <cell r="E1108" t="str">
            <v>m2</v>
          </cell>
          <cell r="G1108">
            <v>1.17</v>
          </cell>
          <cell r="M1108">
            <v>1.24</v>
          </cell>
          <cell r="O1108">
            <v>1.22</v>
          </cell>
          <cell r="Q1108">
            <v>1.21</v>
          </cell>
          <cell r="S1108">
            <v>1.22</v>
          </cell>
        </row>
        <row r="1109">
          <cell r="A1109" t="str">
            <v>5 S 02 511 02</v>
          </cell>
          <cell r="B1109" t="str">
            <v>Micro-revestimento a frio - Microflex 1,5 cm</v>
          </cell>
          <cell r="E1109" t="str">
            <v>m2</v>
          </cell>
          <cell r="G1109">
            <v>2.2999999999999998</v>
          </cell>
          <cell r="M1109">
            <v>2.42</v>
          </cell>
          <cell r="O1109">
            <v>2.39</v>
          </cell>
          <cell r="Q1109">
            <v>2.36</v>
          </cell>
          <cell r="S1109">
            <v>2.38</v>
          </cell>
        </row>
        <row r="1110">
          <cell r="A1110" t="str">
            <v>5 S 02 511 03</v>
          </cell>
          <cell r="B1110" t="str">
            <v>Micro-revestimento a frio - Microflex 2,0 cm</v>
          </cell>
          <cell r="E1110" t="str">
            <v>m2</v>
          </cell>
          <cell r="G1110">
            <v>3.05</v>
          </cell>
          <cell r="M1110">
            <v>3.2</v>
          </cell>
          <cell r="O1110">
            <v>3.17</v>
          </cell>
          <cell r="Q1110">
            <v>3.13</v>
          </cell>
          <cell r="S1110">
            <v>3.16</v>
          </cell>
        </row>
        <row r="1111">
          <cell r="A1111" t="str">
            <v>5 S 02 511 04</v>
          </cell>
          <cell r="B1111" t="str">
            <v>Micro-revestimento a frio - Microflex - 2,5 cm</v>
          </cell>
          <cell r="E1111" t="str">
            <v>m2</v>
          </cell>
          <cell r="G1111">
            <v>3.59</v>
          </cell>
          <cell r="M1111">
            <v>3.78</v>
          </cell>
          <cell r="O1111">
            <v>3.73</v>
          </cell>
          <cell r="Q1111">
            <v>3.69</v>
          </cell>
          <cell r="S1111">
            <v>3.72</v>
          </cell>
        </row>
        <row r="1112">
          <cell r="A1112" t="str">
            <v>5 S 02 512 01</v>
          </cell>
          <cell r="B1112" t="str">
            <v>Lama asfáltica fina (granulometrias I e II)</v>
          </cell>
          <cell r="E1112" t="str">
            <v>m2</v>
          </cell>
          <cell r="G1112">
            <v>0.45</v>
          </cell>
          <cell r="M1112">
            <v>0.52</v>
          </cell>
          <cell r="O1112">
            <v>0.52</v>
          </cell>
          <cell r="Q1112">
            <v>0.51</v>
          </cell>
          <cell r="S1112">
            <v>0.51</v>
          </cell>
        </row>
        <row r="1113">
          <cell r="A1113" t="str">
            <v>5 S 02 512 02</v>
          </cell>
          <cell r="B1113" t="str">
            <v>Lama asfáltica grossa (granulometrias III e IV)</v>
          </cell>
          <cell r="E1113" t="str">
            <v>m2</v>
          </cell>
          <cell r="G1113">
            <v>0.81</v>
          </cell>
          <cell r="M1113">
            <v>0.93</v>
          </cell>
          <cell r="O1113">
            <v>0.93</v>
          </cell>
          <cell r="Q1113">
            <v>0.91</v>
          </cell>
          <cell r="S1113">
            <v>0.92</v>
          </cell>
        </row>
        <row r="1114">
          <cell r="A1114" t="str">
            <v>5 S 02 530 00</v>
          </cell>
          <cell r="B1114" t="str">
            <v>Pré-misturado a frio</v>
          </cell>
          <cell r="E1114" t="str">
            <v>m3</v>
          </cell>
          <cell r="G1114">
            <v>53.68</v>
          </cell>
          <cell r="M1114">
            <v>60.15</v>
          </cell>
          <cell r="O1114">
            <v>61.21</v>
          </cell>
          <cell r="Q1114">
            <v>59.74</v>
          </cell>
          <cell r="S1114">
            <v>61.29</v>
          </cell>
        </row>
        <row r="1115">
          <cell r="A1115" t="str">
            <v>5 S 02 531 00</v>
          </cell>
          <cell r="B1115" t="str">
            <v>Macadame betuminoso por penetração</v>
          </cell>
          <cell r="E1115" t="str">
            <v>m3</v>
          </cell>
          <cell r="G1115">
            <v>45.14</v>
          </cell>
          <cell r="M1115">
            <v>50.85</v>
          </cell>
          <cell r="O1115">
            <v>51.61</v>
          </cell>
          <cell r="Q1115">
            <v>50.49</v>
          </cell>
          <cell r="S1115">
            <v>52.38</v>
          </cell>
        </row>
        <row r="1116">
          <cell r="A1116" t="str">
            <v>5 S 02 532 00</v>
          </cell>
          <cell r="B1116" t="str">
            <v>Areia-asfalto a quente</v>
          </cell>
          <cell r="E1116" t="str">
            <v>t</v>
          </cell>
          <cell r="G1116">
            <v>36.270000000000003</v>
          </cell>
          <cell r="M1116">
            <v>38.81</v>
          </cell>
          <cell r="O1116">
            <v>39.270000000000003</v>
          </cell>
          <cell r="Q1116">
            <v>46.27</v>
          </cell>
          <cell r="S1116">
            <v>37.94</v>
          </cell>
        </row>
        <row r="1117">
          <cell r="A1117" t="str">
            <v>5 S 02 540 01</v>
          </cell>
          <cell r="B1117" t="str">
            <v>Conc. betumin.usinado a quente - capa de rolamento</v>
          </cell>
          <cell r="E1117" t="str">
            <v>t</v>
          </cell>
          <cell r="G1117">
            <v>31.51</v>
          </cell>
          <cell r="M1117">
            <v>34.35</v>
          </cell>
          <cell r="O1117">
            <v>34.75</v>
          </cell>
          <cell r="Q1117">
            <v>38.18</v>
          </cell>
          <cell r="S1117">
            <v>34.299999999999997</v>
          </cell>
        </row>
        <row r="1118">
          <cell r="A1118" t="str">
            <v>5 S 02 540 02</v>
          </cell>
          <cell r="B1118" t="str">
            <v>Concreto betuminoso usinado a quente - binder</v>
          </cell>
          <cell r="E1118" t="str">
            <v>t</v>
          </cell>
          <cell r="G1118">
            <v>30.9</v>
          </cell>
          <cell r="M1118">
            <v>33.799999999999997</v>
          </cell>
          <cell r="O1118">
            <v>34.22</v>
          </cell>
          <cell r="Q1118">
            <v>37.630000000000003</v>
          </cell>
          <cell r="S1118">
            <v>33.78</v>
          </cell>
        </row>
        <row r="1119">
          <cell r="A1119" t="str">
            <v>5 S 02 540 11</v>
          </cell>
          <cell r="B1119" t="str">
            <v>CBUQ reciclado a quente no local</v>
          </cell>
          <cell r="E1119" t="str">
            <v>t</v>
          </cell>
          <cell r="G1119">
            <v>67.680000000000007</v>
          </cell>
          <cell r="M1119">
            <v>68.760000000000005</v>
          </cell>
          <cell r="O1119" t="str">
            <v>excluído</v>
          </cell>
          <cell r="Q1119" t="str">
            <v>excluído</v>
          </cell>
          <cell r="S1119" t="str">
            <v>excluído</v>
          </cell>
        </row>
        <row r="1120">
          <cell r="A1120" t="str">
            <v>5 S 02 540 12</v>
          </cell>
          <cell r="B1120" t="str">
            <v>CBUQ reciclado em usina fixa</v>
          </cell>
          <cell r="E1120" t="str">
            <v>t</v>
          </cell>
          <cell r="G1120">
            <v>27.12</v>
          </cell>
          <cell r="M1120">
            <v>29.6</v>
          </cell>
          <cell r="O1120">
            <v>29.87</v>
          </cell>
          <cell r="Q1120">
            <v>33.380000000000003</v>
          </cell>
          <cell r="S1120">
            <v>29.35</v>
          </cell>
        </row>
        <row r="1121">
          <cell r="A1121" t="str">
            <v>5 S 02 600 00</v>
          </cell>
          <cell r="B1121" t="str">
            <v>Manta sintét. p/ recap.asfál.- fornec. e aplicação</v>
          </cell>
          <cell r="E1121" t="str">
            <v>m2</v>
          </cell>
          <cell r="G1121">
            <v>4.05</v>
          </cell>
          <cell r="M1121">
            <v>4.21</v>
          </cell>
          <cell r="O1121">
            <v>4.68</v>
          </cell>
          <cell r="Q1121">
            <v>4.21</v>
          </cell>
          <cell r="S1121">
            <v>4.21</v>
          </cell>
        </row>
        <row r="1122">
          <cell r="A1122" t="str">
            <v>5 S 02 607 00</v>
          </cell>
          <cell r="B1122" t="str">
            <v>Concreto cimento portland c/ equip. pequeno porte</v>
          </cell>
          <cell r="E1122" t="str">
            <v>m3</v>
          </cell>
          <cell r="G1122">
            <v>280.62</v>
          </cell>
          <cell r="M1122">
            <v>304.66000000000003</v>
          </cell>
          <cell r="O1122">
            <v>312.11</v>
          </cell>
          <cell r="Q1122">
            <v>299.72000000000003</v>
          </cell>
          <cell r="S1122">
            <v>315.47000000000003</v>
          </cell>
        </row>
        <row r="1123">
          <cell r="A1123" t="str">
            <v>5 S 02 702 00</v>
          </cell>
          <cell r="B1123" t="str">
            <v>Limpeza e enchimento de junta de pavimento de conc</v>
          </cell>
          <cell r="E1123" t="str">
            <v>m</v>
          </cell>
          <cell r="G1123">
            <v>2.87</v>
          </cell>
          <cell r="M1123">
            <v>2.8</v>
          </cell>
          <cell r="O1123">
            <v>2.64</v>
          </cell>
          <cell r="Q1123">
            <v>2.5099999999999998</v>
          </cell>
          <cell r="S1123">
            <v>2.52</v>
          </cell>
        </row>
        <row r="1124">
          <cell r="A1124" t="str">
            <v>5 S 02 905 00</v>
          </cell>
          <cell r="B1124" t="str">
            <v>Remoção mecanizada de revestimento betuminoso</v>
          </cell>
          <cell r="E1124" t="str">
            <v>m3</v>
          </cell>
          <cell r="G1124">
            <v>5.33</v>
          </cell>
          <cell r="M1124">
            <v>5.88</v>
          </cell>
          <cell r="O1124">
            <v>6.16</v>
          </cell>
          <cell r="Q1124">
            <v>6</v>
          </cell>
          <cell r="S1124">
            <v>6</v>
          </cell>
        </row>
        <row r="1125">
          <cell r="A1125" t="str">
            <v>5 S 02 905 01</v>
          </cell>
          <cell r="B1125" t="str">
            <v>Remoção manual de revestimento betuminoso</v>
          </cell>
          <cell r="E1125" t="str">
            <v>m3</v>
          </cell>
          <cell r="G1125">
            <v>89.15</v>
          </cell>
          <cell r="M1125">
            <v>103.64</v>
          </cell>
          <cell r="O1125">
            <v>104.36</v>
          </cell>
          <cell r="Q1125">
            <v>102.76</v>
          </cell>
          <cell r="S1125">
            <v>102.76</v>
          </cell>
        </row>
        <row r="1126">
          <cell r="A1126" t="str">
            <v>5 S 02 906 00</v>
          </cell>
          <cell r="B1126" t="str">
            <v>Remoção mecanizada da camada granular pavimento</v>
          </cell>
          <cell r="E1126" t="str">
            <v>m3</v>
          </cell>
          <cell r="G1126">
            <v>3.43</v>
          </cell>
          <cell r="M1126">
            <v>3.74</v>
          </cell>
          <cell r="O1126">
            <v>3.95</v>
          </cell>
          <cell r="Q1126">
            <v>3.84</v>
          </cell>
          <cell r="S1126">
            <v>3.84</v>
          </cell>
        </row>
        <row r="1127">
          <cell r="A1127" t="str">
            <v>5 S 02 906 01</v>
          </cell>
          <cell r="B1127" t="str">
            <v>Remoção manual da camada granular do pavimento</v>
          </cell>
          <cell r="E1127" t="str">
            <v>m3</v>
          </cell>
          <cell r="G1127">
            <v>48.07</v>
          </cell>
          <cell r="M1127">
            <v>56.37</v>
          </cell>
          <cell r="O1127">
            <v>56.65</v>
          </cell>
          <cell r="Q1127">
            <v>56.02</v>
          </cell>
          <cell r="S1127">
            <v>56.02</v>
          </cell>
        </row>
        <row r="1128">
          <cell r="A1128" t="str">
            <v>5 S 02 907 00</v>
          </cell>
          <cell r="B1128" t="str">
            <v>Remoção mecanizada material de baixa capac.suporte</v>
          </cell>
          <cell r="E1128" t="str">
            <v>m3</v>
          </cell>
          <cell r="G1128">
            <v>3.37</v>
          </cell>
          <cell r="M1128">
            <v>3.69</v>
          </cell>
          <cell r="O1128">
            <v>3.89</v>
          </cell>
          <cell r="Q1128">
            <v>3.78</v>
          </cell>
          <cell r="S1128">
            <v>3.78</v>
          </cell>
        </row>
        <row r="1129">
          <cell r="A1129" t="str">
            <v>5 S 02 907 01</v>
          </cell>
          <cell r="B1129" t="str">
            <v>Remoção manual de material de baixa capac.suporte</v>
          </cell>
          <cell r="E1129" t="str">
            <v>m3</v>
          </cell>
          <cell r="G1129">
            <v>40.71</v>
          </cell>
          <cell r="M1129">
            <v>47.77</v>
          </cell>
          <cell r="O1129">
            <v>48</v>
          </cell>
          <cell r="Q1129">
            <v>47.48</v>
          </cell>
          <cell r="S1129">
            <v>47.48</v>
          </cell>
        </row>
        <row r="1130">
          <cell r="A1130" t="str">
            <v>5 S 02 908 00</v>
          </cell>
          <cell r="B1130" t="str">
            <v>Arrancamento e remoção de paralelepípedos</v>
          </cell>
          <cell r="E1130" t="str">
            <v>m2</v>
          </cell>
          <cell r="G1130">
            <v>11.4</v>
          </cell>
          <cell r="M1130">
            <v>13.14</v>
          </cell>
          <cell r="O1130">
            <v>13.14</v>
          </cell>
          <cell r="Q1130">
            <v>12.81</v>
          </cell>
          <cell r="S1130">
            <v>12.81</v>
          </cell>
        </row>
        <row r="1131">
          <cell r="A1131" t="str">
            <v>5 S 02 909 00</v>
          </cell>
          <cell r="B1131" t="str">
            <v>Arrancamento e remoção de meios-fios</v>
          </cell>
          <cell r="E1131" t="str">
            <v>m3</v>
          </cell>
          <cell r="G1131">
            <v>61.88</v>
          </cell>
          <cell r="M1131">
            <v>71.58</v>
          </cell>
          <cell r="O1131">
            <v>71.58</v>
          </cell>
          <cell r="Q1131">
            <v>69.930000000000007</v>
          </cell>
          <cell r="S1131">
            <v>69.930000000000007</v>
          </cell>
        </row>
        <row r="1132">
          <cell r="A1132" t="str">
            <v>5 S 02 990 11</v>
          </cell>
          <cell r="B1132" t="str">
            <v>Fresagem contínua do revest. betuminoso</v>
          </cell>
          <cell r="E1132" t="str">
            <v>m3</v>
          </cell>
          <cell r="G1132">
            <v>86.17</v>
          </cell>
          <cell r="M1132">
            <v>92</v>
          </cell>
          <cell r="O1132">
            <v>93.45</v>
          </cell>
          <cell r="Q1132">
            <v>93.07</v>
          </cell>
          <cell r="S1132">
            <v>93.58</v>
          </cell>
        </row>
        <row r="1133">
          <cell r="A1133" t="str">
            <v>5 S 02 990 12</v>
          </cell>
          <cell r="B1133" t="str">
            <v>Fresagem descontínua revest. betuminoso</v>
          </cell>
          <cell r="E1133" t="str">
            <v>m3</v>
          </cell>
          <cell r="G1133">
            <v>116.14</v>
          </cell>
          <cell r="M1133">
            <v>128.27000000000001</v>
          </cell>
          <cell r="O1133">
            <v>129.79</v>
          </cell>
          <cell r="Q1133">
            <v>128.9</v>
          </cell>
          <cell r="S1133">
            <v>129.41999999999999</v>
          </cell>
        </row>
        <row r="1134">
          <cell r="A1134" t="str">
            <v>5 S 04 300 16</v>
          </cell>
          <cell r="B1134" t="str">
            <v>Bueiro met. chapas múltiplas D=1,60m galv.</v>
          </cell>
          <cell r="E1134" t="str">
            <v>m</v>
          </cell>
          <cell r="G1134">
            <v>845.64</v>
          </cell>
          <cell r="M1134">
            <v>981.36</v>
          </cell>
          <cell r="O1134">
            <v>1028.1099999999999</v>
          </cell>
          <cell r="Q1134">
            <v>1026.23</v>
          </cell>
          <cell r="S1134">
            <v>1027.33</v>
          </cell>
        </row>
        <row r="1135">
          <cell r="A1135" t="str">
            <v>5 S 04 300 20</v>
          </cell>
          <cell r="B1135" t="str">
            <v>Bueiro met. chapas múltiplas D=2,00m galv.</v>
          </cell>
          <cell r="E1135" t="str">
            <v>m</v>
          </cell>
          <cell r="G1135">
            <v>1056.94</v>
          </cell>
          <cell r="M1135">
            <v>1210.78</v>
          </cell>
          <cell r="O1135">
            <v>1279.3399999999999</v>
          </cell>
          <cell r="Q1135">
            <v>1277.26</v>
          </cell>
          <cell r="S1135">
            <v>1278.49</v>
          </cell>
        </row>
        <row r="1136">
          <cell r="A1136" t="str">
            <v>5 S 04 301 16</v>
          </cell>
          <cell r="B1136" t="str">
            <v>Bueiro met. chapas múltiplas D=1,60m rev. epoxy</v>
          </cell>
          <cell r="E1136" t="str">
            <v>m</v>
          </cell>
          <cell r="G1136">
            <v>921.74</v>
          </cell>
          <cell r="M1136">
            <v>1066.28</v>
          </cell>
          <cell r="O1136">
            <v>1076.94</v>
          </cell>
          <cell r="Q1136">
            <v>1075.6600000000001</v>
          </cell>
          <cell r="S1136">
            <v>1076.77</v>
          </cell>
        </row>
        <row r="1137">
          <cell r="A1137" t="str">
            <v>5 S 04 301 20</v>
          </cell>
          <cell r="B1137" t="str">
            <v>Bueiro met. chapas múltiplas D=2,00m rev. epoxy</v>
          </cell>
          <cell r="E1137" t="str">
            <v>m</v>
          </cell>
          <cell r="G1137">
            <v>1150.75</v>
          </cell>
          <cell r="M1137">
            <v>1315.77</v>
          </cell>
          <cell r="O1137">
            <v>1339.98</v>
          </cell>
          <cell r="Q1137">
            <v>1337.99</v>
          </cell>
          <cell r="S1137">
            <v>1339.22</v>
          </cell>
        </row>
        <row r="1138">
          <cell r="A1138" t="str">
            <v>5 S 04 310 16</v>
          </cell>
          <cell r="B1138" t="str">
            <v>Bueiro met. s/ interrup. de tráf. D=1,60m galv.</v>
          </cell>
          <cell r="E1138" t="str">
            <v>m</v>
          </cell>
          <cell r="G1138">
            <v>1667.71</v>
          </cell>
          <cell r="M1138">
            <v>1957.4</v>
          </cell>
          <cell r="O1138">
            <v>1958.05</v>
          </cell>
          <cell r="Q1138">
            <v>1892.17</v>
          </cell>
          <cell r="S1138">
            <v>1893.36</v>
          </cell>
        </row>
        <row r="1139">
          <cell r="A1139" t="str">
            <v>5 S 04 310 20</v>
          </cell>
          <cell r="B1139" t="str">
            <v>Bueiro met. s/ interrup. de tráf. D=2,00m galv.</v>
          </cell>
          <cell r="E1139" t="str">
            <v>m</v>
          </cell>
          <cell r="G1139">
            <v>2013.11</v>
          </cell>
          <cell r="M1139">
            <v>2434.67</v>
          </cell>
          <cell r="O1139">
            <v>2435.4499999999998</v>
          </cell>
          <cell r="Q1139">
            <v>2282.92</v>
          </cell>
          <cell r="S1139">
            <v>2284.36</v>
          </cell>
        </row>
        <row r="1140">
          <cell r="A1140" t="str">
            <v>5 S 04 311 16</v>
          </cell>
          <cell r="B1140" t="str">
            <v>Bueiro met.s/interrupção traf. D=1,60 m rev.epoxy</v>
          </cell>
          <cell r="E1140" t="str">
            <v>m</v>
          </cell>
          <cell r="G1140">
            <v>1700.88</v>
          </cell>
          <cell r="M1140">
            <v>2030.38</v>
          </cell>
          <cell r="O1140">
            <v>2031.03</v>
          </cell>
          <cell r="Q1140">
            <v>1828.85</v>
          </cell>
          <cell r="S1140">
            <v>1830.05</v>
          </cell>
        </row>
        <row r="1141">
          <cell r="A1141" t="str">
            <v>5 S 04 311 20</v>
          </cell>
          <cell r="B1141" t="str">
            <v>Bueiro met.s/interrupção tráf. D=2,00 m rev. epoxy</v>
          </cell>
          <cell r="E1141" t="str">
            <v>m</v>
          </cell>
          <cell r="G1141">
            <v>2222.9899999999998</v>
          </cell>
          <cell r="M1141">
            <v>2441.5700000000002</v>
          </cell>
          <cell r="O1141">
            <v>2442.35</v>
          </cell>
          <cell r="Q1141">
            <v>2288.87</v>
          </cell>
          <cell r="S1141">
            <v>2290.3000000000002</v>
          </cell>
        </row>
        <row r="1142">
          <cell r="A1142" t="str">
            <v>5 S 04 999 01</v>
          </cell>
          <cell r="B1142" t="str">
            <v>Remoção de bueiros existentes</v>
          </cell>
          <cell r="E1142" t="str">
            <v>m</v>
          </cell>
          <cell r="G1142">
            <v>31.23</v>
          </cell>
          <cell r="M1142">
            <v>36.700000000000003</v>
          </cell>
          <cell r="O1142">
            <v>36.86</v>
          </cell>
          <cell r="Q1142">
            <v>36.49</v>
          </cell>
          <cell r="S1142">
            <v>36.49</v>
          </cell>
        </row>
        <row r="1143">
          <cell r="A1143" t="str">
            <v>5 S 04 999 04</v>
          </cell>
          <cell r="B1143" t="str">
            <v>Restauração de disp. danif. com concr. fck=12 MPa</v>
          </cell>
          <cell r="E1143" t="str">
            <v>m3</v>
          </cell>
          <cell r="G1143">
            <v>219.35</v>
          </cell>
          <cell r="M1143">
            <v>240.55</v>
          </cell>
          <cell r="O1143">
            <v>246.17</v>
          </cell>
          <cell r="Q1143">
            <v>237.17</v>
          </cell>
          <cell r="S1143">
            <v>248.81</v>
          </cell>
        </row>
        <row r="1144">
          <cell r="A1144" t="str">
            <v>5 S 04 999 07</v>
          </cell>
          <cell r="B1144" t="str">
            <v>Demolição de dispositivos de concreto simples</v>
          </cell>
          <cell r="E1144" t="str">
            <v>m3</v>
          </cell>
          <cell r="G1144">
            <v>56.73</v>
          </cell>
          <cell r="M1144">
            <v>67.31</v>
          </cell>
          <cell r="O1144">
            <v>67.47</v>
          </cell>
          <cell r="Q1144">
            <v>67.099999999999994</v>
          </cell>
          <cell r="S1144">
            <v>67.099999999999994</v>
          </cell>
        </row>
        <row r="1145">
          <cell r="A1145" t="str">
            <v>5 S 04 999 08</v>
          </cell>
          <cell r="B1145" t="str">
            <v>Demolição de dispositivos de concreto armado</v>
          </cell>
          <cell r="E1145" t="str">
            <v>m3</v>
          </cell>
          <cell r="G1145">
            <v>269.33</v>
          </cell>
          <cell r="M1145">
            <v>306.11</v>
          </cell>
          <cell r="O1145">
            <v>306.33</v>
          </cell>
          <cell r="Q1145">
            <v>299.20999999999998</v>
          </cell>
          <cell r="S1145">
            <v>299.20999999999998</v>
          </cell>
        </row>
        <row r="1146">
          <cell r="A1146" t="str">
            <v>5 S 05 100 00</v>
          </cell>
          <cell r="B1146" t="str">
            <v>Enleivamento</v>
          </cell>
          <cell r="E1146" t="str">
            <v>m2</v>
          </cell>
          <cell r="G1146">
            <v>3.36</v>
          </cell>
          <cell r="M1146">
            <v>3.92</v>
          </cell>
          <cell r="O1146">
            <v>3.92</v>
          </cell>
          <cell r="Q1146">
            <v>3.85</v>
          </cell>
          <cell r="S1146">
            <v>3.85</v>
          </cell>
        </row>
        <row r="1147">
          <cell r="A1147" t="str">
            <v>5 S 05 102 00</v>
          </cell>
          <cell r="B1147" t="str">
            <v>Hidrossemeadura</v>
          </cell>
          <cell r="E1147" t="str">
            <v>m2</v>
          </cell>
          <cell r="G1147">
            <v>1.1399999999999999</v>
          </cell>
          <cell r="M1147">
            <v>0.84</v>
          </cell>
          <cell r="O1147">
            <v>0.86</v>
          </cell>
          <cell r="Q1147">
            <v>0.84</v>
          </cell>
          <cell r="S1147">
            <v>0.85</v>
          </cell>
        </row>
        <row r="1148">
          <cell r="A1148" t="str">
            <v>5 S 05 300 01</v>
          </cell>
          <cell r="B1148" t="str">
            <v>Alvenaria de pedra arrumada</v>
          </cell>
          <cell r="E1148" t="str">
            <v>m3</v>
          </cell>
          <cell r="G1148">
            <v>47.78</v>
          </cell>
          <cell r="M1148">
            <v>55.63</v>
          </cell>
          <cell r="O1148">
            <v>56.22</v>
          </cell>
          <cell r="Q1148">
            <v>55.59</v>
          </cell>
          <cell r="S1148">
            <v>57.06</v>
          </cell>
        </row>
        <row r="1149">
          <cell r="A1149" t="str">
            <v>5 S 05 300 02</v>
          </cell>
          <cell r="B1149" t="str">
            <v>Enrocamento de pedra jogada</v>
          </cell>
          <cell r="E1149" t="str">
            <v>m3</v>
          </cell>
          <cell r="G1149">
            <v>27.48</v>
          </cell>
          <cell r="M1149">
            <v>31.54</v>
          </cell>
          <cell r="O1149">
            <v>32.03</v>
          </cell>
          <cell r="Q1149">
            <v>31.5</v>
          </cell>
          <cell r="S1149">
            <v>32.729999999999997</v>
          </cell>
        </row>
        <row r="1150">
          <cell r="A1150" t="str">
            <v>5 S 05 301 00</v>
          </cell>
          <cell r="B1150" t="str">
            <v>Alvenaria de pedra argamassada</v>
          </cell>
          <cell r="E1150" t="str">
            <v>m3</v>
          </cell>
          <cell r="G1150">
            <v>123.04</v>
          </cell>
          <cell r="M1150">
            <v>136.59</v>
          </cell>
          <cell r="O1150">
            <v>139.43</v>
          </cell>
          <cell r="Q1150">
            <v>135.06</v>
          </cell>
          <cell r="S1150">
            <v>140.97999999999999</v>
          </cell>
        </row>
        <row r="1151">
          <cell r="A1151" t="str">
            <v>5 S 05 302 01</v>
          </cell>
          <cell r="B1151" t="str">
            <v>Muro de gabião tipo caixa</v>
          </cell>
          <cell r="E1151" t="str">
            <v>m3</v>
          </cell>
          <cell r="G1151">
            <v>124.7</v>
          </cell>
          <cell r="M1151">
            <v>145.96</v>
          </cell>
          <cell r="O1151">
            <v>138.34</v>
          </cell>
          <cell r="Q1151">
            <v>137.43</v>
          </cell>
          <cell r="S1151">
            <v>138.84</v>
          </cell>
        </row>
        <row r="1152">
          <cell r="A1152" t="str">
            <v>5 S 05 303 01</v>
          </cell>
          <cell r="B1152" t="str">
            <v>Terra armada - ECE - greide 0,0&lt;h&lt;6,00m</v>
          </cell>
          <cell r="E1152" t="str">
            <v>m2</v>
          </cell>
          <cell r="G1152">
            <v>185.44</v>
          </cell>
          <cell r="M1152">
            <v>196.56</v>
          </cell>
          <cell r="O1152">
            <v>196.56</v>
          </cell>
          <cell r="Q1152">
            <v>218.81</v>
          </cell>
          <cell r="S1152">
            <v>218.81</v>
          </cell>
        </row>
        <row r="1153">
          <cell r="A1153" t="str">
            <v>5 S 05 303 02</v>
          </cell>
          <cell r="B1153" t="str">
            <v>Terra armada - ECE - greide 6,0&lt;h&lt;9,00</v>
          </cell>
          <cell r="E1153" t="str">
            <v>m2</v>
          </cell>
          <cell r="G1153">
            <v>208.05</v>
          </cell>
          <cell r="M1153">
            <v>220.52</v>
          </cell>
          <cell r="O1153">
            <v>220.52</v>
          </cell>
          <cell r="Q1153">
            <v>245.49</v>
          </cell>
          <cell r="S1153">
            <v>245.49</v>
          </cell>
        </row>
        <row r="1154">
          <cell r="A1154" t="str">
            <v>5 S 05 303 03</v>
          </cell>
          <cell r="B1154" t="str">
            <v>Terra armada - ECE - greide 9,0&lt;h&lt;12,00m</v>
          </cell>
          <cell r="E1154" t="str">
            <v>m2</v>
          </cell>
          <cell r="G1154">
            <v>230.67</v>
          </cell>
          <cell r="M1154">
            <v>244.38</v>
          </cell>
          <cell r="O1154">
            <v>244.38</v>
          </cell>
          <cell r="Q1154">
            <v>272.19</v>
          </cell>
          <cell r="S1154">
            <v>272.19</v>
          </cell>
        </row>
        <row r="1155">
          <cell r="A1155" t="str">
            <v>5 S 05 303 04</v>
          </cell>
          <cell r="B1155" t="str">
            <v>Terra armada - ECE - pé de talude 0,0&lt;h&lt;6,00m</v>
          </cell>
          <cell r="E1155" t="str">
            <v>m2</v>
          </cell>
          <cell r="G1155">
            <v>218.61</v>
          </cell>
          <cell r="M1155">
            <v>231.72</v>
          </cell>
          <cell r="O1155">
            <v>231.72</v>
          </cell>
          <cell r="Q1155">
            <v>257.95</v>
          </cell>
          <cell r="S1155">
            <v>257.95</v>
          </cell>
        </row>
        <row r="1156">
          <cell r="A1156" t="str">
            <v>5 S 05 303 05</v>
          </cell>
          <cell r="B1156" t="str">
            <v>Terra armada - ECE - pé de talude 6,0&lt;h&lt;9,00m</v>
          </cell>
          <cell r="E1156" t="str">
            <v>m2</v>
          </cell>
          <cell r="G1156">
            <v>245.74</v>
          </cell>
          <cell r="M1156">
            <v>260.49</v>
          </cell>
          <cell r="O1156">
            <v>260.49</v>
          </cell>
          <cell r="Q1156">
            <v>289.97000000000003</v>
          </cell>
          <cell r="S1156">
            <v>289.97000000000003</v>
          </cell>
        </row>
        <row r="1157">
          <cell r="A1157" t="str">
            <v>5 S 05 303 06</v>
          </cell>
          <cell r="B1157" t="str">
            <v>Terra armada - ECE - pé de talude 9,0&lt;h&lt;12,00m</v>
          </cell>
          <cell r="E1157" t="str">
            <v>m2</v>
          </cell>
          <cell r="G1157">
            <v>271.38</v>
          </cell>
          <cell r="M1157">
            <v>287.66000000000003</v>
          </cell>
          <cell r="O1157">
            <v>287.66000000000003</v>
          </cell>
          <cell r="Q1157">
            <v>324.2</v>
          </cell>
          <cell r="S1157">
            <v>324.2</v>
          </cell>
        </row>
        <row r="1158">
          <cell r="A1158" t="str">
            <v>5 S 05 303 07</v>
          </cell>
          <cell r="B1158" t="str">
            <v>Terra armada - ECE - encontro portante 0,0&lt;h&lt;6,0m</v>
          </cell>
          <cell r="E1158" t="str">
            <v>m2</v>
          </cell>
          <cell r="G1158">
            <v>398.04</v>
          </cell>
          <cell r="M1158">
            <v>421.92</v>
          </cell>
          <cell r="O1158">
            <v>421.92</v>
          </cell>
          <cell r="Q1158">
            <v>469.68</v>
          </cell>
          <cell r="S1158">
            <v>469.68</v>
          </cell>
        </row>
        <row r="1159">
          <cell r="A1159" t="str">
            <v>5 S 05 303 08</v>
          </cell>
          <cell r="B1159" t="str">
            <v>Terra armada - ECE - encontro portante 6,0&lt;h&lt;9,00m</v>
          </cell>
          <cell r="E1159" t="str">
            <v>m2</v>
          </cell>
          <cell r="G1159">
            <v>530.41999999999996</v>
          </cell>
          <cell r="M1159">
            <v>562.24</v>
          </cell>
          <cell r="O1159">
            <v>562.24</v>
          </cell>
          <cell r="Q1159">
            <v>625.9</v>
          </cell>
          <cell r="S1159">
            <v>625.9</v>
          </cell>
        </row>
        <row r="1160">
          <cell r="A1160" t="str">
            <v>5 S 05 303 09</v>
          </cell>
          <cell r="B1160" t="str">
            <v>Escamas de concreto armado para terra armada</v>
          </cell>
          <cell r="E1160" t="str">
            <v>m3</v>
          </cell>
          <cell r="G1160">
            <v>470.28</v>
          </cell>
          <cell r="M1160">
            <v>517.65</v>
          </cell>
          <cell r="O1160">
            <v>535.33000000000004</v>
          </cell>
          <cell r="Q1160">
            <v>524.22</v>
          </cell>
          <cell r="S1160">
            <v>539.16999999999996</v>
          </cell>
        </row>
        <row r="1161">
          <cell r="A1161" t="str">
            <v>5 S 05 303 10</v>
          </cell>
          <cell r="B1161" t="str">
            <v>Conc. de soleira e arrem. de maciço de terra arm.</v>
          </cell>
          <cell r="E1161" t="str">
            <v>m3</v>
          </cell>
          <cell r="G1161">
            <v>227.24</v>
          </cell>
          <cell r="M1161">
            <v>248.06</v>
          </cell>
          <cell r="O1161">
            <v>254.14</v>
          </cell>
          <cell r="Q1161">
            <v>244.32</v>
          </cell>
          <cell r="S1161">
            <v>256.86</v>
          </cell>
        </row>
        <row r="1162">
          <cell r="A1162" t="str">
            <v>5 S 05 303 11</v>
          </cell>
          <cell r="B1162" t="str">
            <v>Montagem de maciço terra armada</v>
          </cell>
          <cell r="E1162" t="str">
            <v>m2</v>
          </cell>
          <cell r="G1162">
            <v>52.96</v>
          </cell>
          <cell r="M1162">
            <v>61.95</v>
          </cell>
          <cell r="O1162">
            <v>61.95</v>
          </cell>
          <cell r="Q1162">
            <v>61.16</v>
          </cell>
          <cell r="S1162">
            <v>61.16</v>
          </cell>
        </row>
        <row r="1163">
          <cell r="A1163" t="str">
            <v>5 S 05 340 01</v>
          </cell>
          <cell r="B1163" t="str">
            <v>Execução cortina atirantada conc.armado fck=15 MPa</v>
          </cell>
          <cell r="E1163" t="str">
            <v>m3</v>
          </cell>
          <cell r="G1163">
            <v>776.35</v>
          </cell>
          <cell r="M1163">
            <v>859.06</v>
          </cell>
          <cell r="O1163">
            <v>882.36</v>
          </cell>
          <cell r="Q1163">
            <v>881.64</v>
          </cell>
          <cell r="S1163">
            <v>893.71</v>
          </cell>
        </row>
        <row r="1164">
          <cell r="A1164" t="str">
            <v>5 S 05 900 01</v>
          </cell>
          <cell r="B1164" t="str">
            <v>Execução tirante protendido cortina atirantada</v>
          </cell>
          <cell r="E1164" t="str">
            <v>m</v>
          </cell>
          <cell r="G1164">
            <v>81.75</v>
          </cell>
          <cell r="M1164">
            <v>91.9</v>
          </cell>
          <cell r="O1164">
            <v>92.75</v>
          </cell>
          <cell r="Q1164">
            <v>92.73</v>
          </cell>
          <cell r="S1164">
            <v>92.78</v>
          </cell>
        </row>
        <row r="1165">
          <cell r="A1165" t="str">
            <v>5 S 06 400 01</v>
          </cell>
          <cell r="B1165" t="str">
            <v>Cêrcas arame farp. c/ mourão conc. seção quadr.</v>
          </cell>
          <cell r="E1165" t="str">
            <v>m</v>
          </cell>
          <cell r="G1165">
            <v>12.2</v>
          </cell>
          <cell r="M1165">
            <v>14.91</v>
          </cell>
          <cell r="O1165">
            <v>15.13</v>
          </cell>
          <cell r="Q1165">
            <v>15.44</v>
          </cell>
          <cell r="S1165">
            <v>14.52</v>
          </cell>
        </row>
        <row r="1166">
          <cell r="A1166" t="str">
            <v>5 S 06 400 02</v>
          </cell>
          <cell r="B1166" t="str">
            <v>Cerca arame farp. c/ mourão de conc. seção triang</v>
          </cell>
          <cell r="E1166" t="str">
            <v>m</v>
          </cell>
          <cell r="G1166">
            <v>9.64</v>
          </cell>
          <cell r="M1166">
            <v>11.54</v>
          </cell>
          <cell r="O1166">
            <v>11.7</v>
          </cell>
          <cell r="Q1166">
            <v>12.02</v>
          </cell>
          <cell r="S1166">
            <v>11.56</v>
          </cell>
        </row>
        <row r="1167">
          <cell r="A1167" t="str">
            <v>5 S 06 410 00</v>
          </cell>
          <cell r="B1167" t="str">
            <v>Cêrcas arame farpado com suporte madeira</v>
          </cell>
          <cell r="E1167" t="str">
            <v>m</v>
          </cell>
          <cell r="G1167">
            <v>14.63</v>
          </cell>
          <cell r="M1167">
            <v>18.72</v>
          </cell>
          <cell r="O1167">
            <v>18.739999999999998</v>
          </cell>
          <cell r="Q1167">
            <v>19.04</v>
          </cell>
          <cell r="S1167">
            <v>19.04</v>
          </cell>
        </row>
        <row r="1168">
          <cell r="A1168" t="str">
            <v>5 S 09 001 07</v>
          </cell>
          <cell r="B1168" t="str">
            <v>Transporte local em rodov. não pavim.</v>
          </cell>
          <cell r="E1168" t="str">
            <v>tkm</v>
          </cell>
          <cell r="G1168">
            <v>0.49</v>
          </cell>
          <cell r="M1168">
            <v>0.54</v>
          </cell>
          <cell r="O1168">
            <v>0.55000000000000004</v>
          </cell>
          <cell r="Q1168">
            <v>0.53</v>
          </cell>
          <cell r="S1168">
            <v>0.53</v>
          </cell>
        </row>
        <row r="1169">
          <cell r="A1169" t="str">
            <v>5 S 09 001 90</v>
          </cell>
          <cell r="B1169" t="str">
            <v>Transporte comercial c/ carroc. rodov. não pav.</v>
          </cell>
          <cell r="E1169" t="str">
            <v>tkm</v>
          </cell>
          <cell r="G1169">
            <v>0.32</v>
          </cell>
          <cell r="M1169">
            <v>0.35</v>
          </cell>
          <cell r="O1169">
            <v>0.36</v>
          </cell>
          <cell r="Q1169">
            <v>0.35</v>
          </cell>
          <cell r="S1169">
            <v>0.35</v>
          </cell>
        </row>
        <row r="1170">
          <cell r="A1170" t="str">
            <v>5 S 09 002 07</v>
          </cell>
          <cell r="B1170" t="str">
            <v>Transporte local em rodov. pavim.</v>
          </cell>
          <cell r="E1170" t="str">
            <v>tkm</v>
          </cell>
          <cell r="G1170">
            <v>0.36</v>
          </cell>
          <cell r="M1170">
            <v>0.4</v>
          </cell>
          <cell r="O1170">
            <v>0.41</v>
          </cell>
          <cell r="Q1170">
            <v>0.39</v>
          </cell>
          <cell r="S1170">
            <v>0.39</v>
          </cell>
        </row>
        <row r="1171">
          <cell r="A1171" t="str">
            <v>5 S 09 002 90</v>
          </cell>
          <cell r="B1171" t="str">
            <v>Transporte comercial c/ carroceria rodov. pav.</v>
          </cell>
          <cell r="E1171" t="str">
            <v>tkm</v>
          </cell>
          <cell r="G1171">
            <v>0.21</v>
          </cell>
          <cell r="M1171">
            <v>0.23</v>
          </cell>
          <cell r="O1171">
            <v>0.24</v>
          </cell>
          <cell r="Q1171">
            <v>0.23</v>
          </cell>
          <cell r="S1171">
            <v>0.23</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cell r="F1174">
            <v>1.92</v>
          </cell>
          <cell r="G1174">
            <v>1.92</v>
          </cell>
          <cell r="I1174">
            <v>0</v>
          </cell>
          <cell r="AD1174">
            <v>1.92</v>
          </cell>
        </row>
        <row r="1175">
          <cell r="A1175" t="str">
            <v>AM02</v>
          </cell>
          <cell r="B1175" t="str">
            <v>Aço D=6,3 mm CA 25</v>
          </cell>
          <cell r="C1175" t="str">
            <v>kg</v>
          </cell>
          <cell r="D1175">
            <v>1</v>
          </cell>
          <cell r="E1175" t="str">
            <v>kg</v>
          </cell>
          <cell r="F1175">
            <v>1.93</v>
          </cell>
          <cell r="G1175">
            <v>1.93</v>
          </cell>
          <cell r="I1175">
            <v>0</v>
          </cell>
          <cell r="AD1175">
            <v>1.93</v>
          </cell>
        </row>
        <row r="1176">
          <cell r="A1176" t="str">
            <v>AM03</v>
          </cell>
          <cell r="B1176" t="str">
            <v>Aço D=10 mm CA 25</v>
          </cell>
          <cell r="C1176" t="str">
            <v>kg</v>
          </cell>
          <cell r="D1176">
            <v>1</v>
          </cell>
          <cell r="E1176" t="str">
            <v>kg</v>
          </cell>
          <cell r="F1176">
            <v>1.6</v>
          </cell>
          <cell r="G1176">
            <v>1.6</v>
          </cell>
          <cell r="I1176">
            <v>0</v>
          </cell>
          <cell r="AD1176">
            <v>1.6</v>
          </cell>
        </row>
        <row r="1177">
          <cell r="A1177" t="str">
            <v>AM04</v>
          </cell>
          <cell r="B1177" t="str">
            <v>Aço D=6,3 mm CA 50</v>
          </cell>
          <cell r="C1177" t="str">
            <v>kg</v>
          </cell>
          <cell r="D1177">
            <v>1</v>
          </cell>
          <cell r="E1177" t="str">
            <v>kg</v>
          </cell>
          <cell r="F1177">
            <v>1.98</v>
          </cell>
          <cell r="G1177">
            <v>1.98</v>
          </cell>
          <cell r="I1177">
            <v>0</v>
          </cell>
          <cell r="AD1177">
            <v>1.98</v>
          </cell>
        </row>
        <row r="1178">
          <cell r="A1178" t="str">
            <v>AM05</v>
          </cell>
          <cell r="B1178" t="str">
            <v>Aço D=10 mm CA 50</v>
          </cell>
          <cell r="C1178" t="str">
            <v>kg</v>
          </cell>
          <cell r="D1178">
            <v>1</v>
          </cell>
          <cell r="E1178" t="str">
            <v>kg</v>
          </cell>
          <cell r="F1178">
            <v>1.65</v>
          </cell>
          <cell r="G1178">
            <v>1.65</v>
          </cell>
          <cell r="I1178">
            <v>0</v>
          </cell>
          <cell r="AD1178">
            <v>1.3</v>
          </cell>
        </row>
        <row r="1179">
          <cell r="A1179" t="str">
            <v>AM06</v>
          </cell>
          <cell r="B1179" t="str">
            <v>Aço D=4,2 mm CA 60</v>
          </cell>
          <cell r="C1179" t="str">
            <v>kg</v>
          </cell>
          <cell r="D1179">
            <v>1</v>
          </cell>
          <cell r="E1179" t="str">
            <v>kg</v>
          </cell>
          <cell r="F1179">
            <v>2.1</v>
          </cell>
          <cell r="G1179">
            <v>2.1</v>
          </cell>
          <cell r="I1179">
            <v>0</v>
          </cell>
          <cell r="AD1179">
            <v>2.1</v>
          </cell>
        </row>
        <row r="1180">
          <cell r="A1180" t="str">
            <v>AM07</v>
          </cell>
          <cell r="B1180" t="str">
            <v>Aço D=5,0 mm CA 60</v>
          </cell>
          <cell r="C1180" t="str">
            <v>kg</v>
          </cell>
          <cell r="D1180">
            <v>1</v>
          </cell>
          <cell r="E1180" t="str">
            <v>kg</v>
          </cell>
          <cell r="F1180">
            <v>2.1</v>
          </cell>
          <cell r="G1180">
            <v>2.1</v>
          </cell>
          <cell r="I1180">
            <v>0</v>
          </cell>
          <cell r="AD1180">
            <v>2.1</v>
          </cell>
        </row>
        <row r="1181">
          <cell r="A1181" t="str">
            <v>AM08</v>
          </cell>
          <cell r="B1181" t="str">
            <v>Aço D=6,0 mm CA 60</v>
          </cell>
          <cell r="C1181" t="str">
            <v>kg</v>
          </cell>
          <cell r="D1181">
            <v>1</v>
          </cell>
          <cell r="E1181" t="str">
            <v>kg</v>
          </cell>
          <cell r="F1181">
            <v>2.17</v>
          </cell>
          <cell r="G1181">
            <v>2.17</v>
          </cell>
          <cell r="I1181">
            <v>0</v>
          </cell>
          <cell r="AD1181">
            <v>2.17</v>
          </cell>
        </row>
        <row r="1182">
          <cell r="A1182" t="str">
            <v>AM09</v>
          </cell>
          <cell r="B1182" t="str">
            <v>Mandíbula móvel p/ britador 6240C</v>
          </cell>
          <cell r="C1182" t="str">
            <v>un</v>
          </cell>
          <cell r="D1182">
            <v>216</v>
          </cell>
          <cell r="E1182" t="str">
            <v>u/h</v>
          </cell>
          <cell r="F1182">
            <v>1090.2</v>
          </cell>
          <cell r="G1182">
            <v>5.0472222222222225</v>
          </cell>
          <cell r="I1182">
            <v>0</v>
          </cell>
          <cell r="AD1182">
            <v>5.0472000000000001</v>
          </cell>
        </row>
        <row r="1183">
          <cell r="A1183" t="str">
            <v>AM10</v>
          </cell>
          <cell r="B1183" t="str">
            <v>Mandíbula fixa p/ britador 6240C</v>
          </cell>
          <cell r="C1183" t="str">
            <v>un</v>
          </cell>
          <cell r="D1183">
            <v>133</v>
          </cell>
          <cell r="E1183" t="str">
            <v>u/h</v>
          </cell>
          <cell r="F1183">
            <v>1190.2</v>
          </cell>
          <cell r="G1183">
            <v>8.9488721804511275</v>
          </cell>
          <cell r="I1183">
            <v>0</v>
          </cell>
          <cell r="AD1183">
            <v>8.9489000000000001</v>
          </cell>
        </row>
        <row r="1184">
          <cell r="A1184" t="str">
            <v>AM11</v>
          </cell>
          <cell r="B1184" t="str">
            <v>Revestimento móvel p/ britador 60TS</v>
          </cell>
          <cell r="C1184" t="str">
            <v>un</v>
          </cell>
          <cell r="D1184">
            <v>381</v>
          </cell>
          <cell r="E1184" t="str">
            <v>u/h</v>
          </cell>
          <cell r="F1184">
            <v>980.01</v>
          </cell>
          <cell r="G1184">
            <v>2.5722047244094486</v>
          </cell>
          <cell r="I1184">
            <v>0</v>
          </cell>
          <cell r="AD1184">
            <v>2.5722</v>
          </cell>
        </row>
        <row r="1185">
          <cell r="A1185" t="str">
            <v>AM12</v>
          </cell>
          <cell r="B1185" t="str">
            <v>Revestimento fixo p/ britador 60TS</v>
          </cell>
          <cell r="C1185" t="str">
            <v>un</v>
          </cell>
          <cell r="D1185">
            <v>395</v>
          </cell>
          <cell r="E1185" t="str">
            <v>u/h</v>
          </cell>
          <cell r="F1185">
            <v>1325.3</v>
          </cell>
          <cell r="G1185">
            <v>3.3551898734177215</v>
          </cell>
          <cell r="I1185">
            <v>0</v>
          </cell>
          <cell r="AD1185">
            <v>3.3552</v>
          </cell>
        </row>
        <row r="1186">
          <cell r="A1186" t="str">
            <v>AM19</v>
          </cell>
          <cell r="B1186" t="str">
            <v>Mandíbula fixa p/ britador 4230</v>
          </cell>
          <cell r="C1186" t="str">
            <v>un</v>
          </cell>
          <cell r="D1186">
            <v>150</v>
          </cell>
          <cell r="E1186" t="str">
            <v>u/h</v>
          </cell>
          <cell r="F1186">
            <v>536.13</v>
          </cell>
          <cell r="G1186">
            <v>3.5741999999999998</v>
          </cell>
          <cell r="I1186">
            <v>0</v>
          </cell>
          <cell r="AD1186">
            <v>3.5741999999999998</v>
          </cell>
        </row>
        <row r="1187">
          <cell r="A1187" t="str">
            <v>AM20</v>
          </cell>
          <cell r="B1187" t="str">
            <v>Mandíbula móvel p/ britador 4230</v>
          </cell>
          <cell r="C1187" t="str">
            <v>un</v>
          </cell>
          <cell r="D1187">
            <v>100</v>
          </cell>
          <cell r="E1187" t="str">
            <v>u/h</v>
          </cell>
          <cell r="F1187">
            <v>548.82000000000005</v>
          </cell>
          <cell r="G1187">
            <v>5.4882000000000009</v>
          </cell>
          <cell r="I1187">
            <v>0</v>
          </cell>
          <cell r="AD1187">
            <v>5.4882999999999997</v>
          </cell>
        </row>
        <row r="1188">
          <cell r="A1188" t="str">
            <v>AM25</v>
          </cell>
          <cell r="B1188" t="str">
            <v>Mandíbula móvel para britador 80x50</v>
          </cell>
          <cell r="C1188" t="str">
            <v>un</v>
          </cell>
          <cell r="D1188">
            <v>250</v>
          </cell>
          <cell r="E1188" t="str">
            <v>u/h</v>
          </cell>
          <cell r="F1188">
            <v>2908.5</v>
          </cell>
          <cell r="G1188">
            <v>11.634</v>
          </cell>
          <cell r="I1188">
            <v>0</v>
          </cell>
          <cell r="AD1188">
            <v>9.6</v>
          </cell>
        </row>
        <row r="1189">
          <cell r="A1189" t="str">
            <v>AM26</v>
          </cell>
          <cell r="B1189" t="str">
            <v>Mandíbula fixa para britador 80x50</v>
          </cell>
          <cell r="C1189" t="str">
            <v>un</v>
          </cell>
          <cell r="D1189">
            <v>437</v>
          </cell>
          <cell r="E1189" t="str">
            <v>u/h</v>
          </cell>
          <cell r="F1189">
            <v>2814.02</v>
          </cell>
          <cell r="G1189">
            <v>6.4394050343249427</v>
          </cell>
          <cell r="I1189">
            <v>0</v>
          </cell>
          <cell r="AD1189">
            <v>5.2403000000000004</v>
          </cell>
        </row>
        <row r="1190">
          <cell r="A1190" t="str">
            <v>AM27</v>
          </cell>
          <cell r="B1190" t="str">
            <v>Revestimento móvel p/ britador 90TS</v>
          </cell>
          <cell r="C1190" t="str">
            <v>un</v>
          </cell>
          <cell r="D1190">
            <v>338</v>
          </cell>
          <cell r="E1190" t="str">
            <v>u/h</v>
          </cell>
          <cell r="F1190">
            <v>2036.99</v>
          </cell>
          <cell r="G1190">
            <v>6.0265976331360944</v>
          </cell>
          <cell r="I1190">
            <v>0</v>
          </cell>
          <cell r="AD1190">
            <v>4.9112</v>
          </cell>
        </row>
        <row r="1191">
          <cell r="A1191" t="str">
            <v>AM28</v>
          </cell>
          <cell r="B1191" t="str">
            <v>Revestimento fixo p/ britador 90TS</v>
          </cell>
          <cell r="C1191" t="str">
            <v>un</v>
          </cell>
          <cell r="D1191">
            <v>440</v>
          </cell>
          <cell r="E1191" t="str">
            <v>u/h</v>
          </cell>
          <cell r="F1191">
            <v>2729.98</v>
          </cell>
          <cell r="G1191">
            <v>6.2045000000000003</v>
          </cell>
          <cell r="I1191">
            <v>0</v>
          </cell>
          <cell r="AD1191">
            <v>4.7272999999999996</v>
          </cell>
        </row>
        <row r="1192">
          <cell r="A1192" t="str">
            <v>AM29</v>
          </cell>
          <cell r="B1192" t="str">
            <v>Revestimento móvel p/ britador 90TF</v>
          </cell>
          <cell r="C1192" t="str">
            <v>un</v>
          </cell>
          <cell r="D1192">
            <v>99</v>
          </cell>
          <cell r="E1192" t="str">
            <v>u/h</v>
          </cell>
          <cell r="F1192">
            <v>1795.5</v>
          </cell>
          <cell r="G1192">
            <v>18.136363636363637</v>
          </cell>
          <cell r="I1192">
            <v>0</v>
          </cell>
          <cell r="AD1192">
            <v>14.7475</v>
          </cell>
        </row>
        <row r="1193">
          <cell r="A1193" t="str">
            <v>AM30</v>
          </cell>
          <cell r="B1193" t="str">
            <v>Revestimento fixo p/ britador 90TF</v>
          </cell>
          <cell r="C1193" t="str">
            <v>un</v>
          </cell>
          <cell r="D1193">
            <v>125</v>
          </cell>
          <cell r="E1193" t="str">
            <v>u/h</v>
          </cell>
          <cell r="F1193">
            <v>1617</v>
          </cell>
          <cell r="G1193">
            <v>12.936</v>
          </cell>
          <cell r="I1193">
            <v>0</v>
          </cell>
          <cell r="AD1193">
            <v>10.8</v>
          </cell>
        </row>
        <row r="1194">
          <cell r="A1194" t="str">
            <v>AM35</v>
          </cell>
          <cell r="B1194" t="str">
            <v>Brita 1</v>
          </cell>
          <cell r="C1194" t="str">
            <v>m3</v>
          </cell>
          <cell r="D1194">
            <v>1</v>
          </cell>
          <cell r="E1194" t="str">
            <v>m3</v>
          </cell>
          <cell r="F1194">
            <v>22</v>
          </cell>
          <cell r="G1194">
            <v>22</v>
          </cell>
          <cell r="I1194">
            <v>0</v>
          </cell>
          <cell r="AD1194">
            <v>19</v>
          </cell>
        </row>
        <row r="1195">
          <cell r="A1195" t="str">
            <v>AM36</v>
          </cell>
          <cell r="B1195" t="str">
            <v>Brita 2</v>
          </cell>
          <cell r="C1195" t="str">
            <v>m3</v>
          </cell>
          <cell r="D1195">
            <v>1</v>
          </cell>
          <cell r="E1195" t="str">
            <v>m3</v>
          </cell>
          <cell r="F1195">
            <v>22</v>
          </cell>
          <cell r="G1195">
            <v>22</v>
          </cell>
          <cell r="I1195">
            <v>0</v>
          </cell>
          <cell r="AD1195">
            <v>19</v>
          </cell>
        </row>
        <row r="1196">
          <cell r="A1196" t="str">
            <v>AM37</v>
          </cell>
          <cell r="B1196" t="str">
            <v>Brita 3</v>
          </cell>
          <cell r="C1196" t="str">
            <v>m3</v>
          </cell>
          <cell r="D1196">
            <v>1</v>
          </cell>
          <cell r="E1196" t="str">
            <v>m3</v>
          </cell>
          <cell r="F1196">
            <v>22</v>
          </cell>
          <cell r="G1196">
            <v>22</v>
          </cell>
          <cell r="I1196">
            <v>0</v>
          </cell>
          <cell r="AD1196">
            <v>19</v>
          </cell>
        </row>
        <row r="1197">
          <cell r="A1197" t="str">
            <v>F801</v>
          </cell>
          <cell r="B1197" t="str">
            <v>Bomba hidráulica alta pressão MAC</v>
          </cell>
          <cell r="C1197" t="str">
            <v>dia</v>
          </cell>
          <cell r="D1197">
            <v>8</v>
          </cell>
          <cell r="E1197" t="str">
            <v>h</v>
          </cell>
          <cell r="F1197">
            <v>265</v>
          </cell>
          <cell r="G1197">
            <v>33.125</v>
          </cell>
          <cell r="I1197">
            <v>0</v>
          </cell>
          <cell r="AD1197">
            <v>33.125</v>
          </cell>
        </row>
        <row r="1198">
          <cell r="A1198" t="str">
            <v>F802</v>
          </cell>
          <cell r="B1198" t="str">
            <v>Bomba eletr p/ injeção de nata MAC</v>
          </cell>
          <cell r="C1198" t="str">
            <v>dia</v>
          </cell>
          <cell r="D1198">
            <v>8</v>
          </cell>
          <cell r="E1198" t="str">
            <v>h</v>
          </cell>
          <cell r="F1198">
            <v>285</v>
          </cell>
          <cell r="G1198">
            <v>35.625</v>
          </cell>
          <cell r="I1198">
            <v>0</v>
          </cell>
          <cell r="AD1198">
            <v>35.625</v>
          </cell>
        </row>
        <row r="1199">
          <cell r="A1199" t="str">
            <v>F803</v>
          </cell>
          <cell r="B1199" t="str">
            <v>Macaco p/ protensão MAC 7</v>
          </cell>
          <cell r="C1199" t="str">
            <v>dia</v>
          </cell>
          <cell r="D1199">
            <v>8</v>
          </cell>
          <cell r="E1199" t="str">
            <v>h</v>
          </cell>
          <cell r="F1199">
            <v>265</v>
          </cell>
          <cell r="G1199">
            <v>33.125</v>
          </cell>
          <cell r="I1199">
            <v>0</v>
          </cell>
          <cell r="AD1199">
            <v>33.125</v>
          </cell>
        </row>
        <row r="1200">
          <cell r="A1200" t="str">
            <v>F804</v>
          </cell>
          <cell r="B1200" t="str">
            <v>Macaco p/ protensão MAC 12</v>
          </cell>
          <cell r="C1200" t="str">
            <v>dia</v>
          </cell>
          <cell r="D1200">
            <v>8</v>
          </cell>
          <cell r="E1200" t="str">
            <v>h</v>
          </cell>
          <cell r="F1200">
            <v>275</v>
          </cell>
          <cell r="G1200">
            <v>34.375</v>
          </cell>
          <cell r="I1200">
            <v>0</v>
          </cell>
          <cell r="AD1200">
            <v>34.375</v>
          </cell>
        </row>
        <row r="1201">
          <cell r="A1201" t="str">
            <v>F805</v>
          </cell>
          <cell r="B1201" t="str">
            <v>Macaco p/ protensão MAC 4</v>
          </cell>
          <cell r="C1201" t="str">
            <v>dia</v>
          </cell>
          <cell r="D1201">
            <v>8</v>
          </cell>
          <cell r="E1201" t="str">
            <v>h</v>
          </cell>
          <cell r="F1201">
            <v>257.2</v>
          </cell>
          <cell r="G1201">
            <v>32.15</v>
          </cell>
          <cell r="I1201">
            <v>0</v>
          </cell>
          <cell r="AD1201">
            <v>32.15</v>
          </cell>
        </row>
        <row r="1202">
          <cell r="A1202" t="str">
            <v>F807</v>
          </cell>
          <cell r="B1202" t="str">
            <v>Bomba hidr. alta pressão STUP</v>
          </cell>
          <cell r="C1202" t="str">
            <v>dia</v>
          </cell>
          <cell r="D1202">
            <v>8</v>
          </cell>
          <cell r="E1202" t="str">
            <v>h</v>
          </cell>
          <cell r="F1202">
            <v>373</v>
          </cell>
          <cell r="G1202">
            <v>46.625</v>
          </cell>
          <cell r="I1202">
            <v>0</v>
          </cell>
          <cell r="AD1202">
            <v>46.625</v>
          </cell>
        </row>
        <row r="1203">
          <cell r="A1203" t="str">
            <v>F808</v>
          </cell>
          <cell r="B1203" t="str">
            <v>Bomba eletr. injeção de nata STUP</v>
          </cell>
          <cell r="C1203" t="str">
            <v>dia</v>
          </cell>
          <cell r="D1203">
            <v>8</v>
          </cell>
          <cell r="E1203" t="str">
            <v>h</v>
          </cell>
          <cell r="F1203">
            <v>385</v>
          </cell>
          <cell r="G1203">
            <v>48.125</v>
          </cell>
          <cell r="I1203">
            <v>0</v>
          </cell>
          <cell r="AD1203">
            <v>48.125</v>
          </cell>
        </row>
        <row r="1204">
          <cell r="A1204" t="str">
            <v>F809</v>
          </cell>
          <cell r="B1204" t="str">
            <v>Macaco p/ protensão STUP</v>
          </cell>
          <cell r="C1204" t="str">
            <v>dia</v>
          </cell>
          <cell r="D1204">
            <v>8</v>
          </cell>
          <cell r="E1204" t="str">
            <v>h</v>
          </cell>
          <cell r="F1204">
            <v>368</v>
          </cell>
          <cell r="G1204">
            <v>46</v>
          </cell>
          <cell r="I1204">
            <v>0</v>
          </cell>
          <cell r="AD1204">
            <v>46</v>
          </cell>
        </row>
        <row r="1205">
          <cell r="A1205" t="str">
            <v>F810</v>
          </cell>
          <cell r="B1205" t="str">
            <v>Macaco p/ protensão STUP</v>
          </cell>
          <cell r="C1205" t="str">
            <v>dia</v>
          </cell>
          <cell r="D1205">
            <v>8</v>
          </cell>
          <cell r="E1205" t="str">
            <v>h</v>
          </cell>
          <cell r="F1205">
            <v>426</v>
          </cell>
          <cell r="G1205">
            <v>53.25</v>
          </cell>
          <cell r="I1205">
            <v>0</v>
          </cell>
          <cell r="AD1205">
            <v>53.25</v>
          </cell>
        </row>
        <row r="1206">
          <cell r="A1206" t="str">
            <v>F811</v>
          </cell>
          <cell r="B1206" t="str">
            <v>Macaco p/ protensão STUP</v>
          </cell>
          <cell r="C1206" t="str">
            <v>dia</v>
          </cell>
          <cell r="D1206">
            <v>8</v>
          </cell>
          <cell r="E1206" t="str">
            <v>h</v>
          </cell>
          <cell r="F1206">
            <v>378</v>
          </cell>
          <cell r="G1206">
            <v>47.25</v>
          </cell>
          <cell r="I1206">
            <v>0</v>
          </cell>
          <cell r="AD1206">
            <v>47.25</v>
          </cell>
        </row>
        <row r="1207">
          <cell r="A1207" t="str">
            <v>F812</v>
          </cell>
          <cell r="B1207" t="str">
            <v>Macaco p/ protensão STUP</v>
          </cell>
          <cell r="C1207" t="str">
            <v>dia</v>
          </cell>
          <cell r="D1207">
            <v>8</v>
          </cell>
          <cell r="E1207" t="str">
            <v>h</v>
          </cell>
          <cell r="F1207">
            <v>352</v>
          </cell>
          <cell r="G1207">
            <v>44</v>
          </cell>
          <cell r="I1207">
            <v>0</v>
          </cell>
          <cell r="AD1207">
            <v>44</v>
          </cell>
        </row>
        <row r="1208">
          <cell r="A1208" t="str">
            <v>F813</v>
          </cell>
          <cell r="B1208" t="str">
            <v>Macaco p/ prot. de tirante D=32mm</v>
          </cell>
          <cell r="C1208" t="str">
            <v>dia</v>
          </cell>
          <cell r="D1208">
            <v>8</v>
          </cell>
          <cell r="E1208" t="str">
            <v>h</v>
          </cell>
          <cell r="F1208">
            <v>51.5</v>
          </cell>
          <cell r="G1208">
            <v>6.4375</v>
          </cell>
          <cell r="I1208">
            <v>0</v>
          </cell>
          <cell r="AD1208">
            <v>5.665</v>
          </cell>
        </row>
        <row r="1209">
          <cell r="A1209" t="str">
            <v>F814</v>
          </cell>
          <cell r="B1209" t="str">
            <v>Injeção de nata de cimento</v>
          </cell>
          <cell r="C1209" t="str">
            <v>m</v>
          </cell>
          <cell r="D1209">
            <v>1</v>
          </cell>
          <cell r="E1209" t="str">
            <v>m</v>
          </cell>
          <cell r="F1209">
            <v>5.25</v>
          </cell>
          <cell r="G1209">
            <v>5.25</v>
          </cell>
          <cell r="I1209">
            <v>0</v>
          </cell>
          <cell r="AD1209">
            <v>4.53</v>
          </cell>
        </row>
        <row r="1210">
          <cell r="A1210" t="str">
            <v>F943</v>
          </cell>
          <cell r="B1210" t="str">
            <v>Terra Armada - moldes metálicos</v>
          </cell>
          <cell r="C1210" t="str">
            <v>cj</v>
          </cell>
          <cell r="D1210">
            <v>1</v>
          </cell>
          <cell r="E1210" t="str">
            <v>m3</v>
          </cell>
          <cell r="F1210">
            <v>2.6</v>
          </cell>
          <cell r="G1210">
            <v>2.6</v>
          </cell>
          <cell r="I1210">
            <v>0</v>
          </cell>
          <cell r="AD1210">
            <v>2.6</v>
          </cell>
        </row>
        <row r="1211">
          <cell r="A1211" t="str">
            <v>M001</v>
          </cell>
          <cell r="B1211" t="str">
            <v>Gasolina</v>
          </cell>
          <cell r="C1211" t="str">
            <v>l</v>
          </cell>
          <cell r="D1211">
            <v>1</v>
          </cell>
          <cell r="E1211" t="str">
            <v>l</v>
          </cell>
          <cell r="F1211">
            <v>2.1</v>
          </cell>
          <cell r="G1211">
            <v>2.1</v>
          </cell>
          <cell r="I1211">
            <v>0</v>
          </cell>
          <cell r="AD1211">
            <v>1.68</v>
          </cell>
        </row>
        <row r="1212">
          <cell r="A1212" t="str">
            <v>M002</v>
          </cell>
          <cell r="B1212" t="str">
            <v>Diesel</v>
          </cell>
          <cell r="C1212" t="str">
            <v>l</v>
          </cell>
          <cell r="D1212">
            <v>1</v>
          </cell>
          <cell r="E1212" t="str">
            <v>l</v>
          </cell>
          <cell r="F1212">
            <v>1.39</v>
          </cell>
          <cell r="G1212">
            <v>1.39</v>
          </cell>
          <cell r="I1212">
            <v>0</v>
          </cell>
          <cell r="AD1212">
            <v>1.07</v>
          </cell>
        </row>
        <row r="1213">
          <cell r="A1213" t="str">
            <v>M003</v>
          </cell>
          <cell r="B1213" t="str">
            <v>Óleo combustível 1A</v>
          </cell>
          <cell r="C1213" t="str">
            <v>l</v>
          </cell>
          <cell r="D1213">
            <v>1</v>
          </cell>
          <cell r="E1213" t="str">
            <v>l</v>
          </cell>
          <cell r="F1213">
            <v>0.99</v>
          </cell>
          <cell r="G1213">
            <v>0.99</v>
          </cell>
          <cell r="I1213">
            <v>0</v>
          </cell>
          <cell r="AD1213">
            <v>0.8</v>
          </cell>
        </row>
        <row r="1214">
          <cell r="A1214" t="str">
            <v>M004</v>
          </cell>
          <cell r="B1214" t="str">
            <v>Álcool</v>
          </cell>
          <cell r="C1214" t="str">
            <v>l</v>
          </cell>
          <cell r="D1214">
            <v>1</v>
          </cell>
          <cell r="E1214" t="str">
            <v>l</v>
          </cell>
          <cell r="F1214">
            <v>1.52</v>
          </cell>
          <cell r="G1214">
            <v>1.52</v>
          </cell>
          <cell r="I1214">
            <v>0</v>
          </cell>
          <cell r="AD1214">
            <v>0.91</v>
          </cell>
        </row>
        <row r="1215">
          <cell r="A1215" t="str">
            <v>M005</v>
          </cell>
          <cell r="B1215" t="str">
            <v>Energia elétrica</v>
          </cell>
          <cell r="C1215" t="str">
            <v>kwh</v>
          </cell>
          <cell r="D1215">
            <v>1</v>
          </cell>
          <cell r="E1215" t="str">
            <v>kwh</v>
          </cell>
          <cell r="F1215">
            <v>0.34</v>
          </cell>
          <cell r="G1215">
            <v>0.34</v>
          </cell>
          <cell r="I1215">
            <v>0</v>
          </cell>
          <cell r="AD1215">
            <v>0.33</v>
          </cell>
        </row>
        <row r="1216">
          <cell r="A1216" t="str">
            <v>M101</v>
          </cell>
          <cell r="B1216" t="str">
            <v>Cimento asfáltico CAP-20</v>
          </cell>
          <cell r="C1216" t="str">
            <v>t</v>
          </cell>
          <cell r="D1216">
            <v>1</v>
          </cell>
          <cell r="E1216" t="str">
            <v>t</v>
          </cell>
          <cell r="F1216">
            <v>0</v>
          </cell>
          <cell r="G1216">
            <v>0</v>
          </cell>
          <cell r="I1216">
            <v>0</v>
          </cell>
          <cell r="AD1216">
            <v>0</v>
          </cell>
        </row>
        <row r="1217">
          <cell r="A1217" t="str">
            <v>M102</v>
          </cell>
          <cell r="B1217" t="str">
            <v>Cimento asfáltico CAP-40</v>
          </cell>
          <cell r="C1217" t="str">
            <v>t</v>
          </cell>
          <cell r="D1217">
            <v>1</v>
          </cell>
          <cell r="E1217" t="str">
            <v>t</v>
          </cell>
          <cell r="F1217">
            <v>0</v>
          </cell>
          <cell r="G1217">
            <v>0</v>
          </cell>
          <cell r="I1217">
            <v>0</v>
          </cell>
          <cell r="AD1217">
            <v>0</v>
          </cell>
        </row>
        <row r="1218">
          <cell r="A1218" t="str">
            <v>M103</v>
          </cell>
          <cell r="B1218" t="str">
            <v>Asfalto diluído CM-30</v>
          </cell>
          <cell r="C1218" t="str">
            <v>t</v>
          </cell>
          <cell r="D1218">
            <v>1</v>
          </cell>
          <cell r="E1218" t="str">
            <v>t</v>
          </cell>
          <cell r="F1218">
            <v>0</v>
          </cell>
          <cell r="G1218">
            <v>0</v>
          </cell>
          <cell r="I1218">
            <v>0</v>
          </cell>
          <cell r="AD1218">
            <v>0</v>
          </cell>
        </row>
        <row r="1219">
          <cell r="A1219" t="str">
            <v>M104</v>
          </cell>
          <cell r="B1219" t="str">
            <v>Emulsão asfáltica RR-1C</v>
          </cell>
          <cell r="C1219" t="str">
            <v>t</v>
          </cell>
          <cell r="D1219">
            <v>1</v>
          </cell>
          <cell r="E1219" t="str">
            <v>t</v>
          </cell>
          <cell r="F1219">
            <v>0</v>
          </cell>
          <cell r="G1219">
            <v>0</v>
          </cell>
          <cell r="I1219">
            <v>0</v>
          </cell>
          <cell r="AD1219">
            <v>0</v>
          </cell>
        </row>
        <row r="1220">
          <cell r="A1220" t="str">
            <v>M105</v>
          </cell>
          <cell r="B1220" t="str">
            <v>Emulsão asfáltica RR-2C</v>
          </cell>
          <cell r="C1220" t="str">
            <v>t</v>
          </cell>
          <cell r="D1220">
            <v>1</v>
          </cell>
          <cell r="E1220" t="str">
            <v>t</v>
          </cell>
          <cell r="F1220">
            <v>0</v>
          </cell>
          <cell r="G1220">
            <v>0</v>
          </cell>
          <cell r="I1220">
            <v>0</v>
          </cell>
          <cell r="AD1220">
            <v>0</v>
          </cell>
        </row>
        <row r="1221">
          <cell r="A1221" t="str">
            <v>M106</v>
          </cell>
          <cell r="B1221" t="str">
            <v>Cimento asfáltico CAP 7</v>
          </cell>
          <cell r="C1221" t="str">
            <v>t</v>
          </cell>
          <cell r="D1221">
            <v>1</v>
          </cell>
          <cell r="E1221" t="str">
            <v>t</v>
          </cell>
          <cell r="F1221">
            <v>0</v>
          </cell>
          <cell r="G1221">
            <v>0</v>
          </cell>
          <cell r="I1221">
            <v>0</v>
          </cell>
          <cell r="AD1221">
            <v>0</v>
          </cell>
        </row>
        <row r="1222">
          <cell r="A1222" t="str">
            <v>M107</v>
          </cell>
          <cell r="B1222" t="str">
            <v>Emulsão asfáltica RM-1C</v>
          </cell>
          <cell r="C1222" t="str">
            <v>t</v>
          </cell>
          <cell r="D1222">
            <v>1</v>
          </cell>
          <cell r="E1222" t="str">
            <v>t</v>
          </cell>
          <cell r="F1222">
            <v>0</v>
          </cell>
          <cell r="G1222">
            <v>0</v>
          </cell>
          <cell r="I1222">
            <v>0</v>
          </cell>
          <cell r="AD1222">
            <v>0</v>
          </cell>
        </row>
        <row r="1223">
          <cell r="A1223" t="str">
            <v>M108</v>
          </cell>
          <cell r="B1223" t="str">
            <v>Emulsão asfáltica RM-2C</v>
          </cell>
          <cell r="C1223" t="str">
            <v>t</v>
          </cell>
          <cell r="D1223">
            <v>1</v>
          </cell>
          <cell r="E1223" t="str">
            <v>t</v>
          </cell>
          <cell r="F1223">
            <v>0</v>
          </cell>
          <cell r="G1223">
            <v>0</v>
          </cell>
          <cell r="I1223">
            <v>0</v>
          </cell>
          <cell r="AD1223">
            <v>0</v>
          </cell>
        </row>
        <row r="1224">
          <cell r="A1224" t="str">
            <v>M109</v>
          </cell>
          <cell r="B1224" t="str">
            <v>Emulsão asfáltica RL-1C</v>
          </cell>
          <cell r="C1224" t="str">
            <v>t</v>
          </cell>
          <cell r="D1224">
            <v>1</v>
          </cell>
          <cell r="E1224" t="str">
            <v>t</v>
          </cell>
          <cell r="F1224">
            <v>0</v>
          </cell>
          <cell r="G1224">
            <v>0</v>
          </cell>
          <cell r="I1224">
            <v>0</v>
          </cell>
          <cell r="AD1224">
            <v>0</v>
          </cell>
        </row>
        <row r="1225">
          <cell r="A1225" t="str">
            <v>M110</v>
          </cell>
          <cell r="B1225" t="str">
            <v>Emulsão polim. p/ micro-rev. a frio</v>
          </cell>
          <cell r="C1225" t="str">
            <v>t</v>
          </cell>
          <cell r="D1225">
            <v>1</v>
          </cell>
          <cell r="E1225" t="str">
            <v>t</v>
          </cell>
          <cell r="F1225">
            <v>0</v>
          </cell>
          <cell r="G1225">
            <v>0</v>
          </cell>
          <cell r="I1225">
            <v>0</v>
          </cell>
          <cell r="AD1225">
            <v>0</v>
          </cell>
        </row>
        <row r="1226">
          <cell r="A1226" t="str">
            <v>M111</v>
          </cell>
          <cell r="B1226" t="str">
            <v>Aditivo p/ controle de ruptura</v>
          </cell>
          <cell r="C1226" t="str">
            <v>kg</v>
          </cell>
          <cell r="D1226">
            <v>1</v>
          </cell>
          <cell r="E1226" t="str">
            <v>kg</v>
          </cell>
          <cell r="F1226">
            <v>2.41</v>
          </cell>
          <cell r="G1226">
            <v>2.41</v>
          </cell>
          <cell r="I1226">
            <v>0</v>
          </cell>
          <cell r="AD1226">
            <v>1.92</v>
          </cell>
        </row>
        <row r="1227">
          <cell r="A1227" t="str">
            <v>M112</v>
          </cell>
          <cell r="B1227" t="str">
            <v>Aditivo sólido (fibras)</v>
          </cell>
          <cell r="C1227" t="str">
            <v>kg</v>
          </cell>
          <cell r="D1227">
            <v>1</v>
          </cell>
          <cell r="E1227" t="str">
            <v>kg</v>
          </cell>
          <cell r="F1227">
            <v>2.4900000000000002</v>
          </cell>
          <cell r="G1227">
            <v>2.4900000000000002</v>
          </cell>
          <cell r="I1227">
            <v>0</v>
          </cell>
          <cell r="AD1227">
            <v>2.39</v>
          </cell>
        </row>
        <row r="1228">
          <cell r="A1228" t="str">
            <v>M114</v>
          </cell>
          <cell r="B1228" t="str">
            <v>Agente rejuv. p/ recicl. a quente</v>
          </cell>
          <cell r="C1228" t="str">
            <v>t</v>
          </cell>
          <cell r="D1228">
            <v>1</v>
          </cell>
          <cell r="E1228" t="str">
            <v>t</v>
          </cell>
          <cell r="F1228">
            <v>0</v>
          </cell>
          <cell r="G1228">
            <v>0</v>
          </cell>
          <cell r="I1228">
            <v>0</v>
          </cell>
          <cell r="AD1228">
            <v>0</v>
          </cell>
        </row>
        <row r="1229">
          <cell r="A1229" t="str">
            <v>M201</v>
          </cell>
          <cell r="B1229" t="str">
            <v>Cimento portland CP-32 (a granel)</v>
          </cell>
          <cell r="C1229" t="str">
            <v>kg</v>
          </cell>
          <cell r="D1229">
            <v>1</v>
          </cell>
          <cell r="E1229" t="str">
            <v>kg</v>
          </cell>
          <cell r="F1229">
            <v>0.28000000000000003</v>
          </cell>
          <cell r="G1229">
            <v>0.28000000000000003</v>
          </cell>
          <cell r="I1229">
            <v>0</v>
          </cell>
          <cell r="AD1229">
            <v>0.23</v>
          </cell>
        </row>
        <row r="1230">
          <cell r="A1230" t="str">
            <v>M202</v>
          </cell>
          <cell r="B1230" t="str">
            <v>Cimento portland CP-32</v>
          </cell>
          <cell r="C1230" t="str">
            <v>sc</v>
          </cell>
          <cell r="D1230">
            <v>50</v>
          </cell>
          <cell r="E1230" t="str">
            <v>kg</v>
          </cell>
          <cell r="F1230">
            <v>17.899999999999999</v>
          </cell>
          <cell r="G1230">
            <v>0.35799999999999998</v>
          </cell>
          <cell r="I1230">
            <v>0</v>
          </cell>
          <cell r="AD1230">
            <v>0.29599999999999999</v>
          </cell>
        </row>
        <row r="1231">
          <cell r="A1231" t="str">
            <v>M307</v>
          </cell>
          <cell r="B1231" t="str">
            <v>Cordoalha CP-190 RB D=12,7mm</v>
          </cell>
          <cell r="C1231" t="str">
            <v>kg</v>
          </cell>
          <cell r="D1231">
            <v>1</v>
          </cell>
          <cell r="E1231" t="str">
            <v>kg</v>
          </cell>
          <cell r="F1231">
            <v>3.1</v>
          </cell>
          <cell r="G1231">
            <v>3.1</v>
          </cell>
          <cell r="I1231">
            <v>0</v>
          </cell>
          <cell r="AD1231">
            <v>2.9</v>
          </cell>
        </row>
        <row r="1232">
          <cell r="A1232" t="str">
            <v>M319</v>
          </cell>
          <cell r="B1232" t="str">
            <v>Arame recozido nº. 18</v>
          </cell>
          <cell r="C1232" t="str">
            <v>kg</v>
          </cell>
          <cell r="D1232">
            <v>1</v>
          </cell>
          <cell r="E1232" t="str">
            <v>kg</v>
          </cell>
          <cell r="F1232">
            <v>2.8</v>
          </cell>
          <cell r="G1232">
            <v>2.8</v>
          </cell>
          <cell r="I1232">
            <v>0</v>
          </cell>
          <cell r="AD1232">
            <v>2.4</v>
          </cell>
        </row>
        <row r="1233">
          <cell r="A1233" t="str">
            <v>M320</v>
          </cell>
          <cell r="B1233" t="str">
            <v>Pregos (18x30)</v>
          </cell>
          <cell r="C1233" t="str">
            <v>kg</v>
          </cell>
          <cell r="D1233">
            <v>1</v>
          </cell>
          <cell r="E1233" t="str">
            <v>kg</v>
          </cell>
          <cell r="F1233">
            <v>2.0499999999999998</v>
          </cell>
          <cell r="G1233">
            <v>2.0499999999999998</v>
          </cell>
          <cell r="I1233">
            <v>0</v>
          </cell>
          <cell r="AD1233">
            <v>2</v>
          </cell>
        </row>
        <row r="1234">
          <cell r="A1234" t="str">
            <v>M321</v>
          </cell>
          <cell r="B1234" t="str">
            <v>Arame farpado nº. 16 galv. simples</v>
          </cell>
          <cell r="C1234" t="str">
            <v>rl</v>
          </cell>
          <cell r="D1234">
            <v>250</v>
          </cell>
          <cell r="E1234" t="str">
            <v>m</v>
          </cell>
          <cell r="F1234">
            <v>40</v>
          </cell>
          <cell r="G1234">
            <v>0.16</v>
          </cell>
          <cell r="I1234">
            <v>0</v>
          </cell>
          <cell r="AD1234">
            <v>0.1512</v>
          </cell>
        </row>
        <row r="1235">
          <cell r="A1235" t="str">
            <v>M322</v>
          </cell>
          <cell r="B1235" t="str">
            <v>Grampo para cerca galvanizado 1 x 9</v>
          </cell>
          <cell r="C1235" t="str">
            <v>kg</v>
          </cell>
          <cell r="D1235">
            <v>1</v>
          </cell>
          <cell r="E1235" t="str">
            <v>kg</v>
          </cell>
          <cell r="F1235">
            <v>3.6</v>
          </cell>
          <cell r="G1235">
            <v>3.6</v>
          </cell>
          <cell r="I1235">
            <v>0</v>
          </cell>
          <cell r="AD1235">
            <v>3.54</v>
          </cell>
        </row>
        <row r="1236">
          <cell r="A1236" t="str">
            <v>M323</v>
          </cell>
          <cell r="B1236" t="str">
            <v>Cantoneira de aço 4" x 4" x 3/8"</v>
          </cell>
          <cell r="C1236" t="str">
            <v>kg</v>
          </cell>
          <cell r="D1236">
            <v>1</v>
          </cell>
          <cell r="E1236" t="str">
            <v>kg</v>
          </cell>
          <cell r="F1236">
            <v>2.12</v>
          </cell>
          <cell r="G1236">
            <v>2.12</v>
          </cell>
          <cell r="I1236">
            <v>0</v>
          </cell>
          <cell r="AD1236">
            <v>1.9</v>
          </cell>
        </row>
        <row r="1237">
          <cell r="A1237" t="str">
            <v>M324</v>
          </cell>
          <cell r="B1237" t="str">
            <v>Pórtico metálico (15 a 17m de vão)</v>
          </cell>
          <cell r="C1237" t="str">
            <v>un</v>
          </cell>
          <cell r="D1237">
            <v>1</v>
          </cell>
          <cell r="E1237" t="str">
            <v>un</v>
          </cell>
          <cell r="F1237">
            <v>28500</v>
          </cell>
          <cell r="G1237">
            <v>28500</v>
          </cell>
          <cell r="I1237">
            <v>0</v>
          </cell>
          <cell r="AD1237">
            <v>21000</v>
          </cell>
        </row>
        <row r="1238">
          <cell r="A1238" t="str">
            <v>M325</v>
          </cell>
          <cell r="B1238" t="str">
            <v>Trilho metálico TR-37 (usado)</v>
          </cell>
          <cell r="C1238" t="str">
            <v>kg</v>
          </cell>
          <cell r="D1238">
            <v>1</v>
          </cell>
          <cell r="E1238" t="str">
            <v>kg</v>
          </cell>
          <cell r="F1238">
            <v>0.7</v>
          </cell>
          <cell r="G1238">
            <v>0.7</v>
          </cell>
          <cell r="I1238">
            <v>0</v>
          </cell>
          <cell r="AD1238">
            <v>0.72</v>
          </cell>
        </row>
        <row r="1239">
          <cell r="A1239" t="str">
            <v>M326</v>
          </cell>
          <cell r="B1239" t="str">
            <v>Série de brocas S-12 D=22 mm</v>
          </cell>
          <cell r="C1239" t="str">
            <v>un</v>
          </cell>
          <cell r="D1239">
            <v>1</v>
          </cell>
          <cell r="E1239" t="str">
            <v>un</v>
          </cell>
          <cell r="F1239">
            <v>1320.8</v>
          </cell>
          <cell r="G1239">
            <v>1320.8</v>
          </cell>
          <cell r="I1239">
            <v>0</v>
          </cell>
          <cell r="AD1239">
            <v>1320.8</v>
          </cell>
        </row>
        <row r="1240">
          <cell r="A1240" t="str">
            <v>M328</v>
          </cell>
          <cell r="B1240" t="str">
            <v>Luva de emenda D=32mm</v>
          </cell>
          <cell r="C1240" t="str">
            <v>un</v>
          </cell>
          <cell r="D1240">
            <v>1</v>
          </cell>
          <cell r="E1240" t="str">
            <v>un</v>
          </cell>
          <cell r="F1240">
            <v>41.5</v>
          </cell>
          <cell r="G1240">
            <v>41.5</v>
          </cell>
          <cell r="I1240">
            <v>0</v>
          </cell>
          <cell r="AD1240">
            <v>41.5</v>
          </cell>
        </row>
        <row r="1241">
          <cell r="A1241" t="str">
            <v>M330</v>
          </cell>
          <cell r="B1241" t="str">
            <v>Calha met. semicircular D=40 cm</v>
          </cell>
          <cell r="C1241" t="str">
            <v>m</v>
          </cell>
          <cell r="D1241">
            <v>1</v>
          </cell>
          <cell r="E1241" t="str">
            <v>m</v>
          </cell>
          <cell r="F1241">
            <v>61.9</v>
          </cell>
          <cell r="G1241">
            <v>61.9</v>
          </cell>
          <cell r="I1241">
            <v>0</v>
          </cell>
          <cell r="AD1241">
            <v>56</v>
          </cell>
        </row>
        <row r="1242">
          <cell r="A1242" t="str">
            <v>M331</v>
          </cell>
          <cell r="B1242" t="str">
            <v>Paraf. fixação calha met. (1/2"x1")</v>
          </cell>
          <cell r="C1242" t="str">
            <v>un</v>
          </cell>
          <cell r="D1242">
            <v>1</v>
          </cell>
          <cell r="E1242" t="str">
            <v>un</v>
          </cell>
          <cell r="F1242">
            <v>3.65</v>
          </cell>
          <cell r="G1242">
            <v>3.65</v>
          </cell>
          <cell r="I1242">
            <v>0</v>
          </cell>
          <cell r="AD1242">
            <v>3.2</v>
          </cell>
        </row>
        <row r="1243">
          <cell r="A1243" t="str">
            <v>M332</v>
          </cell>
          <cell r="B1243" t="str">
            <v>Paraf. forma de madeira (1/2"x3")</v>
          </cell>
          <cell r="C1243" t="str">
            <v>kg</v>
          </cell>
          <cell r="D1243">
            <v>1</v>
          </cell>
          <cell r="E1243" t="str">
            <v>kg</v>
          </cell>
          <cell r="F1243">
            <v>14.5</v>
          </cell>
          <cell r="G1243">
            <v>14.5</v>
          </cell>
          <cell r="I1243">
            <v>0</v>
          </cell>
          <cell r="AD1243">
            <v>15</v>
          </cell>
        </row>
        <row r="1244">
          <cell r="A1244" t="str">
            <v>M334</v>
          </cell>
          <cell r="B1244" t="str">
            <v>Paraf. zinc. c/ fenda 1 1/2"x3/16"</v>
          </cell>
          <cell r="C1244" t="str">
            <v>un</v>
          </cell>
          <cell r="D1244">
            <v>1</v>
          </cell>
          <cell r="E1244" t="str">
            <v>un</v>
          </cell>
          <cell r="F1244">
            <v>0.08</v>
          </cell>
          <cell r="G1244">
            <v>0.08</v>
          </cell>
          <cell r="I1244">
            <v>0</v>
          </cell>
          <cell r="AD1244">
            <v>0.08</v>
          </cell>
        </row>
        <row r="1245">
          <cell r="A1245" t="str">
            <v>M335</v>
          </cell>
          <cell r="B1245" t="str">
            <v>Paraf. zincado francês 4" x 5/16"</v>
          </cell>
          <cell r="C1245" t="str">
            <v>un</v>
          </cell>
          <cell r="D1245">
            <v>1</v>
          </cell>
          <cell r="E1245" t="str">
            <v>un</v>
          </cell>
          <cell r="F1245">
            <v>0.34</v>
          </cell>
          <cell r="G1245">
            <v>0.34</v>
          </cell>
          <cell r="I1245">
            <v>0</v>
          </cell>
          <cell r="AD1245">
            <v>0.34</v>
          </cell>
        </row>
        <row r="1246">
          <cell r="A1246" t="str">
            <v>M338</v>
          </cell>
          <cell r="B1246" t="str">
            <v>Cano de ferro D=3/4"</v>
          </cell>
          <cell r="C1246" t="str">
            <v>pç</v>
          </cell>
          <cell r="D1246">
            <v>6</v>
          </cell>
          <cell r="E1246" t="str">
            <v>m</v>
          </cell>
          <cell r="F1246">
            <v>26.5</v>
          </cell>
          <cell r="G1246">
            <v>4.416666666666667</v>
          </cell>
          <cell r="I1246">
            <v>0</v>
          </cell>
          <cell r="AD1246">
            <v>4.7</v>
          </cell>
        </row>
        <row r="1247">
          <cell r="A1247" t="str">
            <v>M339</v>
          </cell>
          <cell r="B1247" t="str">
            <v>Cantoneira ferro (3,0"x3,0"x3/8")</v>
          </cell>
          <cell r="C1247" t="str">
            <v>kg</v>
          </cell>
          <cell r="D1247">
            <v>1</v>
          </cell>
          <cell r="E1247" t="str">
            <v>kg</v>
          </cell>
          <cell r="F1247">
            <v>1.89</v>
          </cell>
          <cell r="G1247">
            <v>1.89</v>
          </cell>
          <cell r="I1247">
            <v>0</v>
          </cell>
          <cell r="AD1247">
            <v>1.72</v>
          </cell>
        </row>
        <row r="1248">
          <cell r="A1248" t="str">
            <v>M340</v>
          </cell>
          <cell r="B1248" t="str">
            <v>Tampão de ferro fundido</v>
          </cell>
          <cell r="C1248" t="str">
            <v>un</v>
          </cell>
          <cell r="D1248">
            <v>1</v>
          </cell>
          <cell r="E1248" t="str">
            <v>un</v>
          </cell>
          <cell r="F1248">
            <v>135.36000000000001</v>
          </cell>
          <cell r="G1248">
            <v>135.36000000000001</v>
          </cell>
          <cell r="I1248">
            <v>0</v>
          </cell>
          <cell r="AD1248">
            <v>135.36000000000001</v>
          </cell>
        </row>
        <row r="1249">
          <cell r="A1249" t="str">
            <v>M341</v>
          </cell>
          <cell r="B1249" t="str">
            <v>Defensa met. maleável simples</v>
          </cell>
          <cell r="C1249" t="str">
            <v>mod</v>
          </cell>
          <cell r="D1249">
            <v>1</v>
          </cell>
          <cell r="E1249" t="str">
            <v>mod</v>
          </cell>
          <cell r="F1249">
            <v>435.52</v>
          </cell>
          <cell r="G1249">
            <v>435.52</v>
          </cell>
          <cell r="I1249">
            <v>0</v>
          </cell>
          <cell r="AD1249">
            <v>395</v>
          </cell>
        </row>
        <row r="1250">
          <cell r="A1250" t="str">
            <v>M342</v>
          </cell>
          <cell r="B1250" t="str">
            <v>Defensa met. maleável dupla</v>
          </cell>
          <cell r="C1250" t="str">
            <v>mod</v>
          </cell>
          <cell r="D1250">
            <v>1</v>
          </cell>
          <cell r="E1250" t="str">
            <v>mod</v>
          </cell>
          <cell r="F1250">
            <v>545</v>
          </cell>
          <cell r="G1250">
            <v>545</v>
          </cell>
          <cell r="I1250">
            <v>0</v>
          </cell>
          <cell r="AD1250">
            <v>489</v>
          </cell>
        </row>
        <row r="1251">
          <cell r="A1251" t="str">
            <v>M343</v>
          </cell>
          <cell r="B1251" t="str">
            <v>Defensa met. semi-maleável simples</v>
          </cell>
          <cell r="C1251" t="str">
            <v>mod</v>
          </cell>
          <cell r="D1251">
            <v>1</v>
          </cell>
          <cell r="E1251" t="str">
            <v>mod</v>
          </cell>
          <cell r="F1251">
            <v>300.3</v>
          </cell>
          <cell r="G1251">
            <v>300.3</v>
          </cell>
          <cell r="I1251">
            <v>0</v>
          </cell>
          <cell r="AD1251">
            <v>270</v>
          </cell>
        </row>
        <row r="1252">
          <cell r="A1252" t="str">
            <v>M344</v>
          </cell>
          <cell r="B1252" t="str">
            <v>Defensa met. semi-maleável dupla</v>
          </cell>
          <cell r="C1252" t="str">
            <v>mod</v>
          </cell>
          <cell r="D1252">
            <v>1</v>
          </cell>
          <cell r="E1252" t="str">
            <v>mod</v>
          </cell>
          <cell r="F1252">
            <v>515.20000000000005</v>
          </cell>
          <cell r="G1252">
            <v>515.20000000000005</v>
          </cell>
          <cell r="I1252">
            <v>0</v>
          </cell>
          <cell r="AD1252">
            <v>463</v>
          </cell>
        </row>
        <row r="1253">
          <cell r="A1253" t="str">
            <v>M345</v>
          </cell>
          <cell r="B1253" t="str">
            <v>Chapa de aço n. 28 (fina)</v>
          </cell>
          <cell r="C1253" t="str">
            <v>kg</v>
          </cell>
          <cell r="D1253">
            <v>1</v>
          </cell>
          <cell r="E1253" t="str">
            <v>kg</v>
          </cell>
          <cell r="F1253">
            <v>3.1</v>
          </cell>
          <cell r="G1253">
            <v>3.1</v>
          </cell>
          <cell r="I1253">
            <v>0</v>
          </cell>
          <cell r="AD1253">
            <v>2.9</v>
          </cell>
        </row>
        <row r="1254">
          <cell r="A1254" t="str">
            <v>M346</v>
          </cell>
          <cell r="B1254" t="str">
            <v>Chapa de aço n. 16 (tratada)</v>
          </cell>
          <cell r="C1254" t="str">
            <v>m2</v>
          </cell>
          <cell r="D1254">
            <v>1</v>
          </cell>
          <cell r="E1254" t="str">
            <v>m2</v>
          </cell>
          <cell r="F1254">
            <v>69.900000000000006</v>
          </cell>
          <cell r="G1254">
            <v>69.900000000000006</v>
          </cell>
          <cell r="I1254">
            <v>0</v>
          </cell>
          <cell r="AD1254">
            <v>62</v>
          </cell>
        </row>
        <row r="1255">
          <cell r="A1255" t="str">
            <v>M347</v>
          </cell>
          <cell r="B1255" t="str">
            <v>Dente p/ fresadora 1000 C</v>
          </cell>
          <cell r="C1255" t="str">
            <v>un</v>
          </cell>
          <cell r="D1255">
            <v>1</v>
          </cell>
          <cell r="E1255" t="str">
            <v>un</v>
          </cell>
          <cell r="F1255">
            <v>24.1</v>
          </cell>
          <cell r="G1255">
            <v>24.1</v>
          </cell>
          <cell r="I1255">
            <v>0</v>
          </cell>
          <cell r="AD1255">
            <v>20.5</v>
          </cell>
        </row>
        <row r="1256">
          <cell r="A1256" t="str">
            <v>M348</v>
          </cell>
          <cell r="B1256" t="str">
            <v>Porta dente p/ fresadora 1000 C</v>
          </cell>
          <cell r="C1256" t="str">
            <v>un</v>
          </cell>
          <cell r="D1256">
            <v>1</v>
          </cell>
          <cell r="E1256" t="str">
            <v>un</v>
          </cell>
          <cell r="F1256">
            <v>75.150000000000006</v>
          </cell>
          <cell r="G1256">
            <v>75.150000000000006</v>
          </cell>
          <cell r="I1256">
            <v>0</v>
          </cell>
          <cell r="AD1256">
            <v>55</v>
          </cell>
        </row>
        <row r="1257">
          <cell r="A1257" t="str">
            <v>M349</v>
          </cell>
          <cell r="B1257" t="str">
            <v>Dente p/ fresadora 2000 DC</v>
          </cell>
          <cell r="C1257" t="str">
            <v>un</v>
          </cell>
          <cell r="D1257">
            <v>1</v>
          </cell>
          <cell r="E1257" t="str">
            <v>un</v>
          </cell>
          <cell r="F1257">
            <v>24.1</v>
          </cell>
          <cell r="G1257">
            <v>24.1</v>
          </cell>
          <cell r="I1257">
            <v>0</v>
          </cell>
          <cell r="AD1257">
            <v>20.5</v>
          </cell>
        </row>
        <row r="1258">
          <cell r="A1258" t="str">
            <v>M350</v>
          </cell>
          <cell r="B1258" t="str">
            <v>Porta dente p/ fresadora 2000 DC</v>
          </cell>
          <cell r="C1258" t="str">
            <v>un</v>
          </cell>
          <cell r="D1258">
            <v>1</v>
          </cell>
          <cell r="E1258" t="str">
            <v>un</v>
          </cell>
          <cell r="F1258">
            <v>205.4</v>
          </cell>
          <cell r="G1258">
            <v>205.4</v>
          </cell>
          <cell r="I1258">
            <v>0</v>
          </cell>
          <cell r="AD1258">
            <v>188</v>
          </cell>
        </row>
        <row r="1259">
          <cell r="A1259" t="str">
            <v>M351</v>
          </cell>
          <cell r="B1259" t="str">
            <v>Estrut. (tunnel liner) D=1,6m galv.</v>
          </cell>
          <cell r="C1259" t="str">
            <v>m</v>
          </cell>
          <cell r="D1259">
            <v>1</v>
          </cell>
          <cell r="E1259" t="str">
            <v>m</v>
          </cell>
          <cell r="F1259">
            <v>1125</v>
          </cell>
          <cell r="G1259">
            <v>1125</v>
          </cell>
          <cell r="I1259">
            <v>0</v>
          </cell>
          <cell r="AD1259">
            <v>981.68</v>
          </cell>
        </row>
        <row r="1260">
          <cell r="A1260" t="str">
            <v>M352</v>
          </cell>
          <cell r="B1260" t="str">
            <v>Estrut. (tunnel liner) D=2,0m galv.</v>
          </cell>
          <cell r="C1260" t="str">
            <v>m</v>
          </cell>
          <cell r="D1260">
            <v>1</v>
          </cell>
          <cell r="E1260" t="str">
            <v>m</v>
          </cell>
          <cell r="F1260">
            <v>1360.24</v>
          </cell>
          <cell r="G1260">
            <v>1360.24</v>
          </cell>
          <cell r="I1260">
            <v>0</v>
          </cell>
          <cell r="AD1260">
            <v>1255.3</v>
          </cell>
        </row>
        <row r="1261">
          <cell r="A1261" t="str">
            <v>M353</v>
          </cell>
          <cell r="B1261" t="str">
            <v>Estrut. (tunnel liner) D=1,6m epoxy</v>
          </cell>
          <cell r="C1261" t="str">
            <v>m</v>
          </cell>
          <cell r="D1261">
            <v>1</v>
          </cell>
          <cell r="E1261" t="str">
            <v>m</v>
          </cell>
          <cell r="F1261">
            <v>1150</v>
          </cell>
          <cell r="G1261">
            <v>1150</v>
          </cell>
          <cell r="I1261">
            <v>0</v>
          </cell>
          <cell r="AD1261">
            <v>1090</v>
          </cell>
        </row>
        <row r="1262">
          <cell r="A1262" t="str">
            <v>M354</v>
          </cell>
          <cell r="B1262" t="str">
            <v>Estrut, (tunnel liner) D=2,0m epoxy</v>
          </cell>
          <cell r="C1262" t="str">
            <v>m</v>
          </cell>
          <cell r="D1262">
            <v>1</v>
          </cell>
          <cell r="E1262" t="str">
            <v>m</v>
          </cell>
          <cell r="F1262">
            <v>1518.43</v>
          </cell>
          <cell r="G1262">
            <v>1518.43</v>
          </cell>
          <cell r="I1262">
            <v>0</v>
          </cell>
          <cell r="AD1262">
            <v>1335.6</v>
          </cell>
        </row>
        <row r="1263">
          <cell r="A1263" t="str">
            <v>M355</v>
          </cell>
          <cell r="B1263" t="str">
            <v>Chapa mult. D=1,60 m rev. galv.</v>
          </cell>
          <cell r="C1263" t="str">
            <v>m</v>
          </cell>
          <cell r="D1263">
            <v>1</v>
          </cell>
          <cell r="E1263" t="str">
            <v>m</v>
          </cell>
          <cell r="F1263">
            <v>502.6</v>
          </cell>
          <cell r="G1263">
            <v>502.6</v>
          </cell>
          <cell r="I1263">
            <v>0</v>
          </cell>
          <cell r="AD1263">
            <v>471.2</v>
          </cell>
        </row>
        <row r="1264">
          <cell r="A1264" t="str">
            <v>M356</v>
          </cell>
          <cell r="B1264" t="str">
            <v>Chapa mult. D=2,00 m rev. galv.</v>
          </cell>
          <cell r="C1264" t="str">
            <v>m</v>
          </cell>
          <cell r="D1264">
            <v>1</v>
          </cell>
          <cell r="E1264" t="str">
            <v>m</v>
          </cell>
          <cell r="F1264">
            <v>620.20000000000005</v>
          </cell>
          <cell r="G1264">
            <v>620.20000000000005</v>
          </cell>
          <cell r="I1264">
            <v>0</v>
          </cell>
          <cell r="AD1264">
            <v>598.6</v>
          </cell>
        </row>
        <row r="1265">
          <cell r="A1265" t="str">
            <v>M357</v>
          </cell>
          <cell r="B1265" t="str">
            <v>Chapa mult. D=1,60 m rev. epoxy</v>
          </cell>
          <cell r="C1265" t="str">
            <v>m</v>
          </cell>
          <cell r="D1265">
            <v>1</v>
          </cell>
          <cell r="E1265" t="str">
            <v>m</v>
          </cell>
          <cell r="F1265">
            <v>559.95000000000005</v>
          </cell>
          <cell r="G1265">
            <v>559.95000000000005</v>
          </cell>
          <cell r="I1265">
            <v>0</v>
          </cell>
          <cell r="AD1265">
            <v>541.1</v>
          </cell>
        </row>
        <row r="1266">
          <cell r="A1266" t="str">
            <v>M358</v>
          </cell>
          <cell r="B1266" t="str">
            <v>Chapa mult. D=2,00 m rev. epoxy</v>
          </cell>
          <cell r="C1266" t="str">
            <v>m</v>
          </cell>
          <cell r="D1266">
            <v>1</v>
          </cell>
          <cell r="E1266" t="str">
            <v>m</v>
          </cell>
          <cell r="F1266">
            <v>690.9</v>
          </cell>
          <cell r="G1266">
            <v>690.9</v>
          </cell>
          <cell r="I1266">
            <v>0</v>
          </cell>
          <cell r="AD1266">
            <v>660.45</v>
          </cell>
        </row>
        <row r="1267">
          <cell r="A1267" t="str">
            <v>M359</v>
          </cell>
          <cell r="B1267" t="str">
            <v>Vigas "I" 254 x 117,5mm - 1ª alma</v>
          </cell>
          <cell r="C1267" t="str">
            <v>kg</v>
          </cell>
          <cell r="D1267">
            <v>1</v>
          </cell>
          <cell r="E1267" t="str">
            <v>kg</v>
          </cell>
          <cell r="F1267">
            <v>2.58</v>
          </cell>
          <cell r="G1267">
            <v>2.58</v>
          </cell>
          <cell r="I1267">
            <v>0</v>
          </cell>
          <cell r="AD1267">
            <v>1.68</v>
          </cell>
        </row>
        <row r="1268">
          <cell r="A1268" t="str">
            <v>M361</v>
          </cell>
          <cell r="B1268" t="str">
            <v>Estrut.(tunnel liner) D=1,2m galv.</v>
          </cell>
          <cell r="C1268" t="str">
            <v>m</v>
          </cell>
          <cell r="D1268">
            <v>1</v>
          </cell>
          <cell r="E1268" t="str">
            <v>m</v>
          </cell>
          <cell r="F1268">
            <v>930.8</v>
          </cell>
          <cell r="G1268">
            <v>930.8</v>
          </cell>
          <cell r="I1268">
            <v>0</v>
          </cell>
          <cell r="AD1268">
            <v>808.13</v>
          </cell>
        </row>
        <row r="1269">
          <cell r="A1269" t="str">
            <v>M362</v>
          </cell>
          <cell r="B1269" t="str">
            <v>Estrut. (tunnel liner) D=1,2m epoxy</v>
          </cell>
          <cell r="C1269" t="str">
            <v>m</v>
          </cell>
          <cell r="D1269">
            <v>1</v>
          </cell>
          <cell r="E1269" t="str">
            <v>m</v>
          </cell>
          <cell r="F1269">
            <v>979.5</v>
          </cell>
          <cell r="G1269">
            <v>979.5</v>
          </cell>
          <cell r="I1269">
            <v>0</v>
          </cell>
          <cell r="AD1269">
            <v>849.62</v>
          </cell>
        </row>
        <row r="1270">
          <cell r="A1270" t="str">
            <v>M370</v>
          </cell>
          <cell r="B1270" t="str">
            <v>Bainha metálica diam. int.=45mm MAC</v>
          </cell>
          <cell r="C1270" t="str">
            <v>m</v>
          </cell>
          <cell r="D1270">
            <v>1</v>
          </cell>
          <cell r="E1270" t="str">
            <v>m</v>
          </cell>
          <cell r="F1270">
            <v>8</v>
          </cell>
          <cell r="G1270">
            <v>8</v>
          </cell>
          <cell r="I1270">
            <v>0</v>
          </cell>
          <cell r="AD1270">
            <v>8</v>
          </cell>
        </row>
        <row r="1271">
          <cell r="A1271" t="str">
            <v>M371</v>
          </cell>
          <cell r="B1271" t="str">
            <v>Bainha metálica diam. int.=60mm MAC</v>
          </cell>
          <cell r="C1271" t="str">
            <v>m</v>
          </cell>
          <cell r="D1271">
            <v>1</v>
          </cell>
          <cell r="E1271" t="str">
            <v>m</v>
          </cell>
          <cell r="F1271">
            <v>12.19</v>
          </cell>
          <cell r="G1271">
            <v>12.19</v>
          </cell>
          <cell r="I1271">
            <v>0</v>
          </cell>
          <cell r="AD1271">
            <v>12.19</v>
          </cell>
        </row>
        <row r="1272">
          <cell r="A1272" t="str">
            <v>M372</v>
          </cell>
          <cell r="B1272" t="str">
            <v>Bainha metálica diam. int.=55mm MAC</v>
          </cell>
          <cell r="C1272" t="str">
            <v>m</v>
          </cell>
          <cell r="D1272">
            <v>1</v>
          </cell>
          <cell r="E1272" t="str">
            <v>m</v>
          </cell>
          <cell r="F1272">
            <v>10.45</v>
          </cell>
          <cell r="G1272">
            <v>10.45</v>
          </cell>
          <cell r="I1272">
            <v>0</v>
          </cell>
          <cell r="AD1272">
            <v>10.45</v>
          </cell>
        </row>
        <row r="1273">
          <cell r="A1273" t="str">
            <v>M373</v>
          </cell>
          <cell r="B1273" t="str">
            <v>Bainha metálica diam. int.=70mm MAC</v>
          </cell>
          <cell r="C1273" t="str">
            <v>m</v>
          </cell>
          <cell r="D1273">
            <v>1</v>
          </cell>
          <cell r="E1273" t="str">
            <v>m</v>
          </cell>
          <cell r="F1273">
            <v>13.7</v>
          </cell>
          <cell r="G1273">
            <v>13.7</v>
          </cell>
          <cell r="I1273">
            <v>0</v>
          </cell>
          <cell r="AD1273">
            <v>13.7</v>
          </cell>
        </row>
        <row r="1274">
          <cell r="A1274" t="str">
            <v>M374</v>
          </cell>
          <cell r="B1274" t="str">
            <v>Ancoragem p/ cabo 4V D=1/2" MAC</v>
          </cell>
          <cell r="C1274" t="str">
            <v>cj</v>
          </cell>
          <cell r="D1274">
            <v>1</v>
          </cell>
          <cell r="E1274" t="str">
            <v>cj</v>
          </cell>
          <cell r="F1274">
            <v>155.24</v>
          </cell>
          <cell r="G1274">
            <v>155.24</v>
          </cell>
          <cell r="I1274">
            <v>0</v>
          </cell>
          <cell r="AD1274">
            <v>155.24</v>
          </cell>
        </row>
        <row r="1275">
          <cell r="A1275" t="str">
            <v>M375</v>
          </cell>
          <cell r="B1275" t="str">
            <v>Ancoragem p/ cabo 6V D=1/2" MAC</v>
          </cell>
          <cell r="C1275" t="str">
            <v>cj</v>
          </cell>
          <cell r="D1275">
            <v>1</v>
          </cell>
          <cell r="E1275" t="str">
            <v>cj</v>
          </cell>
          <cell r="F1275">
            <v>243.46</v>
          </cell>
          <cell r="G1275">
            <v>243.46</v>
          </cell>
          <cell r="I1275">
            <v>0</v>
          </cell>
          <cell r="AD1275">
            <v>243.46</v>
          </cell>
        </row>
        <row r="1276">
          <cell r="A1276" t="str">
            <v>M376</v>
          </cell>
          <cell r="B1276" t="str">
            <v>Ancoragem p/ cabo 7V D=1/2" MAC</v>
          </cell>
          <cell r="C1276" t="str">
            <v>cj</v>
          </cell>
          <cell r="D1276">
            <v>1</v>
          </cell>
          <cell r="E1276" t="str">
            <v>cj</v>
          </cell>
          <cell r="F1276">
            <v>243.46</v>
          </cell>
          <cell r="G1276">
            <v>243.46</v>
          </cell>
          <cell r="I1276">
            <v>0</v>
          </cell>
          <cell r="AD1276">
            <v>243.46</v>
          </cell>
        </row>
        <row r="1277">
          <cell r="A1277" t="str">
            <v>M377</v>
          </cell>
          <cell r="B1277" t="str">
            <v>Ancoragem p/ cabo 12V D=1/2" MAC</v>
          </cell>
          <cell r="C1277" t="str">
            <v>cj</v>
          </cell>
          <cell r="D1277">
            <v>1</v>
          </cell>
          <cell r="E1277" t="str">
            <v>cj</v>
          </cell>
          <cell r="F1277">
            <v>493.41</v>
          </cell>
          <cell r="G1277">
            <v>493.41</v>
          </cell>
          <cell r="I1277">
            <v>0</v>
          </cell>
          <cell r="AD1277">
            <v>493.41</v>
          </cell>
        </row>
        <row r="1278">
          <cell r="A1278" t="str">
            <v>M378</v>
          </cell>
          <cell r="B1278" t="str">
            <v>Apoio do porta dente frezad. 2000DC</v>
          </cell>
          <cell r="C1278" t="str">
            <v>un</v>
          </cell>
          <cell r="D1278">
            <v>1</v>
          </cell>
          <cell r="E1278" t="str">
            <v>un</v>
          </cell>
          <cell r="F1278">
            <v>495.02</v>
          </cell>
          <cell r="G1278">
            <v>495.02</v>
          </cell>
          <cell r="I1278">
            <v>0</v>
          </cell>
          <cell r="AD1278">
            <v>495.02</v>
          </cell>
        </row>
        <row r="1279">
          <cell r="A1279" t="str">
            <v>M380</v>
          </cell>
          <cell r="B1279" t="str">
            <v>Bainha metálica D=45mm STUP</v>
          </cell>
          <cell r="C1279" t="str">
            <v>m</v>
          </cell>
          <cell r="D1279">
            <v>1</v>
          </cell>
          <cell r="E1279" t="str">
            <v>m</v>
          </cell>
          <cell r="F1279">
            <v>7.6</v>
          </cell>
          <cell r="G1279">
            <v>7.6</v>
          </cell>
          <cell r="I1279">
            <v>0</v>
          </cell>
          <cell r="AD1279">
            <v>7.6</v>
          </cell>
        </row>
        <row r="1280">
          <cell r="A1280" t="str">
            <v>M381</v>
          </cell>
          <cell r="B1280" t="str">
            <v>Bainha metálica D=60mm STUP</v>
          </cell>
          <cell r="C1280" t="str">
            <v>m</v>
          </cell>
          <cell r="D1280">
            <v>1</v>
          </cell>
          <cell r="E1280" t="str">
            <v>m</v>
          </cell>
          <cell r="F1280">
            <v>9.1999999999999993</v>
          </cell>
          <cell r="G1280">
            <v>9.1999999999999993</v>
          </cell>
          <cell r="I1280">
            <v>0</v>
          </cell>
          <cell r="AD1280">
            <v>9.1999999999999993</v>
          </cell>
        </row>
        <row r="1281">
          <cell r="A1281" t="str">
            <v>M382</v>
          </cell>
          <cell r="B1281" t="str">
            <v>Bainha metálica D=55mm STUP</v>
          </cell>
          <cell r="C1281" t="str">
            <v>m</v>
          </cell>
          <cell r="D1281">
            <v>1</v>
          </cell>
          <cell r="E1281" t="str">
            <v>m</v>
          </cell>
          <cell r="F1281">
            <v>8.9</v>
          </cell>
          <cell r="G1281">
            <v>8.9</v>
          </cell>
          <cell r="I1281">
            <v>0</v>
          </cell>
          <cell r="AD1281">
            <v>8.9</v>
          </cell>
        </row>
        <row r="1282">
          <cell r="A1282" t="str">
            <v>M383</v>
          </cell>
          <cell r="B1282" t="str">
            <v>Bainha metálica D=70mm STUP</v>
          </cell>
          <cell r="C1282" t="str">
            <v>m</v>
          </cell>
          <cell r="D1282">
            <v>1</v>
          </cell>
          <cell r="E1282" t="str">
            <v>m</v>
          </cell>
          <cell r="F1282">
            <v>10.15</v>
          </cell>
          <cell r="G1282">
            <v>10.15</v>
          </cell>
          <cell r="I1282">
            <v>0</v>
          </cell>
          <cell r="AD1282">
            <v>10.15</v>
          </cell>
        </row>
        <row r="1283">
          <cell r="A1283" t="str">
            <v>M384</v>
          </cell>
          <cell r="B1283" t="str">
            <v>Ancoragem p/ cabo 4V D=1/2" STUP</v>
          </cell>
          <cell r="C1283" t="str">
            <v>cj</v>
          </cell>
          <cell r="D1283">
            <v>1</v>
          </cell>
          <cell r="E1283" t="str">
            <v>cj</v>
          </cell>
          <cell r="F1283">
            <v>121.1</v>
          </cell>
          <cell r="G1283">
            <v>121.1</v>
          </cell>
          <cell r="I1283">
            <v>0</v>
          </cell>
          <cell r="AD1283">
            <v>121.1</v>
          </cell>
        </row>
        <row r="1284">
          <cell r="A1284" t="str">
            <v>M385</v>
          </cell>
          <cell r="B1284" t="str">
            <v>Ancoragem p/ cabo 6V D=1/2" STUP</v>
          </cell>
          <cell r="C1284" t="str">
            <v>cj</v>
          </cell>
          <cell r="D1284">
            <v>1</v>
          </cell>
          <cell r="E1284" t="str">
            <v>cj</v>
          </cell>
          <cell r="F1284">
            <v>181</v>
          </cell>
          <cell r="G1284">
            <v>181</v>
          </cell>
          <cell r="I1284">
            <v>0</v>
          </cell>
          <cell r="AD1284">
            <v>181</v>
          </cell>
        </row>
        <row r="1285">
          <cell r="A1285" t="str">
            <v>M386</v>
          </cell>
          <cell r="B1285" t="str">
            <v>Ancoragem p/ cabo 7V D=1/2" STUP</v>
          </cell>
          <cell r="C1285" t="str">
            <v>cj</v>
          </cell>
          <cell r="D1285">
            <v>1</v>
          </cell>
          <cell r="E1285" t="str">
            <v>cj</v>
          </cell>
          <cell r="F1285">
            <v>216</v>
          </cell>
          <cell r="G1285">
            <v>216</v>
          </cell>
          <cell r="I1285">
            <v>0</v>
          </cell>
          <cell r="AD1285">
            <v>216</v>
          </cell>
        </row>
        <row r="1286">
          <cell r="A1286" t="str">
            <v>M387</v>
          </cell>
          <cell r="B1286" t="str">
            <v>Ancoragem p/ cabo 12V D=1/2" STUP</v>
          </cell>
          <cell r="C1286" t="str">
            <v>cj</v>
          </cell>
          <cell r="D1286">
            <v>1</v>
          </cell>
          <cell r="E1286" t="str">
            <v>cj</v>
          </cell>
          <cell r="F1286">
            <v>430</v>
          </cell>
          <cell r="G1286">
            <v>430</v>
          </cell>
          <cell r="I1286">
            <v>0</v>
          </cell>
          <cell r="AD1286">
            <v>430</v>
          </cell>
        </row>
        <row r="1287">
          <cell r="A1287" t="str">
            <v>M390</v>
          </cell>
          <cell r="B1287" t="str">
            <v>Porca de ancoragem D=32mm</v>
          </cell>
          <cell r="C1287" t="str">
            <v>un</v>
          </cell>
          <cell r="D1287">
            <v>1</v>
          </cell>
          <cell r="E1287" t="str">
            <v>un</v>
          </cell>
          <cell r="F1287">
            <v>28.05</v>
          </cell>
          <cell r="G1287">
            <v>28.05</v>
          </cell>
          <cell r="I1287">
            <v>0</v>
          </cell>
          <cell r="AD1287">
            <v>24.75</v>
          </cell>
        </row>
        <row r="1288">
          <cell r="A1288" t="str">
            <v>M391</v>
          </cell>
          <cell r="B1288" t="str">
            <v>Contra porca h=35mm D=32mm</v>
          </cell>
          <cell r="C1288" t="str">
            <v>un</v>
          </cell>
          <cell r="D1288">
            <v>1</v>
          </cell>
          <cell r="E1288" t="str">
            <v>un</v>
          </cell>
          <cell r="F1288">
            <v>12.65</v>
          </cell>
          <cell r="G1288">
            <v>12.65</v>
          </cell>
          <cell r="I1288">
            <v>0</v>
          </cell>
          <cell r="AD1288">
            <v>11.55</v>
          </cell>
        </row>
        <row r="1289">
          <cell r="A1289" t="str">
            <v>M392</v>
          </cell>
          <cell r="B1289" t="str">
            <v>Aço ST 85/105 D=32mm</v>
          </cell>
          <cell r="C1289" t="str">
            <v>m</v>
          </cell>
          <cell r="D1289">
            <v>1</v>
          </cell>
          <cell r="E1289" t="str">
            <v>m</v>
          </cell>
          <cell r="F1289">
            <v>27.83</v>
          </cell>
          <cell r="G1289">
            <v>27.83</v>
          </cell>
          <cell r="I1289">
            <v>0</v>
          </cell>
          <cell r="AD1289">
            <v>24.15</v>
          </cell>
        </row>
        <row r="1290">
          <cell r="A1290" t="str">
            <v>M393</v>
          </cell>
          <cell r="B1290" t="str">
            <v>Placa de ancoragem - 200x200x38mm</v>
          </cell>
          <cell r="C1290" t="str">
            <v>un</v>
          </cell>
          <cell r="D1290">
            <v>1</v>
          </cell>
          <cell r="E1290" t="str">
            <v>un</v>
          </cell>
          <cell r="F1290">
            <v>60.38</v>
          </cell>
          <cell r="G1290">
            <v>60.38</v>
          </cell>
          <cell r="I1290">
            <v>0</v>
          </cell>
          <cell r="AD1290">
            <v>54.07</v>
          </cell>
        </row>
        <row r="1291">
          <cell r="A1291" t="str">
            <v>M394</v>
          </cell>
          <cell r="B1291" t="str">
            <v>Bainha metálica D=38mm</v>
          </cell>
          <cell r="C1291" t="str">
            <v>m</v>
          </cell>
          <cell r="D1291">
            <v>1</v>
          </cell>
          <cell r="E1291" t="str">
            <v>m</v>
          </cell>
          <cell r="F1291">
            <v>7.15</v>
          </cell>
          <cell r="G1291">
            <v>7.15</v>
          </cell>
          <cell r="I1291">
            <v>0</v>
          </cell>
          <cell r="AD1291">
            <v>7.15</v>
          </cell>
        </row>
        <row r="1292">
          <cell r="A1292" t="str">
            <v>M395</v>
          </cell>
          <cell r="B1292" t="str">
            <v>Bits p/ estabil. e recicl. RR/SS250</v>
          </cell>
          <cell r="C1292" t="str">
            <v>un</v>
          </cell>
          <cell r="D1292">
            <v>1</v>
          </cell>
          <cell r="E1292" t="str">
            <v>un</v>
          </cell>
          <cell r="F1292">
            <v>22.08</v>
          </cell>
          <cell r="G1292">
            <v>22.08</v>
          </cell>
          <cell r="I1292">
            <v>0</v>
          </cell>
          <cell r="AD1292">
            <v>22.08</v>
          </cell>
        </row>
        <row r="1293">
          <cell r="A1293" t="str">
            <v>M396</v>
          </cell>
          <cell r="B1293" t="str">
            <v>Porta dente p/ est. e rec. RR/SS250</v>
          </cell>
          <cell r="C1293" t="str">
            <v>un</v>
          </cell>
          <cell r="D1293">
            <v>1</v>
          </cell>
          <cell r="E1293" t="str">
            <v>un</v>
          </cell>
          <cell r="F1293">
            <v>165.99</v>
          </cell>
          <cell r="G1293">
            <v>165.99</v>
          </cell>
          <cell r="I1293">
            <v>0</v>
          </cell>
          <cell r="AD1293">
            <v>165.99</v>
          </cell>
        </row>
        <row r="1294">
          <cell r="A1294" t="str">
            <v>M397</v>
          </cell>
          <cell r="B1294" t="str">
            <v>Dente de corte para equip. recicl.</v>
          </cell>
          <cell r="C1294" t="str">
            <v>un</v>
          </cell>
          <cell r="D1294">
            <v>1</v>
          </cell>
          <cell r="E1294" t="str">
            <v>un</v>
          </cell>
          <cell r="F1294">
            <v>40</v>
          </cell>
          <cell r="G1294">
            <v>40</v>
          </cell>
          <cell r="I1294">
            <v>0</v>
          </cell>
          <cell r="AD1294">
            <v>40</v>
          </cell>
        </row>
        <row r="1295">
          <cell r="A1295" t="str">
            <v>M398</v>
          </cell>
          <cell r="B1295" t="str">
            <v>Chapa de 8,00 mm</v>
          </cell>
          <cell r="C1295" t="str">
            <v>kg</v>
          </cell>
          <cell r="D1295">
            <v>1</v>
          </cell>
          <cell r="E1295" t="str">
            <v>kg</v>
          </cell>
          <cell r="F1295">
            <v>1.89</v>
          </cell>
          <cell r="G1295">
            <v>1.89</v>
          </cell>
          <cell r="I1295">
            <v>0</v>
          </cell>
          <cell r="AD1295">
            <v>1.89</v>
          </cell>
        </row>
        <row r="1296">
          <cell r="A1296" t="str">
            <v>M401</v>
          </cell>
          <cell r="B1296" t="str">
            <v>Pontaletes D=15 cm (tronco p/ esc.)</v>
          </cell>
          <cell r="C1296" t="str">
            <v>m</v>
          </cell>
          <cell r="D1296">
            <v>1</v>
          </cell>
          <cell r="E1296" t="str">
            <v>m</v>
          </cell>
          <cell r="F1296">
            <v>1.1000000000000001</v>
          </cell>
          <cell r="G1296">
            <v>1.1000000000000001</v>
          </cell>
          <cell r="I1296">
            <v>0</v>
          </cell>
          <cell r="AD1296">
            <v>0.92</v>
          </cell>
        </row>
        <row r="1297">
          <cell r="A1297" t="str">
            <v>M402</v>
          </cell>
          <cell r="B1297" t="str">
            <v>Pontaletes D=20 cm (tronco p/ esc.)</v>
          </cell>
          <cell r="C1297" t="str">
            <v>m</v>
          </cell>
          <cell r="D1297">
            <v>1</v>
          </cell>
          <cell r="E1297" t="str">
            <v>m</v>
          </cell>
          <cell r="F1297">
            <v>1.1499999999999999</v>
          </cell>
          <cell r="G1297">
            <v>1.1499999999999999</v>
          </cell>
          <cell r="I1297">
            <v>0</v>
          </cell>
          <cell r="AD1297">
            <v>0.92</v>
          </cell>
        </row>
        <row r="1298">
          <cell r="A1298" t="str">
            <v>M403</v>
          </cell>
          <cell r="B1298" t="str">
            <v>Mourão madeira H=2,15 m D=9 cm</v>
          </cell>
          <cell r="C1298" t="str">
            <v>un</v>
          </cell>
          <cell r="D1298">
            <v>1</v>
          </cell>
          <cell r="E1298" t="str">
            <v>un</v>
          </cell>
          <cell r="F1298">
            <v>2.75</v>
          </cell>
          <cell r="G1298">
            <v>2.75</v>
          </cell>
          <cell r="I1298">
            <v>0</v>
          </cell>
          <cell r="AD1298">
            <v>6.1</v>
          </cell>
        </row>
        <row r="1299">
          <cell r="A1299" t="str">
            <v>M404</v>
          </cell>
          <cell r="B1299" t="str">
            <v>Mourão madeira H=2,50 m D=12 cm</v>
          </cell>
          <cell r="C1299" t="str">
            <v>un</v>
          </cell>
          <cell r="D1299">
            <v>1</v>
          </cell>
          <cell r="E1299" t="str">
            <v>un</v>
          </cell>
          <cell r="F1299">
            <v>2.75</v>
          </cell>
          <cell r="G1299">
            <v>2.75</v>
          </cell>
          <cell r="I1299">
            <v>0</v>
          </cell>
          <cell r="AD1299">
            <v>6.1</v>
          </cell>
        </row>
        <row r="1300">
          <cell r="A1300" t="str">
            <v>M405</v>
          </cell>
          <cell r="B1300" t="str">
            <v>Ripas de 2,5 cm x 5,0 cm</v>
          </cell>
          <cell r="C1300" t="str">
            <v>m</v>
          </cell>
          <cell r="D1300">
            <v>1</v>
          </cell>
          <cell r="E1300" t="str">
            <v>m</v>
          </cell>
          <cell r="F1300">
            <v>0.46</v>
          </cell>
          <cell r="G1300">
            <v>0.46</v>
          </cell>
          <cell r="I1300">
            <v>0</v>
          </cell>
          <cell r="AD1300">
            <v>0.46</v>
          </cell>
        </row>
        <row r="1301">
          <cell r="A1301" t="str">
            <v>M406</v>
          </cell>
          <cell r="B1301" t="str">
            <v>Caibros de 7,5 cm x 7,5 cm</v>
          </cell>
          <cell r="C1301" t="str">
            <v>m</v>
          </cell>
          <cell r="D1301">
            <v>1</v>
          </cell>
          <cell r="E1301" t="str">
            <v>m</v>
          </cell>
          <cell r="F1301">
            <v>2.1</v>
          </cell>
          <cell r="G1301">
            <v>2.1</v>
          </cell>
          <cell r="I1301">
            <v>0</v>
          </cell>
          <cell r="AD1301">
            <v>2.1</v>
          </cell>
        </row>
        <row r="1302">
          <cell r="A1302" t="str">
            <v>M407</v>
          </cell>
          <cell r="B1302" t="str">
            <v>Tábua pinho de 1ª 2,5 cm x 15,0 cm</v>
          </cell>
          <cell r="C1302" t="str">
            <v>m</v>
          </cell>
          <cell r="D1302">
            <v>1</v>
          </cell>
          <cell r="E1302" t="str">
            <v>m</v>
          </cell>
          <cell r="F1302">
            <v>1.35</v>
          </cell>
          <cell r="G1302">
            <v>1.35</v>
          </cell>
          <cell r="I1302">
            <v>0</v>
          </cell>
          <cell r="AD1302">
            <v>1.35</v>
          </cell>
        </row>
        <row r="1303">
          <cell r="A1303" t="str">
            <v>M408</v>
          </cell>
          <cell r="B1303" t="str">
            <v>Tábua de 5ª 2,5 cm x 30,0 cm</v>
          </cell>
          <cell r="C1303" t="str">
            <v>m</v>
          </cell>
          <cell r="D1303">
            <v>1</v>
          </cell>
          <cell r="E1303" t="str">
            <v>m</v>
          </cell>
          <cell r="F1303">
            <v>2.7</v>
          </cell>
          <cell r="G1303">
            <v>2.7</v>
          </cell>
          <cell r="I1303">
            <v>0</v>
          </cell>
          <cell r="AD1303">
            <v>2.7</v>
          </cell>
        </row>
        <row r="1304">
          <cell r="A1304" t="str">
            <v>M409</v>
          </cell>
          <cell r="B1304" t="str">
            <v>Pranchão de 1ª de 5,0 cm x 30,0 cm</v>
          </cell>
          <cell r="C1304" t="str">
            <v>m</v>
          </cell>
          <cell r="D1304">
            <v>1</v>
          </cell>
          <cell r="E1304" t="str">
            <v>m</v>
          </cell>
          <cell r="F1304">
            <v>12.8</v>
          </cell>
          <cell r="G1304">
            <v>12.8</v>
          </cell>
          <cell r="I1304">
            <v>0</v>
          </cell>
          <cell r="AD1304">
            <v>12.8</v>
          </cell>
        </row>
        <row r="1305">
          <cell r="A1305" t="str">
            <v>M410</v>
          </cell>
          <cell r="B1305" t="str">
            <v>Compensado resinado de 17 mm</v>
          </cell>
          <cell r="C1305" t="str">
            <v>un</v>
          </cell>
          <cell r="D1305">
            <v>2.42</v>
          </cell>
          <cell r="E1305" t="str">
            <v>m2</v>
          </cell>
          <cell r="F1305">
            <v>26</v>
          </cell>
          <cell r="G1305">
            <v>10.743801652892563</v>
          </cell>
          <cell r="I1305">
            <v>0</v>
          </cell>
          <cell r="AD1305">
            <v>9.0908999999999995</v>
          </cell>
        </row>
        <row r="1306">
          <cell r="A1306" t="str">
            <v>M411</v>
          </cell>
          <cell r="B1306" t="str">
            <v>Compensado plastificado de 17 mm</v>
          </cell>
          <cell r="C1306" t="str">
            <v>un</v>
          </cell>
          <cell r="D1306">
            <v>2.97</v>
          </cell>
          <cell r="E1306" t="str">
            <v>m2</v>
          </cell>
          <cell r="F1306">
            <v>47</v>
          </cell>
          <cell r="G1306">
            <v>15.824915824915823</v>
          </cell>
          <cell r="I1306">
            <v>0</v>
          </cell>
          <cell r="AD1306">
            <v>17.3064</v>
          </cell>
        </row>
        <row r="1307">
          <cell r="A1307" t="str">
            <v>M412</v>
          </cell>
          <cell r="B1307" t="str">
            <v>Gastalho 10 x 2,0 cm</v>
          </cell>
          <cell r="C1307" t="str">
            <v>m</v>
          </cell>
          <cell r="D1307">
            <v>1</v>
          </cell>
          <cell r="E1307" t="str">
            <v>m</v>
          </cell>
          <cell r="F1307">
            <v>2.9</v>
          </cell>
          <cell r="G1307">
            <v>2.9</v>
          </cell>
          <cell r="I1307">
            <v>0</v>
          </cell>
          <cell r="AD1307">
            <v>2.6</v>
          </cell>
        </row>
        <row r="1308">
          <cell r="A1308" t="str">
            <v>M413</v>
          </cell>
          <cell r="B1308" t="str">
            <v>Gastalho 10 x 2,5 cm</v>
          </cell>
          <cell r="C1308" t="str">
            <v>m</v>
          </cell>
          <cell r="D1308">
            <v>1</v>
          </cell>
          <cell r="E1308" t="str">
            <v>m</v>
          </cell>
          <cell r="F1308">
            <v>0.9</v>
          </cell>
          <cell r="G1308">
            <v>0.9</v>
          </cell>
          <cell r="I1308">
            <v>0</v>
          </cell>
          <cell r="AD1308">
            <v>0.9</v>
          </cell>
        </row>
        <row r="1309">
          <cell r="A1309" t="str">
            <v>M414</v>
          </cell>
          <cell r="B1309" t="str">
            <v>Pranchão 7,5 x 30,0 cm</v>
          </cell>
          <cell r="C1309" t="str">
            <v>un</v>
          </cell>
          <cell r="D1309">
            <v>1</v>
          </cell>
          <cell r="E1309" t="str">
            <v>m</v>
          </cell>
          <cell r="F1309">
            <v>18</v>
          </cell>
          <cell r="G1309">
            <v>18</v>
          </cell>
          <cell r="I1309">
            <v>0</v>
          </cell>
          <cell r="AD1309">
            <v>18</v>
          </cell>
        </row>
        <row r="1310">
          <cell r="A1310" t="str">
            <v>M415</v>
          </cell>
          <cell r="B1310" t="str">
            <v>Tábua 2,5 x 22,5 cm</v>
          </cell>
          <cell r="C1310" t="str">
            <v>un</v>
          </cell>
          <cell r="D1310">
            <v>1</v>
          </cell>
          <cell r="E1310" t="str">
            <v>m</v>
          </cell>
          <cell r="F1310">
            <v>2.2000000000000002</v>
          </cell>
          <cell r="G1310">
            <v>2.2000000000000002</v>
          </cell>
          <cell r="I1310">
            <v>0</v>
          </cell>
          <cell r="AD1310">
            <v>2.2000000000000002</v>
          </cell>
        </row>
        <row r="1311">
          <cell r="A1311" t="str">
            <v>M501</v>
          </cell>
          <cell r="B1311" t="str">
            <v>Dinamite a 60% (gelatina especial)</v>
          </cell>
          <cell r="C1311" t="str">
            <v>kg</v>
          </cell>
          <cell r="D1311">
            <v>1</v>
          </cell>
          <cell r="E1311" t="str">
            <v>kg</v>
          </cell>
          <cell r="F1311">
            <v>3.58</v>
          </cell>
          <cell r="G1311">
            <v>3.58</v>
          </cell>
          <cell r="I1311">
            <v>0</v>
          </cell>
          <cell r="AD1311">
            <v>3.25</v>
          </cell>
        </row>
        <row r="1312">
          <cell r="A1312" t="str">
            <v>M503</v>
          </cell>
          <cell r="B1312" t="str">
            <v>Espoleta comum n. 8</v>
          </cell>
          <cell r="C1312" t="str">
            <v>un</v>
          </cell>
          <cell r="D1312">
            <v>1</v>
          </cell>
          <cell r="E1312" t="str">
            <v>un</v>
          </cell>
          <cell r="F1312">
            <v>0.39</v>
          </cell>
          <cell r="G1312">
            <v>0.39</v>
          </cell>
          <cell r="I1312">
            <v>0</v>
          </cell>
          <cell r="AD1312">
            <v>0.39</v>
          </cell>
        </row>
        <row r="1313">
          <cell r="A1313" t="str">
            <v>M505</v>
          </cell>
          <cell r="B1313" t="str">
            <v>Cordel detonante NP 10</v>
          </cell>
          <cell r="C1313" t="str">
            <v>m</v>
          </cell>
          <cell r="D1313">
            <v>1</v>
          </cell>
          <cell r="E1313" t="str">
            <v>m</v>
          </cell>
          <cell r="F1313">
            <v>0.55000000000000004</v>
          </cell>
          <cell r="G1313">
            <v>0.55000000000000004</v>
          </cell>
          <cell r="I1313">
            <v>0</v>
          </cell>
          <cell r="AD1313">
            <v>0.5</v>
          </cell>
        </row>
        <row r="1314">
          <cell r="A1314" t="str">
            <v>M507</v>
          </cell>
          <cell r="B1314" t="str">
            <v>Retardador de cordel</v>
          </cell>
          <cell r="C1314" t="str">
            <v>un</v>
          </cell>
          <cell r="D1314">
            <v>1</v>
          </cell>
          <cell r="E1314" t="str">
            <v>un</v>
          </cell>
          <cell r="F1314">
            <v>6.37</v>
          </cell>
          <cell r="G1314">
            <v>6.37</v>
          </cell>
          <cell r="I1314">
            <v>0</v>
          </cell>
          <cell r="AD1314">
            <v>6.37</v>
          </cell>
        </row>
        <row r="1315">
          <cell r="A1315" t="str">
            <v>M508</v>
          </cell>
          <cell r="B1315" t="str">
            <v>Estopim</v>
          </cell>
          <cell r="C1315" t="str">
            <v>m</v>
          </cell>
          <cell r="D1315">
            <v>1</v>
          </cell>
          <cell r="E1315" t="str">
            <v>m</v>
          </cell>
          <cell r="F1315">
            <v>0.55000000000000004</v>
          </cell>
          <cell r="G1315">
            <v>0.55000000000000004</v>
          </cell>
          <cell r="I1315">
            <v>0</v>
          </cell>
          <cell r="AD1315">
            <v>0.52</v>
          </cell>
        </row>
        <row r="1316">
          <cell r="A1316" t="str">
            <v>M600</v>
          </cell>
          <cell r="B1316" t="str">
            <v>Tinta refletiva alquídica p/ 1 ano</v>
          </cell>
          <cell r="C1316" t="str">
            <v>ba</v>
          </cell>
          <cell r="D1316">
            <v>18</v>
          </cell>
          <cell r="E1316" t="str">
            <v>l</v>
          </cell>
          <cell r="F1316">
            <v>119</v>
          </cell>
          <cell r="G1316">
            <v>6.6111111111111107</v>
          </cell>
          <cell r="I1316">
            <v>0</v>
          </cell>
          <cell r="AD1316">
            <v>5</v>
          </cell>
        </row>
        <row r="1317">
          <cell r="A1317" t="str">
            <v>M601</v>
          </cell>
          <cell r="B1317" t="str">
            <v>Tinta refletiva acrílica p/ 2 anos</v>
          </cell>
          <cell r="C1317" t="str">
            <v>ba</v>
          </cell>
          <cell r="D1317">
            <v>18</v>
          </cell>
          <cell r="E1317" t="str">
            <v>l</v>
          </cell>
          <cell r="F1317">
            <v>140</v>
          </cell>
          <cell r="G1317">
            <v>7.7777777777777777</v>
          </cell>
          <cell r="I1317">
            <v>0</v>
          </cell>
          <cell r="AD1317">
            <v>5.6666999999999996</v>
          </cell>
        </row>
        <row r="1318">
          <cell r="A1318" t="str">
            <v>M602</v>
          </cell>
          <cell r="B1318" t="str">
            <v>Adubo NPK (4.14.8)</v>
          </cell>
          <cell r="C1318" t="str">
            <v>kg</v>
          </cell>
          <cell r="D1318">
            <v>1</v>
          </cell>
          <cell r="E1318" t="str">
            <v>kg</v>
          </cell>
          <cell r="F1318">
            <v>0.5</v>
          </cell>
          <cell r="G1318">
            <v>0.5</v>
          </cell>
          <cell r="I1318">
            <v>0</v>
          </cell>
          <cell r="AD1318">
            <v>0.5</v>
          </cell>
        </row>
        <row r="1319">
          <cell r="A1319" t="str">
            <v>M603</v>
          </cell>
          <cell r="B1319" t="str">
            <v>Inseticida</v>
          </cell>
          <cell r="C1319" t="str">
            <v>l</v>
          </cell>
          <cell r="D1319">
            <v>1</v>
          </cell>
          <cell r="E1319" t="str">
            <v>l</v>
          </cell>
          <cell r="F1319">
            <v>19</v>
          </cell>
          <cell r="G1319">
            <v>19</v>
          </cell>
          <cell r="I1319">
            <v>0</v>
          </cell>
          <cell r="AD1319">
            <v>16</v>
          </cell>
        </row>
        <row r="1320">
          <cell r="A1320" t="str">
            <v>M604</v>
          </cell>
          <cell r="B1320" t="str">
            <v>Aditivo plastiment BV-40</v>
          </cell>
          <cell r="C1320" t="str">
            <v>tam</v>
          </cell>
          <cell r="D1320">
            <v>200</v>
          </cell>
          <cell r="E1320" t="str">
            <v>kg</v>
          </cell>
          <cell r="F1320">
            <v>590.1</v>
          </cell>
          <cell r="G1320">
            <v>2.9504999999999999</v>
          </cell>
          <cell r="I1320">
            <v>0</v>
          </cell>
          <cell r="AD1320">
            <v>2.9344999999999999</v>
          </cell>
        </row>
        <row r="1321">
          <cell r="A1321" t="str">
            <v>M605</v>
          </cell>
          <cell r="B1321" t="str">
            <v>Cola para tubo PVC</v>
          </cell>
          <cell r="C1321" t="str">
            <v>tb</v>
          </cell>
          <cell r="D1321">
            <v>75</v>
          </cell>
          <cell r="E1321" t="str">
            <v>gr</v>
          </cell>
          <cell r="F1321">
            <v>1.19</v>
          </cell>
          <cell r="G1321">
            <v>1.5866666666666664E-2</v>
          </cell>
          <cell r="I1321">
            <v>0</v>
          </cell>
          <cell r="AD1321">
            <v>1.47E-2</v>
          </cell>
        </row>
        <row r="1322">
          <cell r="A1322" t="str">
            <v>M606</v>
          </cell>
          <cell r="B1322" t="str">
            <v>Tinta anti-corrosiva</v>
          </cell>
          <cell r="C1322" t="str">
            <v>ba</v>
          </cell>
          <cell r="D1322">
            <v>18</v>
          </cell>
          <cell r="E1322" t="str">
            <v>l</v>
          </cell>
          <cell r="F1322">
            <v>144.54</v>
          </cell>
          <cell r="G1322">
            <v>8.0299999999999994</v>
          </cell>
          <cell r="I1322">
            <v>0</v>
          </cell>
          <cell r="AD1322">
            <v>7.15</v>
          </cell>
        </row>
        <row r="1323">
          <cell r="A1323" t="str">
            <v>M607</v>
          </cell>
          <cell r="B1323" t="str">
            <v>Óleo de linhaça</v>
          </cell>
          <cell r="C1323" t="str">
            <v>tam</v>
          </cell>
          <cell r="D1323">
            <v>200</v>
          </cell>
          <cell r="E1323" t="str">
            <v>l</v>
          </cell>
          <cell r="F1323">
            <v>824</v>
          </cell>
          <cell r="G1323">
            <v>4.12</v>
          </cell>
          <cell r="I1323">
            <v>0</v>
          </cell>
          <cell r="AD1323">
            <v>4.12</v>
          </cell>
        </row>
        <row r="1324">
          <cell r="A1324" t="str">
            <v>M608</v>
          </cell>
          <cell r="B1324" t="str">
            <v>Detergente</v>
          </cell>
          <cell r="C1324" t="str">
            <v>ba</v>
          </cell>
          <cell r="D1324">
            <v>18</v>
          </cell>
          <cell r="E1324" t="str">
            <v>l</v>
          </cell>
          <cell r="F1324">
            <v>16.899999999999999</v>
          </cell>
          <cell r="G1324">
            <v>0.93888888888888877</v>
          </cell>
          <cell r="I1324">
            <v>0</v>
          </cell>
          <cell r="AD1324">
            <v>0.93889999999999996</v>
          </cell>
        </row>
        <row r="1325">
          <cell r="A1325" t="str">
            <v>M609</v>
          </cell>
          <cell r="B1325" t="str">
            <v>Tinta esmalte sintético fosco</v>
          </cell>
          <cell r="C1325" t="str">
            <v>ba</v>
          </cell>
          <cell r="D1325">
            <v>18</v>
          </cell>
          <cell r="E1325" t="str">
            <v>l</v>
          </cell>
          <cell r="F1325">
            <v>130.25</v>
          </cell>
          <cell r="G1325">
            <v>7.2361111111111107</v>
          </cell>
          <cell r="I1325">
            <v>0</v>
          </cell>
          <cell r="AD1325">
            <v>6.3888999999999996</v>
          </cell>
        </row>
        <row r="1326">
          <cell r="A1326" t="str">
            <v>M610</v>
          </cell>
          <cell r="B1326" t="str">
            <v>Pintura epóxica - barra D= 32mm</v>
          </cell>
          <cell r="C1326" t="str">
            <v>m</v>
          </cell>
          <cell r="D1326">
            <v>1</v>
          </cell>
          <cell r="E1326" t="str">
            <v>m</v>
          </cell>
          <cell r="F1326">
            <v>4.2</v>
          </cell>
          <cell r="G1326">
            <v>4.2</v>
          </cell>
          <cell r="I1326">
            <v>0</v>
          </cell>
          <cell r="AD1326">
            <v>4.2</v>
          </cell>
        </row>
        <row r="1327">
          <cell r="A1327" t="str">
            <v>M611</v>
          </cell>
          <cell r="B1327" t="str">
            <v>Redutor tipo 2002 prim. qualidade</v>
          </cell>
          <cell r="C1327" t="str">
            <v>l</v>
          </cell>
          <cell r="D1327">
            <v>1</v>
          </cell>
          <cell r="E1327" t="str">
            <v>l</v>
          </cell>
          <cell r="F1327">
            <v>3.45</v>
          </cell>
          <cell r="G1327">
            <v>3.45</v>
          </cell>
          <cell r="I1327">
            <v>0</v>
          </cell>
          <cell r="AD1327">
            <v>2.75</v>
          </cell>
        </row>
        <row r="1328">
          <cell r="A1328" t="str">
            <v>M612</v>
          </cell>
          <cell r="B1328" t="str">
            <v>Lixa para ferro n. 100</v>
          </cell>
          <cell r="C1328" t="str">
            <v>un</v>
          </cell>
          <cell r="D1328">
            <v>1</v>
          </cell>
          <cell r="E1328" t="str">
            <v>un</v>
          </cell>
          <cell r="F1328">
            <v>1</v>
          </cell>
          <cell r="G1328">
            <v>1</v>
          </cell>
          <cell r="I1328">
            <v>0</v>
          </cell>
          <cell r="AD1328">
            <v>1</v>
          </cell>
        </row>
        <row r="1329">
          <cell r="A1329" t="str">
            <v>M613</v>
          </cell>
          <cell r="B1329" t="str">
            <v>Base de resina alquídica (primer)</v>
          </cell>
          <cell r="C1329" t="str">
            <v>l</v>
          </cell>
          <cell r="D1329">
            <v>1</v>
          </cell>
          <cell r="E1329" t="str">
            <v>l</v>
          </cell>
          <cell r="F1329">
            <v>7.1</v>
          </cell>
          <cell r="G1329">
            <v>7.1</v>
          </cell>
          <cell r="I1329">
            <v>0</v>
          </cell>
          <cell r="AD1329">
            <v>6.5</v>
          </cell>
        </row>
        <row r="1330">
          <cell r="A1330" t="str">
            <v>M615</v>
          </cell>
          <cell r="B1330" t="str">
            <v>Microesferas PRE-MIX</v>
          </cell>
          <cell r="C1330" t="str">
            <v>kg</v>
          </cell>
          <cell r="D1330">
            <v>1</v>
          </cell>
          <cell r="E1330" t="str">
            <v>kg</v>
          </cell>
          <cell r="F1330">
            <v>2.9</v>
          </cell>
          <cell r="G1330">
            <v>2.9</v>
          </cell>
          <cell r="I1330">
            <v>0</v>
          </cell>
          <cell r="AD1330">
            <v>2.9</v>
          </cell>
        </row>
        <row r="1331">
          <cell r="A1331" t="str">
            <v>M616</v>
          </cell>
          <cell r="B1331" t="str">
            <v>Microesferas DROP-ON</v>
          </cell>
          <cell r="C1331" t="str">
            <v>kg</v>
          </cell>
          <cell r="D1331">
            <v>1</v>
          </cell>
          <cell r="E1331" t="str">
            <v>kg</v>
          </cell>
          <cell r="F1331">
            <v>2.9</v>
          </cell>
          <cell r="G1331">
            <v>2.9</v>
          </cell>
          <cell r="I1331">
            <v>0</v>
          </cell>
          <cell r="AD1331">
            <v>2.9</v>
          </cell>
        </row>
        <row r="1332">
          <cell r="A1332" t="str">
            <v>M617</v>
          </cell>
          <cell r="B1332" t="str">
            <v>Massa termoplástica para extrusão</v>
          </cell>
          <cell r="C1332" t="str">
            <v>kg</v>
          </cell>
          <cell r="D1332">
            <v>1</v>
          </cell>
          <cell r="E1332" t="str">
            <v>kg</v>
          </cell>
          <cell r="F1332">
            <v>4.0999999999999996</v>
          </cell>
          <cell r="G1332">
            <v>4.0999999999999996</v>
          </cell>
          <cell r="I1332">
            <v>0</v>
          </cell>
          <cell r="AD1332">
            <v>3.52</v>
          </cell>
        </row>
        <row r="1333">
          <cell r="A1333" t="str">
            <v>M618</v>
          </cell>
          <cell r="B1333" t="str">
            <v>Massa termoplástica para aspersão</v>
          </cell>
          <cell r="C1333" t="str">
            <v>kg</v>
          </cell>
          <cell r="D1333">
            <v>1</v>
          </cell>
          <cell r="E1333" t="str">
            <v>kg</v>
          </cell>
          <cell r="F1333">
            <v>4.0999999999999996</v>
          </cell>
          <cell r="G1333">
            <v>4.0999999999999996</v>
          </cell>
          <cell r="I1333">
            <v>0</v>
          </cell>
          <cell r="AD1333">
            <v>3.52</v>
          </cell>
        </row>
        <row r="1334">
          <cell r="A1334" t="str">
            <v>M619</v>
          </cell>
          <cell r="B1334" t="str">
            <v>Cola poliester</v>
          </cell>
          <cell r="C1334" t="str">
            <v>kg</v>
          </cell>
          <cell r="D1334">
            <v>1</v>
          </cell>
          <cell r="E1334" t="str">
            <v>kg</v>
          </cell>
          <cell r="F1334">
            <v>7.5</v>
          </cell>
          <cell r="G1334">
            <v>7.5</v>
          </cell>
          <cell r="I1334">
            <v>0</v>
          </cell>
          <cell r="AD1334">
            <v>8.3000000000000007</v>
          </cell>
        </row>
        <row r="1335">
          <cell r="A1335" t="str">
            <v>M620</v>
          </cell>
          <cell r="B1335" t="str">
            <v>Protetor de cura do concreto</v>
          </cell>
          <cell r="C1335" t="str">
            <v>tam</v>
          </cell>
          <cell r="D1335">
            <v>180</v>
          </cell>
          <cell r="E1335" t="str">
            <v>kg</v>
          </cell>
          <cell r="F1335">
            <v>855.09</v>
          </cell>
          <cell r="G1335">
            <v>4.7505000000000006</v>
          </cell>
          <cell r="I1335">
            <v>0</v>
          </cell>
          <cell r="AD1335">
            <v>3.85</v>
          </cell>
        </row>
        <row r="1336">
          <cell r="A1336" t="str">
            <v>M621</v>
          </cell>
          <cell r="B1336" t="str">
            <v>Desmoldante</v>
          </cell>
          <cell r="C1336" t="str">
            <v>tam</v>
          </cell>
          <cell r="D1336">
            <v>180</v>
          </cell>
          <cell r="E1336" t="str">
            <v>kg</v>
          </cell>
          <cell r="F1336">
            <v>903.96</v>
          </cell>
          <cell r="G1336">
            <v>5.0220000000000002</v>
          </cell>
          <cell r="I1336">
            <v>0</v>
          </cell>
          <cell r="AD1336">
            <v>3.4897</v>
          </cell>
        </row>
        <row r="1337">
          <cell r="A1337" t="str">
            <v>M622</v>
          </cell>
          <cell r="B1337" t="str">
            <v>Interplast N</v>
          </cell>
          <cell r="C1337" t="str">
            <v>sc</v>
          </cell>
          <cell r="D1337">
            <v>50</v>
          </cell>
          <cell r="E1337" t="str">
            <v>kg</v>
          </cell>
          <cell r="F1337">
            <v>107.6</v>
          </cell>
          <cell r="G1337">
            <v>2.1519999999999997</v>
          </cell>
          <cell r="I1337">
            <v>0</v>
          </cell>
          <cell r="AD1337">
            <v>5.38</v>
          </cell>
        </row>
        <row r="1338">
          <cell r="A1338" t="str">
            <v>M623</v>
          </cell>
          <cell r="B1338" t="str">
            <v>Gás propano</v>
          </cell>
          <cell r="C1338" t="str">
            <v>kg</v>
          </cell>
          <cell r="D1338">
            <v>1</v>
          </cell>
          <cell r="E1338" t="str">
            <v>kg</v>
          </cell>
          <cell r="F1338">
            <v>3.28</v>
          </cell>
          <cell r="G1338">
            <v>3.28</v>
          </cell>
          <cell r="I1338">
            <v>0</v>
          </cell>
          <cell r="AD1338">
            <v>2.56</v>
          </cell>
        </row>
        <row r="1339">
          <cell r="A1339" t="str">
            <v>M624</v>
          </cell>
          <cell r="B1339" t="str">
            <v>Tinta para pré-marcação</v>
          </cell>
          <cell r="C1339" t="str">
            <v>l</v>
          </cell>
          <cell r="D1339">
            <v>1</v>
          </cell>
          <cell r="E1339" t="str">
            <v>l</v>
          </cell>
          <cell r="F1339">
            <v>6.83</v>
          </cell>
          <cell r="G1339">
            <v>6.83</v>
          </cell>
          <cell r="I1339">
            <v>0</v>
          </cell>
          <cell r="AD1339">
            <v>6.83</v>
          </cell>
        </row>
        <row r="1340">
          <cell r="A1340" t="str">
            <v>M625</v>
          </cell>
          <cell r="B1340" t="str">
            <v>Acetileno</v>
          </cell>
          <cell r="C1340" t="str">
            <v>m3</v>
          </cell>
          <cell r="D1340">
            <v>1</v>
          </cell>
          <cell r="E1340" t="str">
            <v>m3</v>
          </cell>
          <cell r="F1340">
            <v>21</v>
          </cell>
          <cell r="G1340">
            <v>21</v>
          </cell>
          <cell r="I1340">
            <v>0</v>
          </cell>
          <cell r="AD1340">
            <v>18.899999999999999</v>
          </cell>
        </row>
        <row r="1341">
          <cell r="A1341" t="str">
            <v>M626</v>
          </cell>
          <cell r="B1341" t="str">
            <v>Oxigênio</v>
          </cell>
          <cell r="C1341" t="str">
            <v>m3</v>
          </cell>
          <cell r="D1341">
            <v>1</v>
          </cell>
          <cell r="E1341" t="str">
            <v>m3</v>
          </cell>
          <cell r="F1341">
            <v>11</v>
          </cell>
          <cell r="G1341">
            <v>11</v>
          </cell>
          <cell r="I1341">
            <v>0</v>
          </cell>
          <cell r="AD1341">
            <v>7.9</v>
          </cell>
        </row>
        <row r="1342">
          <cell r="A1342" t="str">
            <v>M700</v>
          </cell>
          <cell r="B1342" t="str">
            <v>Tijolo comum maciço (5,5x9x19) cm</v>
          </cell>
          <cell r="C1342" t="str">
            <v>mlh</v>
          </cell>
          <cell r="D1342">
            <v>1000</v>
          </cell>
          <cell r="E1342" t="str">
            <v>un</v>
          </cell>
          <cell r="F1342">
            <v>220</v>
          </cell>
          <cell r="G1342">
            <v>0.22</v>
          </cell>
          <cell r="I1342">
            <v>0</v>
          </cell>
          <cell r="AD1342">
            <v>0.18</v>
          </cell>
        </row>
        <row r="1343">
          <cell r="A1343" t="str">
            <v>M702</v>
          </cell>
          <cell r="B1343" t="str">
            <v>Cal hidratada</v>
          </cell>
          <cell r="C1343" t="str">
            <v>sc</v>
          </cell>
          <cell r="D1343">
            <v>20</v>
          </cell>
          <cell r="E1343" t="str">
            <v>kg</v>
          </cell>
          <cell r="F1343">
            <v>7.5</v>
          </cell>
          <cell r="G1343">
            <v>0.375</v>
          </cell>
          <cell r="I1343">
            <v>0</v>
          </cell>
          <cell r="AD1343">
            <v>0.3</v>
          </cell>
        </row>
        <row r="1344">
          <cell r="A1344" t="str">
            <v>M703</v>
          </cell>
          <cell r="B1344" t="str">
            <v>Tijolo 20 x 30 cm</v>
          </cell>
          <cell r="C1344" t="str">
            <v>mlh</v>
          </cell>
          <cell r="D1344">
            <v>1000</v>
          </cell>
          <cell r="E1344" t="str">
            <v>un</v>
          </cell>
          <cell r="F1344">
            <v>210</v>
          </cell>
          <cell r="G1344">
            <v>0.21</v>
          </cell>
          <cell r="I1344">
            <v>0</v>
          </cell>
          <cell r="AD1344">
            <v>0.21</v>
          </cell>
        </row>
        <row r="1345">
          <cell r="A1345" t="str">
            <v>M704</v>
          </cell>
          <cell r="B1345" t="str">
            <v>Areia Lavada Comercial</v>
          </cell>
          <cell r="C1345" t="str">
            <v>m3</v>
          </cell>
          <cell r="D1345">
            <v>1</v>
          </cell>
          <cell r="E1345" t="str">
            <v>m3</v>
          </cell>
          <cell r="F1345">
            <v>12</v>
          </cell>
          <cell r="G1345">
            <v>12</v>
          </cell>
          <cell r="I1345">
            <v>0</v>
          </cell>
          <cell r="AD1345">
            <v>12</v>
          </cell>
        </row>
        <row r="1346">
          <cell r="A1346" t="str">
            <v>M705</v>
          </cell>
          <cell r="B1346" t="str">
            <v>Pó de pedra</v>
          </cell>
          <cell r="C1346" t="str">
            <v>m3</v>
          </cell>
          <cell r="D1346">
            <v>1</v>
          </cell>
          <cell r="E1346" t="str">
            <v>m3</v>
          </cell>
          <cell r="F1346">
            <v>17</v>
          </cell>
          <cell r="G1346">
            <v>17</v>
          </cell>
          <cell r="I1346">
            <v>0</v>
          </cell>
          <cell r="AD1346">
            <v>18</v>
          </cell>
        </row>
        <row r="1347">
          <cell r="A1347" t="str">
            <v>M709</v>
          </cell>
          <cell r="B1347" t="str">
            <v>Brita Comercial</v>
          </cell>
          <cell r="C1347" t="str">
            <v>m3</v>
          </cell>
          <cell r="D1347">
            <v>1</v>
          </cell>
          <cell r="E1347" t="str">
            <v>m3</v>
          </cell>
          <cell r="F1347">
            <v>19</v>
          </cell>
          <cell r="G1347">
            <v>19</v>
          </cell>
          <cell r="I1347">
            <v>0</v>
          </cell>
          <cell r="AD1347">
            <v>19</v>
          </cell>
        </row>
        <row r="1348">
          <cell r="A1348" t="str">
            <v>M710</v>
          </cell>
          <cell r="B1348" t="str">
            <v>Pedra de mão</v>
          </cell>
          <cell r="C1348" t="str">
            <v>m3</v>
          </cell>
          <cell r="D1348">
            <v>1</v>
          </cell>
          <cell r="E1348" t="str">
            <v>m3</v>
          </cell>
          <cell r="F1348">
            <v>19</v>
          </cell>
          <cell r="G1348">
            <v>19</v>
          </cell>
          <cell r="I1348">
            <v>0</v>
          </cell>
          <cell r="AD1348">
            <v>19</v>
          </cell>
        </row>
        <row r="1349">
          <cell r="A1349" t="str">
            <v>M715</v>
          </cell>
          <cell r="B1349" t="str">
            <v>Pó calcário dolomítico</v>
          </cell>
          <cell r="C1349" t="str">
            <v>kg</v>
          </cell>
          <cell r="D1349">
            <v>1</v>
          </cell>
          <cell r="E1349" t="str">
            <v>kg</v>
          </cell>
          <cell r="F1349">
            <v>0.03</v>
          </cell>
          <cell r="G1349">
            <v>0.03</v>
          </cell>
          <cell r="I1349">
            <v>0</v>
          </cell>
          <cell r="AD1349">
            <v>0.02</v>
          </cell>
        </row>
        <row r="1350">
          <cell r="A1350" t="str">
            <v>M901</v>
          </cell>
          <cell r="B1350" t="str">
            <v>Aparelho de apoio neoprene fretado</v>
          </cell>
          <cell r="C1350" t="str">
            <v>dm3</v>
          </cell>
          <cell r="D1350">
            <v>1</v>
          </cell>
          <cell r="E1350" t="str">
            <v>dm3</v>
          </cell>
          <cell r="F1350">
            <v>88</v>
          </cell>
          <cell r="G1350">
            <v>88</v>
          </cell>
          <cell r="I1350">
            <v>0</v>
          </cell>
          <cell r="AD1350">
            <v>70</v>
          </cell>
        </row>
        <row r="1351">
          <cell r="A1351" t="str">
            <v>M902</v>
          </cell>
          <cell r="B1351" t="str">
            <v>Tubo de PVC D=75 mm</v>
          </cell>
          <cell r="C1351" t="str">
            <v>vr</v>
          </cell>
          <cell r="D1351">
            <v>6</v>
          </cell>
          <cell r="E1351" t="str">
            <v>m</v>
          </cell>
          <cell r="F1351">
            <v>26.8</v>
          </cell>
          <cell r="G1351">
            <v>4.4666666666666668</v>
          </cell>
          <cell r="I1351">
            <v>0</v>
          </cell>
          <cell r="AD1351">
            <v>3.6667000000000001</v>
          </cell>
        </row>
        <row r="1352">
          <cell r="A1352" t="str">
            <v>M903</v>
          </cell>
          <cell r="B1352" t="str">
            <v>Manta sintética (Bidim) OP-20</v>
          </cell>
          <cell r="C1352" t="str">
            <v>m2</v>
          </cell>
          <cell r="D1352">
            <v>1</v>
          </cell>
          <cell r="E1352" t="str">
            <v>m2</v>
          </cell>
          <cell r="F1352">
            <v>2.99</v>
          </cell>
          <cell r="G1352">
            <v>2.99</v>
          </cell>
          <cell r="I1352">
            <v>0</v>
          </cell>
          <cell r="AD1352">
            <v>2.99</v>
          </cell>
        </row>
        <row r="1353">
          <cell r="A1353" t="str">
            <v>M904</v>
          </cell>
          <cell r="B1353" t="str">
            <v>Manta sintética (Bidim) OP-30</v>
          </cell>
          <cell r="C1353" t="str">
            <v>m2</v>
          </cell>
          <cell r="D1353">
            <v>1</v>
          </cell>
          <cell r="E1353" t="str">
            <v>m2</v>
          </cell>
          <cell r="F1353">
            <v>4.0999999999999996</v>
          </cell>
          <cell r="G1353">
            <v>4.0999999999999996</v>
          </cell>
          <cell r="I1353">
            <v>0</v>
          </cell>
          <cell r="AD1353">
            <v>4.0999999999999996</v>
          </cell>
        </row>
        <row r="1354">
          <cell r="A1354" t="str">
            <v>M905</v>
          </cell>
          <cell r="B1354" t="str">
            <v>Filler</v>
          </cell>
          <cell r="C1354" t="str">
            <v>kg</v>
          </cell>
          <cell r="D1354">
            <v>1</v>
          </cell>
          <cell r="E1354" t="str">
            <v>kg</v>
          </cell>
          <cell r="F1354">
            <v>0.03</v>
          </cell>
          <cell r="G1354">
            <v>0.03</v>
          </cell>
          <cell r="I1354">
            <v>0</v>
          </cell>
          <cell r="AD1354">
            <v>0.02</v>
          </cell>
        </row>
        <row r="1355">
          <cell r="A1355" t="str">
            <v>M906</v>
          </cell>
          <cell r="B1355" t="str">
            <v>Sementes p/ hidrossemeadura</v>
          </cell>
          <cell r="C1355" t="str">
            <v>kg</v>
          </cell>
          <cell r="D1355">
            <v>1</v>
          </cell>
          <cell r="E1355" t="str">
            <v>kg</v>
          </cell>
          <cell r="F1355">
            <v>22.8</v>
          </cell>
          <cell r="G1355">
            <v>22.8</v>
          </cell>
          <cell r="I1355">
            <v>0</v>
          </cell>
          <cell r="AD1355">
            <v>22.8</v>
          </cell>
        </row>
        <row r="1356">
          <cell r="A1356" t="str">
            <v>M907</v>
          </cell>
          <cell r="B1356" t="str">
            <v>Adubo orgânico</v>
          </cell>
          <cell r="C1356" t="str">
            <v>t</v>
          </cell>
          <cell r="D1356">
            <v>1000</v>
          </cell>
          <cell r="E1356" t="str">
            <v>kg</v>
          </cell>
          <cell r="F1356">
            <v>60</v>
          </cell>
          <cell r="G1356">
            <v>0.06</v>
          </cell>
          <cell r="I1356">
            <v>0</v>
          </cell>
          <cell r="AD1356">
            <v>0.06</v>
          </cell>
        </row>
        <row r="1357">
          <cell r="A1357" t="str">
            <v>M908</v>
          </cell>
          <cell r="B1357" t="str">
            <v>Eletrodo p/ solda eletr. OK 46.00</v>
          </cell>
          <cell r="C1357" t="str">
            <v>kg</v>
          </cell>
          <cell r="D1357">
            <v>1</v>
          </cell>
          <cell r="E1357" t="str">
            <v>kg</v>
          </cell>
          <cell r="F1357">
            <v>6</v>
          </cell>
          <cell r="G1357">
            <v>6</v>
          </cell>
          <cell r="I1357">
            <v>0</v>
          </cell>
          <cell r="AD1357">
            <v>4.7</v>
          </cell>
        </row>
        <row r="1358">
          <cell r="A1358" t="str">
            <v>M909</v>
          </cell>
          <cell r="B1358" t="str">
            <v>Tubo de PVC perfurado D=50 mm</v>
          </cell>
          <cell r="C1358" t="str">
            <v>vr</v>
          </cell>
          <cell r="D1358">
            <v>6</v>
          </cell>
          <cell r="E1358" t="str">
            <v>m</v>
          </cell>
          <cell r="F1358">
            <v>21.81</v>
          </cell>
          <cell r="G1358">
            <v>3.6349999999999998</v>
          </cell>
          <cell r="I1358">
            <v>0</v>
          </cell>
          <cell r="AD1358">
            <v>3.4967000000000001</v>
          </cell>
        </row>
        <row r="1359">
          <cell r="A1359" t="str">
            <v>M910</v>
          </cell>
          <cell r="B1359" t="str">
            <v>Tubo de PVC rígido D=50 mm</v>
          </cell>
          <cell r="C1359" t="str">
            <v>vr</v>
          </cell>
          <cell r="D1359">
            <v>6</v>
          </cell>
          <cell r="E1359" t="str">
            <v>m</v>
          </cell>
          <cell r="F1359">
            <v>21.8</v>
          </cell>
          <cell r="G1359">
            <v>3.6333333333333333</v>
          </cell>
          <cell r="I1359">
            <v>0</v>
          </cell>
          <cell r="AD1359">
            <v>3.2</v>
          </cell>
        </row>
        <row r="1360">
          <cell r="A1360" t="str">
            <v>M911</v>
          </cell>
          <cell r="B1360" t="str">
            <v>Tubo de PVC D=100 mm</v>
          </cell>
          <cell r="C1360" t="str">
            <v>vr</v>
          </cell>
          <cell r="D1360">
            <v>6</v>
          </cell>
          <cell r="E1360" t="str">
            <v>m</v>
          </cell>
          <cell r="F1360">
            <v>33</v>
          </cell>
          <cell r="G1360">
            <v>5.5</v>
          </cell>
          <cell r="I1360">
            <v>0</v>
          </cell>
          <cell r="AD1360">
            <v>4.7</v>
          </cell>
        </row>
        <row r="1361">
          <cell r="A1361" t="str">
            <v>M920</v>
          </cell>
          <cell r="B1361" t="str">
            <v>Meio tubo de concreto D=40 cm</v>
          </cell>
          <cell r="C1361" t="str">
            <v>m</v>
          </cell>
          <cell r="D1361">
            <v>1</v>
          </cell>
          <cell r="E1361" t="str">
            <v>m</v>
          </cell>
          <cell r="F1361">
            <v>19.3</v>
          </cell>
          <cell r="G1361">
            <v>19.3</v>
          </cell>
          <cell r="I1361">
            <v>0</v>
          </cell>
          <cell r="AD1361">
            <v>15.1</v>
          </cell>
        </row>
        <row r="1362">
          <cell r="A1362" t="str">
            <v>M930</v>
          </cell>
          <cell r="B1362" t="str">
            <v>Gabião caixa 2x1x1m galvanizado</v>
          </cell>
          <cell r="C1362" t="str">
            <v>un</v>
          </cell>
          <cell r="D1362">
            <v>1</v>
          </cell>
          <cell r="E1362" t="str">
            <v>un</v>
          </cell>
          <cell r="F1362">
            <v>132.87</v>
          </cell>
          <cell r="G1362">
            <v>132.87</v>
          </cell>
          <cell r="I1362">
            <v>0</v>
          </cell>
          <cell r="AD1362">
            <v>115.51</v>
          </cell>
        </row>
        <row r="1363">
          <cell r="A1363" t="str">
            <v>M935</v>
          </cell>
          <cell r="B1363" t="str">
            <v>Terra arm. ECE - greide 0&lt;h&lt;6m</v>
          </cell>
          <cell r="C1363" t="str">
            <v>m2</v>
          </cell>
          <cell r="D1363">
            <v>1</v>
          </cell>
          <cell r="E1363" t="str">
            <v>m2</v>
          </cell>
          <cell r="F1363">
            <v>139.77000000000001</v>
          </cell>
          <cell r="G1363">
            <v>139.77000000000001</v>
          </cell>
          <cell r="I1363">
            <v>0</v>
          </cell>
          <cell r="AD1363">
            <v>139.77000000000001</v>
          </cell>
        </row>
        <row r="1364">
          <cell r="A1364" t="str">
            <v>M936</v>
          </cell>
          <cell r="B1364" t="str">
            <v>Terra arm. ECE - greide 6&lt;h&lt;9m</v>
          </cell>
          <cell r="C1364" t="str">
            <v>m2</v>
          </cell>
          <cell r="D1364">
            <v>1</v>
          </cell>
          <cell r="E1364" t="str">
            <v>m2</v>
          </cell>
          <cell r="F1364">
            <v>156.81</v>
          </cell>
          <cell r="G1364">
            <v>156.81</v>
          </cell>
          <cell r="I1364">
            <v>0</v>
          </cell>
          <cell r="AD1364">
            <v>156.81</v>
          </cell>
        </row>
        <row r="1365">
          <cell r="A1365" t="str">
            <v>M937</v>
          </cell>
          <cell r="B1365" t="str">
            <v>Terra arm. ECE - greide 9&lt;h&lt;12m</v>
          </cell>
          <cell r="C1365" t="str">
            <v>m2</v>
          </cell>
          <cell r="D1365">
            <v>1</v>
          </cell>
          <cell r="E1365" t="str">
            <v>m2</v>
          </cell>
          <cell r="F1365">
            <v>173.86</v>
          </cell>
          <cell r="G1365">
            <v>173.86</v>
          </cell>
          <cell r="I1365">
            <v>0</v>
          </cell>
          <cell r="AD1365">
            <v>173.86</v>
          </cell>
        </row>
        <row r="1366">
          <cell r="A1366" t="str">
            <v>M938</v>
          </cell>
          <cell r="B1366" t="str">
            <v>Terra arm. ECE- pé talude 0&lt;h&lt;6m</v>
          </cell>
          <cell r="C1366" t="str">
            <v>m2</v>
          </cell>
          <cell r="D1366">
            <v>1</v>
          </cell>
          <cell r="E1366" t="str">
            <v>m2</v>
          </cell>
          <cell r="F1366">
            <v>164.77</v>
          </cell>
          <cell r="G1366">
            <v>164.77</v>
          </cell>
          <cell r="I1366">
            <v>0</v>
          </cell>
          <cell r="AD1366">
            <v>164.77</v>
          </cell>
        </row>
        <row r="1367">
          <cell r="A1367" t="str">
            <v>M939</v>
          </cell>
          <cell r="B1367" t="str">
            <v>Terra arm. ECE- pé talude 6&lt;h&lt;9m</v>
          </cell>
          <cell r="C1367" t="str">
            <v>m2</v>
          </cell>
          <cell r="D1367">
            <v>1</v>
          </cell>
          <cell r="E1367" t="str">
            <v>m2</v>
          </cell>
          <cell r="F1367">
            <v>185.22</v>
          </cell>
          <cell r="G1367">
            <v>185.22</v>
          </cell>
          <cell r="I1367">
            <v>0</v>
          </cell>
          <cell r="AD1367">
            <v>185.22</v>
          </cell>
        </row>
        <row r="1368">
          <cell r="A1368" t="str">
            <v>M940</v>
          </cell>
          <cell r="B1368" t="str">
            <v>Terra arm. ECE- pé talude 9&lt;h&lt;12m</v>
          </cell>
          <cell r="C1368" t="str">
            <v>m2</v>
          </cell>
          <cell r="D1368">
            <v>1</v>
          </cell>
          <cell r="E1368" t="str">
            <v>m2</v>
          </cell>
          <cell r="F1368">
            <v>204.54</v>
          </cell>
          <cell r="G1368">
            <v>204.54</v>
          </cell>
          <cell r="I1368">
            <v>0</v>
          </cell>
          <cell r="AD1368">
            <v>204.54</v>
          </cell>
        </row>
        <row r="1369">
          <cell r="A1369" t="str">
            <v>M941</v>
          </cell>
          <cell r="B1369" t="str">
            <v>Terra arm. ECE-enc. portante 0&lt;h&lt;6m</v>
          </cell>
          <cell r="C1369" t="str">
            <v>m2</v>
          </cell>
          <cell r="D1369">
            <v>1</v>
          </cell>
          <cell r="E1369" t="str">
            <v>m2</v>
          </cell>
          <cell r="F1369">
            <v>300</v>
          </cell>
          <cell r="G1369">
            <v>300</v>
          </cell>
          <cell r="I1369">
            <v>0</v>
          </cell>
          <cell r="AD1369">
            <v>300</v>
          </cell>
        </row>
        <row r="1370">
          <cell r="A1370" t="str">
            <v>M942</v>
          </cell>
          <cell r="B1370" t="str">
            <v>Terra arm. ECE-enc. portante 6&lt;h&lt;9m</v>
          </cell>
          <cell r="C1370" t="str">
            <v>m2</v>
          </cell>
          <cell r="D1370">
            <v>1</v>
          </cell>
          <cell r="E1370" t="str">
            <v>m2</v>
          </cell>
          <cell r="F1370">
            <v>399.78</v>
          </cell>
          <cell r="G1370">
            <v>399.78</v>
          </cell>
          <cell r="I1370">
            <v>0</v>
          </cell>
          <cell r="AD1370">
            <v>339.78</v>
          </cell>
        </row>
        <row r="1371">
          <cell r="A1371" t="str">
            <v>M945</v>
          </cell>
          <cell r="B1371" t="str">
            <v>Haste para perfuratriz de esteira</v>
          </cell>
          <cell r="C1371" t="str">
            <v>un</v>
          </cell>
          <cell r="D1371">
            <v>1</v>
          </cell>
          <cell r="E1371" t="str">
            <v>un</v>
          </cell>
          <cell r="F1371">
            <v>743.87</v>
          </cell>
          <cell r="G1371">
            <v>743.87</v>
          </cell>
          <cell r="I1371">
            <v>0</v>
          </cell>
          <cell r="AD1371">
            <v>553.97</v>
          </cell>
        </row>
        <row r="1372">
          <cell r="A1372" t="str">
            <v>M946</v>
          </cell>
          <cell r="B1372" t="str">
            <v>Luva para perfuratriz de esteira</v>
          </cell>
          <cell r="C1372" t="str">
            <v>un</v>
          </cell>
          <cell r="D1372">
            <v>1</v>
          </cell>
          <cell r="E1372" t="str">
            <v>un</v>
          </cell>
          <cell r="F1372">
            <v>197.85</v>
          </cell>
          <cell r="G1372">
            <v>197.85</v>
          </cell>
          <cell r="I1372">
            <v>0</v>
          </cell>
          <cell r="AD1372">
            <v>120.39</v>
          </cell>
        </row>
        <row r="1373">
          <cell r="A1373" t="str">
            <v>M947</v>
          </cell>
          <cell r="B1373" t="str">
            <v>Punho para perfuratriz de esteira</v>
          </cell>
          <cell r="C1373" t="str">
            <v>un</v>
          </cell>
          <cell r="D1373">
            <v>1</v>
          </cell>
          <cell r="E1373" t="str">
            <v>un</v>
          </cell>
          <cell r="F1373">
            <v>452.61</v>
          </cell>
          <cell r="G1373">
            <v>452.61</v>
          </cell>
          <cell r="I1373">
            <v>0</v>
          </cell>
          <cell r="AD1373">
            <v>263.5</v>
          </cell>
        </row>
        <row r="1374">
          <cell r="A1374" t="str">
            <v>M948</v>
          </cell>
          <cell r="B1374" t="str">
            <v>Coroa para perfuratriz de esteira</v>
          </cell>
          <cell r="C1374" t="str">
            <v>un</v>
          </cell>
          <cell r="D1374">
            <v>1</v>
          </cell>
          <cell r="E1374" t="str">
            <v>un</v>
          </cell>
          <cell r="F1374">
            <v>873.79</v>
          </cell>
          <cell r="G1374">
            <v>873.79</v>
          </cell>
          <cell r="I1374">
            <v>0</v>
          </cell>
          <cell r="AD1374">
            <v>546.32000000000005</v>
          </cell>
        </row>
        <row r="1375">
          <cell r="A1375" t="str">
            <v>M949</v>
          </cell>
          <cell r="B1375" t="str">
            <v>Disco diam. p/ máq. de disco 48kW</v>
          </cell>
          <cell r="C1375" t="str">
            <v>un</v>
          </cell>
          <cell r="D1375">
            <v>1</v>
          </cell>
          <cell r="E1375" t="str">
            <v>un</v>
          </cell>
          <cell r="F1375">
            <v>1950</v>
          </cell>
          <cell r="G1375">
            <v>1950</v>
          </cell>
          <cell r="I1375">
            <v>0</v>
          </cell>
          <cell r="AD1375">
            <v>1200</v>
          </cell>
        </row>
        <row r="1376">
          <cell r="A1376" t="str">
            <v>M950</v>
          </cell>
          <cell r="B1376" t="str">
            <v>Coroa de diamante linha NX</v>
          </cell>
          <cell r="C1376" t="str">
            <v>un</v>
          </cell>
          <cell r="D1376">
            <v>1</v>
          </cell>
          <cell r="E1376" t="str">
            <v>un</v>
          </cell>
          <cell r="F1376">
            <v>319.68</v>
          </cell>
          <cell r="G1376">
            <v>319.68</v>
          </cell>
          <cell r="I1376">
            <v>0</v>
          </cell>
          <cell r="AD1376">
            <v>319.68</v>
          </cell>
        </row>
        <row r="1377">
          <cell r="A1377" t="str">
            <v>M951</v>
          </cell>
          <cell r="B1377" t="str">
            <v>Calibrador de diamante linha NX</v>
          </cell>
          <cell r="C1377" t="str">
            <v>un</v>
          </cell>
          <cell r="D1377">
            <v>1</v>
          </cell>
          <cell r="E1377" t="str">
            <v>un</v>
          </cell>
          <cell r="F1377">
            <v>327.24</v>
          </cell>
          <cell r="G1377">
            <v>327.24</v>
          </cell>
          <cell r="I1377">
            <v>0</v>
          </cell>
          <cell r="AD1377">
            <v>327.24</v>
          </cell>
        </row>
        <row r="1378">
          <cell r="A1378" t="str">
            <v>M952</v>
          </cell>
          <cell r="B1378" t="str">
            <v>Mola comum linha NX</v>
          </cell>
          <cell r="C1378" t="str">
            <v>un</v>
          </cell>
          <cell r="D1378">
            <v>1</v>
          </cell>
          <cell r="E1378" t="str">
            <v>un</v>
          </cell>
          <cell r="F1378">
            <v>24.84</v>
          </cell>
          <cell r="G1378">
            <v>24.84</v>
          </cell>
          <cell r="I1378">
            <v>0</v>
          </cell>
          <cell r="AD1378">
            <v>24.84</v>
          </cell>
        </row>
        <row r="1379">
          <cell r="A1379" t="str">
            <v>M953</v>
          </cell>
          <cell r="B1379" t="str">
            <v>Barrilete simples linha NX</v>
          </cell>
          <cell r="C1379" t="str">
            <v>un</v>
          </cell>
          <cell r="D1379">
            <v>1</v>
          </cell>
          <cell r="E1379" t="str">
            <v>un</v>
          </cell>
          <cell r="F1379">
            <v>205.2</v>
          </cell>
          <cell r="G1379">
            <v>205.2</v>
          </cell>
          <cell r="I1379">
            <v>0</v>
          </cell>
          <cell r="AD1379">
            <v>233.28</v>
          </cell>
        </row>
        <row r="1380">
          <cell r="A1380" t="str">
            <v>M954</v>
          </cell>
          <cell r="B1380" t="str">
            <v>Haste paredes paraleleas c/ niples</v>
          </cell>
          <cell r="C1380" t="str">
            <v>un</v>
          </cell>
          <cell r="D1380">
            <v>1</v>
          </cell>
          <cell r="E1380" t="str">
            <v>un</v>
          </cell>
          <cell r="F1380">
            <v>215.2</v>
          </cell>
          <cell r="G1380">
            <v>215.2</v>
          </cell>
          <cell r="I1380">
            <v>0</v>
          </cell>
          <cell r="AD1380">
            <v>215.2</v>
          </cell>
        </row>
        <row r="1381">
          <cell r="A1381" t="str">
            <v>M955</v>
          </cell>
          <cell r="B1381" t="str">
            <v>Coroa de widia linha NX</v>
          </cell>
          <cell r="C1381" t="str">
            <v>un</v>
          </cell>
          <cell r="D1381">
            <v>1</v>
          </cell>
          <cell r="E1381" t="str">
            <v>un</v>
          </cell>
          <cell r="F1381">
            <v>95.2</v>
          </cell>
          <cell r="G1381">
            <v>95.2</v>
          </cell>
          <cell r="I1381">
            <v>0</v>
          </cell>
          <cell r="AD1381">
            <v>95.2</v>
          </cell>
        </row>
        <row r="1382">
          <cell r="A1382" t="str">
            <v>M956</v>
          </cell>
          <cell r="B1382" t="str">
            <v>Sapata de widia linha NX</v>
          </cell>
          <cell r="C1382" t="str">
            <v>un</v>
          </cell>
          <cell r="D1382">
            <v>1</v>
          </cell>
          <cell r="E1382" t="str">
            <v>un</v>
          </cell>
          <cell r="F1382">
            <v>77.8</v>
          </cell>
          <cell r="G1382">
            <v>77.8</v>
          </cell>
          <cell r="I1382">
            <v>0</v>
          </cell>
          <cell r="AD1382">
            <v>77.8</v>
          </cell>
        </row>
        <row r="1383">
          <cell r="A1383" t="str">
            <v>M957</v>
          </cell>
          <cell r="B1383" t="str">
            <v>Revestimento c/ conector linha NX</v>
          </cell>
          <cell r="C1383" t="str">
            <v>un</v>
          </cell>
          <cell r="D1383">
            <v>1</v>
          </cell>
          <cell r="E1383" t="str">
            <v>un</v>
          </cell>
          <cell r="F1383">
            <v>180.3</v>
          </cell>
          <cell r="G1383">
            <v>180.3</v>
          </cell>
          <cell r="I1383">
            <v>0</v>
          </cell>
          <cell r="AD1383">
            <v>180.3</v>
          </cell>
        </row>
        <row r="1384">
          <cell r="A1384" t="str">
            <v>M958</v>
          </cell>
          <cell r="B1384" t="str">
            <v>Calibrador de widia simples linh NX</v>
          </cell>
          <cell r="C1384" t="str">
            <v>un</v>
          </cell>
          <cell r="D1384">
            <v>1</v>
          </cell>
          <cell r="E1384" t="str">
            <v>un</v>
          </cell>
          <cell r="F1384">
            <v>95.57</v>
          </cell>
          <cell r="G1384">
            <v>95.57</v>
          </cell>
          <cell r="I1384">
            <v>0</v>
          </cell>
          <cell r="AD1384">
            <v>95.57</v>
          </cell>
        </row>
        <row r="1385">
          <cell r="A1385" t="str">
            <v>M960</v>
          </cell>
          <cell r="B1385" t="str">
            <v>Fio de nylon n. 40</v>
          </cell>
          <cell r="C1385" t="str">
            <v>rl</v>
          </cell>
          <cell r="D1385">
            <v>100</v>
          </cell>
          <cell r="E1385" t="str">
            <v>m</v>
          </cell>
          <cell r="F1385">
            <v>1.2</v>
          </cell>
          <cell r="G1385">
            <v>1.2E-2</v>
          </cell>
          <cell r="I1385">
            <v>0</v>
          </cell>
          <cell r="AD1385">
            <v>1.2E-2</v>
          </cell>
        </row>
        <row r="1386">
          <cell r="A1386" t="str">
            <v>M969</v>
          </cell>
          <cell r="B1386" t="str">
            <v>Película refletiva lentes expostas</v>
          </cell>
          <cell r="C1386" t="str">
            <v>m2</v>
          </cell>
          <cell r="D1386">
            <v>1</v>
          </cell>
          <cell r="E1386" t="str">
            <v>m2</v>
          </cell>
          <cell r="F1386">
            <v>60</v>
          </cell>
          <cell r="G1386">
            <v>60</v>
          </cell>
          <cell r="I1386">
            <v>0</v>
          </cell>
          <cell r="AD1386">
            <v>49.5</v>
          </cell>
        </row>
        <row r="1387">
          <cell r="A1387" t="str">
            <v>M970</v>
          </cell>
          <cell r="B1387" t="str">
            <v>Película refletiva lentes inclusas</v>
          </cell>
          <cell r="C1387" t="str">
            <v>m2</v>
          </cell>
          <cell r="D1387">
            <v>1</v>
          </cell>
          <cell r="E1387" t="str">
            <v>m2</v>
          </cell>
          <cell r="F1387">
            <v>49.5</v>
          </cell>
          <cell r="G1387">
            <v>49.5</v>
          </cell>
          <cell r="I1387">
            <v>0</v>
          </cell>
          <cell r="AD1387">
            <v>49.5</v>
          </cell>
        </row>
        <row r="1388">
          <cell r="A1388" t="str">
            <v>M971</v>
          </cell>
          <cell r="B1388" t="str">
            <v>Dispositivo anti-ofuscante</v>
          </cell>
          <cell r="C1388" t="str">
            <v>m</v>
          </cell>
          <cell r="D1388">
            <v>1</v>
          </cell>
          <cell r="E1388" t="str">
            <v>m</v>
          </cell>
          <cell r="F1388">
            <v>49</v>
          </cell>
          <cell r="G1388">
            <v>49</v>
          </cell>
          <cell r="I1388">
            <v>0</v>
          </cell>
          <cell r="AD1388">
            <v>49</v>
          </cell>
        </row>
        <row r="1389">
          <cell r="A1389" t="str">
            <v>M972</v>
          </cell>
          <cell r="B1389" t="str">
            <v>Tacha refletiva monodirecional</v>
          </cell>
          <cell r="C1389" t="str">
            <v>un</v>
          </cell>
          <cell r="D1389">
            <v>1</v>
          </cell>
          <cell r="E1389" t="str">
            <v>un</v>
          </cell>
          <cell r="F1389">
            <v>4.2</v>
          </cell>
          <cell r="G1389">
            <v>4.2</v>
          </cell>
          <cell r="I1389">
            <v>0</v>
          </cell>
          <cell r="AD1389">
            <v>3.8</v>
          </cell>
        </row>
        <row r="1390">
          <cell r="A1390" t="str">
            <v>M973</v>
          </cell>
          <cell r="B1390" t="str">
            <v>Tacha refletiva bidirecional</v>
          </cell>
          <cell r="C1390" t="str">
            <v>un</v>
          </cell>
          <cell r="D1390">
            <v>1</v>
          </cell>
          <cell r="E1390" t="str">
            <v>un</v>
          </cell>
          <cell r="F1390">
            <v>4.7</v>
          </cell>
          <cell r="G1390">
            <v>4.7</v>
          </cell>
          <cell r="I1390">
            <v>0</v>
          </cell>
          <cell r="AD1390">
            <v>4.2</v>
          </cell>
        </row>
        <row r="1391">
          <cell r="A1391" t="str">
            <v>M974</v>
          </cell>
          <cell r="B1391" t="str">
            <v>Tachão refletivo monodirecional</v>
          </cell>
          <cell r="C1391" t="str">
            <v>un</v>
          </cell>
          <cell r="D1391">
            <v>1</v>
          </cell>
          <cell r="E1391" t="str">
            <v>un</v>
          </cell>
          <cell r="F1391">
            <v>12.5</v>
          </cell>
          <cell r="G1391">
            <v>12.5</v>
          </cell>
          <cell r="I1391">
            <v>0</v>
          </cell>
          <cell r="AD1391">
            <v>11.5</v>
          </cell>
        </row>
        <row r="1392">
          <cell r="A1392" t="str">
            <v>M975</v>
          </cell>
          <cell r="B1392" t="str">
            <v>Tachão refletivo bidirecional</v>
          </cell>
          <cell r="C1392" t="str">
            <v>un</v>
          </cell>
          <cell r="D1392">
            <v>1</v>
          </cell>
          <cell r="E1392" t="str">
            <v>un</v>
          </cell>
          <cell r="F1392">
            <v>13.5</v>
          </cell>
          <cell r="G1392">
            <v>13.5</v>
          </cell>
          <cell r="I1392">
            <v>0</v>
          </cell>
          <cell r="AD1392">
            <v>12</v>
          </cell>
        </row>
        <row r="1393">
          <cell r="A1393" t="str">
            <v>M976</v>
          </cell>
          <cell r="B1393" t="str">
            <v>Baguete limitador de polietileno</v>
          </cell>
          <cell r="C1393" t="str">
            <v>m</v>
          </cell>
          <cell r="D1393">
            <v>1</v>
          </cell>
          <cell r="E1393" t="str">
            <v>m</v>
          </cell>
          <cell r="F1393">
            <v>1.1200000000000001</v>
          </cell>
          <cell r="G1393">
            <v>1.1200000000000001</v>
          </cell>
          <cell r="I1393">
            <v>0</v>
          </cell>
          <cell r="AD1393">
            <v>0.88</v>
          </cell>
        </row>
        <row r="1394">
          <cell r="A1394" t="str">
            <v>M977</v>
          </cell>
          <cell r="B1394" t="str">
            <v>Selante asfáltico polimerizado</v>
          </cell>
          <cell r="C1394" t="str">
            <v>l</v>
          </cell>
          <cell r="D1394">
            <v>1</v>
          </cell>
          <cell r="E1394" t="str">
            <v>l</v>
          </cell>
          <cell r="F1394">
            <v>1.53</v>
          </cell>
          <cell r="G1394">
            <v>1.53</v>
          </cell>
          <cell r="I1394">
            <v>0</v>
          </cell>
          <cell r="AD1394">
            <v>5.21</v>
          </cell>
        </row>
        <row r="1395">
          <cell r="A1395" t="str">
            <v>M980</v>
          </cell>
          <cell r="B1395" t="str">
            <v>Indenização de jazida</v>
          </cell>
          <cell r="C1395" t="str">
            <v>m3</v>
          </cell>
          <cell r="D1395">
            <v>1</v>
          </cell>
          <cell r="E1395" t="str">
            <v>m3</v>
          </cell>
          <cell r="F1395">
            <v>1.04</v>
          </cell>
          <cell r="G1395">
            <v>1.04</v>
          </cell>
          <cell r="I1395">
            <v>0</v>
          </cell>
          <cell r="AD1395">
            <v>1.04</v>
          </cell>
        </row>
        <row r="1396">
          <cell r="A1396" t="str">
            <v>M982</v>
          </cell>
          <cell r="B1396" t="str">
            <v>Isopor de 5cm de espessura</v>
          </cell>
          <cell r="C1396" t="str">
            <v>m2</v>
          </cell>
          <cell r="D1396">
            <v>1</v>
          </cell>
          <cell r="E1396" t="str">
            <v>m2</v>
          </cell>
          <cell r="F1396">
            <v>6.5</v>
          </cell>
          <cell r="G1396">
            <v>6.5</v>
          </cell>
          <cell r="I1396">
            <v>0</v>
          </cell>
          <cell r="AD1396">
            <v>6.5</v>
          </cell>
        </row>
        <row r="1397">
          <cell r="A1397" t="str">
            <v>M983</v>
          </cell>
          <cell r="B1397" t="str">
            <v>Disco diam. p/ máq. de disco 6kW</v>
          </cell>
          <cell r="C1397" t="str">
            <v>un</v>
          </cell>
          <cell r="D1397">
            <v>1</v>
          </cell>
          <cell r="E1397" t="str">
            <v>un</v>
          </cell>
          <cell r="F1397">
            <v>300</v>
          </cell>
          <cell r="G1397">
            <v>300</v>
          </cell>
          <cell r="I1397">
            <v>0</v>
          </cell>
          <cell r="AD1397">
            <v>300</v>
          </cell>
        </row>
        <row r="1398">
          <cell r="A1398" t="str">
            <v>M984</v>
          </cell>
          <cell r="B1398" t="str">
            <v>Chumbadores</v>
          </cell>
          <cell r="C1398" t="str">
            <v>pç</v>
          </cell>
          <cell r="D1398">
            <v>0.3</v>
          </cell>
          <cell r="E1398" t="str">
            <v>kg</v>
          </cell>
          <cell r="F1398">
            <v>2.2999999999999998</v>
          </cell>
          <cell r="G1398">
            <v>7.6666666666666661</v>
          </cell>
          <cell r="I1398">
            <v>0</v>
          </cell>
          <cell r="AD1398">
            <v>10.333299999999999</v>
          </cell>
        </row>
        <row r="1399">
          <cell r="A1399" t="str">
            <v>M985</v>
          </cell>
          <cell r="B1399" t="str">
            <v>Tubo plástico para purgadores</v>
          </cell>
          <cell r="C1399" t="str">
            <v>m</v>
          </cell>
          <cell r="D1399">
            <v>1</v>
          </cell>
          <cell r="E1399" t="str">
            <v>m</v>
          </cell>
          <cell r="F1399">
            <v>0.79</v>
          </cell>
          <cell r="G1399">
            <v>0.79</v>
          </cell>
          <cell r="I1399">
            <v>0</v>
          </cell>
          <cell r="AD1399">
            <v>0.73</v>
          </cell>
        </row>
        <row r="1400">
          <cell r="A1400" t="str">
            <v>M996</v>
          </cell>
          <cell r="B1400" t="str">
            <v>Material Demolido</v>
          </cell>
          <cell r="C1400" t="str">
            <v>t</v>
          </cell>
          <cell r="D1400">
            <v>1</v>
          </cell>
          <cell r="E1400" t="str">
            <v>t</v>
          </cell>
          <cell r="F1400">
            <v>0</v>
          </cell>
          <cell r="G1400">
            <v>0</v>
          </cell>
          <cell r="I1400">
            <v>0</v>
          </cell>
          <cell r="AD1400">
            <v>0</v>
          </cell>
        </row>
        <row r="1401">
          <cell r="A1401" t="str">
            <v>M997</v>
          </cell>
          <cell r="B1401" t="str">
            <v>Material Fresado</v>
          </cell>
          <cell r="C1401" t="str">
            <v>t</v>
          </cell>
          <cell r="D1401">
            <v>1</v>
          </cell>
          <cell r="E1401" t="str">
            <v>t</v>
          </cell>
          <cell r="F1401">
            <v>0</v>
          </cell>
          <cell r="G1401">
            <v>0</v>
          </cell>
          <cell r="I1401">
            <v>0</v>
          </cell>
          <cell r="AD1401">
            <v>0</v>
          </cell>
        </row>
        <row r="1402">
          <cell r="A1402" t="str">
            <v>M998</v>
          </cell>
          <cell r="B1402" t="str">
            <v>Madeira</v>
          </cell>
          <cell r="C1402" t="str">
            <v>t</v>
          </cell>
          <cell r="D1402">
            <v>1</v>
          </cell>
          <cell r="E1402" t="str">
            <v>t</v>
          </cell>
          <cell r="F1402">
            <v>0</v>
          </cell>
          <cell r="G1402">
            <v>0</v>
          </cell>
          <cell r="I1402">
            <v>0</v>
          </cell>
          <cell r="AD1402">
            <v>0</v>
          </cell>
        </row>
        <row r="1403">
          <cell r="A1403" t="str">
            <v>M999</v>
          </cell>
          <cell r="B1403" t="str">
            <v>Material retirado da pista</v>
          </cell>
          <cell r="C1403" t="str">
            <v>t</v>
          </cell>
          <cell r="D1403">
            <v>1</v>
          </cell>
          <cell r="E1403" t="str">
            <v>t</v>
          </cell>
          <cell r="F1403">
            <v>0</v>
          </cell>
          <cell r="G1403">
            <v>0</v>
          </cell>
          <cell r="I1403">
            <v>0</v>
          </cell>
          <cell r="AD140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o"/>
      <sheetName val="P"/>
      <sheetName val="PlanContrato"/>
      <sheetName val="Especif"/>
      <sheetName val="Calculo (2)"/>
      <sheetName val="PP"/>
      <sheetName val="CG"/>
      <sheetName val="PLANILHA DE QUANT. E CUSTOS A"/>
      <sheetName val="PLANILHA DE QUANT_ E CUSTOS A"/>
      <sheetName val="DADOS"/>
      <sheetName val="resumo"/>
      <sheetName val="REAJU"/>
      <sheetName val="plmuseu"/>
      <sheetName val="planilha-alta"/>
      <sheetName val="61M-CBMI"/>
      <sheetName val="TPU-MARÇO_2002"/>
    </sheetNames>
    <sheetDataSet>
      <sheetData sheetId="0"/>
      <sheetData sheetId="1"/>
      <sheetData sheetId="2"/>
      <sheetData sheetId="3">
        <row r="26">
          <cell r="A26" t="str">
            <v>CBUQ</v>
          </cell>
        </row>
        <row r="27">
          <cell r="A27" t="str">
            <v>FR(5)</v>
          </cell>
        </row>
        <row r="28">
          <cell r="A28" t="str">
            <v>MRC</v>
          </cell>
        </row>
        <row r="29">
          <cell r="A29" t="str">
            <v>REP</v>
          </cell>
        </row>
        <row r="30">
          <cell r="A30" t="str">
            <v>H(x)</v>
          </cell>
        </row>
        <row r="31">
          <cell r="A31" t="str">
            <v>FR(x) + REP + H(x)</v>
          </cell>
        </row>
        <row r="32">
          <cell r="A32" t="str">
            <v>RB</v>
          </cell>
        </row>
        <row r="33">
          <cell r="A33" t="str">
            <v>REC</v>
          </cell>
        </row>
      </sheetData>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Quadros"/>
      <sheetName val="Quadro de qntd"/>
      <sheetName val="Acamp"/>
      <sheetName val="Mobil"/>
      <sheetName val="CURVA ABC"/>
      <sheetName val="Cronograma FIS FINANC"/>
      <sheetName val="PLANILHA CONTRATUAL"/>
      <sheetName val="orçamento"/>
      <sheetName val="PLANILHA"/>
      <sheetName val="TCB5"/>
      <sheetName val="DMT modelo"/>
      <sheetName val="Mat Asf"/>
      <sheetName val="TPU-MARÇO_2002"/>
      <sheetName val="PROD.PRIM."/>
    </sheetNames>
    <sheetDataSet>
      <sheetData sheetId="0"/>
      <sheetData sheetId="1">
        <row r="60">
          <cell r="J60">
            <v>8068152.96</v>
          </cell>
        </row>
      </sheetData>
      <sheetData sheetId="2"/>
      <sheetData sheetId="3"/>
      <sheetData sheetId="4">
        <row r="48">
          <cell r="M48">
            <v>8068152.96</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orçamento"/>
      <sheetName val="Cronograma FIS FINANC"/>
      <sheetName val="Quadro de qntd"/>
      <sheetName val="PLANILHA ATUALIZADA"/>
      <sheetName val="CURVA ABC"/>
      <sheetName val="8ª MP_BR-459"/>
      <sheetName val="8ª MP_BR_459"/>
      <sheetName val="Orçam. AET"/>
      <sheetName val="Orç. Total"/>
      <sheetName val="Serviços"/>
    </sheetNames>
    <sheetDataSet>
      <sheetData sheetId="0"/>
      <sheetData sheetId="1"/>
      <sheetData sheetId="2">
        <row r="61">
          <cell r="J61">
            <v>5338671.330000001</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_betum_BTM (2)"/>
      <sheetName val="Croqui-L1"/>
      <sheetName val="Comparativo Edital X SICRO (2)"/>
      <sheetName val="Comparativo Edital X SICRO"/>
      <sheetName val="Planilha SICRO corrigido"/>
      <sheetName val="SICRO"/>
      <sheetName val="Serviços com insumos cotação"/>
      <sheetName val="Capa"/>
      <sheetName val="DIAGRAMA"/>
      <sheetName val="Plan1"/>
      <sheetName val="Plan2"/>
      <sheetName val="PATO"/>
      <sheetName val="TRANSPORTES"/>
      <sheetName val="Quantidades"/>
      <sheetName val="Curva ABC (MODELO C FÓRMULAS)"/>
      <sheetName val="Curva ABC"/>
      <sheetName val="Curva ABC (2)"/>
      <sheetName val="Cronograma (VALENDO)"/>
      <sheetName val="Inventário"/>
      <sheetName val="mobilização"/>
      <sheetName val="layout"/>
      <sheetName val="CANTEIRO"/>
      <sheetName val="prancha"/>
      <sheetName val="ANP"/>
      <sheetName val="Atual. Mat. Betum."/>
      <sheetName val="trans_betum_CGB_EXCEDENTE"/>
      <sheetName val="Mat. Betum. - Port. 1078.15"/>
      <sheetName val="Tapa Buraco"/>
      <sheetName val="Micro"/>
      <sheetName val="CBUQ POLIMERO"/>
      <sheetName val="MBUQ"/>
      <sheetName val="pint_lig"/>
      <sheetName val="imprimação"/>
      <sheetName val="Plan8"/>
      <sheetName val="transporte"/>
      <sheetName val="PonteMadeira"/>
      <sheetName val="Pontes 1"/>
      <sheetName val="Pontes 2"/>
      <sheetName val="transp comercial basc  "/>
      <sheetName val="Defensa"/>
      <sheetName val="veic100"/>
      <sheetName val="Just alter espessura"/>
      <sheetName val="Rem Prof - Dem Man"/>
      <sheetName val="Diagrama Inicial "/>
      <sheetName val="ABC Sv"/>
      <sheetName val="TSD"/>
      <sheetName val="Inventário Roçada"/>
      <sheetName val="AVS 364"/>
      <sheetName val="CADAST. DIVERSO"/>
      <sheetName val="DESCIDA D AGUA"/>
      <sheetName val="NEW JERSEY"/>
      <sheetName val="SARJETA BR 364"/>
      <sheetName val="MEIO FIO"/>
      <sheetName val="ENTRADA DE FAZENDA"/>
      <sheetName val="BUEIROS"/>
      <sheetName val="VALETAS"/>
      <sheetName val="RELAÇÃODASCAIXAS"/>
      <sheetName val="RELAÇÃODASBOCAS"/>
      <sheetName val="Plan3"/>
      <sheetName val="Plan4"/>
      <sheetName val="Quadro de qntd"/>
      <sheetName val="PLANILHA ATUALIZADA"/>
      <sheetName val="Reajustamento "/>
      <sheetName val="geral"/>
      <sheetName val="RESUMO-Medição"/>
      <sheetName val="insumos básicos"/>
      <sheetName val="quadro 04 - planilhas preços"/>
    </sheetNames>
    <sheetDataSet>
      <sheetData sheetId="0" refreshError="1"/>
      <sheetData sheetId="1" refreshError="1"/>
      <sheetData sheetId="2" refreshError="1"/>
      <sheetData sheetId="3" refreshError="1"/>
      <sheetData sheetId="4" refreshError="1"/>
      <sheetData sheetId="5">
        <row r="6">
          <cell r="A6" t="str">
            <v>2 S 04 110 51</v>
          </cell>
        </row>
      </sheetData>
      <sheetData sheetId="6" refreshError="1"/>
      <sheetData sheetId="7" refreshError="1"/>
      <sheetData sheetId="8" refreshError="1"/>
      <sheetData sheetId="9" refreshError="1"/>
      <sheetData sheetId="10" refreshError="1"/>
      <sheetData sheetId="11">
        <row r="92">
          <cell r="P92">
            <v>9317484.9199999962</v>
          </cell>
        </row>
      </sheetData>
      <sheetData sheetId="12" refreshError="1"/>
      <sheetData sheetId="13" refreshError="1"/>
      <sheetData sheetId="14" refreshError="1"/>
      <sheetData sheetId="15" refreshError="1"/>
      <sheetData sheetId="16" refreshError="1"/>
      <sheetData sheetId="17">
        <row r="2">
          <cell r="C2" t="str">
            <v>M I N I S T É R I O   D O S   T R A N S P O R T E S</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49">
          <cell r="E49">
            <v>157.61000000000001</v>
          </cell>
          <cell r="L49">
            <v>157.61000000000001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_AUT1"/>
      <sheetName val="TRANSP"/>
      <sheetName val="geral"/>
    </sheetNames>
    <sheetDataSet>
      <sheetData sheetId="0"/>
      <sheetData sheetId="1" refreshError="1"/>
      <sheetData sheetId="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TRANSPORTE"/>
      <sheetName val="DRENAGEM"/>
      <sheetName val="c.u"/>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TO"/>
      <sheetName val="DADOS"/>
      <sheetName val="FV-DNER"/>
      <sheetName val="Resumo"/>
    </sheetNames>
    <sheetDataSet>
      <sheetData sheetId="0"/>
      <sheetData sheetId="1" refreshError="1"/>
      <sheetData sheetId="2" refreshError="1"/>
      <sheetData sheetId="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ilha1"/>
      <sheetName val="CPAV001-ADM"/>
      <sheetName val="103689-PLACA DE OBRA "/>
      <sheetName val="103694-POSTE MADEIRA"/>
      <sheetName val="CPAV004-IMPRIMAÇÃO"/>
      <sheetName val="CPAV005-TSD-104389"/>
      <sheetName val="CPAV006-PISO TATIL"/>
      <sheetName val="CPAV010 4016096"/>
      <sheetName val="5914354"/>
      <sheetName val="4011219"/>
      <sheetName val="4016096"/>
      <sheetName val="2003850"/>
      <sheetName val="BDI-SERVIÇOS"/>
      <sheetName val="QCI"/>
      <sheetName val="ORÇAMENTO RESUMO DESONERADO"/>
      <sheetName val="RESUMO MATERIAIS"/>
      <sheetName val="RESUMO MATERIAIS FINAL"/>
      <sheetName val="ORÇ. MATERIAL"/>
      <sheetName val="CRONOGRAMA  - MATERIAIS"/>
      <sheetName val="EQUIPAMENTOS"/>
      <sheetName val="ORÇ. ÓLEO DIESEL"/>
      <sheetName val="ANP"/>
      <sheetName val="COTAÇÃOBRITA"/>
      <sheetName val="RESUMO -ORIENTATIVO"/>
      <sheetName val="ORÇAMENTO - ORIENTATIVO"/>
      <sheetName val="CRONOGRAMA - ORIENTATIVO"/>
      <sheetName val="RESUMO - GERAL"/>
      <sheetName val="CPAV009- MOB_DESMOB"/>
      <sheetName val="ORÇAMENTO - GERAL"/>
      <sheetName val="CRONOGRAMA - GERAL"/>
      <sheetName val="DMT"/>
      <sheetName val="RUAS"/>
      <sheetName val="TERRAPLENAGEM"/>
      <sheetName val="SUBLEITO-BASE-SUB."/>
      <sheetName val="PAVIMENTO"/>
      <sheetName val="TRANSP. MAT.PAV"/>
      <sheetName val="CALÇADA"/>
      <sheetName val="TRANSP.PASSEIO "/>
      <sheetName val="PISO TATIL SÓ RAMPA"/>
      <sheetName val="SIN. VERTICAL"/>
      <sheetName val="SIN. HORIZONTAL "/>
      <sheetName val="MEIO-FIO E SARJETA"/>
      <sheetName val="DREN. SARJETA"/>
      <sheetName val="DREN. REDE"/>
      <sheetName val="DREN. MEM. CAL. (2)"/>
      <sheetName val="DREN. MEM. CAL."/>
      <sheetName val="TRANSP. DRENAGEM"/>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F5">
            <v>661568.36</v>
          </cell>
        </row>
        <row r="7">
          <cell r="F7">
            <v>201620.05000000002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FC 01"/>
      <sheetName val="DAR 02"/>
      <sheetName val="EDA 01"/>
      <sheetName val="EDA 02"/>
      <sheetName val="DEB 01"/>
      <sheetName val="hidrossemeadura"/>
      <sheetName val="RMFD"/>
      <sheetName val="Solo-cimento"/>
      <sheetName val="recomp granular"/>
      <sheetName val="imprimação"/>
      <sheetName val="Aq. de CM 30 imp."/>
      <sheetName val="Transp. de CM 30 imp."/>
      <sheetName val="pintura ligação"/>
      <sheetName val="Aq. de RR-1C"/>
      <sheetName val="Tranp. de RR-1C "/>
      <sheetName val="MBUQ"/>
      <sheetName val="Aq. CAP50-70 "/>
      <sheetName val="Transp.CAP50-70"/>
      <sheetName val="corr def MB"/>
      <sheetName val="TB comum"/>
      <sheetName val="Aquis. RR2C TB"/>
      <sheetName val="Transp. RR2C TB"/>
      <sheetName val="rem.prof.dem.mecânica "/>
      <sheetName val="Aquisição CM-30. rem. profun"/>
      <sheetName val="Transp. CM-30 rem. profundo"/>
      <sheetName val="recomp aterro"/>
      <sheetName val="transp local 5m3 n pav"/>
      <sheetName val="transp local 5m3 pav"/>
      <sheetName val="Transp_Rem"/>
      <sheetName val="Trans_Carr_Pav"/>
      <sheetName val="transp com 10m3"/>
      <sheetName val="Limp. Ponte"/>
      <sheetName val="Selagem_Trinc AC"/>
      <sheetName val="Aquis RR Selagem"/>
      <sheetName val="Tr RR Selagem"/>
      <sheetName val="Correç_Fres_Desc"/>
      <sheetName val="Limp. sarjeta"/>
      <sheetName val="LimP_Desc_Agua"/>
      <sheetName val="LPS"/>
      <sheetName val="RPS"/>
      <sheetName val="Roç_Manual"/>
      <sheetName val="Roç_Mec"/>
      <sheetName val="Capina"/>
      <sheetName val="Defensa"/>
      <sheetName val="PIN_Faixas"/>
      <sheetName val="PIN_Setas"/>
      <sheetName val="TACHA"/>
      <sheetName val="TACHÃO"/>
      <sheetName val="PLACA"/>
      <sheetName val="Enleivamento"/>
      <sheetName val="Ob. grama Replant"/>
      <sheetName val="Micro_1,5"/>
      <sheetName val="Aquisição Emulsão_Micro"/>
      <sheetName val="Transp. Emulsão_Micro"/>
      <sheetName val="cerca"/>
      <sheetName val="mourao1"/>
      <sheetName val="mourao2"/>
      <sheetName val="formas-ca50"/>
      <sheetName val="ca50"/>
      <sheetName val="concr18bc"/>
      <sheetName val="Capa2"/>
      <sheetName val="esc e carga"/>
      <sheetName val="Fôrma comum de madeira"/>
      <sheetName val="Fornecimento de aço CA 25"/>
      <sheetName val="Concr. estr. 10 MPa "/>
      <sheetName val="brita com"/>
      <sheetName val="areia com"/>
      <sheetName val="Concr. estr. 15 MPa"/>
      <sheetName val="Lastro de Brita"/>
      <sheetName val="Escav Manual"/>
      <sheetName val="Concr. 15 MPa"/>
      <sheetName val="Alvenaria pedra (aux)"/>
      <sheetName val="Pedra de mão"/>
      <sheetName val="Arg 1_3"/>
      <sheetName val="compac manual"/>
      <sheetName val="limpeza jazida"/>
      <sheetName val="Aux_Placa"/>
      <sheetName val="Aux_Suporte"/>
      <sheetName val="comp nao utilizadas"/>
      <sheetName val="Desmat limpeza"/>
      <sheetName val="transp com 10m3 NP"/>
      <sheetName val="transp com carroc"/>
      <sheetName val="remoçao bueiro"/>
      <sheetName val="escav mecan 1 cat"/>
      <sheetName val="Corpo BDTC"/>
      <sheetName val="Boca BDTC"/>
      <sheetName val="TSD"/>
      <sheetName val="transp mat remendo"/>
      <sheetName val="Alvenaria pedra (princ)"/>
      <sheetName val="BSTC 60"/>
      <sheetName val="Corpo BSTC 1,2"/>
      <sheetName val="BLS 01"/>
      <sheetName val="STC 01"/>
      <sheetName val="escav manual cavas"/>
      <sheetName val="reaterro e compac"/>
      <sheetName val="serv compac manual"/>
      <sheetName val="concreto magro"/>
      <sheetName val="gabiao"/>
      <sheetName val="Grama em placas"/>
      <sheetName val="DAD 02"/>
      <sheetName val="DEB 02"/>
      <sheetName val="Enroncamento"/>
      <sheetName val="DEB BDA 2,00 x 2,00 m"/>
      <sheetName val="BDA D=2m"/>
      <sheetName val="Boca BSTC 60"/>
      <sheetName val="STG 02"/>
      <sheetName val="BLS 02"/>
      <sheetName val="DPS 03"/>
      <sheetName val="BSD 01"/>
      <sheetName val="STC 02"/>
      <sheetName val="DAR 03"/>
      <sheetName val="Formas CA 50"/>
      <sheetName val="Fornecimento de aço CA 50"/>
      <sheetName val="expurgo"/>
      <sheetName val="esc. e carga mat jaz"/>
      <sheetName val="dente bueiro 60"/>
      <sheetName val="Concr ciclop"/>
      <sheetName val="Arg 1_4"/>
      <sheetName val="Confec tubo 60"/>
      <sheetName val="Concr. 18 MPa"/>
      <sheetName val="formas aço_60"/>
      <sheetName val="Fornec de aço CA-60"/>
      <sheetName val="escav carga mat jazida"/>
      <sheetName val="Obtenção de Grama"/>
      <sheetName val="Alvenaria tijolos"/>
      <sheetName val="Concr. estr. 25 MPa"/>
      <sheetName val="formas aço_50"/>
      <sheetName val="Fornec de aço CA-50"/>
      <sheetName val="Selo de Argila"/>
      <sheetName val="Guia de madeira"/>
      <sheetName val="dentes bueiros simples 1,2"/>
      <sheetName val="confec tubos"/>
      <sheetName val="dentes bueiro duplo 1,2"/>
      <sheetName val="Capa3"/>
      <sheetName val="equipamentos"/>
      <sheetName val="mão de obra"/>
      <sheetName val="material"/>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aux"/>
      <sheetName val="graficos"/>
      <sheetName val="graficos (2)"/>
      <sheetName val="TSD-FOG"/>
      <sheetName val="Dados"/>
      <sheetName val="Serviços Rodoviários"/>
      <sheetName val="relatório"/>
      <sheetName val="Mat Asf"/>
      <sheetName val="Ficha"/>
      <sheetName val="capa documentação"/>
      <sheetName val="capa anexo iii"/>
      <sheetName val="capa anexo iv"/>
      <sheetName val="RESUMO-DVOP"/>
      <sheetName val="Bruno"/>
      <sheetName val="Cabeçalho"/>
      <sheetName val="Orçamento"/>
      <sheetName val="rel-19ª med."/>
      <sheetName val="LISTA SUSPENSA"/>
      <sheetName val="Serviços"/>
      <sheetName val="insumos básicos"/>
      <sheetName val="quadro 04 - planilhas preços"/>
      <sheetName val="planilha-alta"/>
      <sheetName val="RESUMO"/>
      <sheetName val="reg"/>
      <sheetName val="DMT modelo"/>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Composições"/>
      <sheetName val="CUSTO MATERIAIS"/>
      <sheetName val="Plan1"/>
      <sheetName val="REFLEXO FINAN"/>
    </sheetNames>
    <sheetDataSet>
      <sheetData sheetId="0" refreshError="1">
        <row r="4">
          <cell r="B4" t="str">
            <v>DIV. SP/MS - ENTR. BR-163(A) (N. ALVORADA)</v>
          </cell>
        </row>
        <row r="11">
          <cell r="C11">
            <v>8</v>
          </cell>
        </row>
        <row r="13">
          <cell r="C13">
            <v>25</v>
          </cell>
        </row>
        <row r="14">
          <cell r="C14">
            <v>0.32</v>
          </cell>
        </row>
        <row r="15">
          <cell r="C15">
            <v>3.4</v>
          </cell>
        </row>
        <row r="16">
          <cell r="C16">
            <v>2.23</v>
          </cell>
        </row>
        <row r="17">
          <cell r="C17">
            <v>2.23</v>
          </cell>
        </row>
        <row r="18">
          <cell r="C18">
            <v>2.5499999999999998</v>
          </cell>
        </row>
        <row r="19">
          <cell r="C19">
            <v>2.8</v>
          </cell>
        </row>
        <row r="20">
          <cell r="C20">
            <v>3.75</v>
          </cell>
        </row>
        <row r="21">
          <cell r="C21">
            <v>1.25</v>
          </cell>
        </row>
        <row r="22">
          <cell r="C22">
            <v>5.8</v>
          </cell>
        </row>
        <row r="23">
          <cell r="C23">
            <v>4.3</v>
          </cell>
        </row>
        <row r="24">
          <cell r="C24">
            <v>0.17</v>
          </cell>
        </row>
        <row r="32">
          <cell r="C32">
            <v>667.1</v>
          </cell>
        </row>
        <row r="39">
          <cell r="B39">
            <v>1107.92</v>
          </cell>
        </row>
      </sheetData>
      <sheetData sheetId="1" refreshError="1"/>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DMT modelo"/>
      <sheetName val="BR262990600"/>
      <sheetName val="1.6"/>
      <sheetName val="TCB5"/>
      <sheetName val="TEB4"/>
      <sheetName val="TCC4"/>
      <sheetName val="TLMB"/>
      <sheetName val="ORÇAMENTO"/>
      <sheetName val="Plan7"/>
      <sheetName val="Plan8"/>
      <sheetName val="Plan9"/>
      <sheetName val="Plan10"/>
      <sheetName val="Plan11"/>
      <sheetName val="Plan12"/>
      <sheetName val="Plan13"/>
      <sheetName val="Plan14"/>
      <sheetName val="Plan15"/>
      <sheetName val="Plan16"/>
      <sheetName val="Mat Asf"/>
      <sheetName val="RESUMO_AUT1"/>
      <sheetName val="crongrama seet (2)"/>
    </sheetNames>
    <sheetDataSet>
      <sheetData sheetId="0">
        <row r="25">
          <cell r="G25">
            <v>68250</v>
          </cell>
        </row>
        <row r="26">
          <cell r="G26">
            <v>13650</v>
          </cell>
        </row>
        <row r="59">
          <cell r="G59">
            <v>163.80000000000001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b e Desmob"/>
      <sheetName val="Veic leves e Camin"/>
      <sheetName val="Equip pesados"/>
      <sheetName val="Plan2"/>
      <sheetName val="Plan3"/>
      <sheetName val="RELATÓRIO"/>
    </sheetNames>
    <sheetDataSet>
      <sheetData sheetId="0"/>
      <sheetData sheetId="1"/>
      <sheetData sheetId="2"/>
      <sheetData sheetId="3"/>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DADOS PARA PASTAS"/>
      <sheetName val="materiais"/>
      <sheetName val="composições"/>
      <sheetName val="DIAGRAMA"/>
      <sheetName val="INVEN."/>
      <sheetName val="SERVIÇOS (MATRIZ)"/>
      <sheetName val="SERVIÇOS digitado"/>
      <sheetName val="ORÇAMENTO 01"/>
      <sheetName val="justificativa"/>
      <sheetName val="instalação"/>
      <sheetName val="mobilização"/>
      <sheetName val="Cronograma "/>
      <sheetName val="TLCB5"/>
      <sheetName val="TLMR"/>
      <sheetName val="TLMB"/>
      <sheetName val="TCCB10"/>
      <sheetName val="TCC4"/>
      <sheetName val="TLCB10"/>
      <sheetName val="Dados Edital"/>
      <sheetName val="calc. transporte"/>
      <sheetName val="CROQUI"/>
      <sheetName val="Q.R.DIST.TRANSP."/>
      <sheetName val="D. CUST. M."/>
      <sheetName val="comparativo mat"/>
      <sheetName val="D.CONS.M"/>
      <sheetName val="DIVISÓRIAS"/>
      <sheetName val="MAT BET"/>
      <sheetName val="ORÇAMENTO 01 (2)"/>
      <sheetName val="Plan1"/>
      <sheetName val="DADOS"/>
      <sheetName val="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G11">
            <v>718.38</v>
          </cell>
        </row>
        <row r="27">
          <cell r="G27">
            <v>18350</v>
          </cell>
        </row>
        <row r="39">
          <cell r="H39">
            <v>21.49</v>
          </cell>
        </row>
        <row r="69">
          <cell r="H69">
            <v>27.87</v>
          </cell>
        </row>
        <row r="113">
          <cell r="I113">
            <v>3364146.41</v>
          </cell>
        </row>
      </sheetData>
      <sheetData sheetId="8" refreshError="1">
        <row r="34">
          <cell r="F34">
            <v>1887664.46</v>
          </cell>
        </row>
        <row r="41">
          <cell r="F41">
            <v>471333.8</v>
          </cell>
        </row>
        <row r="46">
          <cell r="F46">
            <v>20347.95</v>
          </cell>
        </row>
        <row r="51">
          <cell r="F51">
            <v>41468.17</v>
          </cell>
        </row>
        <row r="79">
          <cell r="F79">
            <v>1759741.21</v>
          </cell>
        </row>
      </sheetData>
      <sheetData sheetId="9" refreshError="1"/>
      <sheetData sheetId="10" refreshError="1"/>
      <sheetData sheetId="11" refreshError="1"/>
      <sheetData sheetId="12" refreshError="1"/>
      <sheetData sheetId="13" refreshError="1"/>
      <sheetData sheetId="14" refreshError="1"/>
      <sheetData sheetId="15" refreshError="1">
        <row r="29">
          <cell r="I29">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capa resumo"/>
      <sheetName val="capa documentação"/>
      <sheetName val="capa anexo i"/>
      <sheetName val="capa anexo ii"/>
      <sheetName val="capa anexo iii"/>
      <sheetName val="capa anexo iv"/>
      <sheetName val="CRONFISFIN_"/>
      <sheetName val="Mat Asf"/>
      <sheetName val="aux"/>
      <sheetName val="coord. g rc"/>
      <sheetName val="P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aux1"/>
      <sheetName val="1,19"/>
      <sheetName val="1,20"/>
      <sheetName val="1,21"/>
      <sheetName val="1,22"/>
      <sheetName val="1,23"/>
      <sheetName val="1.24"/>
      <sheetName val="1.25"/>
      <sheetName val="1.26"/>
      <sheetName val="1.28"/>
      <sheetName val="1.29"/>
      <sheetName val="3.4"/>
      <sheetName val="D"/>
      <sheetName val="2.1"/>
      <sheetName val="H"/>
      <sheetName val="I"/>
      <sheetName val="J"/>
      <sheetName val="K"/>
      <sheetName val="L"/>
      <sheetName val="M"/>
      <sheetName val="N"/>
      <sheetName val="O"/>
      <sheetName val="aux. 2"/>
      <sheetName val="Q"/>
      <sheetName val="R"/>
      <sheetName val="S"/>
      <sheetName val="T"/>
      <sheetName val="U"/>
      <sheetName val="B"/>
      <sheetName val="G"/>
      <sheetName val="P"/>
      <sheetName val="DMT modelo"/>
      <sheetName val="RESUMO"/>
      <sheetName val="REAJU"/>
      <sheetName val="Quadro Resumo"/>
      <sheetName val="TSD-FOG"/>
      <sheetName val="Sub e base"/>
      <sheetName val="AGREGADOS"/>
      <sheetName val="RELATÓRIO"/>
      <sheetName val="Página 16"/>
      <sheetName val="Recuperação da Pista"/>
      <sheetName val="Anual"/>
      <sheetName val="aux"/>
      <sheetName val="estgg"/>
      <sheetName val="compos1"/>
      <sheetName val="orcID nº1"/>
      <sheetName val="orc ID nº 15"/>
      <sheetName val="orc ID nº17"/>
      <sheetName val="orc ID nº 18"/>
      <sheetName val="orc ID nº19"/>
      <sheetName val="orc ID nº2 "/>
      <sheetName val="orc ID nº3"/>
      <sheetName val="orcID nº4"/>
      <sheetName val="orcID nº5"/>
      <sheetName val="orcID nº6"/>
      <sheetName val="orcID nº7"/>
      <sheetName val="orc ID nº8"/>
      <sheetName val="orc ID nº9"/>
      <sheetName val="orc ID nº12"/>
      <sheetName val="orc ID nº13"/>
      <sheetName val="orc ID nº 14"/>
      <sheetName val="orc ID nº16"/>
      <sheetName val="Rel-15ª med."/>
      <sheetName val="PMF"/>
      <sheetName val="Regula"/>
      <sheetName val="serviços"/>
      <sheetName val="tlmb"/>
      <sheetName val="Orçamento"/>
      <sheetName val="Dados"/>
      <sheetName val="eq"/>
      <sheetName val="mo"/>
      <sheetName val="reg_mec_fx_dm_"/>
      <sheetName val="Custo horário de Equip"/>
      <sheetName val="Custo Mão-de-Obra"/>
      <sheetName val="Res. dos Materias - Atividade"/>
      <sheetName val="1. Cadastro da LM"/>
      <sheetName val="4. Orçamento FD"/>
      <sheetName val="aterro"/>
      <sheetName val="tsd"/>
      <sheetName val="planilha"/>
      <sheetName val="E"/>
      <sheetName val="F"/>
      <sheetName val="Prod. Equip. Mec.1"/>
      <sheetName val="ISSQN"/>
      <sheetName val="relatório-1ª med."/>
      <sheetName val="DIPRVS12"/>
      <sheetName val="Produto 09"/>
      <sheetName val="Produto 10"/>
      <sheetName val="Produto 01"/>
      <sheetName val="Prod. 03A CREMA-CIB"/>
      <sheetName val="insumos básicos"/>
      <sheetName val="quadro 04 - planilhas preços"/>
      <sheetName val="projeto"/>
      <sheetName val="f. mediçao"/>
      <sheetName val="LISTA SUSPENSA"/>
      <sheetName val="p a t o 99 b"/>
      <sheetName val="TERRAPLENAGEM"/>
      <sheetName val="inventário"/>
      <sheetName val="TPU-MARÇO_2002"/>
      <sheetName val="produção"/>
      <sheetName val="ququant"/>
      <sheetName val="Relação de Pessoal"/>
      <sheetName val="Relação de Equipamentos"/>
      <sheetName val="Serv. Adm."/>
      <sheetName val="Mat. Bet."/>
      <sheetName val="DG"/>
      <sheetName val="ROÇCOL"/>
      <sheetName val="RO"/>
      <sheetName val="DRENO"/>
      <sheetName val="ENROC JOG"/>
      <sheetName val="MICRO"/>
      <sheetName val="PORTICO"/>
      <sheetName val="CONCR"/>
      <sheetName val="Sicro"/>
      <sheetName val="COMP-AC"/>
      <sheetName val="COMP-AM"/>
      <sheetName val="COMP-CE"/>
      <sheetName val="COMP-MA"/>
      <sheetName val="COMP-MT"/>
      <sheetName val="COMP-PA"/>
      <sheetName val="COMP-PI"/>
      <sheetName val="COMP-RN"/>
      <sheetName val="COMP-RR"/>
      <sheetName val="COMP-TO"/>
      <sheetName val="PREMISSAS"/>
    </sheetNames>
    <sheetDataSet>
      <sheetData sheetId="0"/>
      <sheetData sheetId="1"/>
      <sheetData sheetId="2"/>
      <sheetData sheetId="3"/>
      <sheetData sheetId="4"/>
      <sheetData sheetId="5">
        <row r="11">
          <cell r="A11" t="str">
            <v>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efreshError="1"/>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Transporte"/>
      <sheetName val="Plan2"/>
      <sheetName val="Desmat 0,15"/>
    </sheetNames>
    <sheetDataSet>
      <sheetData sheetId="0"/>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 val="Dados"/>
      <sheetName val="Plan1"/>
      <sheetName val="Resumo Vertical"/>
      <sheetName val="PATO - BR - 425 aditivo"/>
      <sheetName val="DG"/>
      <sheetName val="1-_QUADRO_DE_QUANTIDADE_(2)"/>
      <sheetName val="Transporte_5m³"/>
      <sheetName val="Transporte_4m³"/>
      <sheetName val="Transporte_4t"/>
      <sheetName val="Transporte_Mat__Frio"/>
      <sheetName val="Cronograma_(2)"/>
      <sheetName val="ESTUDO_PREÇOS"/>
      <sheetName val="BANCO"/>
      <sheetName val="Índices_de_Reajustamento"/>
      <sheetName val="PROJETO"/>
      <sheetName val="AUX."/>
      <sheetName val="Real"/>
      <sheetName val="Calendário"/>
      <sheetName val="Serviços"/>
      <sheetName val="Teor"/>
      <sheetName val="Equipamentos"/>
      <sheetName val="1-_QUADRO_DE_QUANTIDADE_(2)1"/>
      <sheetName val="Transporte_5m³1"/>
      <sheetName val="Transporte_4m³1"/>
      <sheetName val="Transporte_4t1"/>
      <sheetName val="Transporte_Mat__Frio1"/>
      <sheetName val="Cronograma_(2)1"/>
      <sheetName val="ESTUDO_PREÇOS1"/>
      <sheetName val="INVENTÁRIO"/>
      <sheetName val="Orçamentária"/>
      <sheetName val="Conversão"/>
      <sheetName val="ORÇAMENTO"/>
      <sheetName val="PT"/>
      <sheetName val="COMPOSIÇÕES"/>
      <sheetName val="CUSTO_EQP-VTR"/>
      <sheetName val="ÍNDICE"/>
      <sheetName val="TapaBuraco"/>
      <sheetName val="DREN. MEM. CAL.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ExecuçServiços"/>
      <sheetName val="Quadro de Quant"/>
      <sheetName val="ORÇLote28 "/>
      <sheetName val="ResBR101"/>
      <sheetName val="Gráfico2"/>
      <sheetName val="RESUMO Lote28"/>
      <sheetName val="RESUMO Lote36"/>
      <sheetName val="orcID nº1"/>
      <sheetName val="orc ID nº2 "/>
      <sheetName val="orc ID nº3"/>
      <sheetName val="orcID nº4"/>
      <sheetName val="orcID nº5"/>
      <sheetName val="orcID nº6"/>
      <sheetName val="orcID nº7"/>
      <sheetName val="orc ID nº8"/>
      <sheetName val="orc ID nº9"/>
      <sheetName val="orc ID nº10"/>
      <sheetName val="orc ID nº11"/>
      <sheetName val="orc ID nº12"/>
      <sheetName val="orc ID nº13"/>
      <sheetName val="orc ID nº 14"/>
      <sheetName val="orc ID nº 15"/>
      <sheetName val="orc ID nº16"/>
      <sheetName val="orc ID nº17"/>
      <sheetName val="orc ID nº 18"/>
      <sheetName val="orc ID nº19"/>
      <sheetName val="orc ID nº20"/>
      <sheetName val="orc ID Lote 36"/>
      <sheetName val="Orç Compar Viaduto 1"/>
      <sheetName val="Orç Compar Ater Estac1736"/>
      <sheetName val="orçmin nº22 (paralelo aterro)"/>
      <sheetName val="orçmin nº23 (paralelo viaduto)"/>
      <sheetName val="orçmin nº24 (contorno aterro)"/>
      <sheetName val="Resumo Orç22+23+24"/>
      <sheetName val="orçmin nº21 Meio Ambiente"/>
      <sheetName val="orçmin nº21 Meio Ambiente IME"/>
      <sheetName val="orçmin (17)AC VIA SECUND"/>
      <sheetName val="orçmin (18) abrigo de passag"/>
      <sheetName val="quantitativos e custos"/>
      <sheetName val="1CDExecServiços"/>
      <sheetName val="2ProduçMateriais"/>
      <sheetName val="3ConcretoeArgam."/>
      <sheetName val="14ConsiderGerais"/>
      <sheetName val="4Transporte"/>
      <sheetName val="5Equipamentos"/>
      <sheetName val="6Mão-de-obra"/>
      <sheetName val="7Materiais"/>
      <sheetName val="8Formas"/>
      <sheetName val="9Composição C.Unitários"/>
      <sheetName val="10ConsumoMat.Concretos"/>
      <sheetName val="11ConsumoMatServton"/>
      <sheetName val="12ConsMatServPaviment"/>
      <sheetName val="13ConsMatServComplem"/>
      <sheetName val="15Projetos"/>
      <sheetName val="16DMT"/>
      <sheetName val="17Composição(MOD)"/>
      <sheetName val="09.517.01"/>
      <sheetName val="09.517.02"/>
      <sheetName val="09.517.03"/>
      <sheetName val="09.517.04"/>
      <sheetName val="09.517.05"/>
      <sheetName val="09.519.01"/>
      <sheetName val="09.601.00"/>
      <sheetName val="09.601.01"/>
      <sheetName val="09.601.02"/>
      <sheetName val="09.999.01"/>
      <sheetName val="09.601.04"/>
      <sheetName val="02.100.00"/>
      <sheetName val="02.230.00"/>
      <sheetName val="02.300.00"/>
      <sheetName val="02.400.00"/>
      <sheetName val="02.530.00"/>
      <sheetName val="02.540.01"/>
      <sheetName val="P 02.540.01"/>
      <sheetName val="P 02.560.01"/>
      <sheetName val="02.999.03"/>
      <sheetName val="02.999.05"/>
      <sheetName val="02.999.06"/>
      <sheetName val="P 02.999.07"/>
      <sheetName val="P 02.999.08"/>
      <sheetName val="P 02.250.01"/>
      <sheetName val="P 02.250.00"/>
      <sheetName val="DER53130"/>
      <sheetName val="MACHIDRAULICO"/>
      <sheetName val="P 02.530.01"/>
      <sheetName val="03.119.01"/>
      <sheetName val="03.300.01"/>
      <sheetName val="03.310.01"/>
      <sheetName val="03.310.02"/>
      <sheetName val="03.310.03"/>
      <sheetName val="03.310.04"/>
      <sheetName val="03.321.00"/>
      <sheetName val="03.321.01"/>
      <sheetName val="03.322.00"/>
      <sheetName val="03.323.00"/>
      <sheetName val="03.323.01"/>
      <sheetName val="03.324.00"/>
      <sheetName val="03.325.00"/>
      <sheetName val="03.326.00"/>
      <sheetName val="03.327.00"/>
      <sheetName val="P 03.327.01"/>
      <sheetName val="03.328.00"/>
      <sheetName val="03.328.01"/>
      <sheetName val="03.329.01"/>
      <sheetName val="03.329.02"/>
      <sheetName val="03.329.03"/>
      <sheetName val="03.329.04"/>
      <sheetName val="03.330.00"/>
      <sheetName val="03.340.00"/>
      <sheetName val="03.341.00"/>
      <sheetName val="03.353.00"/>
      <sheetName val="03.354.00"/>
      <sheetName val="03.359.01"/>
      <sheetName val="03.370.00"/>
      <sheetName val="03.371.00"/>
      <sheetName val="03.371.01"/>
      <sheetName val="03.371.02"/>
      <sheetName val="04.999.07"/>
      <sheetName val="05.100.00"/>
      <sheetName val="05.102.00"/>
      <sheetName val="05.300.01"/>
      <sheetName val="05.300.02"/>
      <sheetName val="DER 45340"/>
      <sheetName val="05.301.00"/>
      <sheetName val="05.301.01"/>
      <sheetName val="06.210.01"/>
      <sheetName val="06.400.01"/>
      <sheetName val="DER80050"/>
      <sheetName val="06.410.00"/>
      <sheetName val="9000030"/>
      <sheetName val="9000031"/>
      <sheetName val="P02.999.10"/>
      <sheetName val="P 04.100.06"/>
      <sheetName val="P 04.100.07"/>
      <sheetName val="P 04.100.08"/>
      <sheetName val="P 04.100.08a"/>
      <sheetName val="P 04.100.09"/>
      <sheetName val="P 04.100.10"/>
      <sheetName val="P 04.100.11"/>
      <sheetName val="P 04.100.12"/>
      <sheetName val="P 04.100.13"/>
      <sheetName val="P 04.100.19"/>
      <sheetName val="P 04.100.20"/>
      <sheetName val="P 04.100.21"/>
      <sheetName val="P 04.100.22"/>
      <sheetName val="P 04.100.23"/>
      <sheetName val="P 04.100.24"/>
      <sheetName val="P 04.100.40"/>
      <sheetName val="DER92196"/>
      <sheetName val="P 10.000.05"/>
      <sheetName val="P 10.000.06"/>
      <sheetName val="P 10.000.07"/>
      <sheetName val="P 10.000.08"/>
      <sheetName val="03.993.02"/>
      <sheetName val="P 03.993.02a"/>
      <sheetName val="P 03.993.02b"/>
      <sheetName val="03.412.01"/>
      <sheetName val="03.412.02"/>
      <sheetName val="03.412.03"/>
      <sheetName val="DER53460a"/>
      <sheetName val="DER90150"/>
      <sheetName val="DER90160"/>
      <sheetName val="DER90170"/>
      <sheetName val="DER90180"/>
      <sheetName val="DER51225"/>
      <sheetName val="DER51235"/>
      <sheetName val="DER51250"/>
      <sheetName val="DER51260"/>
      <sheetName val="DER51270"/>
      <sheetName val="DER51280"/>
      <sheetName val="DER51290"/>
      <sheetName val="DER51300"/>
      <sheetName val="DER51310"/>
      <sheetName val="DER51320"/>
      <sheetName val="DER51330"/>
      <sheetName val="DER51340"/>
      <sheetName val="DER51350"/>
      <sheetName val="DER51360"/>
      <sheetName val="DER45000"/>
      <sheetName val="DER52020a"/>
      <sheetName val="DER52020b"/>
      <sheetName val="0499901a"/>
      <sheetName val="03.991.02"/>
      <sheetName val="Plan18"/>
      <sheetName val="Dados"/>
      <sheetName val="mat"/>
      <sheetName val="RELATÓRIO"/>
      <sheetName val="SERVIÇOS"/>
    </sheetNames>
    <sheetDataSet>
      <sheetData sheetId="0">
        <row r="9">
          <cell r="A9" t="str">
            <v>01.000.00</v>
          </cell>
          <cell r="B9" t="str">
            <v>Desmatamento,destocamento e limpeza de área com árvore até 0,15m</v>
          </cell>
          <cell r="C9" t="str">
            <v>DNER-ES278/97</v>
          </cell>
          <cell r="D9" t="str">
            <v xml:space="preserve"> </v>
          </cell>
          <cell r="E9" t="str">
            <v>m2</v>
          </cell>
          <cell r="F9">
            <v>0.05</v>
          </cell>
          <cell r="G9">
            <v>0.02</v>
          </cell>
          <cell r="H9">
            <v>7.0000000000000007E-2</v>
          </cell>
        </row>
        <row r="10">
          <cell r="A10" t="str">
            <v>01.010.00</v>
          </cell>
          <cell r="B10" t="str">
            <v>Desmatamento e destocamento árvores de 0,15m a 0,30m</v>
          </cell>
          <cell r="C10" t="str">
            <v>DNER-ES278/97</v>
          </cell>
          <cell r="D10" t="str">
            <v xml:space="preserve"> </v>
          </cell>
          <cell r="E10" t="str">
            <v>un</v>
          </cell>
          <cell r="F10">
            <v>6.57</v>
          </cell>
          <cell r="G10">
            <v>2.35</v>
          </cell>
          <cell r="H10">
            <v>8.92</v>
          </cell>
        </row>
        <row r="11">
          <cell r="A11" t="str">
            <v>01.011.00</v>
          </cell>
          <cell r="B11" t="str">
            <v>Desmatamento e destocamento árvores superior a 0,30m</v>
          </cell>
          <cell r="C11" t="str">
            <v>DNER-ES278/97</v>
          </cell>
          <cell r="D11" t="str">
            <v xml:space="preserve"> </v>
          </cell>
          <cell r="E11" t="str">
            <v>un</v>
          </cell>
          <cell r="F11">
            <v>19.7</v>
          </cell>
          <cell r="G11">
            <v>7.05</v>
          </cell>
          <cell r="H11">
            <v>26.75</v>
          </cell>
        </row>
        <row r="12">
          <cell r="A12" t="str">
            <v>01.100.01</v>
          </cell>
          <cell r="B12" t="str">
            <v>Escavação,carga e transportes de material de 1a  categoria DMT &lt;= 50m</v>
          </cell>
          <cell r="C12" t="str">
            <v>DNER-ES280/97</v>
          </cell>
          <cell r="D12" t="str">
            <v xml:space="preserve"> </v>
          </cell>
          <cell r="E12" t="str">
            <v>m3</v>
          </cell>
          <cell r="F12">
            <v>0.46</v>
          </cell>
          <cell r="G12">
            <v>0.16</v>
          </cell>
          <cell r="H12">
            <v>0.62</v>
          </cell>
        </row>
        <row r="13">
          <cell r="A13" t="str">
            <v>01.100.02</v>
          </cell>
          <cell r="B13" t="str">
            <v>Escavação,carga e transportes de material de 1a  categoria da DMT= 50m a 200m</v>
          </cell>
          <cell r="C13" t="str">
            <v>DNER-ES280/97</v>
          </cell>
          <cell r="D13" t="str">
            <v xml:space="preserve"> </v>
          </cell>
          <cell r="E13" t="str">
            <v>m3</v>
          </cell>
          <cell r="F13">
            <v>0.86</v>
          </cell>
          <cell r="G13">
            <v>0.31</v>
          </cell>
          <cell r="H13">
            <v>1.17</v>
          </cell>
        </row>
        <row r="14">
          <cell r="A14" t="str">
            <v>01.100.03</v>
          </cell>
          <cell r="B14" t="str">
            <v>Escavação,carga e transportes de material de 1a categoria DMT= 200 a 400m</v>
          </cell>
          <cell r="C14" t="str">
            <v>DNER-ES280/97</v>
          </cell>
          <cell r="D14" t="str">
            <v xml:space="preserve"> </v>
          </cell>
          <cell r="E14" t="str">
            <v>m3</v>
          </cell>
          <cell r="F14">
            <v>1.01</v>
          </cell>
          <cell r="G14">
            <v>0.36</v>
          </cell>
          <cell r="H14">
            <v>1.37</v>
          </cell>
        </row>
        <row r="15">
          <cell r="A15" t="str">
            <v>01.100.04</v>
          </cell>
          <cell r="B15" t="str">
            <v>Escavação,carga e transportes de material de 1a categoria DMT= 400 a 600m</v>
          </cell>
          <cell r="C15" t="str">
            <v>DNER-ES280/97</v>
          </cell>
          <cell r="D15" t="str">
            <v xml:space="preserve"> </v>
          </cell>
          <cell r="E15" t="str">
            <v>m3</v>
          </cell>
          <cell r="F15">
            <v>1.18</v>
          </cell>
          <cell r="G15">
            <v>0.42</v>
          </cell>
          <cell r="H15">
            <v>1.5999999999999999</v>
          </cell>
        </row>
        <row r="16">
          <cell r="A16" t="str">
            <v>01.100.05</v>
          </cell>
          <cell r="B16" t="str">
            <v>Escavação,carga e transportes de material de 1a categoria DMT= 600 a 800m</v>
          </cell>
          <cell r="C16" t="str">
            <v>DNER-ES280/97</v>
          </cell>
          <cell r="D16" t="str">
            <v xml:space="preserve"> </v>
          </cell>
          <cell r="E16" t="str">
            <v>m3</v>
          </cell>
          <cell r="F16">
            <v>1.39</v>
          </cell>
          <cell r="G16">
            <v>0.5</v>
          </cell>
          <cell r="H16">
            <v>1.89</v>
          </cell>
        </row>
        <row r="17">
          <cell r="A17" t="str">
            <v>01.100.06</v>
          </cell>
          <cell r="B17" t="str">
            <v>Escavação,carga e transportes de material de 1a categoria DMT= 800 a  1000m</v>
          </cell>
          <cell r="C17" t="str">
            <v>DNER-ES280/97</v>
          </cell>
          <cell r="D17" t="str">
            <v xml:space="preserve"> </v>
          </cell>
          <cell r="E17" t="str">
            <v>m3</v>
          </cell>
          <cell r="F17">
            <v>1.54</v>
          </cell>
          <cell r="G17">
            <v>0.55000000000000004</v>
          </cell>
          <cell r="H17">
            <v>2.09</v>
          </cell>
        </row>
        <row r="18">
          <cell r="A18" t="str">
            <v>01.100.07</v>
          </cell>
          <cell r="B18" t="str">
            <v>Escavação,carga e transportes de material de 1a categoria DMT= 1000 a 1200m</v>
          </cell>
          <cell r="C18" t="str">
            <v>DNER-ES280/97</v>
          </cell>
          <cell r="D18" t="str">
            <v xml:space="preserve"> </v>
          </cell>
          <cell r="E18" t="str">
            <v>m3</v>
          </cell>
          <cell r="F18">
            <v>1.74</v>
          </cell>
          <cell r="G18">
            <v>0.62</v>
          </cell>
          <cell r="H18">
            <v>2.36</v>
          </cell>
        </row>
        <row r="19">
          <cell r="A19" t="str">
            <v>01.100.08</v>
          </cell>
          <cell r="B19" t="str">
            <v>Escavação,carga e transportes de material de 1a categoria DMT= 1200 a 1400m</v>
          </cell>
          <cell r="C19" t="str">
            <v>DNER-ES280/97</v>
          </cell>
          <cell r="D19" t="str">
            <v xml:space="preserve"> </v>
          </cell>
          <cell r="E19" t="str">
            <v>m3</v>
          </cell>
          <cell r="F19">
            <v>1.94</v>
          </cell>
          <cell r="G19">
            <v>0.69</v>
          </cell>
          <cell r="H19">
            <v>2.63</v>
          </cell>
        </row>
        <row r="20">
          <cell r="A20" t="str">
            <v>01.100.09</v>
          </cell>
          <cell r="B20" t="str">
            <v>Escavação,carga e transportes de material de 1a categoria DMT= 50 a 200m</v>
          </cell>
          <cell r="C20" t="str">
            <v>DNER-ES280/97</v>
          </cell>
          <cell r="D20" t="str">
            <v xml:space="preserve"> </v>
          </cell>
          <cell r="E20" t="str">
            <v>m3</v>
          </cell>
          <cell r="F20">
            <v>1.39</v>
          </cell>
          <cell r="G20">
            <v>0.5</v>
          </cell>
          <cell r="H20">
            <v>1.89</v>
          </cell>
        </row>
        <row r="21">
          <cell r="A21" t="str">
            <v>01.100.10</v>
          </cell>
          <cell r="B21" t="str">
            <v>Escavação,carga e transportes de material de 1a categoria DMT= 200 a 400m</v>
          </cell>
          <cell r="C21" t="str">
            <v>DNER-ES280/97</v>
          </cell>
          <cell r="D21" t="str">
            <v xml:space="preserve"> </v>
          </cell>
          <cell r="E21" t="str">
            <v>m3</v>
          </cell>
          <cell r="F21">
            <v>1.46</v>
          </cell>
          <cell r="G21">
            <v>0.52</v>
          </cell>
          <cell r="H21">
            <v>1.98</v>
          </cell>
        </row>
        <row r="22">
          <cell r="A22" t="str">
            <v>01.100.11</v>
          </cell>
          <cell r="B22" t="str">
            <v>Escavação,carga e transportes de material de 1a categoria DMT= 400 a 600m</v>
          </cell>
          <cell r="C22" t="str">
            <v>DNER-ES280/97</v>
          </cell>
          <cell r="D22" t="str">
            <v xml:space="preserve"> </v>
          </cell>
          <cell r="E22" t="str">
            <v>m3</v>
          </cell>
          <cell r="F22">
            <v>1.56</v>
          </cell>
          <cell r="G22">
            <v>0.56000000000000005</v>
          </cell>
          <cell r="H22">
            <v>2.12</v>
          </cell>
        </row>
        <row r="23">
          <cell r="A23" t="str">
            <v>01.100.12</v>
          </cell>
          <cell r="B23" t="str">
            <v>Escavação,carga e transportes de material de 1a categoria DMT= 600 a 800m</v>
          </cell>
          <cell r="C23" t="str">
            <v>DNER-ES280/97</v>
          </cell>
          <cell r="D23" t="str">
            <v xml:space="preserve"> </v>
          </cell>
          <cell r="E23" t="str">
            <v>m3</v>
          </cell>
          <cell r="F23">
            <v>1.61</v>
          </cell>
          <cell r="G23">
            <v>0.57999999999999996</v>
          </cell>
          <cell r="H23">
            <v>2.19</v>
          </cell>
        </row>
        <row r="24">
          <cell r="A24" t="str">
            <v>01.100.13</v>
          </cell>
          <cell r="B24" t="str">
            <v>Escavação,carga e transportes de material de 1a categoria DMT= 800 a 1000m</v>
          </cell>
          <cell r="C24" t="str">
            <v>DNER-ES280/97</v>
          </cell>
          <cell r="D24" t="str">
            <v xml:space="preserve"> </v>
          </cell>
          <cell r="E24" t="str">
            <v>m3</v>
          </cell>
          <cell r="F24">
            <v>1.74</v>
          </cell>
          <cell r="G24">
            <v>0.62</v>
          </cell>
          <cell r="H24">
            <v>2.36</v>
          </cell>
        </row>
        <row r="25">
          <cell r="A25" t="str">
            <v>01.100.14</v>
          </cell>
          <cell r="B25" t="str">
            <v>Escavação,carga e transportes de material de 1a categoria DMT= 1000 a 1200m</v>
          </cell>
          <cell r="C25" t="str">
            <v>DNER-ES280/97</v>
          </cell>
          <cell r="D25" t="str">
            <v xml:space="preserve"> </v>
          </cell>
          <cell r="E25" t="str">
            <v>m3</v>
          </cell>
          <cell r="F25">
            <v>1.77</v>
          </cell>
          <cell r="G25">
            <v>0.63</v>
          </cell>
          <cell r="H25">
            <v>2.4</v>
          </cell>
        </row>
        <row r="26">
          <cell r="A26" t="str">
            <v>01.100.15</v>
          </cell>
          <cell r="B26" t="str">
            <v>Escavação,carga e transportes de material de 1a categoria DMT= 1200 a 1400m</v>
          </cell>
          <cell r="C26" t="str">
            <v>DNER-ES280/97</v>
          </cell>
          <cell r="D26" t="str">
            <v xml:space="preserve"> </v>
          </cell>
          <cell r="E26" t="str">
            <v>m3</v>
          </cell>
          <cell r="F26">
            <v>1.93</v>
          </cell>
          <cell r="G26">
            <v>0.69</v>
          </cell>
          <cell r="H26">
            <v>2.62</v>
          </cell>
        </row>
        <row r="27">
          <cell r="A27" t="str">
            <v>01.100.16</v>
          </cell>
          <cell r="B27" t="str">
            <v>Escavação,carga e transportes de material de 1a  categoria DMT 1400 a 1600m</v>
          </cell>
          <cell r="C27" t="str">
            <v>DNER-ES280/97</v>
          </cell>
          <cell r="D27" t="str">
            <v xml:space="preserve"> </v>
          </cell>
          <cell r="E27" t="str">
            <v>m3</v>
          </cell>
          <cell r="F27">
            <v>2.0099999999999998</v>
          </cell>
          <cell r="G27">
            <v>0.72</v>
          </cell>
          <cell r="H27">
            <v>2.7299999999999995</v>
          </cell>
        </row>
        <row r="28">
          <cell r="A28" t="str">
            <v>01.100.17</v>
          </cell>
          <cell r="B28" t="str">
            <v>Escavação,carga e transportes de material de 1a categoria DMT= 1600 a 1800m</v>
          </cell>
          <cell r="C28" t="str">
            <v>DNER-ES280/97</v>
          </cell>
          <cell r="D28" t="str">
            <v xml:space="preserve"> </v>
          </cell>
          <cell r="E28" t="str">
            <v>m3</v>
          </cell>
          <cell r="F28">
            <v>2.09</v>
          </cell>
          <cell r="G28">
            <v>0.75</v>
          </cell>
          <cell r="H28">
            <v>2.84</v>
          </cell>
        </row>
        <row r="29">
          <cell r="A29" t="str">
            <v>01.100.18</v>
          </cell>
          <cell r="B29" t="str">
            <v>Escavação,carga e transportes de material de 1a categoria DMT= 1800 a 2000m</v>
          </cell>
          <cell r="C29" t="str">
            <v>DNER-ES280/97</v>
          </cell>
          <cell r="D29" t="str">
            <v xml:space="preserve"> </v>
          </cell>
          <cell r="E29" t="str">
            <v>m3</v>
          </cell>
          <cell r="F29">
            <v>2.15</v>
          </cell>
          <cell r="G29">
            <v>0.77</v>
          </cell>
          <cell r="H29">
            <v>2.92</v>
          </cell>
        </row>
        <row r="30">
          <cell r="A30" t="str">
            <v>01.100.19</v>
          </cell>
          <cell r="B30" t="str">
            <v>Escavação,carga e transportes de material de 1a categoria DMT= 2000 a 3000m</v>
          </cell>
          <cell r="C30" t="str">
            <v>DNER-ES280/97</v>
          </cell>
          <cell r="D30" t="str">
            <v xml:space="preserve"> </v>
          </cell>
          <cell r="E30" t="str">
            <v>m3</v>
          </cell>
          <cell r="F30">
            <v>2.4</v>
          </cell>
          <cell r="G30">
            <v>0.86</v>
          </cell>
          <cell r="H30">
            <v>3.26</v>
          </cell>
        </row>
        <row r="31">
          <cell r="A31" t="str">
            <v>01.100.20</v>
          </cell>
          <cell r="B31" t="str">
            <v>Escavação,carga e transportes de material de 1a categoria DMT= 3000 a 5000m</v>
          </cell>
          <cell r="C31" t="str">
            <v>DNER-ES280/97</v>
          </cell>
          <cell r="D31" t="str">
            <v xml:space="preserve"> </v>
          </cell>
          <cell r="E31" t="str">
            <v>m3</v>
          </cell>
          <cell r="F31">
            <v>3.03</v>
          </cell>
          <cell r="G31">
            <v>1.08</v>
          </cell>
          <cell r="H31">
            <v>4.1099999999999994</v>
          </cell>
        </row>
        <row r="32">
          <cell r="A32" t="str">
            <v>01.100.21</v>
          </cell>
          <cell r="B32" t="str">
            <v>Escavação,carga e transportes manual de material de 1a  categoria  DT=20m</v>
          </cell>
          <cell r="C32" t="str">
            <v>DNER-ES280/97</v>
          </cell>
          <cell r="D32" t="str">
            <v xml:space="preserve"> </v>
          </cell>
          <cell r="E32" t="str">
            <v>m3</v>
          </cell>
          <cell r="F32">
            <v>5.17</v>
          </cell>
          <cell r="G32">
            <v>1.85</v>
          </cell>
          <cell r="H32">
            <v>7.02</v>
          </cell>
        </row>
        <row r="33">
          <cell r="A33" t="str">
            <v>01.101.01</v>
          </cell>
          <cell r="B33" t="str">
            <v>Escavação,carga e transportes de material de 2a  categoria DMT até 50m</v>
          </cell>
          <cell r="C33" t="str">
            <v>DNER-ES280/97</v>
          </cell>
          <cell r="D33" t="str">
            <v xml:space="preserve"> </v>
          </cell>
          <cell r="E33" t="str">
            <v>m3</v>
          </cell>
          <cell r="F33">
            <v>0.94</v>
          </cell>
          <cell r="G33">
            <v>0.34</v>
          </cell>
          <cell r="H33">
            <v>1.28</v>
          </cell>
        </row>
        <row r="34">
          <cell r="A34" t="str">
            <v>01.101.02</v>
          </cell>
          <cell r="B34" t="str">
            <v>Escavação,carga e transportes de material de 2a categoria DMT 50 a 200m c/ME</v>
          </cell>
          <cell r="C34" t="str">
            <v>DNER-ES280/97</v>
          </cell>
          <cell r="D34" t="str">
            <v xml:space="preserve"> </v>
          </cell>
          <cell r="E34" t="str">
            <v>m3</v>
          </cell>
          <cell r="F34">
            <v>1.2</v>
          </cell>
          <cell r="G34">
            <v>0.43</v>
          </cell>
          <cell r="H34">
            <v>1.63</v>
          </cell>
        </row>
        <row r="35">
          <cell r="A35" t="str">
            <v>01.101.03</v>
          </cell>
          <cell r="B35" t="str">
            <v>Escavação,carga e transportes de material de 2a categoria DMT 200 a 400m c/ME</v>
          </cell>
          <cell r="C35" t="str">
            <v>DNER-ES280/97</v>
          </cell>
          <cell r="D35" t="str">
            <v xml:space="preserve"> </v>
          </cell>
          <cell r="E35" t="str">
            <v>m3</v>
          </cell>
          <cell r="F35">
            <v>1.33</v>
          </cell>
          <cell r="G35">
            <v>0.48</v>
          </cell>
          <cell r="H35">
            <v>1.81</v>
          </cell>
        </row>
        <row r="36">
          <cell r="A36" t="str">
            <v>01.101.04</v>
          </cell>
          <cell r="B36" t="str">
            <v>Escavação,carga e transportes de material de 2a categoria DMT 400 a 600m c/ME</v>
          </cell>
          <cell r="C36" t="str">
            <v>DNER-ES280/97</v>
          </cell>
          <cell r="D36" t="str">
            <v xml:space="preserve"> </v>
          </cell>
          <cell r="E36" t="str">
            <v>m3</v>
          </cell>
          <cell r="F36">
            <v>1.56</v>
          </cell>
          <cell r="G36">
            <v>0.56000000000000005</v>
          </cell>
          <cell r="H36">
            <v>2.12</v>
          </cell>
        </row>
        <row r="37">
          <cell r="A37" t="str">
            <v>01.101.05</v>
          </cell>
          <cell r="B37" t="str">
            <v>Escavação,carga e transportes de material de 2a categoria DMT 600 a 800m c/ME</v>
          </cell>
          <cell r="C37" t="str">
            <v>DNER-ES280/97</v>
          </cell>
          <cell r="D37" t="str">
            <v xml:space="preserve"> </v>
          </cell>
          <cell r="E37" t="str">
            <v>m3</v>
          </cell>
          <cell r="F37">
            <v>1.73</v>
          </cell>
          <cell r="G37">
            <v>0.62</v>
          </cell>
          <cell r="H37">
            <v>2.35</v>
          </cell>
        </row>
        <row r="38">
          <cell r="A38" t="str">
            <v>01.101.06</v>
          </cell>
          <cell r="B38" t="str">
            <v>Escavação,carga e transportes de material de 2a categoria DMT 800 a 1000m c/ME</v>
          </cell>
          <cell r="C38" t="str">
            <v>DNER-ES280/97</v>
          </cell>
          <cell r="D38" t="str">
            <v xml:space="preserve"> </v>
          </cell>
          <cell r="E38" t="str">
            <v>m3</v>
          </cell>
          <cell r="F38">
            <v>1.91</v>
          </cell>
          <cell r="G38">
            <v>0.68</v>
          </cell>
          <cell r="H38">
            <v>2.59</v>
          </cell>
        </row>
        <row r="39">
          <cell r="A39" t="str">
            <v>01.101.07</v>
          </cell>
          <cell r="B39" t="str">
            <v>Escavação,carga e transportes de material de 2a categoria DMT 1000 a 1200m c/ME</v>
          </cell>
          <cell r="C39" t="str">
            <v>DNER-ES280/97</v>
          </cell>
          <cell r="D39" t="str">
            <v xml:space="preserve"> </v>
          </cell>
          <cell r="E39" t="str">
            <v>m3</v>
          </cell>
          <cell r="F39">
            <v>2.12</v>
          </cell>
          <cell r="G39">
            <v>0.76</v>
          </cell>
          <cell r="H39">
            <v>2.88</v>
          </cell>
        </row>
        <row r="40">
          <cell r="A40" t="str">
            <v>01.101.08</v>
          </cell>
          <cell r="B40" t="str">
            <v>Escavação,carga e transportes de material de 2a categoria DMT 1200 a 1400m c/ME</v>
          </cell>
          <cell r="C40" t="str">
            <v>DNER-ES280/97</v>
          </cell>
          <cell r="D40" t="str">
            <v xml:space="preserve"> </v>
          </cell>
          <cell r="E40" t="str">
            <v>m3</v>
          </cell>
          <cell r="F40">
            <v>2.38</v>
          </cell>
          <cell r="G40">
            <v>0.85</v>
          </cell>
          <cell r="H40">
            <v>3.23</v>
          </cell>
        </row>
        <row r="41">
          <cell r="A41" t="str">
            <v>01.101.09</v>
          </cell>
          <cell r="B41" t="str">
            <v>Escavação,carga e transportes de material de 2a categoria,c/CB, DMT 50 a 200m</v>
          </cell>
          <cell r="C41" t="str">
            <v>DNER-ES280/97</v>
          </cell>
          <cell r="D41" t="str">
            <v xml:space="preserve"> </v>
          </cell>
          <cell r="E41" t="str">
            <v>m3</v>
          </cell>
          <cell r="F41">
            <v>2.1</v>
          </cell>
          <cell r="G41">
            <v>0.75</v>
          </cell>
          <cell r="H41">
            <v>2.85</v>
          </cell>
        </row>
        <row r="42">
          <cell r="A42" t="str">
            <v>01.101.10</v>
          </cell>
          <cell r="B42" t="str">
            <v>Escavação,carga e transportes de material de 2a categoria,c/CB,  DMT 200 a 400m</v>
          </cell>
          <cell r="C42" t="str">
            <v>DNER-ES280/97</v>
          </cell>
          <cell r="D42" t="str">
            <v xml:space="preserve"> </v>
          </cell>
          <cell r="E42" t="str">
            <v>m3</v>
          </cell>
          <cell r="F42">
            <v>2.19</v>
          </cell>
          <cell r="G42">
            <v>0.78</v>
          </cell>
          <cell r="H42">
            <v>2.9699999999999998</v>
          </cell>
        </row>
        <row r="43">
          <cell r="A43" t="str">
            <v>01.101.11</v>
          </cell>
          <cell r="B43" t="str">
            <v>Escavação,carga e transportes de material de 2a categoria,c/CB,  DMT 400 a 600m</v>
          </cell>
          <cell r="C43" t="str">
            <v>DNER-ES280/97</v>
          </cell>
          <cell r="D43" t="str">
            <v xml:space="preserve"> </v>
          </cell>
          <cell r="E43" t="str">
            <v>m3</v>
          </cell>
          <cell r="F43">
            <v>2.3199999999999998</v>
          </cell>
          <cell r="G43">
            <v>0.83</v>
          </cell>
          <cell r="H43">
            <v>3.15</v>
          </cell>
        </row>
        <row r="44">
          <cell r="A44" t="str">
            <v>01.101.12</v>
          </cell>
          <cell r="B44" t="str">
            <v>Escavação,carga e transportes de material de 2a categoria,c/CB,  DMT 600 a 800m</v>
          </cell>
          <cell r="C44" t="str">
            <v>DNER-ES280/97</v>
          </cell>
          <cell r="D44" t="str">
            <v xml:space="preserve"> </v>
          </cell>
          <cell r="E44" t="str">
            <v>m3</v>
          </cell>
          <cell r="F44">
            <v>2.38</v>
          </cell>
          <cell r="G44">
            <v>0.85</v>
          </cell>
          <cell r="H44">
            <v>3.23</v>
          </cell>
        </row>
        <row r="45">
          <cell r="A45" t="str">
            <v>01.101.13</v>
          </cell>
          <cell r="B45" t="str">
            <v>Escavação,carga e transportes de material de 2a categoria,c/CB,  DMT 800 a 1 000m</v>
          </cell>
          <cell r="C45" t="str">
            <v>DNER-ES280/97</v>
          </cell>
          <cell r="D45" t="str">
            <v xml:space="preserve"> </v>
          </cell>
          <cell r="E45" t="str">
            <v>m3</v>
          </cell>
          <cell r="F45">
            <v>2.52</v>
          </cell>
          <cell r="G45">
            <v>0.9</v>
          </cell>
          <cell r="H45">
            <v>3.42</v>
          </cell>
        </row>
        <row r="46">
          <cell r="A46" t="str">
            <v>01.101.14</v>
          </cell>
          <cell r="B46" t="str">
            <v>Escavação,carga e transportes de material de 2a categoria,c/CB,  DMT 1000 a 1200m</v>
          </cell>
          <cell r="C46" t="str">
            <v>DNER-ES280/97</v>
          </cell>
          <cell r="D46" t="str">
            <v xml:space="preserve"> </v>
          </cell>
          <cell r="E46" t="str">
            <v>m3</v>
          </cell>
          <cell r="F46">
            <v>2.57</v>
          </cell>
          <cell r="G46">
            <v>0.92</v>
          </cell>
          <cell r="H46">
            <v>3.4899999999999998</v>
          </cell>
        </row>
        <row r="47">
          <cell r="A47" t="str">
            <v>01.101.15</v>
          </cell>
          <cell r="B47" t="str">
            <v>Escavação,carga e transportes de material de 2a categoria,c/CB,  DMT 1200 a 1400m</v>
          </cell>
          <cell r="C47" t="str">
            <v>DNER-ES280/97</v>
          </cell>
          <cell r="D47" t="str">
            <v xml:space="preserve"> </v>
          </cell>
          <cell r="E47" t="str">
            <v>m3</v>
          </cell>
          <cell r="F47">
            <v>2.75</v>
          </cell>
          <cell r="G47">
            <v>0.98</v>
          </cell>
          <cell r="H47">
            <v>3.73</v>
          </cell>
        </row>
        <row r="48">
          <cell r="A48" t="str">
            <v>01.101.16</v>
          </cell>
          <cell r="B48" t="str">
            <v>Escavação,carga e transportes de material de 2a categoria,c/CB,  DMT 1400 a 1600m</v>
          </cell>
          <cell r="C48" t="str">
            <v>DNER-ES280/97</v>
          </cell>
          <cell r="D48" t="str">
            <v xml:space="preserve"> </v>
          </cell>
          <cell r="E48" t="str">
            <v>m3</v>
          </cell>
          <cell r="F48">
            <v>2.85</v>
          </cell>
          <cell r="G48">
            <v>1.02</v>
          </cell>
          <cell r="H48">
            <v>3.87</v>
          </cell>
        </row>
        <row r="49">
          <cell r="A49" t="str">
            <v>01.101.17</v>
          </cell>
          <cell r="B49" t="str">
            <v>Escavação,carga e transportes de material de 2a categoria,c/CB,  DMT 1600 a 1800m</v>
          </cell>
          <cell r="C49" t="str">
            <v>DNER-ES280/97</v>
          </cell>
          <cell r="D49" t="str">
            <v xml:space="preserve"> </v>
          </cell>
          <cell r="E49" t="str">
            <v>m3</v>
          </cell>
          <cell r="F49">
            <v>2.94</v>
          </cell>
          <cell r="G49">
            <v>1.05</v>
          </cell>
          <cell r="H49">
            <v>3.99</v>
          </cell>
        </row>
        <row r="50">
          <cell r="A50" t="str">
            <v>01.101.18</v>
          </cell>
          <cell r="B50" t="str">
            <v>Escavação,carga e transportes de material de 2a categoria,c/CB,  DMT 1800 a 2000m</v>
          </cell>
          <cell r="C50" t="str">
            <v>DNER-ES280/97</v>
          </cell>
          <cell r="D50" t="str">
            <v xml:space="preserve"> </v>
          </cell>
          <cell r="E50" t="str">
            <v>m3</v>
          </cell>
          <cell r="F50">
            <v>3.05</v>
          </cell>
          <cell r="G50">
            <v>1.0900000000000001</v>
          </cell>
          <cell r="H50">
            <v>4.1399999999999997</v>
          </cell>
        </row>
        <row r="51">
          <cell r="A51" t="str">
            <v>01.101.19</v>
          </cell>
          <cell r="B51" t="str">
            <v>Escavação,carga e transportes de material de 2a categoria,c/CB,  DMT 2000 a 3000m</v>
          </cell>
          <cell r="C51" t="str">
            <v>DNER-ES280/97</v>
          </cell>
          <cell r="D51" t="str">
            <v xml:space="preserve"> </v>
          </cell>
          <cell r="E51" t="str">
            <v>m3</v>
          </cell>
          <cell r="F51">
            <v>3.32</v>
          </cell>
          <cell r="G51">
            <v>1.19</v>
          </cell>
          <cell r="H51">
            <v>4.51</v>
          </cell>
        </row>
        <row r="52">
          <cell r="A52" t="str">
            <v>01.101.20</v>
          </cell>
          <cell r="B52" t="str">
            <v>Escavação,carga e transportes de material de 2a categoria,c/CB,  DMT 3000 a 5000m</v>
          </cell>
          <cell r="C52" t="str">
            <v>DNER-ES280/97</v>
          </cell>
          <cell r="D52" t="str">
            <v xml:space="preserve"> </v>
          </cell>
          <cell r="E52" t="str">
            <v>m3</v>
          </cell>
          <cell r="F52">
            <v>4.08</v>
          </cell>
          <cell r="G52">
            <v>1.46</v>
          </cell>
          <cell r="H52">
            <v>5.54</v>
          </cell>
        </row>
        <row r="53">
          <cell r="A53" t="str">
            <v>DER51225</v>
          </cell>
          <cell r="B53" t="str">
            <v>Escavação,carga e transportes de material de 2a categoria DMT 3000 a 4000m</v>
          </cell>
          <cell r="C53" t="str">
            <v>DNER-ES280/97</v>
          </cell>
          <cell r="D53" t="str">
            <v xml:space="preserve"> </v>
          </cell>
          <cell r="E53" t="str">
            <v>m3</v>
          </cell>
          <cell r="F53">
            <v>3.36</v>
          </cell>
          <cell r="G53">
            <v>1.2</v>
          </cell>
          <cell r="H53">
            <v>4.5599999999999996</v>
          </cell>
        </row>
        <row r="54">
          <cell r="A54" t="str">
            <v>DER51235</v>
          </cell>
          <cell r="B54" t="str">
            <v>Escavação,carga e transportes de material de 2a categoria DMT 4000 a 5000m</v>
          </cell>
          <cell r="C54" t="str">
            <v>DNER-ES280/97</v>
          </cell>
          <cell r="D54" t="str">
            <v xml:space="preserve"> </v>
          </cell>
          <cell r="E54" t="str">
            <v>m3</v>
          </cell>
          <cell r="F54">
            <v>3.79</v>
          </cell>
          <cell r="G54">
            <v>1.36</v>
          </cell>
          <cell r="H54">
            <v>5.15</v>
          </cell>
        </row>
        <row r="55">
          <cell r="A55" t="str">
            <v>DER51250</v>
          </cell>
          <cell r="B55" t="str">
            <v>Escavação,carga e transportes de material de 2a categoria DMT 5000 a 6000m</v>
          </cell>
          <cell r="C55" t="str">
            <v>DNER-ES280/97</v>
          </cell>
          <cell r="D55" t="str">
            <v xml:space="preserve"> </v>
          </cell>
          <cell r="E55" t="str">
            <v>m3</v>
          </cell>
          <cell r="F55">
            <v>4.2</v>
          </cell>
          <cell r="G55">
            <v>1.5</v>
          </cell>
          <cell r="H55">
            <v>5.7</v>
          </cell>
        </row>
        <row r="56">
          <cell r="A56" t="str">
            <v>DER51260</v>
          </cell>
          <cell r="B56" t="str">
            <v>Escavação,carga e transportes de material de 2a categoria DMT 6000 a 7000m</v>
          </cell>
          <cell r="C56" t="str">
            <v>DNER-ES280/97</v>
          </cell>
          <cell r="D56" t="str">
            <v xml:space="preserve"> </v>
          </cell>
          <cell r="E56" t="str">
            <v>m3</v>
          </cell>
          <cell r="F56">
            <v>4.67</v>
          </cell>
          <cell r="G56">
            <v>1.67</v>
          </cell>
          <cell r="H56">
            <v>6.34</v>
          </cell>
        </row>
        <row r="57">
          <cell r="A57" t="str">
            <v>DER51270</v>
          </cell>
          <cell r="B57" t="str">
            <v>Escavação,carga e transportes de material de 2a categoria DMT 7000 a 8000m</v>
          </cell>
          <cell r="C57" t="str">
            <v>DNER-ES280/97</v>
          </cell>
          <cell r="D57" t="str">
            <v xml:space="preserve"> </v>
          </cell>
          <cell r="E57" t="str">
            <v>m3</v>
          </cell>
          <cell r="F57">
            <v>5.0999999999999996</v>
          </cell>
          <cell r="G57">
            <v>1.83</v>
          </cell>
          <cell r="H57">
            <v>6.93</v>
          </cell>
        </row>
        <row r="58">
          <cell r="A58" t="str">
            <v>DER51280</v>
          </cell>
          <cell r="B58" t="str">
            <v>Escavação,carga e transportes de material de 2a categoria DMT 8000 a 9000m</v>
          </cell>
          <cell r="C58" t="str">
            <v>DNER-ES280/97</v>
          </cell>
          <cell r="D58" t="str">
            <v xml:space="preserve"> </v>
          </cell>
          <cell r="E58" t="str">
            <v>m3</v>
          </cell>
          <cell r="F58">
            <v>5.51</v>
          </cell>
          <cell r="G58">
            <v>1.97</v>
          </cell>
          <cell r="H58">
            <v>7.4799999999999995</v>
          </cell>
        </row>
        <row r="59">
          <cell r="A59" t="str">
            <v>DER51290</v>
          </cell>
          <cell r="B59" t="str">
            <v>Escavação,carga e transportes de material de 2a categoria DMT 9000 a 10000m</v>
          </cell>
          <cell r="C59" t="str">
            <v>DNER-ES280/97</v>
          </cell>
          <cell r="D59" t="str">
            <v xml:space="preserve"> </v>
          </cell>
          <cell r="E59" t="str">
            <v>m3</v>
          </cell>
          <cell r="F59">
            <v>5.97</v>
          </cell>
          <cell r="G59">
            <v>2.14</v>
          </cell>
          <cell r="H59">
            <v>8.11</v>
          </cell>
        </row>
        <row r="60">
          <cell r="A60" t="str">
            <v>DER51300</v>
          </cell>
          <cell r="B60" t="str">
            <v>Escavação,carga e transportes de material de 2a categoria DMT 10000 a 12000m</v>
          </cell>
          <cell r="C60" t="str">
            <v>DNER-ES280/97</v>
          </cell>
          <cell r="D60" t="str">
            <v xml:space="preserve"> </v>
          </cell>
          <cell r="E60" t="str">
            <v>m3</v>
          </cell>
          <cell r="F60">
            <v>6.57</v>
          </cell>
          <cell r="G60">
            <v>2.35</v>
          </cell>
          <cell r="H60">
            <v>8.92</v>
          </cell>
        </row>
        <row r="61">
          <cell r="A61" t="str">
            <v>DER51310</v>
          </cell>
          <cell r="B61" t="str">
            <v>Escavação,carga e transportes de material de 2a categoria DMT 12000 a 14000m</v>
          </cell>
          <cell r="C61" t="str">
            <v>DNER-ES280/97</v>
          </cell>
          <cell r="D61" t="str">
            <v xml:space="preserve"> </v>
          </cell>
          <cell r="E61" t="str">
            <v>m3</v>
          </cell>
          <cell r="F61">
            <v>7.47</v>
          </cell>
          <cell r="G61">
            <v>2.67</v>
          </cell>
          <cell r="H61">
            <v>10.14</v>
          </cell>
        </row>
        <row r="62">
          <cell r="A62" t="str">
            <v>DER51320</v>
          </cell>
          <cell r="B62" t="str">
            <v>Escavação,carga e transportes de material de 2a categoria DMT 14000 a 16000m</v>
          </cell>
          <cell r="C62" t="str">
            <v>DNER-ES280/97</v>
          </cell>
          <cell r="D62" t="str">
            <v xml:space="preserve"> </v>
          </cell>
          <cell r="E62" t="str">
            <v>m3</v>
          </cell>
          <cell r="F62">
            <v>8.33</v>
          </cell>
          <cell r="G62">
            <v>2.98</v>
          </cell>
          <cell r="H62">
            <v>11.31</v>
          </cell>
        </row>
        <row r="63">
          <cell r="A63" t="str">
            <v>DER51330</v>
          </cell>
          <cell r="B63" t="str">
            <v>Escavação,carga e transportes de material de 2a categoria DMT 16000 a 18000m</v>
          </cell>
          <cell r="C63" t="str">
            <v>DNER-ES280/97</v>
          </cell>
          <cell r="E63" t="str">
            <v>m3</v>
          </cell>
          <cell r="F63">
            <v>9.23</v>
          </cell>
          <cell r="G63">
            <v>3.3</v>
          </cell>
          <cell r="H63">
            <v>12.530000000000001</v>
          </cell>
        </row>
        <row r="64">
          <cell r="A64" t="str">
            <v>DER51340</v>
          </cell>
          <cell r="B64" t="str">
            <v>Escavação,carga e transportes de material de 2a categoria DMT 18000 a 20000m</v>
          </cell>
          <cell r="C64" t="str">
            <v>DNER-ES280/97</v>
          </cell>
          <cell r="E64" t="str">
            <v>m3</v>
          </cell>
          <cell r="F64">
            <v>10.050000000000001</v>
          </cell>
          <cell r="G64">
            <v>3.6</v>
          </cell>
          <cell r="H64">
            <v>13.65</v>
          </cell>
        </row>
        <row r="65">
          <cell r="A65" t="str">
            <v>DER51350</v>
          </cell>
          <cell r="B65" t="str">
            <v>Escavação,carga e transportes de material de 2a categoria DMT 20000 a 22000m</v>
          </cell>
          <cell r="C65" t="str">
            <v>DNER-ES280/97</v>
          </cell>
          <cell r="E65" t="str">
            <v>m3</v>
          </cell>
          <cell r="F65">
            <v>10.9</v>
          </cell>
          <cell r="G65">
            <v>3.9</v>
          </cell>
          <cell r="H65">
            <v>14.8</v>
          </cell>
        </row>
        <row r="66">
          <cell r="A66" t="str">
            <v>DER51360</v>
          </cell>
          <cell r="B66" t="str">
            <v>Escavação,carga e transportes de material de 2a categoria DMT 22000 a 24000m</v>
          </cell>
          <cell r="C66" t="str">
            <v>DNER-ES280/97</v>
          </cell>
          <cell r="E66" t="str">
            <v>m3</v>
          </cell>
          <cell r="F66">
            <v>11.81</v>
          </cell>
          <cell r="G66">
            <v>4.2300000000000004</v>
          </cell>
          <cell r="H66">
            <v>16.04</v>
          </cell>
        </row>
        <row r="67">
          <cell r="A67" t="str">
            <v>01.102.01</v>
          </cell>
          <cell r="B67" t="str">
            <v>Escavação,carga e transportes de material de 3a  categoria DMT até 50m</v>
          </cell>
          <cell r="C67" t="str">
            <v>DNER-ES280/97</v>
          </cell>
          <cell r="D67" t="str">
            <v xml:space="preserve"> </v>
          </cell>
          <cell r="E67" t="str">
            <v>m3</v>
          </cell>
          <cell r="F67">
            <v>3.42</v>
          </cell>
          <cell r="G67">
            <v>1.22</v>
          </cell>
          <cell r="H67">
            <v>4.6399999999999997</v>
          </cell>
        </row>
        <row r="68">
          <cell r="A68" t="str">
            <v>01.102.02</v>
          </cell>
          <cell r="B68" t="str">
            <v xml:space="preserve">Escavação,carga e transportes de material de 3a categoria  DMT 50 a 200m </v>
          </cell>
          <cell r="C68" t="str">
            <v>DNER-ES280/97</v>
          </cell>
          <cell r="D68" t="str">
            <v xml:space="preserve"> </v>
          </cell>
          <cell r="E68" t="str">
            <v>m3</v>
          </cell>
          <cell r="F68">
            <v>7.28</v>
          </cell>
          <cell r="G68">
            <v>2.61</v>
          </cell>
          <cell r="H68">
            <v>9.89</v>
          </cell>
        </row>
        <row r="69">
          <cell r="A69" t="str">
            <v>01.102.03</v>
          </cell>
          <cell r="B69" t="str">
            <v>Escavação,carga e transportes de material de 3a categoria  DMT 200 a 400m</v>
          </cell>
          <cell r="C69" t="str">
            <v>DNER-ES280/97</v>
          </cell>
          <cell r="D69" t="str">
            <v xml:space="preserve"> </v>
          </cell>
          <cell r="E69" t="str">
            <v>m3</v>
          </cell>
          <cell r="F69">
            <v>7.57</v>
          </cell>
          <cell r="G69">
            <v>2.71</v>
          </cell>
          <cell r="H69">
            <v>10.280000000000001</v>
          </cell>
        </row>
        <row r="70">
          <cell r="A70" t="str">
            <v>01.102.04</v>
          </cell>
          <cell r="B70" t="str">
            <v xml:space="preserve">Escavação,carga e transportes de material de 3a categoria DMT 400 a 600m </v>
          </cell>
          <cell r="C70" t="str">
            <v>DNER-ES280/97</v>
          </cell>
          <cell r="D70" t="str">
            <v xml:space="preserve"> </v>
          </cell>
          <cell r="E70" t="str">
            <v>m3</v>
          </cell>
          <cell r="F70">
            <v>7.67</v>
          </cell>
          <cell r="G70">
            <v>2.75</v>
          </cell>
          <cell r="H70">
            <v>10.42</v>
          </cell>
        </row>
        <row r="71">
          <cell r="A71" t="str">
            <v>01.102.05</v>
          </cell>
          <cell r="B71" t="str">
            <v xml:space="preserve">Escavação,carga e transportes de material de 3a categoria DMT 600 a 800m </v>
          </cell>
          <cell r="C71" t="str">
            <v>DNER-ES280/97</v>
          </cell>
          <cell r="D71" t="str">
            <v xml:space="preserve"> </v>
          </cell>
          <cell r="E71" t="str">
            <v>m3</v>
          </cell>
          <cell r="F71">
            <v>7.73</v>
          </cell>
          <cell r="G71">
            <v>2.77</v>
          </cell>
          <cell r="H71">
            <v>10.5</v>
          </cell>
        </row>
        <row r="72">
          <cell r="A72" t="str">
            <v>01.102.06</v>
          </cell>
          <cell r="B72" t="str">
            <v xml:space="preserve">Escavação,carga e transportes de material de 3a categoria DMT 800 a 1000m </v>
          </cell>
          <cell r="C72" t="str">
            <v>DNER-ES280/97</v>
          </cell>
          <cell r="D72" t="str">
            <v xml:space="preserve"> </v>
          </cell>
          <cell r="E72" t="str">
            <v>m3</v>
          </cell>
          <cell r="F72">
            <v>7.77</v>
          </cell>
          <cell r="G72">
            <v>2.78</v>
          </cell>
          <cell r="H72">
            <v>10.549999999999999</v>
          </cell>
        </row>
        <row r="73">
          <cell r="A73" t="str">
            <v>01.102.07</v>
          </cell>
          <cell r="B73" t="str">
            <v xml:space="preserve">Escavação,carga e transportes de material de 3a categoria DMT 1000 a 1200m </v>
          </cell>
          <cell r="C73" t="str">
            <v>DNER-ES280/97</v>
          </cell>
          <cell r="D73" t="str">
            <v xml:space="preserve"> </v>
          </cell>
          <cell r="E73" t="str">
            <v>m3</v>
          </cell>
          <cell r="F73">
            <v>10.44</v>
          </cell>
          <cell r="G73">
            <v>3.74</v>
          </cell>
          <cell r="H73">
            <v>14.18</v>
          </cell>
        </row>
        <row r="74">
          <cell r="A74" t="str">
            <v>01.200.01</v>
          </cell>
          <cell r="B74" t="str">
            <v>Escavação e carga de material de jazida</v>
          </cell>
          <cell r="C74" t="str">
            <v xml:space="preserve"> </v>
          </cell>
          <cell r="D74" t="str">
            <v xml:space="preserve"> </v>
          </cell>
          <cell r="E74" t="str">
            <v>m3</v>
          </cell>
          <cell r="F74">
            <v>0.68</v>
          </cell>
          <cell r="G74">
            <v>0.24</v>
          </cell>
          <cell r="H74">
            <v>0.92</v>
          </cell>
        </row>
        <row r="75">
          <cell r="A75" t="str">
            <v>01.300.00</v>
          </cell>
          <cell r="B75" t="str">
            <v>Escavação e carga de solos moles</v>
          </cell>
          <cell r="C75" t="str">
            <v xml:space="preserve"> </v>
          </cell>
          <cell r="D75" t="str">
            <v xml:space="preserve"> </v>
          </cell>
          <cell r="E75" t="str">
            <v>m3</v>
          </cell>
          <cell r="F75">
            <v>3.29</v>
          </cell>
          <cell r="G75">
            <v>1.18</v>
          </cell>
          <cell r="H75">
            <v>4.47</v>
          </cell>
        </row>
        <row r="76">
          <cell r="A76" t="str">
            <v>01.510.00</v>
          </cell>
          <cell r="B76" t="str">
            <v>Compactação de aterros a 95% Proctor Normal</v>
          </cell>
          <cell r="C76" t="str">
            <v>DNER-ES282/97</v>
          </cell>
          <cell r="D76" t="str">
            <v xml:space="preserve"> </v>
          </cell>
          <cell r="E76" t="str">
            <v>m3</v>
          </cell>
          <cell r="F76">
            <v>0.57999999999999996</v>
          </cell>
          <cell r="G76">
            <v>0.21</v>
          </cell>
          <cell r="H76">
            <v>0.78999999999999992</v>
          </cell>
        </row>
        <row r="77">
          <cell r="A77" t="str">
            <v>01.511.00</v>
          </cell>
          <cell r="B77" t="str">
            <v>Compactação de aterros a 100% Proctor Normal</v>
          </cell>
          <cell r="C77" t="str">
            <v>DNER-ES282/97</v>
          </cell>
          <cell r="D77" t="str">
            <v xml:space="preserve"> </v>
          </cell>
          <cell r="E77" t="str">
            <v>m3</v>
          </cell>
          <cell r="F77">
            <v>1</v>
          </cell>
          <cell r="G77">
            <v>0.36</v>
          </cell>
          <cell r="H77">
            <v>1.3599999999999999</v>
          </cell>
        </row>
        <row r="78">
          <cell r="A78" t="str">
            <v>01.999.01</v>
          </cell>
          <cell r="B78" t="str">
            <v>Limpeza superficial de camada vegetal</v>
          </cell>
          <cell r="C78" t="str">
            <v xml:space="preserve"> </v>
          </cell>
          <cell r="D78" t="str">
            <v xml:space="preserve"> </v>
          </cell>
          <cell r="E78" t="str">
            <v>m2</v>
          </cell>
          <cell r="F78">
            <v>0.06</v>
          </cell>
          <cell r="G78">
            <v>0.02</v>
          </cell>
          <cell r="H78">
            <v>0.08</v>
          </cell>
        </row>
        <row r="79">
          <cell r="A79" t="str">
            <v>01.999.02</v>
          </cell>
          <cell r="B79" t="str">
            <v>Expurgo de jazida</v>
          </cell>
          <cell r="C79" t="str">
            <v xml:space="preserve"> </v>
          </cell>
          <cell r="D79" t="str">
            <v xml:space="preserve"> </v>
          </cell>
          <cell r="E79" t="str">
            <v>m3</v>
          </cell>
          <cell r="F79">
            <v>0.48</v>
          </cell>
          <cell r="G79">
            <v>0.17</v>
          </cell>
          <cell r="H79">
            <v>0.65</v>
          </cell>
        </row>
        <row r="80">
          <cell r="A80" t="str">
            <v>01.999.03</v>
          </cell>
          <cell r="B80" t="str">
            <v>Desmatamento de jazida</v>
          </cell>
          <cell r="C80" t="str">
            <v xml:space="preserve"> </v>
          </cell>
          <cell r="D80" t="str">
            <v xml:space="preserve"> </v>
          </cell>
          <cell r="E80" t="str">
            <v>m2</v>
          </cell>
          <cell r="F80">
            <v>0.04</v>
          </cell>
          <cell r="G80">
            <v>0.01</v>
          </cell>
          <cell r="H80">
            <v>0.05</v>
          </cell>
        </row>
        <row r="81">
          <cell r="A81" t="str">
            <v>P01.401.00</v>
          </cell>
          <cell r="B81" t="str">
            <v>Revestimento Primário</v>
          </cell>
          <cell r="C81" t="str">
            <v xml:space="preserve"> </v>
          </cell>
          <cell r="D81" t="str">
            <v xml:space="preserve"> </v>
          </cell>
          <cell r="E81" t="str">
            <v>m3</v>
          </cell>
          <cell r="F81">
            <v>8.65</v>
          </cell>
          <cell r="G81">
            <v>3.1</v>
          </cell>
          <cell r="H81">
            <v>11.75</v>
          </cell>
        </row>
        <row r="82">
          <cell r="A82" t="str">
            <v>DER50255</v>
          </cell>
          <cell r="B82" t="str">
            <v>Esc.  Carga e Transp. de mat. 1a cat. c/ CB 3000&lt;DMT&lt;4000m</v>
          </cell>
          <cell r="C82" t="str">
            <v xml:space="preserve"> </v>
          </cell>
          <cell r="D82" t="str">
            <v xml:space="preserve"> </v>
          </cell>
          <cell r="E82" t="str">
            <v>m3</v>
          </cell>
          <cell r="F82">
            <v>2.4300000000000002</v>
          </cell>
          <cell r="G82">
            <v>0.87</v>
          </cell>
          <cell r="H82">
            <v>3.3000000000000003</v>
          </cell>
        </row>
        <row r="83">
          <cell r="A83" t="str">
            <v>DER50260</v>
          </cell>
          <cell r="B83" t="str">
            <v>Esc.  Carga e Transp. de mat. 1a cat. c/ CB 5000&lt;DMT&lt;6000m</v>
          </cell>
          <cell r="C83" t="str">
            <v xml:space="preserve"> </v>
          </cell>
          <cell r="D83" t="str">
            <v xml:space="preserve"> </v>
          </cell>
          <cell r="E83" t="str">
            <v>m3</v>
          </cell>
          <cell r="F83">
            <v>3.16</v>
          </cell>
          <cell r="G83">
            <v>1.1299999999999999</v>
          </cell>
          <cell r="H83">
            <v>4.29</v>
          </cell>
        </row>
        <row r="84">
          <cell r="A84" t="str">
            <v>DER50265</v>
          </cell>
          <cell r="B84" t="str">
            <v>Esc.  Carga e Transp. de mat. 1a cat. c/ CB 4000&lt;DMT&lt;5000m</v>
          </cell>
          <cell r="C84" t="str">
            <v xml:space="preserve"> </v>
          </cell>
          <cell r="D84" t="str">
            <v xml:space="preserve"> </v>
          </cell>
          <cell r="E84" t="str">
            <v>m3</v>
          </cell>
          <cell r="F84">
            <v>2.77</v>
          </cell>
          <cell r="G84">
            <v>0.99</v>
          </cell>
          <cell r="H84">
            <v>3.76</v>
          </cell>
        </row>
        <row r="85">
          <cell r="A85" t="str">
            <v>DER50270</v>
          </cell>
          <cell r="B85" t="str">
            <v>Esc.  Carga e Transp. de mat. 1a cat. c/ CB 6000&lt;DMT&lt;7000m</v>
          </cell>
          <cell r="C85" t="str">
            <v xml:space="preserve"> </v>
          </cell>
          <cell r="D85" t="str">
            <v xml:space="preserve"> </v>
          </cell>
          <cell r="E85" t="str">
            <v>m3</v>
          </cell>
          <cell r="F85">
            <v>3.53</v>
          </cell>
          <cell r="G85">
            <v>1.26</v>
          </cell>
          <cell r="H85">
            <v>4.79</v>
          </cell>
        </row>
        <row r="86">
          <cell r="A86" t="str">
            <v>DER50280</v>
          </cell>
          <cell r="B86" t="str">
            <v>Esc.  Carga e Transp. de mat. 1a cat. c/ CB 7000&lt;DMT&lt;8000m</v>
          </cell>
          <cell r="C86" t="str">
            <v xml:space="preserve"> </v>
          </cell>
          <cell r="D86" t="str">
            <v xml:space="preserve"> </v>
          </cell>
          <cell r="E86" t="str">
            <v>m3</v>
          </cell>
          <cell r="F86">
            <v>3.88</v>
          </cell>
          <cell r="G86">
            <v>1.39</v>
          </cell>
          <cell r="H86">
            <v>5.27</v>
          </cell>
        </row>
        <row r="87">
          <cell r="A87" t="str">
            <v>DER50290</v>
          </cell>
          <cell r="B87" t="str">
            <v>Esc.  Carga e Transp. de mat. 1a cat. c/ CB 8000&lt;DMT&lt;9000m</v>
          </cell>
          <cell r="C87" t="str">
            <v xml:space="preserve"> </v>
          </cell>
          <cell r="D87" t="str">
            <v xml:space="preserve"> </v>
          </cell>
          <cell r="E87" t="str">
            <v>m3</v>
          </cell>
          <cell r="F87">
            <v>4.26</v>
          </cell>
          <cell r="G87">
            <v>1.53</v>
          </cell>
          <cell r="H87">
            <v>5.79</v>
          </cell>
        </row>
        <row r="88">
          <cell r="A88" t="str">
            <v>DER50300</v>
          </cell>
          <cell r="B88" t="str">
            <v>Esc.  Carga e Transp. de mat. 1a cat. c/ CB 9000&lt;DMT&lt;10000m</v>
          </cell>
          <cell r="C88" t="str">
            <v xml:space="preserve"> </v>
          </cell>
          <cell r="D88" t="str">
            <v xml:space="preserve"> </v>
          </cell>
          <cell r="E88" t="str">
            <v>m3</v>
          </cell>
          <cell r="F88">
            <v>4.6399999999999997</v>
          </cell>
          <cell r="G88">
            <v>1.66</v>
          </cell>
          <cell r="H88">
            <v>6.3</v>
          </cell>
        </row>
        <row r="89">
          <cell r="A89" t="str">
            <v>DER50305</v>
          </cell>
          <cell r="B89" t="str">
            <v>Esc.  Carga e Transp. de mat. 1a cat. c/ CB 10000&lt;DMT&lt;12000m</v>
          </cell>
          <cell r="C89" t="str">
            <v xml:space="preserve"> </v>
          </cell>
          <cell r="D89" t="str">
            <v xml:space="preserve"> </v>
          </cell>
          <cell r="E89" t="str">
            <v>m3</v>
          </cell>
          <cell r="F89">
            <v>5.19</v>
          </cell>
          <cell r="G89">
            <v>1.86</v>
          </cell>
          <cell r="H89">
            <v>7.0500000000000007</v>
          </cell>
        </row>
        <row r="90">
          <cell r="A90" t="str">
            <v>DER50315</v>
          </cell>
          <cell r="B90" t="str">
            <v>Esc.  Carga e Transp. de mat. 1a cat. c/ CB 12000&lt;DMT&lt;14000m</v>
          </cell>
          <cell r="C90" t="str">
            <v xml:space="preserve"> </v>
          </cell>
          <cell r="D90" t="str">
            <v xml:space="preserve"> </v>
          </cell>
          <cell r="E90" t="str">
            <v>m3</v>
          </cell>
          <cell r="F90">
            <v>5.91</v>
          </cell>
          <cell r="G90">
            <v>2.12</v>
          </cell>
          <cell r="H90">
            <v>8.0300000000000011</v>
          </cell>
        </row>
        <row r="91">
          <cell r="A91" t="str">
            <v>DER50325</v>
          </cell>
          <cell r="B91" t="str">
            <v>Esc.  Carga e Transp. de mat. 1a cat. c/ CB 14000&lt;DMT&lt;16000m</v>
          </cell>
          <cell r="C91" t="str">
            <v xml:space="preserve"> </v>
          </cell>
          <cell r="D91" t="str">
            <v xml:space="preserve"> </v>
          </cell>
          <cell r="E91" t="str">
            <v>m3</v>
          </cell>
          <cell r="F91">
            <v>6.63</v>
          </cell>
          <cell r="G91">
            <v>2.37</v>
          </cell>
          <cell r="H91">
            <v>9</v>
          </cell>
        </row>
        <row r="92">
          <cell r="A92" t="str">
            <v>DER50335</v>
          </cell>
          <cell r="B92" t="str">
            <v>Esc.  Carga e Transp. de mat. 1a cat. c/ CB 16000&lt;DMT&lt;18000m</v>
          </cell>
          <cell r="C92" t="str">
            <v xml:space="preserve"> </v>
          </cell>
          <cell r="D92" t="str">
            <v xml:space="preserve"> </v>
          </cell>
          <cell r="E92" t="str">
            <v>m3</v>
          </cell>
          <cell r="F92">
            <v>7.42</v>
          </cell>
          <cell r="G92">
            <v>2.66</v>
          </cell>
          <cell r="H92">
            <v>10.08</v>
          </cell>
        </row>
        <row r="93">
          <cell r="A93" t="str">
            <v>DER50345</v>
          </cell>
          <cell r="B93" t="str">
            <v>Esc.  Carga e Transp. de mat. 1a cat. c/ CB 18000&lt;DMT&lt;20000m</v>
          </cell>
          <cell r="C93" t="str">
            <v xml:space="preserve"> </v>
          </cell>
          <cell r="D93" t="str">
            <v xml:space="preserve"> </v>
          </cell>
          <cell r="E93" t="str">
            <v>m3</v>
          </cell>
          <cell r="F93">
            <v>8.15</v>
          </cell>
          <cell r="G93">
            <v>2.92</v>
          </cell>
          <cell r="H93">
            <v>11.07</v>
          </cell>
        </row>
        <row r="94">
          <cell r="A94" t="str">
            <v>DER50355</v>
          </cell>
          <cell r="B94" t="str">
            <v>Esc.  Carga e Transp. de mat. 1a cat. c/ CB 20000&lt;DMT&lt;22000m</v>
          </cell>
          <cell r="C94" t="str">
            <v xml:space="preserve"> </v>
          </cell>
          <cell r="D94" t="str">
            <v xml:space="preserve"> </v>
          </cell>
          <cell r="E94" t="str">
            <v>m3</v>
          </cell>
          <cell r="F94">
            <v>8.85</v>
          </cell>
          <cell r="G94">
            <v>3.17</v>
          </cell>
          <cell r="H94">
            <v>12.02</v>
          </cell>
        </row>
        <row r="95">
          <cell r="A95" t="str">
            <v>DER50365</v>
          </cell>
          <cell r="B95" t="str">
            <v>Esc.  Carga e Transp. de mat. 1a cat. c/ CB 22000&lt;DMT&lt;24000m</v>
          </cell>
          <cell r="C95" t="str">
            <v xml:space="preserve"> </v>
          </cell>
          <cell r="D95" t="str">
            <v xml:space="preserve"> </v>
          </cell>
          <cell r="E95" t="str">
            <v>m3</v>
          </cell>
          <cell r="F95">
            <v>9.6199999999999992</v>
          </cell>
          <cell r="G95">
            <v>3.44</v>
          </cell>
          <cell r="H95">
            <v>13.059999999999999</v>
          </cell>
        </row>
        <row r="96">
          <cell r="A96" t="str">
            <v>DER50375</v>
          </cell>
          <cell r="B96" t="str">
            <v>Esc.  Carga e Transp. de mat. 1a cat. c/ CB 24000&lt;DMT&lt;26000m</v>
          </cell>
          <cell r="C96" t="str">
            <v xml:space="preserve"> </v>
          </cell>
          <cell r="D96" t="str">
            <v xml:space="preserve"> </v>
          </cell>
          <cell r="E96" t="str">
            <v>m3</v>
          </cell>
          <cell r="F96">
            <v>10.37</v>
          </cell>
          <cell r="G96">
            <v>3.71</v>
          </cell>
          <cell r="H96">
            <v>14.079999999999998</v>
          </cell>
        </row>
        <row r="97">
          <cell r="A97" t="str">
            <v>DER50385</v>
          </cell>
          <cell r="B97" t="str">
            <v>Esc.  Carga e Transp. de mat. 1a cat. c/ CB 26000&lt;DMT&lt;28000m</v>
          </cell>
          <cell r="C97" t="str">
            <v xml:space="preserve"> </v>
          </cell>
          <cell r="D97" t="str">
            <v xml:space="preserve"> </v>
          </cell>
          <cell r="E97" t="str">
            <v>m3</v>
          </cell>
          <cell r="F97">
            <v>11.06</v>
          </cell>
          <cell r="G97">
            <v>3.96</v>
          </cell>
          <cell r="H97">
            <v>15.02</v>
          </cell>
        </row>
        <row r="98">
          <cell r="A98" t="str">
            <v>DER50395</v>
          </cell>
          <cell r="B98" t="str">
            <v>Esc.  Carga e Transp. de mat. 1a cat. c/ CB 28000&lt;DMT&lt;30000m</v>
          </cell>
          <cell r="C98" t="str">
            <v xml:space="preserve"> </v>
          </cell>
          <cell r="D98" t="str">
            <v xml:space="preserve"> </v>
          </cell>
          <cell r="E98" t="str">
            <v>m3</v>
          </cell>
          <cell r="F98">
            <v>11.82</v>
          </cell>
          <cell r="G98">
            <v>4.2300000000000004</v>
          </cell>
          <cell r="H98">
            <v>16.05</v>
          </cell>
        </row>
        <row r="99">
          <cell r="A99" t="str">
            <v>DER52120</v>
          </cell>
          <cell r="B99" t="str">
            <v>Extr.,Carga, Transp.e espalh.de areia ext.p/colchão dren.(banh.Maracajá)e subst.solos moles DMT=49km</v>
          </cell>
          <cell r="C99" t="str">
            <v xml:space="preserve"> </v>
          </cell>
          <cell r="D99" t="str">
            <v xml:space="preserve"> </v>
          </cell>
          <cell r="E99" t="str">
            <v>m3</v>
          </cell>
          <cell r="F99">
            <v>12.05</v>
          </cell>
          <cell r="G99">
            <v>4.3099999999999996</v>
          </cell>
          <cell r="H99">
            <v>16.36</v>
          </cell>
        </row>
        <row r="100">
          <cell r="A100" t="str">
            <v>DER52120e</v>
          </cell>
          <cell r="B100" t="str">
            <v>Escav.,Carga, Transp.e espalh.de areia comerc.p/colchão dren.(banh.Maracajá)e subst.solos moles DMT=49km</v>
          </cell>
          <cell r="C100" t="str">
            <v xml:space="preserve"> </v>
          </cell>
          <cell r="D100" t="str">
            <v xml:space="preserve"> </v>
          </cell>
          <cell r="E100" t="str">
            <v>m3</v>
          </cell>
          <cell r="F100">
            <v>15.47</v>
          </cell>
          <cell r="G100">
            <v>5.54</v>
          </cell>
          <cell r="H100">
            <v>21.01</v>
          </cell>
        </row>
        <row r="101">
          <cell r="A101" t="str">
            <v>DER52120c</v>
          </cell>
          <cell r="B101" t="str">
            <v>Extr.,Carga, Transp.e Espalh.areia comerc.p/colchão dren.(banh.Maracajá)e subst.solos moles DMT=95,2km</v>
          </cell>
          <cell r="C101" t="str">
            <v xml:space="preserve"> </v>
          </cell>
          <cell r="D101" t="str">
            <v xml:space="preserve"> </v>
          </cell>
          <cell r="E101" t="str">
            <v>m3</v>
          </cell>
          <cell r="F101">
            <v>24.44</v>
          </cell>
          <cell r="G101">
            <v>8.75</v>
          </cell>
          <cell r="H101">
            <v>33.19</v>
          </cell>
        </row>
        <row r="102">
          <cell r="A102" t="str">
            <v>DER52120d</v>
          </cell>
          <cell r="B102" t="str">
            <v>Extração, Carga e Transp.e Espalh.de seixo p/colchão drenante(banhado do Maracajá) DMT=23,7km</v>
          </cell>
          <cell r="C102" t="str">
            <v xml:space="preserve"> </v>
          </cell>
          <cell r="D102" t="str">
            <v xml:space="preserve"> </v>
          </cell>
          <cell r="E102" t="str">
            <v>m3</v>
          </cell>
          <cell r="F102">
            <v>11.56</v>
          </cell>
          <cell r="G102">
            <v>4.1399999999999997</v>
          </cell>
          <cell r="H102">
            <v>15.7</v>
          </cell>
        </row>
        <row r="103">
          <cell r="A103" t="str">
            <v>DER52120b</v>
          </cell>
          <cell r="B103" t="str">
            <v>Extração, Carga e Transp.e Espalh.de seixo p/colchão drenante(banhado do Maracajá) DMT=24km</v>
          </cell>
          <cell r="C103" t="str">
            <v xml:space="preserve"> </v>
          </cell>
          <cell r="D103" t="str">
            <v xml:space="preserve"> </v>
          </cell>
          <cell r="E103" t="str">
            <v>m3</v>
          </cell>
          <cell r="F103">
            <v>11.71</v>
          </cell>
          <cell r="G103">
            <v>4.1900000000000004</v>
          </cell>
          <cell r="H103">
            <v>15.900000000000002</v>
          </cell>
        </row>
        <row r="104">
          <cell r="A104" t="str">
            <v>DER52120a</v>
          </cell>
          <cell r="B104" t="str">
            <v>Momento extraordinário de transporte</v>
          </cell>
          <cell r="E104" t="str">
            <v>t x km</v>
          </cell>
          <cell r="F104">
            <v>0.32</v>
          </cell>
          <cell r="G104">
            <v>0.11</v>
          </cell>
          <cell r="H104">
            <v>0.43</v>
          </cell>
        </row>
        <row r="105">
          <cell r="A105" t="str">
            <v>DER52050</v>
          </cell>
          <cell r="B105" t="str">
            <v>Esc. Carga e Transp. de solos moles DMT&lt;=50m</v>
          </cell>
          <cell r="C105" t="str">
            <v xml:space="preserve"> </v>
          </cell>
          <cell r="D105" t="str">
            <v xml:space="preserve"> </v>
          </cell>
          <cell r="E105" t="str">
            <v>m3</v>
          </cell>
          <cell r="F105">
            <v>2.61</v>
          </cell>
          <cell r="G105">
            <v>0.93</v>
          </cell>
          <cell r="H105">
            <v>3.54</v>
          </cell>
        </row>
        <row r="106">
          <cell r="A106" t="str">
            <v>DER52060</v>
          </cell>
          <cell r="B106" t="str">
            <v>Esc. Carga e Transp. de solos moles 50&lt;DMT&lt;=100m</v>
          </cell>
          <cell r="C106" t="str">
            <v xml:space="preserve"> </v>
          </cell>
          <cell r="D106" t="str">
            <v xml:space="preserve"> </v>
          </cell>
          <cell r="E106" t="str">
            <v>m3</v>
          </cell>
          <cell r="F106">
            <v>2.72</v>
          </cell>
          <cell r="G106">
            <v>0.97</v>
          </cell>
          <cell r="H106">
            <v>3.6900000000000004</v>
          </cell>
        </row>
        <row r="107">
          <cell r="A107" t="str">
            <v>DER52070</v>
          </cell>
          <cell r="B107" t="str">
            <v>Esc. Carga e Transp. de solos moles 100&lt;DMT&lt;=200m</v>
          </cell>
          <cell r="C107" t="str">
            <v xml:space="preserve"> </v>
          </cell>
          <cell r="D107" t="str">
            <v xml:space="preserve"> </v>
          </cell>
          <cell r="E107" t="str">
            <v>m3</v>
          </cell>
          <cell r="F107">
            <v>2.91</v>
          </cell>
          <cell r="G107">
            <v>1.04</v>
          </cell>
          <cell r="H107">
            <v>3.95</v>
          </cell>
        </row>
        <row r="108">
          <cell r="A108" t="str">
            <v>DER52082</v>
          </cell>
          <cell r="B108" t="str">
            <v>Esc. Carga e Transp. de solos moles 200&lt;DMT&lt;=400m</v>
          </cell>
          <cell r="C108" t="str">
            <v xml:space="preserve"> </v>
          </cell>
          <cell r="D108" t="str">
            <v xml:space="preserve"> </v>
          </cell>
          <cell r="E108" t="str">
            <v>m3</v>
          </cell>
          <cell r="F108">
            <v>2.97</v>
          </cell>
          <cell r="G108">
            <v>1.06</v>
          </cell>
          <cell r="H108">
            <v>4.03</v>
          </cell>
        </row>
        <row r="109">
          <cell r="A109" t="str">
            <v>DER52087</v>
          </cell>
          <cell r="B109" t="str">
            <v>Esc. Carga e Transp. de solos moles 400&lt;DMT&lt;=600m</v>
          </cell>
          <cell r="C109" t="str">
            <v xml:space="preserve"> </v>
          </cell>
          <cell r="D109" t="str">
            <v xml:space="preserve"> </v>
          </cell>
          <cell r="E109" t="str">
            <v>m3</v>
          </cell>
          <cell r="F109">
            <v>3.39</v>
          </cell>
          <cell r="G109">
            <v>1.21</v>
          </cell>
          <cell r="H109">
            <v>4.5999999999999996</v>
          </cell>
        </row>
        <row r="110">
          <cell r="A110" t="str">
            <v>DER52090</v>
          </cell>
          <cell r="B110" t="str">
            <v>Esc. Carga e Transp. de solos moles 600&lt;DMT&lt;=800m</v>
          </cell>
          <cell r="C110" t="str">
            <v xml:space="preserve"> </v>
          </cell>
          <cell r="D110" t="str">
            <v xml:space="preserve"> </v>
          </cell>
          <cell r="E110" t="str">
            <v>m3</v>
          </cell>
          <cell r="F110">
            <v>3.42</v>
          </cell>
          <cell r="G110">
            <v>1.22</v>
          </cell>
          <cell r="H110">
            <v>4.6399999999999997</v>
          </cell>
        </row>
        <row r="111">
          <cell r="A111" t="str">
            <v>DER52095</v>
          </cell>
          <cell r="B111" t="str">
            <v>Esc. Carga e Transp. de solos moles 800&lt;DMT&lt;=1000m</v>
          </cell>
          <cell r="C111" t="str">
            <v xml:space="preserve"> </v>
          </cell>
          <cell r="D111" t="str">
            <v xml:space="preserve"> </v>
          </cell>
          <cell r="E111" t="str">
            <v>m3</v>
          </cell>
          <cell r="F111">
            <v>3.46</v>
          </cell>
          <cell r="G111">
            <v>1.24</v>
          </cell>
          <cell r="H111">
            <v>4.7</v>
          </cell>
        </row>
        <row r="112">
          <cell r="A112" t="str">
            <v>DER52100</v>
          </cell>
          <cell r="B112" t="str">
            <v>Esc. Carga e Transp. de solos moles 1000&lt;DMT&lt;=1200m</v>
          </cell>
          <cell r="C112" t="str">
            <v xml:space="preserve"> </v>
          </cell>
          <cell r="D112" t="str">
            <v xml:space="preserve"> </v>
          </cell>
          <cell r="E112" t="str">
            <v>m3</v>
          </cell>
          <cell r="F112">
            <v>3.47</v>
          </cell>
          <cell r="G112">
            <v>1.24</v>
          </cell>
          <cell r="H112">
            <v>4.71</v>
          </cell>
        </row>
        <row r="113">
          <cell r="A113" t="str">
            <v>DER52101</v>
          </cell>
          <cell r="B113" t="str">
            <v>Esc. Carga e Transp. de solos moles 1200&lt;DMT&lt;=1400m</v>
          </cell>
          <cell r="C113" t="str">
            <v xml:space="preserve"> </v>
          </cell>
          <cell r="D113" t="str">
            <v xml:space="preserve"> </v>
          </cell>
          <cell r="E113" t="str">
            <v>m3</v>
          </cell>
          <cell r="F113">
            <v>3.49</v>
          </cell>
          <cell r="G113">
            <v>1.25</v>
          </cell>
          <cell r="H113">
            <v>4.74</v>
          </cell>
        </row>
        <row r="114">
          <cell r="A114" t="str">
            <v>DER52102</v>
          </cell>
          <cell r="B114" t="str">
            <v>Esc. Carga e Transp. de solos moles 1400&lt;DMT&lt;=1600m</v>
          </cell>
          <cell r="C114" t="str">
            <v xml:space="preserve"> </v>
          </cell>
          <cell r="D114" t="str">
            <v xml:space="preserve"> </v>
          </cell>
          <cell r="E114" t="str">
            <v>m3</v>
          </cell>
          <cell r="F114">
            <v>3.54</v>
          </cell>
          <cell r="G114">
            <v>1.27</v>
          </cell>
          <cell r="H114">
            <v>4.8100000000000005</v>
          </cell>
        </row>
        <row r="115">
          <cell r="A115" t="str">
            <v>DER52103</v>
          </cell>
          <cell r="B115" t="str">
            <v>Esc. Carga e Transp. de solos moles 1600&lt;DMT&lt;=1800m</v>
          </cell>
          <cell r="C115" t="str">
            <v xml:space="preserve"> </v>
          </cell>
          <cell r="D115" t="str">
            <v xml:space="preserve"> </v>
          </cell>
          <cell r="E115" t="str">
            <v>m3</v>
          </cell>
          <cell r="F115">
            <v>3.58</v>
          </cell>
          <cell r="G115">
            <v>1.28</v>
          </cell>
          <cell r="H115">
            <v>4.8600000000000003</v>
          </cell>
        </row>
        <row r="116">
          <cell r="A116" t="str">
            <v>DER52104</v>
          </cell>
          <cell r="B116" t="str">
            <v>Esc. Carga e Transp. de solos moles 1800&lt;DMT&lt;=2000m</v>
          </cell>
          <cell r="C116" t="str">
            <v xml:space="preserve"> </v>
          </cell>
          <cell r="D116" t="str">
            <v xml:space="preserve"> </v>
          </cell>
          <cell r="E116" t="str">
            <v>m3</v>
          </cell>
          <cell r="F116">
            <v>3.67</v>
          </cell>
          <cell r="G116">
            <v>1.31</v>
          </cell>
          <cell r="H116">
            <v>4.9800000000000004</v>
          </cell>
        </row>
        <row r="117">
          <cell r="A117" t="str">
            <v>DER52105</v>
          </cell>
          <cell r="B117" t="str">
            <v>Esc. Carga e Transp. de solos moles 2000&lt;DMT&lt;=3000m</v>
          </cell>
          <cell r="C117" t="str">
            <v xml:space="preserve"> </v>
          </cell>
          <cell r="D117" t="str">
            <v xml:space="preserve"> </v>
          </cell>
          <cell r="E117" t="str">
            <v>m3</v>
          </cell>
          <cell r="F117">
            <v>4.25</v>
          </cell>
          <cell r="G117">
            <v>1.52</v>
          </cell>
          <cell r="H117">
            <v>5.77</v>
          </cell>
        </row>
        <row r="118">
          <cell r="A118" t="str">
            <v>DER52106</v>
          </cell>
          <cell r="B118" t="str">
            <v>Esc. Carga e Transp. de solos moles 3000&lt;DMT&lt;=4000m</v>
          </cell>
          <cell r="C118" t="str">
            <v xml:space="preserve"> </v>
          </cell>
          <cell r="D118" t="str">
            <v xml:space="preserve"> </v>
          </cell>
          <cell r="E118" t="str">
            <v>m3</v>
          </cell>
          <cell r="F118">
            <v>4.6900000000000004</v>
          </cell>
          <cell r="G118">
            <v>1.68</v>
          </cell>
          <cell r="H118">
            <v>6.37</v>
          </cell>
        </row>
        <row r="119">
          <cell r="A119" t="str">
            <v>DER52106a</v>
          </cell>
          <cell r="B119" t="str">
            <v>Esc. Carga e Transp. de solos moles 4000&lt;DMT&lt;=5000m</v>
          </cell>
          <cell r="C119" t="str">
            <v xml:space="preserve"> </v>
          </cell>
          <cell r="D119" t="str">
            <v xml:space="preserve"> </v>
          </cell>
          <cell r="E119" t="str">
            <v>m3</v>
          </cell>
          <cell r="F119">
            <v>5.42</v>
          </cell>
          <cell r="G119">
            <v>1.94</v>
          </cell>
          <cell r="H119">
            <v>7.3599999999999994</v>
          </cell>
        </row>
        <row r="120">
          <cell r="A120" t="str">
            <v>DER52106b</v>
          </cell>
          <cell r="B120" t="str">
            <v>Esc. Carga e Transp. de solos moles 5000&lt;DMT&lt;=6000m</v>
          </cell>
          <cell r="E120" t="str">
            <v>m3</v>
          </cell>
          <cell r="F120">
            <v>6.19</v>
          </cell>
          <cell r="G120">
            <v>2.2200000000000002</v>
          </cell>
          <cell r="H120">
            <v>8.41</v>
          </cell>
        </row>
        <row r="121">
          <cell r="A121" t="str">
            <v>DER52106c</v>
          </cell>
          <cell r="B121" t="str">
            <v>Esc. Carga e Transp. de solos moles 6000&lt;DMT&lt;=7000m</v>
          </cell>
          <cell r="C121" t="str">
            <v xml:space="preserve"> </v>
          </cell>
          <cell r="D121" t="str">
            <v xml:space="preserve"> </v>
          </cell>
          <cell r="E121" t="str">
            <v>m3</v>
          </cell>
          <cell r="F121">
            <v>6.93</v>
          </cell>
          <cell r="G121">
            <v>2.48</v>
          </cell>
          <cell r="H121">
            <v>9.41</v>
          </cell>
        </row>
        <row r="122">
          <cell r="A122" t="str">
            <v>P 52050</v>
          </cell>
          <cell r="B122" t="str">
            <v>Espalhamento de solos moles</v>
          </cell>
          <cell r="E122" t="str">
            <v>m3</v>
          </cell>
          <cell r="F122">
            <v>0.26</v>
          </cell>
          <cell r="G122">
            <v>0.09</v>
          </cell>
          <cell r="H122">
            <v>0.35</v>
          </cell>
        </row>
        <row r="123">
          <cell r="A123" t="str">
            <v>DER52020a</v>
          </cell>
          <cell r="B123" t="str">
            <v>Carga, transp.e espalhamento de camada vegetal 50&lt;DMT&lt;=200m</v>
          </cell>
          <cell r="E123" t="str">
            <v>m3</v>
          </cell>
          <cell r="F123">
            <v>1.65</v>
          </cell>
          <cell r="G123">
            <v>0.59</v>
          </cell>
          <cell r="H123">
            <v>2.2399999999999998</v>
          </cell>
        </row>
        <row r="124">
          <cell r="A124" t="str">
            <v>DER52020b</v>
          </cell>
          <cell r="B124" t="str">
            <v>Escarificação de acessos, desvios e áreas de jazidas e do canteiro de obra</v>
          </cell>
          <cell r="E124" t="str">
            <v>m2</v>
          </cell>
          <cell r="F124">
            <v>0.31</v>
          </cell>
          <cell r="G124">
            <v>0.11</v>
          </cell>
          <cell r="H124">
            <v>0.42</v>
          </cell>
        </row>
        <row r="125">
          <cell r="A125" t="str">
            <v>DER45035</v>
          </cell>
          <cell r="B125" t="str">
            <v>Carregamento de seixo</v>
          </cell>
          <cell r="C125" t="str">
            <v xml:space="preserve"> </v>
          </cell>
          <cell r="D125" t="str">
            <v xml:space="preserve"> </v>
          </cell>
          <cell r="E125" t="str">
            <v>m3</v>
          </cell>
          <cell r="F125">
            <v>0.34</v>
          </cell>
          <cell r="G125">
            <v>0.12</v>
          </cell>
          <cell r="H125">
            <v>0.46</v>
          </cell>
        </row>
        <row r="126">
          <cell r="A126" t="str">
            <v>DER45005</v>
          </cell>
          <cell r="B126" t="str">
            <v>Extração e carga de seixo c/ drag-line</v>
          </cell>
          <cell r="C126" t="str">
            <v xml:space="preserve"> </v>
          </cell>
          <cell r="D126" t="str">
            <v xml:space="preserve"> </v>
          </cell>
          <cell r="E126" t="str">
            <v>m3</v>
          </cell>
          <cell r="F126">
            <v>1.86</v>
          </cell>
          <cell r="G126">
            <v>0.67</v>
          </cell>
          <cell r="H126">
            <v>2.5300000000000002</v>
          </cell>
        </row>
        <row r="127">
          <cell r="A127" t="str">
            <v>DER45005a</v>
          </cell>
          <cell r="B127" t="str">
            <v>Extração e estocagem de seixo c/ drag-line</v>
          </cell>
          <cell r="C127" t="str">
            <v xml:space="preserve"> </v>
          </cell>
          <cell r="D127" t="str">
            <v xml:space="preserve"> </v>
          </cell>
          <cell r="E127" t="str">
            <v>m3</v>
          </cell>
          <cell r="F127">
            <v>1.65</v>
          </cell>
          <cell r="G127">
            <v>0.59</v>
          </cell>
          <cell r="H127">
            <v>2.2399999999999998</v>
          </cell>
        </row>
        <row r="128">
          <cell r="A128" t="str">
            <v>DER45000</v>
          </cell>
          <cell r="B128" t="str">
            <v>Extração de areia</v>
          </cell>
          <cell r="C128" t="str">
            <v xml:space="preserve"> </v>
          </cell>
          <cell r="D128" t="str">
            <v xml:space="preserve"> </v>
          </cell>
          <cell r="E128" t="str">
            <v>m3</v>
          </cell>
          <cell r="F128">
            <v>1.27</v>
          </cell>
          <cell r="G128">
            <v>0.45</v>
          </cell>
          <cell r="H128">
            <v>1.72</v>
          </cell>
        </row>
        <row r="129">
          <cell r="A129" t="str">
            <v>DER45080</v>
          </cell>
          <cell r="B129" t="str">
            <v>Produção  de seixo peneirado</v>
          </cell>
          <cell r="C129" t="str">
            <v xml:space="preserve"> </v>
          </cell>
          <cell r="D129" t="str">
            <v xml:space="preserve"> </v>
          </cell>
          <cell r="E129" t="str">
            <v>m3</v>
          </cell>
          <cell r="F129">
            <v>3.39</v>
          </cell>
          <cell r="G129">
            <v>1.21</v>
          </cell>
          <cell r="H129">
            <v>4.5999999999999996</v>
          </cell>
        </row>
        <row r="130">
          <cell r="A130" t="str">
            <v>DER53110</v>
          </cell>
          <cell r="B130" t="str">
            <v>Camada de seixo classificado</v>
          </cell>
          <cell r="E130" t="str">
            <v>m3</v>
          </cell>
          <cell r="F130">
            <v>11.85</v>
          </cell>
          <cell r="G130">
            <v>4.24</v>
          </cell>
          <cell r="H130">
            <v>16.09</v>
          </cell>
        </row>
        <row r="131">
          <cell r="A131" t="str">
            <v>DER82660</v>
          </cell>
          <cell r="B131" t="str">
            <v>Gabião caixa em PVC c/ h=100cm</v>
          </cell>
          <cell r="E131" t="str">
            <v>m3</v>
          </cell>
          <cell r="F131">
            <v>90.55</v>
          </cell>
          <cell r="G131">
            <v>32.42</v>
          </cell>
          <cell r="H131">
            <v>122.97</v>
          </cell>
        </row>
        <row r="132">
          <cell r="A132" t="str">
            <v>DER82610</v>
          </cell>
          <cell r="B132" t="str">
            <v>Gabião caixa em PVC c/ h=50cm</v>
          </cell>
          <cell r="E132" t="str">
            <v>m3</v>
          </cell>
          <cell r="F132">
            <v>113.23</v>
          </cell>
          <cell r="G132">
            <v>40.54</v>
          </cell>
          <cell r="H132">
            <v>153.77000000000001</v>
          </cell>
        </row>
        <row r="133">
          <cell r="A133">
            <v>2</v>
          </cell>
          <cell r="B133" t="str">
            <v>PAVIMENTAÇÃO</v>
          </cell>
        </row>
        <row r="134">
          <cell r="A134" t="str">
            <v>02.000.00</v>
          </cell>
          <cell r="B134" t="str">
            <v>Regularização do subleito</v>
          </cell>
          <cell r="C134" t="str">
            <v>DNER-ES299/97</v>
          </cell>
          <cell r="D134" t="str">
            <v xml:space="preserve"> </v>
          </cell>
          <cell r="E134" t="str">
            <v>m2</v>
          </cell>
          <cell r="F134">
            <v>0.22</v>
          </cell>
          <cell r="G134">
            <v>7.8759999999999997E-2</v>
          </cell>
          <cell r="H134">
            <v>0.29876000000000003</v>
          </cell>
        </row>
        <row r="135">
          <cell r="A135" t="str">
            <v>02.100.00</v>
          </cell>
          <cell r="B135" t="str">
            <v>Reforço do subleito</v>
          </cell>
          <cell r="C135" t="str">
            <v>DNER-ES300/97</v>
          </cell>
          <cell r="D135" t="str">
            <v xml:space="preserve"> </v>
          </cell>
          <cell r="E135" t="str">
            <v>m3</v>
          </cell>
          <cell r="F135">
            <v>4.57</v>
          </cell>
          <cell r="G135">
            <v>1.6360600000000001</v>
          </cell>
          <cell r="H135">
            <v>6.2060600000000008</v>
          </cell>
        </row>
        <row r="136">
          <cell r="A136" t="str">
            <v>02.200.00</v>
          </cell>
          <cell r="B136" t="str">
            <v>Sub-base solo estabilizado granulometricamente sem mistura</v>
          </cell>
          <cell r="C136" t="str">
            <v>DNER-ES301/97</v>
          </cell>
          <cell r="D136" t="str">
            <v xml:space="preserve"> </v>
          </cell>
          <cell r="E136" t="str">
            <v>m3</v>
          </cell>
          <cell r="G136">
            <v>0</v>
          </cell>
          <cell r="H136">
            <v>0</v>
          </cell>
        </row>
        <row r="137">
          <cell r="A137" t="str">
            <v>02.200.01</v>
          </cell>
          <cell r="B137" t="str">
            <v>Base solo estabilizado granulometricamente sem mistura</v>
          </cell>
          <cell r="C137" t="str">
            <v>DNER-ES303/97</v>
          </cell>
          <cell r="D137" t="str">
            <v xml:space="preserve"> </v>
          </cell>
          <cell r="E137" t="str">
            <v>m3</v>
          </cell>
          <cell r="G137">
            <v>0</v>
          </cell>
          <cell r="H137">
            <v>0</v>
          </cell>
        </row>
        <row r="138">
          <cell r="A138" t="str">
            <v>02.210.00</v>
          </cell>
          <cell r="B138" t="str">
            <v>Sub-base solo estabilizado granulometricamente com mistura solo na pista</v>
          </cell>
          <cell r="C138" t="str">
            <v>DNER-ES301/97</v>
          </cell>
          <cell r="D138" t="str">
            <v xml:space="preserve"> </v>
          </cell>
          <cell r="E138" t="str">
            <v>m3</v>
          </cell>
          <cell r="G138">
            <v>0</v>
          </cell>
          <cell r="H138">
            <v>0</v>
          </cell>
        </row>
        <row r="139">
          <cell r="A139" t="str">
            <v>02.210.01</v>
          </cell>
          <cell r="B139" t="str">
            <v>Sub-base estabil. granul. mistura solo-areia pista</v>
          </cell>
          <cell r="C139" t="str">
            <v>DNER-ES301/97</v>
          </cell>
          <cell r="D139" t="str">
            <v xml:space="preserve"> </v>
          </cell>
          <cell r="E139" t="str">
            <v>m3</v>
          </cell>
          <cell r="G139">
            <v>0</v>
          </cell>
          <cell r="H139">
            <v>0</v>
          </cell>
        </row>
        <row r="140">
          <cell r="A140" t="str">
            <v>02.210.02</v>
          </cell>
          <cell r="B140" t="str">
            <v>Base estabil. granul. mistura solo-areia na pista</v>
          </cell>
          <cell r="C140" t="str">
            <v>DNER-ES303/97</v>
          </cell>
          <cell r="D140" t="str">
            <v xml:space="preserve"> </v>
          </cell>
          <cell r="E140" t="str">
            <v>m3</v>
          </cell>
          <cell r="G140">
            <v>0</v>
          </cell>
          <cell r="H140">
            <v>0</v>
          </cell>
        </row>
        <row r="141">
          <cell r="A141" t="str">
            <v>02.220.00</v>
          </cell>
          <cell r="B141" t="str">
            <v>Base estab. granulom. com mistura solo -brita (mistura em usina)</v>
          </cell>
          <cell r="C141" t="str">
            <v>DNER-ES303/97</v>
          </cell>
          <cell r="D141" t="str">
            <v xml:space="preserve"> </v>
          </cell>
          <cell r="E141" t="str">
            <v>m3</v>
          </cell>
          <cell r="G141">
            <v>0</v>
          </cell>
          <cell r="H141">
            <v>0</v>
          </cell>
        </row>
        <row r="142">
          <cell r="A142" t="str">
            <v>02.220.01</v>
          </cell>
          <cell r="B142" t="str">
            <v>Base estab. granulom. com mistura solo -brita (mistura na pista)</v>
          </cell>
          <cell r="C142" t="str">
            <v>DNER-ES303/97</v>
          </cell>
          <cell r="D142" t="str">
            <v xml:space="preserve"> </v>
          </cell>
          <cell r="E142" t="str">
            <v>m3</v>
          </cell>
          <cell r="G142">
            <v>0</v>
          </cell>
          <cell r="H142">
            <v>0</v>
          </cell>
        </row>
        <row r="143">
          <cell r="A143" t="str">
            <v>02.230.00</v>
          </cell>
          <cell r="B143" t="str">
            <v>Base brita graduada</v>
          </cell>
          <cell r="C143" t="str">
            <v>DNER-ES303/97</v>
          </cell>
          <cell r="D143" t="str">
            <v xml:space="preserve"> </v>
          </cell>
          <cell r="E143" t="str">
            <v>m3</v>
          </cell>
          <cell r="F143">
            <v>20.66</v>
          </cell>
          <cell r="G143">
            <v>7.39628</v>
          </cell>
          <cell r="H143">
            <v>28.056280000000001</v>
          </cell>
        </row>
        <row r="144">
          <cell r="A144" t="str">
            <v>02.241.01</v>
          </cell>
          <cell r="B144" t="str">
            <v>Base solo melhorado com cimento com mistura em usina</v>
          </cell>
          <cell r="C144" t="str">
            <v>DNER-ES304/97</v>
          </cell>
          <cell r="D144" t="str">
            <v xml:space="preserve"> </v>
          </cell>
          <cell r="E144" t="str">
            <v>m3</v>
          </cell>
          <cell r="G144">
            <v>0</v>
          </cell>
          <cell r="H144">
            <v>0</v>
          </cell>
        </row>
        <row r="145">
          <cell r="A145" t="str">
            <v>02.241.02</v>
          </cell>
          <cell r="B145" t="str">
            <v>Base de solo cimento-mistura na pista</v>
          </cell>
          <cell r="C145" t="str">
            <v>DNER-ES305/97</v>
          </cell>
          <cell r="D145" t="str">
            <v xml:space="preserve"> </v>
          </cell>
          <cell r="E145" t="str">
            <v>m3</v>
          </cell>
          <cell r="G145">
            <v>0</v>
          </cell>
          <cell r="H145">
            <v>0</v>
          </cell>
        </row>
        <row r="146">
          <cell r="A146" t="str">
            <v>02.241.03</v>
          </cell>
          <cell r="B146" t="str">
            <v>Sub-base ou base de macadame hidráulico</v>
          </cell>
          <cell r="C146" t="str">
            <v>DNER-ES316/97</v>
          </cell>
          <cell r="D146" t="str">
            <v xml:space="preserve"> </v>
          </cell>
          <cell r="E146" t="str">
            <v>m3</v>
          </cell>
          <cell r="G146">
            <v>0</v>
          </cell>
          <cell r="H146">
            <v>0</v>
          </cell>
        </row>
        <row r="147">
          <cell r="A147" t="str">
            <v>02.241.04</v>
          </cell>
          <cell r="B147" t="str">
            <v>Macadame betuminoso com CAP</v>
          </cell>
          <cell r="D147" t="str">
            <v xml:space="preserve"> </v>
          </cell>
          <cell r="E147" t="str">
            <v>m3</v>
          </cell>
          <cell r="G147">
            <v>0</v>
          </cell>
          <cell r="H147">
            <v>0</v>
          </cell>
        </row>
        <row r="148">
          <cell r="A148" t="str">
            <v>02.241.05</v>
          </cell>
          <cell r="B148" t="str">
            <v>Macadame betuminoso com emulsão</v>
          </cell>
          <cell r="C148" t="str">
            <v>DNER-ES311/97</v>
          </cell>
          <cell r="D148" t="str">
            <v xml:space="preserve"> </v>
          </cell>
          <cell r="E148" t="str">
            <v>m3</v>
          </cell>
          <cell r="G148">
            <v>0</v>
          </cell>
          <cell r="H148">
            <v>0</v>
          </cell>
        </row>
        <row r="149">
          <cell r="A149" t="str">
            <v>02.241.06</v>
          </cell>
          <cell r="B149" t="str">
            <v>Capa selante</v>
          </cell>
          <cell r="D149" t="str">
            <v xml:space="preserve"> </v>
          </cell>
          <cell r="E149" t="str">
            <v>m2</v>
          </cell>
          <cell r="G149">
            <v>0</v>
          </cell>
          <cell r="H149">
            <v>0</v>
          </cell>
        </row>
        <row r="150">
          <cell r="A150" t="str">
            <v>02.241.07</v>
          </cell>
          <cell r="B150" t="str">
            <v>Lama asfáltica</v>
          </cell>
          <cell r="C150" t="str">
            <v>DNER-ES314/97</v>
          </cell>
          <cell r="D150" t="str">
            <v xml:space="preserve"> </v>
          </cell>
          <cell r="E150" t="str">
            <v>m2</v>
          </cell>
          <cell r="G150">
            <v>0</v>
          </cell>
          <cell r="H150">
            <v>0</v>
          </cell>
        </row>
        <row r="151">
          <cell r="A151" t="str">
            <v>02.300.00</v>
          </cell>
          <cell r="B151" t="str">
            <v>Imprimação - Fornecimento, transporte e execução</v>
          </cell>
          <cell r="C151" t="str">
            <v>DNER-ES306/97</v>
          </cell>
          <cell r="D151" t="str">
            <v xml:space="preserve"> </v>
          </cell>
          <cell r="E151" t="str">
            <v>m2</v>
          </cell>
          <cell r="F151">
            <v>0.82</v>
          </cell>
          <cell r="G151">
            <v>0.29355999999999999</v>
          </cell>
          <cell r="H151">
            <v>1.1135599999999999</v>
          </cell>
        </row>
        <row r="152">
          <cell r="A152" t="str">
            <v>02.400.00</v>
          </cell>
          <cell r="B152" t="str">
            <v>Pintura de ligação - Fornec., transporte e execução</v>
          </cell>
          <cell r="C152" t="str">
            <v>DNER-ES307/97</v>
          </cell>
          <cell r="D152" t="str">
            <v xml:space="preserve"> </v>
          </cell>
          <cell r="E152" t="str">
            <v>m2</v>
          </cell>
          <cell r="F152">
            <v>0.3</v>
          </cell>
          <cell r="G152">
            <v>0.1074</v>
          </cell>
          <cell r="H152">
            <v>0.40739999999999998</v>
          </cell>
        </row>
        <row r="153">
          <cell r="A153" t="str">
            <v>02.500.00</v>
          </cell>
          <cell r="B153" t="str">
            <v>Tratamento superficial simples com CAP</v>
          </cell>
          <cell r="D153" t="str">
            <v xml:space="preserve"> </v>
          </cell>
          <cell r="E153" t="str">
            <v>m2</v>
          </cell>
          <cell r="G153">
            <v>0</v>
          </cell>
          <cell r="H153">
            <v>0</v>
          </cell>
        </row>
        <row r="154">
          <cell r="A154" t="str">
            <v>02.500.01</v>
          </cell>
          <cell r="B154" t="str">
            <v>Tratamento superficial simples com emulsão</v>
          </cell>
          <cell r="D154" t="str">
            <v xml:space="preserve"> </v>
          </cell>
          <cell r="E154" t="str">
            <v>m2</v>
          </cell>
          <cell r="G154">
            <v>0</v>
          </cell>
          <cell r="H154">
            <v>0</v>
          </cell>
        </row>
        <row r="155">
          <cell r="A155" t="str">
            <v>02.501.00</v>
          </cell>
          <cell r="B155" t="str">
            <v>Tratamento superficial duplo com CAP</v>
          </cell>
          <cell r="D155" t="str">
            <v xml:space="preserve"> </v>
          </cell>
          <cell r="E155" t="str">
            <v>m2</v>
          </cell>
          <cell r="G155">
            <v>0</v>
          </cell>
          <cell r="H155">
            <v>0</v>
          </cell>
        </row>
        <row r="156">
          <cell r="A156" t="str">
            <v>02.501.01</v>
          </cell>
          <cell r="B156" t="str">
            <v>Tratamento superficial duplo com emulsão</v>
          </cell>
          <cell r="D156" t="str">
            <v xml:space="preserve"> </v>
          </cell>
          <cell r="E156" t="str">
            <v>m2</v>
          </cell>
          <cell r="G156">
            <v>0</v>
          </cell>
          <cell r="H156">
            <v>0</v>
          </cell>
        </row>
        <row r="157">
          <cell r="A157" t="str">
            <v>02.502.00</v>
          </cell>
          <cell r="B157" t="str">
            <v>Tratamento superficial triplo com CAP</v>
          </cell>
          <cell r="D157" t="str">
            <v xml:space="preserve"> </v>
          </cell>
          <cell r="E157" t="str">
            <v>m2</v>
          </cell>
          <cell r="G157">
            <v>0</v>
          </cell>
          <cell r="H157">
            <v>0</v>
          </cell>
        </row>
        <row r="158">
          <cell r="A158" t="str">
            <v>02.502.01</v>
          </cell>
          <cell r="B158" t="str">
            <v>Tratamento superficial triplo com emulsão</v>
          </cell>
          <cell r="D158" t="str">
            <v xml:space="preserve"> </v>
          </cell>
          <cell r="E158" t="str">
            <v>m2</v>
          </cell>
          <cell r="G158">
            <v>0</v>
          </cell>
          <cell r="H158">
            <v>0</v>
          </cell>
        </row>
        <row r="159">
          <cell r="A159" t="str">
            <v>02.530.00</v>
          </cell>
          <cell r="B159" t="str">
            <v>Pré-misturado a frio</v>
          </cell>
          <cell r="D159" t="str">
            <v xml:space="preserve"> </v>
          </cell>
          <cell r="E159" t="str">
            <v>t</v>
          </cell>
          <cell r="F159">
            <v>32.86</v>
          </cell>
          <cell r="G159">
            <v>11.763879999999999</v>
          </cell>
          <cell r="H159">
            <v>44.62388</v>
          </cell>
        </row>
        <row r="160">
          <cell r="A160" t="str">
            <v>P 02.530.01</v>
          </cell>
          <cell r="B160" t="str">
            <v>Pré-misturado a quente</v>
          </cell>
          <cell r="C160" t="str">
            <v>EPP-03/99</v>
          </cell>
          <cell r="D160" t="str">
            <v xml:space="preserve"> </v>
          </cell>
          <cell r="E160" t="str">
            <v>t</v>
          </cell>
          <cell r="F160">
            <v>37.25</v>
          </cell>
          <cell r="G160">
            <v>13.3355</v>
          </cell>
          <cell r="H160">
            <v>50.585499999999996</v>
          </cell>
        </row>
        <row r="161">
          <cell r="A161" t="str">
            <v>02.540.00</v>
          </cell>
          <cell r="B161" t="str">
            <v>Concreto betuminoso usinado a quente - usina 40/60 t/h</v>
          </cell>
          <cell r="C161" t="str">
            <v>DNER-ES313/97</v>
          </cell>
          <cell r="D161" t="str">
            <v xml:space="preserve"> </v>
          </cell>
          <cell r="E161" t="str">
            <v>t</v>
          </cell>
          <cell r="G161">
            <v>0</v>
          </cell>
          <cell r="H161">
            <v>0</v>
          </cell>
        </row>
        <row r="162">
          <cell r="A162" t="str">
            <v>02.540.01</v>
          </cell>
          <cell r="B162" t="str">
            <v>Concreto betuminoso usinado a quente - usina 100/140 t/h</v>
          </cell>
          <cell r="C162" t="str">
            <v>DNER-ES313/97</v>
          </cell>
          <cell r="D162" t="str">
            <v xml:space="preserve"> </v>
          </cell>
          <cell r="E162" t="str">
            <v>t</v>
          </cell>
          <cell r="F162">
            <v>49.81</v>
          </cell>
          <cell r="G162">
            <v>17.831980000000001</v>
          </cell>
          <cell r="H162">
            <v>67.641980000000004</v>
          </cell>
        </row>
        <row r="163">
          <cell r="A163" t="str">
            <v>P 02.540.01</v>
          </cell>
          <cell r="B163" t="str">
            <v>Fornecimento e transporte de aditivo melhorador de adesividade</v>
          </cell>
          <cell r="C163" t="str">
            <v>DNER-ES313/98</v>
          </cell>
          <cell r="D163" t="str">
            <v xml:space="preserve"> </v>
          </cell>
          <cell r="E163" t="str">
            <v>t</v>
          </cell>
          <cell r="F163">
            <v>647.13</v>
          </cell>
          <cell r="G163">
            <v>231.67254</v>
          </cell>
          <cell r="H163">
            <v>878.80254000000002</v>
          </cell>
        </row>
        <row r="164">
          <cell r="A164" t="str">
            <v>02.550.00</v>
          </cell>
          <cell r="B164" t="str">
            <v>Demolição e remoção de pavimento para remendos localizados</v>
          </cell>
          <cell r="D164" t="str">
            <v xml:space="preserve"> </v>
          </cell>
          <cell r="E164" t="str">
            <v>m3</v>
          </cell>
          <cell r="G164">
            <v>0</v>
          </cell>
          <cell r="H164">
            <v>0</v>
          </cell>
        </row>
        <row r="165">
          <cell r="A165" t="str">
            <v>DER82000</v>
          </cell>
          <cell r="B165" t="str">
            <v>Remoção de meio-fio</v>
          </cell>
          <cell r="E165" t="str">
            <v>m</v>
          </cell>
          <cell r="F165">
            <v>0.81</v>
          </cell>
          <cell r="G165">
            <v>0.28998000000000002</v>
          </cell>
          <cell r="H165">
            <v>1.09998</v>
          </cell>
        </row>
        <row r="166">
          <cell r="A166" t="str">
            <v>DER82100</v>
          </cell>
          <cell r="B166" t="str">
            <v>Remoção de pavimento a lajota</v>
          </cell>
          <cell r="C166" t="str">
            <v>EP P-06/99</v>
          </cell>
          <cell r="D166">
            <v>2</v>
          </cell>
          <cell r="E166" t="str">
            <v>m2</v>
          </cell>
          <cell r="F166">
            <v>0.3</v>
          </cell>
          <cell r="G166">
            <v>0.1074</v>
          </cell>
          <cell r="H166">
            <v>0.40739999999999998</v>
          </cell>
        </row>
        <row r="167">
          <cell r="A167" t="str">
            <v>DER82150</v>
          </cell>
          <cell r="B167" t="str">
            <v>Remoção de pavimento a paralelelpípedo</v>
          </cell>
          <cell r="E167" t="str">
            <v>m2</v>
          </cell>
          <cell r="F167">
            <v>0.46</v>
          </cell>
          <cell r="G167">
            <v>0.16467999999999999</v>
          </cell>
          <cell r="H167">
            <v>0.62468000000000001</v>
          </cell>
        </row>
        <row r="168">
          <cell r="A168" t="str">
            <v>DER82200</v>
          </cell>
          <cell r="B168" t="str">
            <v>Remoção de revestimento de CBUQ</v>
          </cell>
          <cell r="D168" t="str">
            <v xml:space="preserve"> </v>
          </cell>
          <cell r="E168" t="str">
            <v>m3</v>
          </cell>
          <cell r="F168">
            <v>4.22</v>
          </cell>
          <cell r="G168">
            <v>1.5107599999999999</v>
          </cell>
          <cell r="H168">
            <v>5.7307600000000001</v>
          </cell>
        </row>
        <row r="169">
          <cell r="A169" t="str">
            <v>DER82200a</v>
          </cell>
          <cell r="B169" t="str">
            <v>Remoção de camada granular</v>
          </cell>
          <cell r="D169" t="str">
            <v xml:space="preserve"> </v>
          </cell>
          <cell r="E169" t="str">
            <v>m3</v>
          </cell>
          <cell r="F169">
            <v>3.44</v>
          </cell>
          <cell r="G169">
            <v>1.2315199999999999</v>
          </cell>
          <cell r="H169">
            <v>4.6715200000000001</v>
          </cell>
        </row>
        <row r="170">
          <cell r="A170" t="str">
            <v>P 02.560.01</v>
          </cell>
          <cell r="B170" t="str">
            <v>Remoção do pavimento existente</v>
          </cell>
          <cell r="C170" t="str">
            <v>EP P-05/99</v>
          </cell>
          <cell r="D170" t="str">
            <v xml:space="preserve"> </v>
          </cell>
          <cell r="E170" t="str">
            <v>m3</v>
          </cell>
          <cell r="F170">
            <v>2.69</v>
          </cell>
          <cell r="G170">
            <v>0.96301999999999999</v>
          </cell>
          <cell r="H170">
            <v>3.6530199999999997</v>
          </cell>
        </row>
        <row r="171">
          <cell r="A171" t="str">
            <v>DER53110</v>
          </cell>
          <cell r="B171" t="str">
            <v>Camada de seixo classificado</v>
          </cell>
          <cell r="C171" t="str">
            <v>EP P-01/99</v>
          </cell>
          <cell r="D171" t="str">
            <v xml:space="preserve"> </v>
          </cell>
          <cell r="E171" t="str">
            <v>m³</v>
          </cell>
          <cell r="F171">
            <v>11.85</v>
          </cell>
          <cell r="G171">
            <v>4.2422999999999993</v>
          </cell>
          <cell r="H171">
            <v>16.092299999999998</v>
          </cell>
        </row>
        <row r="172">
          <cell r="A172" t="str">
            <v>DER53460</v>
          </cell>
          <cell r="B172" t="str">
            <v>Calçamento com briquetes de 8 cm</v>
          </cell>
          <cell r="C172" t="str">
            <v>EP P-01/100</v>
          </cell>
          <cell r="D172" t="str">
            <v xml:space="preserve"> </v>
          </cell>
          <cell r="E172" t="str">
            <v>m2</v>
          </cell>
          <cell r="F172">
            <v>11.85</v>
          </cell>
          <cell r="G172">
            <v>4.2422999999999993</v>
          </cell>
          <cell r="H172">
            <v>16.092299999999998</v>
          </cell>
        </row>
        <row r="173">
          <cell r="A173" t="str">
            <v>DER53460a</v>
          </cell>
          <cell r="B173" t="str">
            <v>Calçamento com briquetes de 6 cm</v>
          </cell>
          <cell r="C173" t="str">
            <v>EP P-01/101</v>
          </cell>
          <cell r="D173" t="str">
            <v xml:space="preserve"> </v>
          </cell>
          <cell r="E173" t="str">
            <v>m2</v>
          </cell>
          <cell r="F173">
            <v>15.08</v>
          </cell>
          <cell r="G173">
            <v>5.3986399999999994</v>
          </cell>
          <cell r="H173">
            <v>20.478639999999999</v>
          </cell>
        </row>
        <row r="174">
          <cell r="A174" t="str">
            <v>02.999.01</v>
          </cell>
          <cell r="B174" t="str">
            <v>Usinagem solo-cimento</v>
          </cell>
          <cell r="C174" t="str">
            <v xml:space="preserve"> </v>
          </cell>
          <cell r="D174" t="str">
            <v xml:space="preserve"> </v>
          </cell>
          <cell r="E174" t="str">
            <v>m3</v>
          </cell>
          <cell r="G174">
            <v>0</v>
          </cell>
          <cell r="H174">
            <v>0</v>
          </cell>
        </row>
        <row r="175">
          <cell r="A175" t="str">
            <v>02.999.02</v>
          </cell>
          <cell r="B175" t="str">
            <v>Usinagem solo-brita</v>
          </cell>
          <cell r="C175" t="str">
            <v xml:space="preserve"> </v>
          </cell>
          <cell r="D175" t="str">
            <v xml:space="preserve"> </v>
          </cell>
          <cell r="E175" t="str">
            <v>m3</v>
          </cell>
          <cell r="G175">
            <v>0</v>
          </cell>
          <cell r="H175">
            <v>0</v>
          </cell>
        </row>
        <row r="176">
          <cell r="A176" t="str">
            <v>02.999.03</v>
          </cell>
          <cell r="B176" t="str">
            <v>Brita graduada - usinagem</v>
          </cell>
          <cell r="C176" t="str">
            <v xml:space="preserve"> </v>
          </cell>
          <cell r="D176" t="str">
            <v xml:space="preserve"> </v>
          </cell>
          <cell r="E176" t="str">
            <v>m3</v>
          </cell>
          <cell r="F176">
            <v>1.0900000000000001</v>
          </cell>
          <cell r="G176">
            <v>0.39022000000000001</v>
          </cell>
          <cell r="H176">
            <v>1.4802200000000001</v>
          </cell>
        </row>
        <row r="177">
          <cell r="A177" t="str">
            <v>02.999.04</v>
          </cell>
          <cell r="B177" t="str">
            <v>Concreto betuminoso - usinagem I</v>
          </cell>
          <cell r="C177" t="str">
            <v xml:space="preserve"> </v>
          </cell>
          <cell r="D177" t="str">
            <v xml:space="preserve"> </v>
          </cell>
          <cell r="E177" t="str">
            <v>t</v>
          </cell>
          <cell r="G177">
            <v>0</v>
          </cell>
          <cell r="H177">
            <v>0</v>
          </cell>
        </row>
        <row r="178">
          <cell r="A178" t="str">
            <v>02.999.05</v>
          </cell>
          <cell r="B178" t="str">
            <v>Concreto betuminoso - usinagem II</v>
          </cell>
          <cell r="C178" t="str">
            <v xml:space="preserve"> </v>
          </cell>
          <cell r="D178" t="str">
            <v xml:space="preserve"> </v>
          </cell>
          <cell r="E178" t="str">
            <v>t</v>
          </cell>
          <cell r="F178">
            <v>5.68</v>
          </cell>
          <cell r="G178">
            <v>2.0334399999999997</v>
          </cell>
          <cell r="H178">
            <v>7.7134399999999994</v>
          </cell>
        </row>
        <row r="179">
          <cell r="A179" t="str">
            <v>02.999.06</v>
          </cell>
          <cell r="B179" t="str">
            <v>Pré-misturado a frio - usinagem</v>
          </cell>
          <cell r="C179" t="str">
            <v xml:space="preserve"> </v>
          </cell>
          <cell r="D179" t="str">
            <v xml:space="preserve"> </v>
          </cell>
          <cell r="E179" t="str">
            <v>t</v>
          </cell>
          <cell r="F179">
            <v>1.02</v>
          </cell>
          <cell r="G179">
            <v>0.36515999999999998</v>
          </cell>
          <cell r="H179">
            <v>1.3851599999999999</v>
          </cell>
        </row>
        <row r="180">
          <cell r="A180" t="str">
            <v>P 02.999.07</v>
          </cell>
          <cell r="B180" t="str">
            <v>Brita graduada com cimento - usinagem</v>
          </cell>
          <cell r="C180" t="str">
            <v xml:space="preserve"> </v>
          </cell>
          <cell r="D180" t="str">
            <v xml:space="preserve"> </v>
          </cell>
          <cell r="E180" t="str">
            <v>m3</v>
          </cell>
          <cell r="F180">
            <v>1.05</v>
          </cell>
          <cell r="G180">
            <v>0.37590000000000001</v>
          </cell>
          <cell r="H180">
            <v>1.4258999999999999</v>
          </cell>
        </row>
        <row r="181">
          <cell r="A181" t="str">
            <v>P 02.999.08</v>
          </cell>
          <cell r="B181" t="str">
            <v>Base de brita graduada tratada com cimento</v>
          </cell>
          <cell r="C181" t="str">
            <v xml:space="preserve"> </v>
          </cell>
          <cell r="D181" t="str">
            <v xml:space="preserve"> </v>
          </cell>
          <cell r="E181" t="str">
            <v>m3</v>
          </cell>
          <cell r="F181">
            <v>36.07</v>
          </cell>
          <cell r="G181">
            <v>12.91306</v>
          </cell>
          <cell r="H181">
            <v>48.983060000000002</v>
          </cell>
        </row>
        <row r="182">
          <cell r="A182" t="str">
            <v>DER53130</v>
          </cell>
          <cell r="B182" t="str">
            <v>Camada de macadame seco</v>
          </cell>
          <cell r="C182" t="str">
            <v xml:space="preserve"> </v>
          </cell>
          <cell r="D182" t="str">
            <v xml:space="preserve"> </v>
          </cell>
          <cell r="E182" t="str">
            <v>m3</v>
          </cell>
          <cell r="F182">
            <v>16.100000000000001</v>
          </cell>
          <cell r="G182">
            <v>5.7638000000000007</v>
          </cell>
          <cell r="H182">
            <v>21.863800000000001</v>
          </cell>
        </row>
        <row r="183">
          <cell r="A183" t="str">
            <v>P 02.250.00</v>
          </cell>
          <cell r="B183" t="str">
            <v>Concreto Pobre Rolado</v>
          </cell>
          <cell r="C183" t="str">
            <v xml:space="preserve"> </v>
          </cell>
          <cell r="D183" t="str">
            <v xml:space="preserve"> </v>
          </cell>
          <cell r="E183" t="str">
            <v>m3</v>
          </cell>
          <cell r="F183">
            <v>65.98</v>
          </cell>
          <cell r="G183">
            <v>23.620840000000001</v>
          </cell>
          <cell r="H183">
            <v>89.600840000000005</v>
          </cell>
        </row>
        <row r="184">
          <cell r="A184" t="str">
            <v>P 02.250.01</v>
          </cell>
          <cell r="B184" t="str">
            <v>Concreto magro p/ concreto rolado</v>
          </cell>
          <cell r="C184" t="str">
            <v xml:space="preserve"> </v>
          </cell>
          <cell r="D184" t="str">
            <v xml:space="preserve"> </v>
          </cell>
          <cell r="E184" t="str">
            <v>m3</v>
          </cell>
          <cell r="F184">
            <v>49.64</v>
          </cell>
          <cell r="G184">
            <v>17.77112</v>
          </cell>
          <cell r="H184">
            <v>67.411119999999997</v>
          </cell>
        </row>
        <row r="185">
          <cell r="A185" t="str">
            <v>P02.999.10</v>
          </cell>
          <cell r="B185" t="str">
            <v>Frezagem de revestimento em CAUQ e&lt;= 8 cm c/transporte até 2km</v>
          </cell>
          <cell r="C185" t="str">
            <v>EP P-04/99</v>
          </cell>
          <cell r="D185">
            <v>2</v>
          </cell>
          <cell r="E185" t="str">
            <v>m3</v>
          </cell>
          <cell r="F185">
            <v>18.38</v>
          </cell>
          <cell r="G185">
            <v>6.5800399999999994</v>
          </cell>
          <cell r="H185">
            <v>24.960039999999999</v>
          </cell>
        </row>
        <row r="186">
          <cell r="A186" t="str">
            <v>MACHIDRAUL</v>
          </cell>
          <cell r="B186" t="str">
            <v>Macadame hidraulico</v>
          </cell>
          <cell r="E186" t="str">
            <v>m3</v>
          </cell>
          <cell r="G186">
            <v>0</v>
          </cell>
          <cell r="H186">
            <v>0</v>
          </cell>
        </row>
        <row r="187">
          <cell r="A187">
            <v>3</v>
          </cell>
          <cell r="B187" t="str">
            <v>OBRAS DE ARTE ESPECIAIS</v>
          </cell>
        </row>
        <row r="188">
          <cell r="A188" t="str">
            <v>OAE1</v>
          </cell>
          <cell r="B188" t="str">
            <v>Ancoragem ativa - Fornecimento, instalação e protensão</v>
          </cell>
          <cell r="C188" t="str">
            <v xml:space="preserve"> </v>
          </cell>
          <cell r="D188" t="str">
            <v xml:space="preserve"> </v>
          </cell>
          <cell r="E188" t="str">
            <v>un</v>
          </cell>
          <cell r="F188">
            <v>502.42</v>
          </cell>
          <cell r="G188">
            <v>179.86635999999999</v>
          </cell>
          <cell r="H188">
            <v>682.28636000000006</v>
          </cell>
        </row>
        <row r="189">
          <cell r="A189" t="str">
            <v>OAE2</v>
          </cell>
          <cell r="B189" t="str">
            <v>Armadura de protensão - Fornecimento, montagem e colocação</v>
          </cell>
          <cell r="C189" t="str">
            <v xml:space="preserve"> </v>
          </cell>
          <cell r="D189" t="str">
            <v xml:space="preserve"> </v>
          </cell>
          <cell r="E189" t="str">
            <v>kg</v>
          </cell>
          <cell r="F189">
            <v>2.76</v>
          </cell>
          <cell r="G189">
            <v>0.98807999999999985</v>
          </cell>
          <cell r="H189">
            <v>3.7480799999999999</v>
          </cell>
        </row>
        <row r="190">
          <cell r="A190" t="str">
            <v>OAE3</v>
          </cell>
          <cell r="B190" t="str">
            <v>Bainha semi-rígida galvanizada - Fornecimento, montagem e colocação</v>
          </cell>
          <cell r="C190" t="str">
            <v xml:space="preserve"> </v>
          </cell>
          <cell r="D190" t="str">
            <v xml:space="preserve"> </v>
          </cell>
          <cell r="E190" t="str">
            <v>m</v>
          </cell>
          <cell r="F190">
            <v>6.98</v>
          </cell>
          <cell r="G190">
            <v>2.49884</v>
          </cell>
          <cell r="H190">
            <v>9.4788399999999999</v>
          </cell>
        </row>
        <row r="191">
          <cell r="A191" t="str">
            <v>OAE4</v>
          </cell>
          <cell r="B191" t="str">
            <v>Armadura de protensão, fornecimento, bainhas, ancoragens, operações de protensão</v>
          </cell>
          <cell r="C191" t="str">
            <v xml:space="preserve"> </v>
          </cell>
          <cell r="D191" t="str">
            <v xml:space="preserve"> </v>
          </cell>
          <cell r="E191" t="str">
            <v>kg</v>
          </cell>
          <cell r="F191">
            <v>14.2</v>
          </cell>
          <cell r="G191">
            <v>5.0835999999999997</v>
          </cell>
          <cell r="H191">
            <v>19.2836</v>
          </cell>
        </row>
        <row r="192">
          <cell r="A192" t="str">
            <v>OAE4a</v>
          </cell>
          <cell r="B192" t="str">
            <v>Armadura de protensão, CP190RB, fornecimento, bainhas metálicas semi-rígidas galvanizadas</v>
          </cell>
          <cell r="C192" t="str">
            <v xml:space="preserve"> </v>
          </cell>
          <cell r="D192" t="str">
            <v xml:space="preserve"> </v>
          </cell>
          <cell r="E192" t="str">
            <v>kg</v>
          </cell>
          <cell r="F192">
            <v>9.31</v>
          </cell>
          <cell r="G192">
            <v>3.3329800000000001</v>
          </cell>
          <cell r="H192">
            <v>12.642980000000001</v>
          </cell>
        </row>
        <row r="193">
          <cell r="A193" t="str">
            <v>OAE5</v>
          </cell>
          <cell r="B193" t="str">
            <v>Estaca metálica - tipo CS 300 x 130 - Fornecimento e cravação</v>
          </cell>
          <cell r="C193" t="str">
            <v xml:space="preserve"> </v>
          </cell>
          <cell r="D193" t="str">
            <v xml:space="preserve"> </v>
          </cell>
          <cell r="E193" t="str">
            <v>m</v>
          </cell>
          <cell r="F193">
            <v>130.1</v>
          </cell>
          <cell r="G193">
            <v>46.575799999999994</v>
          </cell>
          <cell r="H193">
            <v>176.67579999999998</v>
          </cell>
        </row>
        <row r="194">
          <cell r="A194" t="str">
            <v>OAE5a</v>
          </cell>
          <cell r="B194" t="str">
            <v>Estaca metálica - tipo CS 250 X 52 - Fornecimento e cravação</v>
          </cell>
          <cell r="C194" t="str">
            <v xml:space="preserve"> </v>
          </cell>
          <cell r="D194" t="str">
            <v xml:space="preserve"> </v>
          </cell>
          <cell r="E194" t="str">
            <v>m</v>
          </cell>
          <cell r="F194">
            <v>71.599999999999994</v>
          </cell>
          <cell r="G194">
            <v>25.632799999999996</v>
          </cell>
          <cell r="H194">
            <v>97.232799999999997</v>
          </cell>
        </row>
        <row r="195">
          <cell r="A195" t="str">
            <v>OAE5b</v>
          </cell>
          <cell r="B195" t="str">
            <v>Estaca metálica - tipo CS 300 x 77 - Fornecimento e cravação</v>
          </cell>
          <cell r="C195" t="str">
            <v xml:space="preserve"> </v>
          </cell>
          <cell r="D195" t="str">
            <v xml:space="preserve"> </v>
          </cell>
          <cell r="E195" t="str">
            <v>m</v>
          </cell>
          <cell r="F195">
            <v>90.35</v>
          </cell>
          <cell r="G195">
            <v>32.345299999999995</v>
          </cell>
          <cell r="H195">
            <v>122.69529999999999</v>
          </cell>
        </row>
        <row r="196">
          <cell r="A196" t="str">
            <v>OAE5c</v>
          </cell>
          <cell r="B196" t="str">
            <v>Estaca metálica - tipo CS 300 x 116 - Fornecimento e cravação</v>
          </cell>
          <cell r="C196" t="str">
            <v xml:space="preserve"> </v>
          </cell>
          <cell r="D196" t="str">
            <v xml:space="preserve"> </v>
          </cell>
          <cell r="E196" t="str">
            <v>m</v>
          </cell>
          <cell r="F196">
            <v>119.6</v>
          </cell>
          <cell r="G196">
            <v>42.816799999999994</v>
          </cell>
          <cell r="H196">
            <v>162.41679999999999</v>
          </cell>
        </row>
        <row r="197">
          <cell r="A197" t="str">
            <v>OAE5d</v>
          </cell>
          <cell r="B197" t="str">
            <v>Estaca metálica - tipo CS 400 x 136 - Fornecimento e cravação</v>
          </cell>
          <cell r="C197" t="str">
            <v xml:space="preserve"> </v>
          </cell>
          <cell r="D197" t="str">
            <v xml:space="preserve"> </v>
          </cell>
          <cell r="E197" t="str">
            <v>m</v>
          </cell>
          <cell r="F197">
            <v>135.44999999999999</v>
          </cell>
          <cell r="G197">
            <v>48.491099999999996</v>
          </cell>
          <cell r="H197">
            <v>183.94109999999998</v>
          </cell>
        </row>
        <row r="198">
          <cell r="A198" t="str">
            <v>OAE6</v>
          </cell>
          <cell r="B198" t="str">
            <v>Escoramento metálico comum (cimbramento)</v>
          </cell>
          <cell r="C198" t="str">
            <v xml:space="preserve"> </v>
          </cell>
          <cell r="D198" t="str">
            <v xml:space="preserve"> </v>
          </cell>
          <cell r="E198" t="str">
            <v>m3</v>
          </cell>
          <cell r="F198">
            <v>20.309999999999999</v>
          </cell>
          <cell r="G198">
            <v>7.2709799999999989</v>
          </cell>
          <cell r="H198">
            <v>27.580979999999997</v>
          </cell>
        </row>
        <row r="199">
          <cell r="A199" t="str">
            <v>OAE7</v>
          </cell>
          <cell r="B199" t="str">
            <v>Dreno de PVC D= 150 mm</v>
          </cell>
          <cell r="C199" t="str">
            <v xml:space="preserve"> </v>
          </cell>
          <cell r="D199" t="str">
            <v xml:space="preserve"> </v>
          </cell>
          <cell r="E199" t="str">
            <v>un</v>
          </cell>
          <cell r="F199">
            <v>4.25</v>
          </cell>
          <cell r="G199">
            <v>1.5214999999999999</v>
          </cell>
          <cell r="H199">
            <v>5.7714999999999996</v>
          </cell>
        </row>
        <row r="200">
          <cell r="A200" t="str">
            <v>OAE8</v>
          </cell>
          <cell r="B200" t="str">
            <v>Manuseio, transp. e posicionamento vigas pré-moldadas c/35,90m comp. e 70tf de peso</v>
          </cell>
          <cell r="C200" t="str">
            <v xml:space="preserve"> </v>
          </cell>
          <cell r="D200" t="str">
            <v xml:space="preserve"> </v>
          </cell>
          <cell r="E200" t="str">
            <v>un</v>
          </cell>
          <cell r="F200">
            <v>3651.27</v>
          </cell>
          <cell r="G200">
            <v>1307.1546599999999</v>
          </cell>
          <cell r="H200">
            <v>4958.4246599999997</v>
          </cell>
        </row>
        <row r="201">
          <cell r="A201" t="str">
            <v>OAE8b</v>
          </cell>
          <cell r="B201" t="str">
            <v>Manuseio, transp. e posicionamento vigas pré-moldadas c/35,90m comp. e 71tf de peso</v>
          </cell>
          <cell r="C201" t="str">
            <v xml:space="preserve"> </v>
          </cell>
          <cell r="D201" t="str">
            <v xml:space="preserve"> </v>
          </cell>
          <cell r="E201" t="str">
            <v>un</v>
          </cell>
          <cell r="F201">
            <v>3651.27</v>
          </cell>
          <cell r="G201">
            <v>1307.1546599999999</v>
          </cell>
          <cell r="H201">
            <v>4958.4246599999997</v>
          </cell>
        </row>
        <row r="202">
          <cell r="A202" t="str">
            <v>OAE9</v>
          </cell>
          <cell r="B202" t="str">
            <v>Aparelho de apoio metálico Rudloff, unidirec. Tipo TU-134 ou similar,  fornec.e instal.</v>
          </cell>
          <cell r="C202" t="str">
            <v xml:space="preserve"> </v>
          </cell>
          <cell r="D202" t="str">
            <v xml:space="preserve"> </v>
          </cell>
          <cell r="E202" t="str">
            <v>un</v>
          </cell>
          <cell r="F202">
            <v>1623.48</v>
          </cell>
          <cell r="G202">
            <v>581.20583999999997</v>
          </cell>
          <cell r="H202">
            <v>2204.6858400000001</v>
          </cell>
        </row>
        <row r="203">
          <cell r="A203" t="str">
            <v>OAE10</v>
          </cell>
          <cell r="B203" t="str">
            <v>Aparelho de apoio metálico Rudloff ou similar, multidirec. Tipo TM-134 fornec.e instal.</v>
          </cell>
          <cell r="C203" t="str">
            <v xml:space="preserve"> </v>
          </cell>
          <cell r="D203" t="str">
            <v xml:space="preserve"> </v>
          </cell>
          <cell r="E203" t="str">
            <v>un</v>
          </cell>
          <cell r="F203">
            <v>1502.51</v>
          </cell>
          <cell r="G203">
            <v>537.89857999999992</v>
          </cell>
          <cell r="H203">
            <v>2040.4085799999998</v>
          </cell>
        </row>
        <row r="204">
          <cell r="A204" t="str">
            <v>OAE11</v>
          </cell>
          <cell r="B204" t="str">
            <v>Aparelho de apoio metálico Rudloff, fixo Tipo TF-134 ou similar,  fornec.e instal.</v>
          </cell>
          <cell r="C204" t="str">
            <v xml:space="preserve"> </v>
          </cell>
          <cell r="D204" t="str">
            <v xml:space="preserve"> </v>
          </cell>
          <cell r="E204" t="str">
            <v>un</v>
          </cell>
          <cell r="F204">
            <v>925.66</v>
          </cell>
          <cell r="G204">
            <v>331.38628</v>
          </cell>
          <cell r="H204">
            <v>1257.04628</v>
          </cell>
        </row>
        <row r="205">
          <cell r="A205" t="str">
            <v>OAE12</v>
          </cell>
          <cell r="B205" t="str">
            <v>Grouteamento</v>
          </cell>
          <cell r="C205" t="str">
            <v xml:space="preserve"> </v>
          </cell>
          <cell r="D205" t="str">
            <v xml:space="preserve"> </v>
          </cell>
          <cell r="E205" t="str">
            <v>m3</v>
          </cell>
          <cell r="F205">
            <v>652.16999999999996</v>
          </cell>
          <cell r="G205">
            <v>233.47685999999999</v>
          </cell>
          <cell r="H205">
            <v>885.64685999999995</v>
          </cell>
        </row>
        <row r="206">
          <cell r="A206" t="str">
            <v>OAE13</v>
          </cell>
          <cell r="B206" t="str">
            <v>Proteção parte exposta das estacas c/ tubo PVC D=650mm</v>
          </cell>
          <cell r="C206" t="str">
            <v xml:space="preserve"> </v>
          </cell>
          <cell r="D206" t="str">
            <v xml:space="preserve"> </v>
          </cell>
          <cell r="E206" t="str">
            <v>m</v>
          </cell>
          <cell r="F206">
            <v>70.58</v>
          </cell>
          <cell r="G206">
            <v>25.26764</v>
          </cell>
          <cell r="H206">
            <v>95.847639999999998</v>
          </cell>
        </row>
        <row r="207">
          <cell r="A207" t="str">
            <v>OAE14</v>
          </cell>
          <cell r="B207" t="str">
            <v>Junta de expansão/ contração Juntaflex ou similar</v>
          </cell>
          <cell r="C207" t="str">
            <v xml:space="preserve"> </v>
          </cell>
          <cell r="D207" t="str">
            <v xml:space="preserve"> </v>
          </cell>
          <cell r="E207" t="str">
            <v>m</v>
          </cell>
          <cell r="F207">
            <v>140.51</v>
          </cell>
          <cell r="G207">
            <v>50.302579999999992</v>
          </cell>
          <cell r="H207">
            <v>190.81257999999997</v>
          </cell>
        </row>
        <row r="208">
          <cell r="A208" t="str">
            <v>OAE15</v>
          </cell>
          <cell r="B208" t="str">
            <v>Chumbadores Tecnart tipo Omega ou similar</v>
          </cell>
          <cell r="C208" t="str">
            <v xml:space="preserve"> </v>
          </cell>
          <cell r="D208" t="str">
            <v xml:space="preserve"> </v>
          </cell>
          <cell r="E208" t="str">
            <v>ud</v>
          </cell>
          <cell r="F208">
            <v>5.08</v>
          </cell>
          <cell r="G208">
            <v>1.81864</v>
          </cell>
          <cell r="H208">
            <v>6.8986400000000003</v>
          </cell>
        </row>
        <row r="209">
          <cell r="A209" t="str">
            <v>OAE16</v>
          </cell>
          <cell r="B209" t="str">
            <v>Escoramento autoportante</v>
          </cell>
          <cell r="C209" t="str">
            <v xml:space="preserve"> </v>
          </cell>
          <cell r="D209" t="str">
            <v xml:space="preserve"> </v>
          </cell>
          <cell r="E209" t="str">
            <v>m2</v>
          </cell>
          <cell r="F209">
            <v>178.93</v>
          </cell>
          <cell r="G209">
            <v>64.056939999999997</v>
          </cell>
          <cell r="H209">
            <v>242.98694</v>
          </cell>
        </row>
        <row r="210">
          <cell r="A210" t="str">
            <v>OAE17</v>
          </cell>
          <cell r="B210" t="str">
            <v>Transporte e lançamento de pré-lages</v>
          </cell>
          <cell r="C210" t="str">
            <v xml:space="preserve"> </v>
          </cell>
          <cell r="D210" t="str">
            <v xml:space="preserve"> </v>
          </cell>
          <cell r="E210" t="str">
            <v>un</v>
          </cell>
          <cell r="F210">
            <v>17.28</v>
          </cell>
          <cell r="G210">
            <v>6.1862399999999997</v>
          </cell>
          <cell r="H210">
            <v>23.466239999999999</v>
          </cell>
        </row>
        <row r="211">
          <cell r="A211" t="str">
            <v>OAE18</v>
          </cell>
          <cell r="B211" t="str">
            <v>Transporte e lançamento de vigas pré-moldadas</v>
          </cell>
          <cell r="C211" t="str">
            <v xml:space="preserve"> </v>
          </cell>
          <cell r="D211" t="str">
            <v xml:space="preserve"> </v>
          </cell>
          <cell r="E211" t="str">
            <v>un</v>
          </cell>
          <cell r="F211">
            <v>943.5</v>
          </cell>
          <cell r="G211">
            <v>337.77299999999997</v>
          </cell>
          <cell r="H211">
            <v>1281.2729999999999</v>
          </cell>
        </row>
        <row r="212">
          <cell r="A212" t="str">
            <v>OAE19</v>
          </cell>
          <cell r="B212" t="str">
            <v>Injeção de nata (cabos 12 varas 1/2")</v>
          </cell>
          <cell r="C212" t="str">
            <v xml:space="preserve"> </v>
          </cell>
          <cell r="D212" t="str">
            <v xml:space="preserve"> </v>
          </cell>
          <cell r="E212" t="str">
            <v>m</v>
          </cell>
          <cell r="F212">
            <v>2.69</v>
          </cell>
          <cell r="G212">
            <v>0.96301999999999999</v>
          </cell>
          <cell r="H212">
            <v>3.6530199999999997</v>
          </cell>
        </row>
        <row r="213">
          <cell r="A213" t="str">
            <v>OAE20</v>
          </cell>
          <cell r="B213" t="str">
            <v>Injeção de nata (cabos 4 varas 1/2")</v>
          </cell>
          <cell r="C213" t="str">
            <v xml:space="preserve"> </v>
          </cell>
          <cell r="D213" t="str">
            <v xml:space="preserve"> </v>
          </cell>
          <cell r="E213" t="str">
            <v>m</v>
          </cell>
          <cell r="F213">
            <v>2.56</v>
          </cell>
          <cell r="G213">
            <v>0.91647999999999996</v>
          </cell>
          <cell r="H213">
            <v>3.47648</v>
          </cell>
        </row>
        <row r="214">
          <cell r="A214" t="str">
            <v>OAE21</v>
          </cell>
          <cell r="B214" t="str">
            <v>Injeção de nata (cabos 6 varas 1/2")</v>
          </cell>
          <cell r="C214" t="str">
            <v xml:space="preserve"> </v>
          </cell>
          <cell r="D214" t="str">
            <v xml:space="preserve"> </v>
          </cell>
          <cell r="E214" t="str">
            <v>m</v>
          </cell>
          <cell r="F214">
            <v>2.59</v>
          </cell>
          <cell r="G214">
            <v>0.92721999999999993</v>
          </cell>
          <cell r="H214">
            <v>3.51722</v>
          </cell>
        </row>
        <row r="215">
          <cell r="A215" t="str">
            <v>03.000.01</v>
          </cell>
          <cell r="B215" t="str">
            <v>Escavação manual em cavas de fundação</v>
          </cell>
          <cell r="C215" t="str">
            <v xml:space="preserve"> </v>
          </cell>
          <cell r="D215" t="str">
            <v xml:space="preserve"> </v>
          </cell>
          <cell r="E215" t="str">
            <v>m3</v>
          </cell>
          <cell r="F215">
            <v>70.58</v>
          </cell>
          <cell r="G215">
            <v>25.26764</v>
          </cell>
          <cell r="H215">
            <v>95.847639999999998</v>
          </cell>
        </row>
        <row r="216">
          <cell r="A216" t="str">
            <v>03.000.02</v>
          </cell>
          <cell r="B216" t="str">
            <v>Escavação manual de cavas em mat. 1a  categoria</v>
          </cell>
          <cell r="C216" t="str">
            <v xml:space="preserve"> </v>
          </cell>
          <cell r="D216" t="str">
            <v xml:space="preserve"> </v>
          </cell>
          <cell r="E216" t="str">
            <v>m3</v>
          </cell>
          <cell r="F216">
            <v>14.55</v>
          </cell>
          <cell r="G216">
            <v>5.2088999999999999</v>
          </cell>
          <cell r="H216">
            <v>19.758900000000001</v>
          </cell>
        </row>
        <row r="217">
          <cell r="A217" t="str">
            <v>03.000.03</v>
          </cell>
          <cell r="B217" t="str">
            <v>Escavação manual de cavas em mat. 2a  categoria</v>
          </cell>
          <cell r="C217" t="str">
            <v xml:space="preserve"> </v>
          </cell>
          <cell r="D217" t="str">
            <v xml:space="preserve"> </v>
          </cell>
          <cell r="E217" t="str">
            <v>m3</v>
          </cell>
          <cell r="F217">
            <v>19.399999999999999</v>
          </cell>
          <cell r="G217">
            <v>6.9451999999999989</v>
          </cell>
          <cell r="H217">
            <v>26.345199999999998</v>
          </cell>
        </row>
        <row r="218">
          <cell r="A218" t="str">
            <v>03.010.01</v>
          </cell>
          <cell r="B218" t="str">
            <v>Escavação em cavas de fundação com esgotamento</v>
          </cell>
          <cell r="C218" t="str">
            <v xml:space="preserve"> </v>
          </cell>
          <cell r="D218" t="str">
            <v xml:space="preserve"> </v>
          </cell>
          <cell r="E218" t="str">
            <v>m3</v>
          </cell>
          <cell r="F218">
            <v>16.489999999999998</v>
          </cell>
          <cell r="G218">
            <v>5.9034199999999988</v>
          </cell>
          <cell r="H218">
            <v>22.393419999999999</v>
          </cell>
        </row>
        <row r="219">
          <cell r="A219" t="str">
            <v>03.119.01</v>
          </cell>
          <cell r="B219" t="str">
            <v>Escoramento</v>
          </cell>
          <cell r="C219" t="str">
            <v xml:space="preserve"> </v>
          </cell>
          <cell r="D219" t="str">
            <v xml:space="preserve"> </v>
          </cell>
          <cell r="E219" t="str">
            <v>m3</v>
          </cell>
          <cell r="F219">
            <v>14.13</v>
          </cell>
          <cell r="G219">
            <v>5.0585399999999998</v>
          </cell>
          <cell r="H219">
            <v>19.18854</v>
          </cell>
        </row>
        <row r="220">
          <cell r="A220" t="str">
            <v>03.300.01</v>
          </cell>
          <cell r="B220" t="str">
            <v>Concreto magro</v>
          </cell>
          <cell r="C220" t="str">
            <v xml:space="preserve"> </v>
          </cell>
          <cell r="D220" t="str">
            <v xml:space="preserve"> </v>
          </cell>
          <cell r="E220" t="str">
            <v>m3</v>
          </cell>
          <cell r="F220">
            <v>77.83</v>
          </cell>
          <cell r="G220">
            <v>27.863139999999998</v>
          </cell>
          <cell r="H220">
            <v>105.69314</v>
          </cell>
        </row>
        <row r="221">
          <cell r="A221" t="str">
            <v>03.310.01</v>
          </cell>
          <cell r="B221" t="str">
            <v>Concreto ciclópico fck=8 MPa</v>
          </cell>
          <cell r="C221" t="str">
            <v xml:space="preserve"> </v>
          </cell>
          <cell r="D221" t="str">
            <v xml:space="preserve"> </v>
          </cell>
          <cell r="E221" t="str">
            <v>m3</v>
          </cell>
          <cell r="F221">
            <v>70.260000000000005</v>
          </cell>
          <cell r="G221">
            <v>25.153079999999999</v>
          </cell>
          <cell r="H221">
            <v>95.413080000000008</v>
          </cell>
        </row>
        <row r="222">
          <cell r="A222" t="str">
            <v>03.310.02</v>
          </cell>
          <cell r="B222" t="str">
            <v>Concreto ciclópico fck=10 MPa</v>
          </cell>
          <cell r="C222" t="str">
            <v xml:space="preserve"> </v>
          </cell>
          <cell r="D222" t="str">
            <v xml:space="preserve"> </v>
          </cell>
          <cell r="E222" t="str">
            <v>m3</v>
          </cell>
          <cell r="F222">
            <v>73.02</v>
          </cell>
          <cell r="G222">
            <v>26.141159999999996</v>
          </cell>
          <cell r="H222">
            <v>99.161159999999995</v>
          </cell>
        </row>
        <row r="223">
          <cell r="A223" t="str">
            <v>03.310.03</v>
          </cell>
          <cell r="B223" t="str">
            <v>Concreto ciclópico fck=12 MPa</v>
          </cell>
          <cell r="C223" t="str">
            <v xml:space="preserve"> </v>
          </cell>
          <cell r="D223" t="str">
            <v xml:space="preserve"> </v>
          </cell>
          <cell r="E223" t="str">
            <v>m3</v>
          </cell>
          <cell r="F223">
            <v>75.930000000000007</v>
          </cell>
          <cell r="G223">
            <v>27.182940000000002</v>
          </cell>
          <cell r="H223">
            <v>103.11294000000001</v>
          </cell>
        </row>
        <row r="224">
          <cell r="A224" t="str">
            <v>03.310.04</v>
          </cell>
          <cell r="B224" t="str">
            <v>Concreto ciclópico fck=15 MPa</v>
          </cell>
          <cell r="C224" t="str">
            <v xml:space="preserve"> </v>
          </cell>
          <cell r="D224" t="str">
            <v xml:space="preserve"> </v>
          </cell>
          <cell r="E224" t="str">
            <v>m3</v>
          </cell>
          <cell r="F224">
            <v>79.069999999999993</v>
          </cell>
          <cell r="G224">
            <v>28.307059999999996</v>
          </cell>
          <cell r="H224">
            <v>107.37705999999999</v>
          </cell>
        </row>
        <row r="225">
          <cell r="A225" t="str">
            <v>03.321.00</v>
          </cell>
          <cell r="B225" t="str">
            <v>Concreto estrutural fck=15 MPa - Cont. raiz. c/ adit.</v>
          </cell>
          <cell r="C225" t="str">
            <v xml:space="preserve"> </v>
          </cell>
          <cell r="D225" t="str">
            <v xml:space="preserve"> </v>
          </cell>
          <cell r="E225" t="str">
            <v>m3</v>
          </cell>
          <cell r="F225">
            <v>90.11</v>
          </cell>
          <cell r="G225">
            <v>32.25938</v>
          </cell>
          <cell r="H225">
            <v>122.36938000000001</v>
          </cell>
        </row>
        <row r="226">
          <cell r="A226" t="str">
            <v>03.321.01</v>
          </cell>
          <cell r="B226" t="str">
            <v>Concreto fck= 10 MPa-contr. raz. uso ger. conf. e lan</v>
          </cell>
          <cell r="C226" t="str">
            <v xml:space="preserve"> </v>
          </cell>
          <cell r="D226" t="str">
            <v xml:space="preserve"> </v>
          </cell>
          <cell r="E226" t="str">
            <v>m3</v>
          </cell>
          <cell r="F226">
            <v>93.32</v>
          </cell>
          <cell r="G226">
            <v>33.408559999999994</v>
          </cell>
          <cell r="H226">
            <v>126.72855999999999</v>
          </cell>
        </row>
        <row r="227">
          <cell r="A227" t="str">
            <v>P 03.321.02</v>
          </cell>
          <cell r="B227" t="str">
            <v>Concreto fck=11Mpa - Contr. Raz. uso geral conf. e lanc.</v>
          </cell>
          <cell r="C227" t="str">
            <v xml:space="preserve"> </v>
          </cell>
          <cell r="D227" t="str">
            <v xml:space="preserve"> </v>
          </cell>
          <cell r="E227" t="str">
            <v>m3</v>
          </cell>
          <cell r="G227">
            <v>0</v>
          </cell>
        </row>
        <row r="228">
          <cell r="A228" t="str">
            <v>03.322.00</v>
          </cell>
          <cell r="B228" t="str">
            <v>Concreto estrutural fck=18 MPa - Cont. raiz. c/ adit.</v>
          </cell>
          <cell r="C228" t="str">
            <v xml:space="preserve"> </v>
          </cell>
          <cell r="D228" t="str">
            <v xml:space="preserve"> </v>
          </cell>
          <cell r="E228" t="str">
            <v>m3</v>
          </cell>
          <cell r="F228">
            <v>94.14</v>
          </cell>
          <cell r="G228">
            <v>33.702120000000001</v>
          </cell>
          <cell r="H228">
            <v>127.84211999999999</v>
          </cell>
        </row>
        <row r="229">
          <cell r="A229" t="str">
            <v>03.323.00</v>
          </cell>
          <cell r="B229" t="str">
            <v>Concreto estrutural fck=20 MPa - Cont. raiz. c/ adit.</v>
          </cell>
          <cell r="C229" t="str">
            <v xml:space="preserve"> </v>
          </cell>
          <cell r="D229" t="str">
            <v xml:space="preserve"> </v>
          </cell>
          <cell r="E229" t="str">
            <v>m3</v>
          </cell>
          <cell r="F229">
            <v>97.66</v>
          </cell>
          <cell r="G229">
            <v>34.96228</v>
          </cell>
          <cell r="H229">
            <v>132.62227999999999</v>
          </cell>
        </row>
        <row r="230">
          <cell r="A230" t="str">
            <v>03.323.01</v>
          </cell>
          <cell r="B230" t="str">
            <v>Concreto fck= 22 MPa-contr. raz. uso ger. conf. e lan</v>
          </cell>
          <cell r="C230" t="str">
            <v xml:space="preserve"> </v>
          </cell>
          <cell r="D230" t="str">
            <v xml:space="preserve"> </v>
          </cell>
          <cell r="E230" t="str">
            <v>m3</v>
          </cell>
          <cell r="F230">
            <v>113.99</v>
          </cell>
          <cell r="G230">
            <v>40.808419999999998</v>
          </cell>
          <cell r="H230">
            <v>154.79841999999999</v>
          </cell>
        </row>
        <row r="231">
          <cell r="A231" t="str">
            <v>03.324.00</v>
          </cell>
          <cell r="B231" t="str">
            <v xml:space="preserve">Concreto fck= 15 MPa-contr. raz. uso ger. </v>
          </cell>
          <cell r="C231" t="str">
            <v xml:space="preserve"> </v>
          </cell>
          <cell r="D231" t="str">
            <v xml:space="preserve"> </v>
          </cell>
          <cell r="E231" t="str">
            <v>m3</v>
          </cell>
          <cell r="F231">
            <v>101.95</v>
          </cell>
          <cell r="G231">
            <v>36.498100000000001</v>
          </cell>
          <cell r="H231">
            <v>138.44810000000001</v>
          </cell>
        </row>
        <row r="232">
          <cell r="A232" t="str">
            <v>03.325.00</v>
          </cell>
          <cell r="B232" t="str">
            <v xml:space="preserve">Concreto fck= 18 MPa-contr. raz. uso ger. </v>
          </cell>
          <cell r="C232" t="str">
            <v xml:space="preserve"> </v>
          </cell>
          <cell r="D232" t="str">
            <v xml:space="preserve"> </v>
          </cell>
          <cell r="E232" t="str">
            <v>m3</v>
          </cell>
          <cell r="F232">
            <v>106.24</v>
          </cell>
          <cell r="G232">
            <v>38.033919999999995</v>
          </cell>
          <cell r="H232">
            <v>144.27391999999998</v>
          </cell>
        </row>
        <row r="233">
          <cell r="A233" t="str">
            <v>03.326.00</v>
          </cell>
          <cell r="B233" t="str">
            <v xml:space="preserve">Concreto fck= 20 MPa-contr. raz. uso ger. </v>
          </cell>
          <cell r="C233" t="str">
            <v xml:space="preserve"> </v>
          </cell>
          <cell r="D233" t="str">
            <v xml:space="preserve"> </v>
          </cell>
          <cell r="E233" t="str">
            <v>m3</v>
          </cell>
          <cell r="F233">
            <v>109.87</v>
          </cell>
          <cell r="G233">
            <v>39.333460000000002</v>
          </cell>
          <cell r="H233">
            <v>149.20346000000001</v>
          </cell>
        </row>
        <row r="234">
          <cell r="A234" t="str">
            <v>03.327.00</v>
          </cell>
          <cell r="B234" t="str">
            <v xml:space="preserve">Concreto fck= 24 MPa-contr. raz. uso ger. </v>
          </cell>
          <cell r="C234" t="str">
            <v xml:space="preserve"> </v>
          </cell>
          <cell r="D234" t="str">
            <v xml:space="preserve"> </v>
          </cell>
          <cell r="E234" t="str">
            <v>m3</v>
          </cell>
          <cell r="F234">
            <v>118.3</v>
          </cell>
          <cell r="G234">
            <v>42.351399999999998</v>
          </cell>
          <cell r="H234">
            <v>160.6514</v>
          </cell>
        </row>
        <row r="235">
          <cell r="A235" t="str">
            <v>P 03.327.01</v>
          </cell>
          <cell r="B235" t="str">
            <v xml:space="preserve">Concreto fck= 25 MPa-contr. raz. uso ger. </v>
          </cell>
          <cell r="C235" t="str">
            <v xml:space="preserve"> </v>
          </cell>
          <cell r="D235" t="str">
            <v xml:space="preserve"> </v>
          </cell>
          <cell r="E235" t="str">
            <v>m3</v>
          </cell>
          <cell r="F235">
            <v>120.19</v>
          </cell>
          <cell r="G235">
            <v>43.028019999999998</v>
          </cell>
          <cell r="H235">
            <v>163.21802</v>
          </cell>
        </row>
        <row r="236">
          <cell r="A236" t="str">
            <v>03.328.00</v>
          </cell>
          <cell r="B236" t="str">
            <v xml:space="preserve">Concreto fck= 26 MPa-contr. raz. uso ger. </v>
          </cell>
          <cell r="C236" t="str">
            <v xml:space="preserve"> </v>
          </cell>
          <cell r="D236" t="str">
            <v xml:space="preserve"> </v>
          </cell>
          <cell r="E236" t="str">
            <v>m3</v>
          </cell>
          <cell r="F236">
            <v>122.27</v>
          </cell>
          <cell r="G236">
            <v>43.772659999999995</v>
          </cell>
          <cell r="H236">
            <v>166.04265999999998</v>
          </cell>
        </row>
        <row r="237">
          <cell r="A237" t="str">
            <v>03.328.01</v>
          </cell>
          <cell r="B237" t="str">
            <v xml:space="preserve">Concreto fck= 30 MPa-contr. raz. uso ger. </v>
          </cell>
          <cell r="C237" t="str">
            <v xml:space="preserve"> </v>
          </cell>
          <cell r="D237" t="str">
            <v xml:space="preserve"> </v>
          </cell>
          <cell r="E237" t="str">
            <v>m3</v>
          </cell>
          <cell r="F237">
            <v>126.05</v>
          </cell>
          <cell r="G237">
            <v>45.125899999999994</v>
          </cell>
          <cell r="H237">
            <v>171.17589999999998</v>
          </cell>
        </row>
        <row r="238">
          <cell r="A238" t="str">
            <v>03.329.01</v>
          </cell>
          <cell r="B238" t="str">
            <v>Concreto estrutural fck=25 MPa - Cont. raz. c/ adit.</v>
          </cell>
          <cell r="C238" t="str">
            <v xml:space="preserve"> </v>
          </cell>
          <cell r="D238" t="str">
            <v xml:space="preserve"> </v>
          </cell>
          <cell r="E238" t="str">
            <v>m3</v>
          </cell>
          <cell r="F238">
            <v>106.28</v>
          </cell>
          <cell r="G238">
            <v>38.04824</v>
          </cell>
          <cell r="H238">
            <v>144.32823999999999</v>
          </cell>
        </row>
        <row r="239">
          <cell r="A239" t="str">
            <v>03.329.02</v>
          </cell>
          <cell r="B239" t="str">
            <v>Concreto estrutural fck=30 MPa - Cont. raz. c/ adit.</v>
          </cell>
          <cell r="C239" t="str">
            <v xml:space="preserve"> </v>
          </cell>
          <cell r="D239" t="str">
            <v xml:space="preserve"> </v>
          </cell>
          <cell r="E239" t="str">
            <v>m3</v>
          </cell>
          <cell r="F239">
            <v>114.01</v>
          </cell>
          <cell r="G239">
            <v>40.815579999999997</v>
          </cell>
          <cell r="H239">
            <v>154.82558</v>
          </cell>
        </row>
        <row r="240">
          <cell r="A240" t="str">
            <v>03.329.03</v>
          </cell>
          <cell r="B240" t="str">
            <v>Concreto fck= 8 MPa-contr. raz. uso ger. conf. e lan</v>
          </cell>
          <cell r="C240" t="str">
            <v xml:space="preserve"> </v>
          </cell>
          <cell r="D240" t="str">
            <v xml:space="preserve"> </v>
          </cell>
          <cell r="E240" t="str">
            <v>m3</v>
          </cell>
          <cell r="F240">
            <v>89.37</v>
          </cell>
          <cell r="G240">
            <v>31.99446</v>
          </cell>
          <cell r="H240">
            <v>121.36446000000001</v>
          </cell>
        </row>
        <row r="241">
          <cell r="A241" t="str">
            <v>03.329.04</v>
          </cell>
          <cell r="B241" t="str">
            <v>Concreto fck= 12 MPa-contr. raz. uso ger. conf. e lan</v>
          </cell>
          <cell r="C241" t="str">
            <v xml:space="preserve"> </v>
          </cell>
          <cell r="D241" t="str">
            <v xml:space="preserve"> </v>
          </cell>
          <cell r="E241" t="str">
            <v>m3</v>
          </cell>
          <cell r="F241">
            <v>97.47</v>
          </cell>
          <cell r="G241">
            <v>34.894259999999996</v>
          </cell>
          <cell r="H241">
            <v>132.36426</v>
          </cell>
        </row>
        <row r="242">
          <cell r="A242" t="str">
            <v>03.330.00</v>
          </cell>
          <cell r="B242" t="str">
            <v>Concreto fck= 35 MPa-contr. raz. uso ger.</v>
          </cell>
          <cell r="C242" t="str">
            <v xml:space="preserve"> </v>
          </cell>
          <cell r="D242" t="str">
            <v xml:space="preserve"> </v>
          </cell>
          <cell r="E242" t="str">
            <v>m3</v>
          </cell>
          <cell r="F242">
            <v>122.81</v>
          </cell>
          <cell r="G242">
            <v>43.965980000000002</v>
          </cell>
          <cell r="H242">
            <v>166.77598</v>
          </cell>
        </row>
        <row r="243">
          <cell r="A243" t="str">
            <v>03.340.00</v>
          </cell>
          <cell r="B243" t="str">
            <v>Argamassa cimento-areia 1-3</v>
          </cell>
          <cell r="C243" t="str">
            <v xml:space="preserve"> </v>
          </cell>
          <cell r="D243" t="str">
            <v xml:space="preserve"> </v>
          </cell>
          <cell r="E243" t="str">
            <v>m3</v>
          </cell>
          <cell r="F243">
            <v>111.95</v>
          </cell>
          <cell r="G243">
            <v>40.078099999999999</v>
          </cell>
          <cell r="H243">
            <v>152.02809999999999</v>
          </cell>
        </row>
        <row r="244">
          <cell r="A244" t="str">
            <v>03.341.00</v>
          </cell>
          <cell r="B244" t="str">
            <v>Argamassa cimento-areia 1-4</v>
          </cell>
          <cell r="C244" t="str">
            <v xml:space="preserve"> </v>
          </cell>
          <cell r="D244" t="str">
            <v xml:space="preserve"> </v>
          </cell>
          <cell r="E244" t="str">
            <v>m3</v>
          </cell>
          <cell r="F244">
            <v>94.93</v>
          </cell>
          <cell r="G244">
            <v>33.984940000000002</v>
          </cell>
          <cell r="H244">
            <v>128.91494</v>
          </cell>
        </row>
        <row r="245">
          <cell r="A245" t="str">
            <v>03.353.00</v>
          </cell>
          <cell r="B245" t="str">
            <v>Forn., preparo e colocação nas formas, de aço CA-50</v>
          </cell>
          <cell r="C245" t="str">
            <v xml:space="preserve"> </v>
          </cell>
          <cell r="D245" t="str">
            <v xml:space="preserve"> </v>
          </cell>
          <cell r="E245" t="str">
            <v>kg</v>
          </cell>
          <cell r="F245">
            <v>1.91</v>
          </cell>
          <cell r="G245">
            <v>0.68377999999999994</v>
          </cell>
          <cell r="H245">
            <v>2.5937799999999998</v>
          </cell>
        </row>
        <row r="246">
          <cell r="A246" t="str">
            <v>03.354.00</v>
          </cell>
          <cell r="B246" t="str">
            <v>Forn., preparo e colocação nas formas, de aço CA-60</v>
          </cell>
          <cell r="C246" t="str">
            <v xml:space="preserve"> </v>
          </cell>
          <cell r="D246" t="str">
            <v xml:space="preserve"> </v>
          </cell>
          <cell r="E246" t="str">
            <v>kg</v>
          </cell>
          <cell r="F246">
            <v>2.1</v>
          </cell>
          <cell r="G246">
            <v>0.75180000000000002</v>
          </cell>
          <cell r="H246">
            <v>2.8517999999999999</v>
          </cell>
        </row>
        <row r="247">
          <cell r="A247" t="str">
            <v>03.359.01</v>
          </cell>
          <cell r="B247" t="str">
            <v>Forn., preparo e colocação nas formas, de aço CA-25</v>
          </cell>
          <cell r="C247" t="str">
            <v xml:space="preserve"> </v>
          </cell>
          <cell r="D247" t="str">
            <v xml:space="preserve"> </v>
          </cell>
          <cell r="E247" t="str">
            <v>kg</v>
          </cell>
          <cell r="F247">
            <v>1.79</v>
          </cell>
          <cell r="G247">
            <v>0.64081999999999995</v>
          </cell>
          <cell r="H247">
            <v>2.4308199999999998</v>
          </cell>
        </row>
        <row r="248">
          <cell r="A248" t="str">
            <v>03.370.00</v>
          </cell>
          <cell r="B248" t="str">
            <v>Formas comuns de madeira</v>
          </cell>
          <cell r="C248" t="str">
            <v xml:space="preserve"> </v>
          </cell>
          <cell r="D248" t="str">
            <v xml:space="preserve"> </v>
          </cell>
          <cell r="E248" t="str">
            <v>m2</v>
          </cell>
          <cell r="F248">
            <v>16.059999999999999</v>
          </cell>
          <cell r="G248">
            <v>5.7494799999999993</v>
          </cell>
          <cell r="H248">
            <v>21.809479999999997</v>
          </cell>
        </row>
        <row r="249">
          <cell r="A249" t="str">
            <v>03.371.00</v>
          </cell>
          <cell r="B249" t="str">
            <v>Formas de madeira compensada</v>
          </cell>
          <cell r="C249" t="str">
            <v xml:space="preserve"> </v>
          </cell>
          <cell r="D249" t="str">
            <v xml:space="preserve"> </v>
          </cell>
          <cell r="E249" t="str">
            <v>m2</v>
          </cell>
          <cell r="F249">
            <v>16.100000000000001</v>
          </cell>
          <cell r="G249">
            <v>5.7638000000000007</v>
          </cell>
          <cell r="H249">
            <v>21.863800000000001</v>
          </cell>
        </row>
        <row r="250">
          <cell r="A250" t="str">
            <v>03.371.01</v>
          </cell>
          <cell r="B250" t="str">
            <v>Formas de placa compensada resinada</v>
          </cell>
          <cell r="C250" t="str">
            <v xml:space="preserve"> </v>
          </cell>
          <cell r="D250" t="str">
            <v xml:space="preserve"> </v>
          </cell>
          <cell r="E250" t="str">
            <v>m2</v>
          </cell>
          <cell r="F250">
            <v>16.100000000000001</v>
          </cell>
          <cell r="G250">
            <v>5.7638000000000007</v>
          </cell>
          <cell r="H250">
            <v>21.863800000000001</v>
          </cell>
        </row>
        <row r="251">
          <cell r="A251" t="str">
            <v>03.371.02</v>
          </cell>
          <cell r="B251" t="str">
            <v>Formas de placa compensada plastificada</v>
          </cell>
          <cell r="C251" t="str">
            <v xml:space="preserve"> </v>
          </cell>
          <cell r="D251" t="str">
            <v xml:space="preserve"> </v>
          </cell>
          <cell r="E251" t="str">
            <v>m2</v>
          </cell>
          <cell r="F251">
            <v>22.65</v>
          </cell>
          <cell r="G251">
            <v>8.1086999999999989</v>
          </cell>
          <cell r="H251">
            <v>30.758699999999997</v>
          </cell>
        </row>
        <row r="252">
          <cell r="A252" t="str">
            <v>03.372.01</v>
          </cell>
          <cell r="B252" t="str">
            <v>Formas para tubulão</v>
          </cell>
          <cell r="C252" t="str">
            <v xml:space="preserve"> </v>
          </cell>
          <cell r="D252" t="str">
            <v xml:space="preserve"> </v>
          </cell>
          <cell r="E252" t="str">
            <v>m2</v>
          </cell>
          <cell r="G252">
            <v>0</v>
          </cell>
          <cell r="H252">
            <v>0</v>
          </cell>
        </row>
        <row r="253">
          <cell r="A253" t="str">
            <v>03.401.01</v>
          </cell>
          <cell r="B253" t="str">
            <v>Estacas tipo Franki D= 350mm</v>
          </cell>
          <cell r="C253" t="str">
            <v xml:space="preserve"> </v>
          </cell>
          <cell r="D253" t="str">
            <v xml:space="preserve"> </v>
          </cell>
          <cell r="E253" t="str">
            <v>m</v>
          </cell>
          <cell r="G253">
            <v>0</v>
          </cell>
          <cell r="H253">
            <v>0</v>
          </cell>
        </row>
        <row r="254">
          <cell r="A254" t="str">
            <v>03.401.02</v>
          </cell>
          <cell r="B254" t="str">
            <v>Estacas tipo Franki D= 400mm</v>
          </cell>
          <cell r="C254" t="str">
            <v xml:space="preserve"> </v>
          </cell>
          <cell r="D254" t="str">
            <v xml:space="preserve"> </v>
          </cell>
          <cell r="E254" t="str">
            <v>m</v>
          </cell>
          <cell r="G254">
            <v>0</v>
          </cell>
          <cell r="H254">
            <v>0</v>
          </cell>
        </row>
        <row r="255">
          <cell r="A255" t="str">
            <v>03.401.03</v>
          </cell>
          <cell r="B255" t="str">
            <v>Estacas tipo Franki D= 520mm</v>
          </cell>
          <cell r="C255" t="str">
            <v xml:space="preserve"> </v>
          </cell>
          <cell r="D255" t="str">
            <v xml:space="preserve"> </v>
          </cell>
          <cell r="E255" t="str">
            <v>m</v>
          </cell>
          <cell r="G255">
            <v>0</v>
          </cell>
          <cell r="H255">
            <v>0</v>
          </cell>
        </row>
        <row r="256">
          <cell r="A256" t="str">
            <v>03.401.04</v>
          </cell>
          <cell r="B256" t="str">
            <v>Estacas tipo Franki D= 600mm</v>
          </cell>
          <cell r="C256" t="str">
            <v xml:space="preserve"> </v>
          </cell>
          <cell r="D256" t="str">
            <v xml:space="preserve"> </v>
          </cell>
          <cell r="E256" t="str">
            <v>m</v>
          </cell>
          <cell r="G256">
            <v>0</v>
          </cell>
          <cell r="H256">
            <v>0</v>
          </cell>
        </row>
        <row r="257">
          <cell r="A257" t="str">
            <v>03.410.01</v>
          </cell>
          <cell r="B257" t="str">
            <v>Tubulão a céu aberto D=1,00m</v>
          </cell>
          <cell r="C257" t="str">
            <v xml:space="preserve"> </v>
          </cell>
          <cell r="D257" t="str">
            <v xml:space="preserve"> </v>
          </cell>
          <cell r="E257" t="str">
            <v>m</v>
          </cell>
          <cell r="G257">
            <v>0</v>
          </cell>
          <cell r="H257">
            <v>0</v>
          </cell>
        </row>
        <row r="258">
          <cell r="A258" t="str">
            <v>03.410.11</v>
          </cell>
          <cell r="B258" t="str">
            <v>Tubulão a céu aberto D=1,20m</v>
          </cell>
          <cell r="C258" t="str">
            <v xml:space="preserve"> </v>
          </cell>
          <cell r="D258" t="str">
            <v xml:space="preserve"> </v>
          </cell>
          <cell r="E258" t="str">
            <v>m</v>
          </cell>
          <cell r="G258">
            <v>0</v>
          </cell>
          <cell r="H258">
            <v>0</v>
          </cell>
        </row>
        <row r="259">
          <cell r="A259" t="str">
            <v>03.410.21</v>
          </cell>
          <cell r="B259" t="str">
            <v>Tubulão a céu aberto D=1,40m</v>
          </cell>
          <cell r="C259" t="str">
            <v xml:space="preserve"> </v>
          </cell>
          <cell r="D259" t="str">
            <v xml:space="preserve"> </v>
          </cell>
          <cell r="E259" t="str">
            <v>m</v>
          </cell>
          <cell r="G259">
            <v>0</v>
          </cell>
          <cell r="H259">
            <v>0</v>
          </cell>
        </row>
        <row r="260">
          <cell r="A260" t="str">
            <v>03.410.31</v>
          </cell>
          <cell r="B260" t="str">
            <v>Tubulão a céu aberto D=1,60m</v>
          </cell>
          <cell r="C260" t="str">
            <v xml:space="preserve"> </v>
          </cell>
          <cell r="D260" t="str">
            <v xml:space="preserve"> </v>
          </cell>
          <cell r="E260" t="str">
            <v>m</v>
          </cell>
          <cell r="G260">
            <v>0</v>
          </cell>
          <cell r="H260">
            <v>0</v>
          </cell>
        </row>
        <row r="261">
          <cell r="A261" t="str">
            <v>03.410.41</v>
          </cell>
          <cell r="B261" t="str">
            <v>Tubulão a céu aberto D=1,80m</v>
          </cell>
          <cell r="C261" t="str">
            <v xml:space="preserve"> </v>
          </cell>
          <cell r="D261" t="str">
            <v xml:space="preserve"> </v>
          </cell>
          <cell r="E261" t="str">
            <v>m</v>
          </cell>
          <cell r="G261">
            <v>0</v>
          </cell>
          <cell r="H261">
            <v>0</v>
          </cell>
        </row>
        <row r="262">
          <cell r="A262" t="str">
            <v>03.410.51</v>
          </cell>
          <cell r="B262" t="str">
            <v>Tubulão a céu aberto D=2,00m</v>
          </cell>
          <cell r="C262" t="str">
            <v xml:space="preserve"> </v>
          </cell>
          <cell r="D262" t="str">
            <v xml:space="preserve"> </v>
          </cell>
          <cell r="E262" t="str">
            <v>m</v>
          </cell>
          <cell r="G262">
            <v>0</v>
          </cell>
          <cell r="H262">
            <v>0</v>
          </cell>
        </row>
        <row r="263">
          <cell r="A263" t="str">
            <v>03.410.61</v>
          </cell>
          <cell r="B263" t="str">
            <v>Tubulão a céu aberto D=2,20m</v>
          </cell>
          <cell r="C263" t="str">
            <v xml:space="preserve"> </v>
          </cell>
          <cell r="D263" t="str">
            <v xml:space="preserve"> </v>
          </cell>
          <cell r="E263" t="str">
            <v>m</v>
          </cell>
          <cell r="G263">
            <v>0</v>
          </cell>
          <cell r="H263">
            <v>0</v>
          </cell>
        </row>
        <row r="264">
          <cell r="A264" t="str">
            <v>03.411.11</v>
          </cell>
          <cell r="B264" t="str">
            <v>Tubulão a ar comprimido D=1,20m prof. até 12 m</v>
          </cell>
          <cell r="C264" t="str">
            <v xml:space="preserve"> </v>
          </cell>
          <cell r="D264" t="str">
            <v xml:space="preserve"> </v>
          </cell>
          <cell r="E264" t="str">
            <v>m</v>
          </cell>
          <cell r="G264">
            <v>0</v>
          </cell>
          <cell r="H264">
            <v>0</v>
          </cell>
        </row>
        <row r="265">
          <cell r="A265" t="str">
            <v>03.411.12</v>
          </cell>
          <cell r="B265" t="str">
            <v>Tubulão a ar comprimido D=1,20m prof. 12 / 1 8 m</v>
          </cell>
          <cell r="C265" t="str">
            <v xml:space="preserve"> </v>
          </cell>
          <cell r="D265" t="str">
            <v xml:space="preserve"> </v>
          </cell>
          <cell r="E265" t="str">
            <v>m</v>
          </cell>
          <cell r="G265">
            <v>0</v>
          </cell>
          <cell r="H265">
            <v>0</v>
          </cell>
        </row>
        <row r="266">
          <cell r="A266" t="str">
            <v>03.411.13</v>
          </cell>
          <cell r="B266" t="str">
            <v>Tubulão a ar comprimido D=1,20m prof. 18 / 24 m</v>
          </cell>
          <cell r="C266" t="str">
            <v xml:space="preserve"> </v>
          </cell>
          <cell r="D266" t="str">
            <v xml:space="preserve"> </v>
          </cell>
          <cell r="E266" t="str">
            <v>m</v>
          </cell>
          <cell r="G266">
            <v>0</v>
          </cell>
          <cell r="H266">
            <v>0</v>
          </cell>
        </row>
        <row r="267">
          <cell r="A267" t="str">
            <v>03.411.14</v>
          </cell>
          <cell r="B267" t="str">
            <v>Tubulão a ar comprimido D=1,20m prof. 24 / 27 m</v>
          </cell>
          <cell r="C267" t="str">
            <v xml:space="preserve"> </v>
          </cell>
          <cell r="D267" t="str">
            <v xml:space="preserve"> </v>
          </cell>
          <cell r="E267" t="str">
            <v>m</v>
          </cell>
          <cell r="G267">
            <v>0</v>
          </cell>
          <cell r="H267">
            <v>0</v>
          </cell>
        </row>
        <row r="268">
          <cell r="A268" t="str">
            <v>03.411.15</v>
          </cell>
          <cell r="B268" t="str">
            <v>Tubulão a ar comprimido D=1,20m prof. 27 / 31 m</v>
          </cell>
          <cell r="C268" t="str">
            <v xml:space="preserve"> </v>
          </cell>
          <cell r="D268" t="str">
            <v xml:space="preserve"> </v>
          </cell>
          <cell r="E268" t="str">
            <v>m</v>
          </cell>
          <cell r="G268">
            <v>0</v>
          </cell>
          <cell r="H268">
            <v>0</v>
          </cell>
        </row>
        <row r="269">
          <cell r="A269" t="str">
            <v>03.411.21</v>
          </cell>
          <cell r="B269" t="str">
            <v>Tubulão a ar comprimido D=1,40m prof. até 12 m</v>
          </cell>
          <cell r="C269" t="str">
            <v xml:space="preserve"> </v>
          </cell>
          <cell r="D269" t="str">
            <v xml:space="preserve"> </v>
          </cell>
          <cell r="E269" t="str">
            <v>m</v>
          </cell>
          <cell r="G269">
            <v>0</v>
          </cell>
          <cell r="H269">
            <v>0</v>
          </cell>
        </row>
        <row r="270">
          <cell r="A270" t="str">
            <v>03.411.22</v>
          </cell>
          <cell r="B270" t="str">
            <v>Tubulão a ar comprimido D=1,40m prof. 12 / 18 m</v>
          </cell>
          <cell r="C270" t="str">
            <v xml:space="preserve"> </v>
          </cell>
          <cell r="D270" t="str">
            <v xml:space="preserve"> </v>
          </cell>
          <cell r="E270" t="str">
            <v>m</v>
          </cell>
          <cell r="G270">
            <v>0</v>
          </cell>
          <cell r="H270">
            <v>0</v>
          </cell>
        </row>
        <row r="271">
          <cell r="A271" t="str">
            <v>03.411.23</v>
          </cell>
          <cell r="B271" t="str">
            <v>Tubulão a ar comprimido D=1,40m prof. 18 / 24 m</v>
          </cell>
          <cell r="C271" t="str">
            <v xml:space="preserve"> </v>
          </cell>
          <cell r="D271" t="str">
            <v xml:space="preserve"> </v>
          </cell>
          <cell r="E271" t="str">
            <v>m</v>
          </cell>
          <cell r="G271">
            <v>0</v>
          </cell>
          <cell r="H271">
            <v>0</v>
          </cell>
        </row>
        <row r="272">
          <cell r="A272" t="str">
            <v>03.411.24</v>
          </cell>
          <cell r="B272" t="str">
            <v>Tubulão a ar comprimido D=1,40m prof. 24 / 27 m</v>
          </cell>
          <cell r="C272" t="str">
            <v xml:space="preserve"> </v>
          </cell>
          <cell r="D272" t="str">
            <v xml:space="preserve"> </v>
          </cell>
          <cell r="E272" t="str">
            <v>m</v>
          </cell>
          <cell r="G272">
            <v>0</v>
          </cell>
          <cell r="H272">
            <v>0</v>
          </cell>
        </row>
        <row r="273">
          <cell r="A273" t="str">
            <v>03.411.25</v>
          </cell>
          <cell r="B273" t="str">
            <v>Tubulão a ar comprimido D=1,40m prof. 27/31 m</v>
          </cell>
          <cell r="C273" t="str">
            <v xml:space="preserve"> </v>
          </cell>
          <cell r="D273" t="str">
            <v xml:space="preserve"> </v>
          </cell>
          <cell r="E273" t="str">
            <v>m</v>
          </cell>
          <cell r="G273">
            <v>0</v>
          </cell>
          <cell r="H273">
            <v>0</v>
          </cell>
        </row>
        <row r="274">
          <cell r="A274" t="str">
            <v>03.411.31</v>
          </cell>
          <cell r="B274" t="str">
            <v>Tubulão a ar comprimido D=1,60m prof. até 12 m</v>
          </cell>
          <cell r="C274" t="str">
            <v xml:space="preserve"> </v>
          </cell>
          <cell r="D274" t="str">
            <v xml:space="preserve"> </v>
          </cell>
          <cell r="E274" t="str">
            <v>m</v>
          </cell>
          <cell r="G274">
            <v>0</v>
          </cell>
          <cell r="H274">
            <v>0</v>
          </cell>
        </row>
        <row r="275">
          <cell r="A275" t="str">
            <v>03.411.32</v>
          </cell>
          <cell r="B275" t="str">
            <v>Tubulão a ar comprimido D=1,60m prof. 12 / 18 m</v>
          </cell>
          <cell r="C275" t="str">
            <v xml:space="preserve"> </v>
          </cell>
          <cell r="D275" t="str">
            <v xml:space="preserve"> </v>
          </cell>
          <cell r="E275" t="str">
            <v>m</v>
          </cell>
          <cell r="G275">
            <v>0</v>
          </cell>
          <cell r="H275">
            <v>0</v>
          </cell>
        </row>
        <row r="276">
          <cell r="A276" t="str">
            <v>03.411.33</v>
          </cell>
          <cell r="B276" t="str">
            <v>Tubulão a ar comprimido D=1,60m prof. 18 / 24 m</v>
          </cell>
          <cell r="C276" t="str">
            <v xml:space="preserve"> </v>
          </cell>
          <cell r="D276" t="str">
            <v xml:space="preserve"> </v>
          </cell>
          <cell r="E276" t="str">
            <v>m</v>
          </cell>
          <cell r="G276">
            <v>0</v>
          </cell>
          <cell r="H276">
            <v>0</v>
          </cell>
        </row>
        <row r="277">
          <cell r="A277" t="str">
            <v>03.411.34</v>
          </cell>
          <cell r="B277" t="str">
            <v>Tubulão a ar comprimido D=1,60m prof. 24 /27 m</v>
          </cell>
          <cell r="C277" t="str">
            <v xml:space="preserve"> </v>
          </cell>
          <cell r="D277" t="str">
            <v xml:space="preserve"> </v>
          </cell>
          <cell r="E277" t="str">
            <v>m</v>
          </cell>
          <cell r="G277">
            <v>0</v>
          </cell>
          <cell r="H277">
            <v>0</v>
          </cell>
        </row>
        <row r="278">
          <cell r="A278" t="str">
            <v>03.411.35</v>
          </cell>
          <cell r="B278" t="str">
            <v>Tubulão a ar comprimido D=1,60m prof. 27 / 31 m</v>
          </cell>
          <cell r="C278" t="str">
            <v xml:space="preserve"> </v>
          </cell>
          <cell r="D278" t="str">
            <v xml:space="preserve"> </v>
          </cell>
          <cell r="E278" t="str">
            <v>m</v>
          </cell>
          <cell r="G278">
            <v>0</v>
          </cell>
          <cell r="H278">
            <v>0</v>
          </cell>
        </row>
        <row r="279">
          <cell r="A279" t="str">
            <v>03.411.41</v>
          </cell>
          <cell r="B279" t="str">
            <v>Tubulão a ar comprimido D=1,80m prof. até 12 m</v>
          </cell>
          <cell r="C279" t="str">
            <v xml:space="preserve"> </v>
          </cell>
          <cell r="D279" t="str">
            <v xml:space="preserve"> </v>
          </cell>
          <cell r="E279" t="str">
            <v>m</v>
          </cell>
          <cell r="G279">
            <v>0</v>
          </cell>
          <cell r="H279">
            <v>0</v>
          </cell>
        </row>
        <row r="280">
          <cell r="A280" t="str">
            <v>03.411.42</v>
          </cell>
          <cell r="B280" t="str">
            <v>Tubulão a ar comprimido D=1,80m prof. 12 / 18 m</v>
          </cell>
          <cell r="C280" t="str">
            <v xml:space="preserve"> </v>
          </cell>
          <cell r="D280" t="str">
            <v xml:space="preserve"> </v>
          </cell>
          <cell r="E280" t="str">
            <v>m</v>
          </cell>
          <cell r="G280">
            <v>0</v>
          </cell>
          <cell r="H280">
            <v>0</v>
          </cell>
        </row>
        <row r="281">
          <cell r="A281" t="str">
            <v>03.411.43</v>
          </cell>
          <cell r="B281" t="str">
            <v>Tubulão a ar comprimido D=1,80m prof. 18 1 24 m</v>
          </cell>
          <cell r="C281" t="str">
            <v xml:space="preserve"> </v>
          </cell>
          <cell r="D281" t="str">
            <v xml:space="preserve"> </v>
          </cell>
          <cell r="E281" t="str">
            <v>m</v>
          </cell>
          <cell r="G281">
            <v>0</v>
          </cell>
          <cell r="H281">
            <v>0</v>
          </cell>
        </row>
        <row r="282">
          <cell r="A282" t="str">
            <v>03.411.44</v>
          </cell>
          <cell r="B282" t="str">
            <v>Tubulão a ar comprimido D=1,80m prof. 24 / 27 m</v>
          </cell>
          <cell r="C282" t="str">
            <v xml:space="preserve"> </v>
          </cell>
          <cell r="D282" t="str">
            <v xml:space="preserve"> </v>
          </cell>
          <cell r="E282" t="str">
            <v>m</v>
          </cell>
          <cell r="G282">
            <v>0</v>
          </cell>
          <cell r="H282">
            <v>0</v>
          </cell>
        </row>
        <row r="283">
          <cell r="A283" t="str">
            <v>03.411.45</v>
          </cell>
          <cell r="B283" t="str">
            <v>Tubulão a ar comprimido D=1,80m prof. 27 / 31 m</v>
          </cell>
          <cell r="C283" t="str">
            <v xml:space="preserve"> </v>
          </cell>
          <cell r="D283" t="str">
            <v xml:space="preserve"> </v>
          </cell>
          <cell r="E283" t="str">
            <v>m</v>
          </cell>
          <cell r="G283">
            <v>0</v>
          </cell>
          <cell r="H283">
            <v>0</v>
          </cell>
        </row>
        <row r="284">
          <cell r="A284" t="str">
            <v>03.411.51</v>
          </cell>
          <cell r="B284" t="str">
            <v>Tubulão a ar comprimido D=2,00m prof. até 12 m</v>
          </cell>
          <cell r="C284" t="str">
            <v xml:space="preserve"> </v>
          </cell>
          <cell r="D284" t="str">
            <v xml:space="preserve"> </v>
          </cell>
          <cell r="E284" t="str">
            <v>m</v>
          </cell>
          <cell r="G284">
            <v>0</v>
          </cell>
          <cell r="H284">
            <v>0</v>
          </cell>
        </row>
        <row r="285">
          <cell r="A285" t="str">
            <v>03.411.52</v>
          </cell>
          <cell r="B285" t="str">
            <v>Tubulão a ar comprimido D=2,00m prof. 12 / 18 m</v>
          </cell>
          <cell r="C285" t="str">
            <v xml:space="preserve"> </v>
          </cell>
          <cell r="D285" t="str">
            <v xml:space="preserve"> </v>
          </cell>
          <cell r="E285" t="str">
            <v>m</v>
          </cell>
          <cell r="G285">
            <v>0</v>
          </cell>
          <cell r="H285">
            <v>0</v>
          </cell>
        </row>
        <row r="286">
          <cell r="A286" t="str">
            <v>03.411.53</v>
          </cell>
          <cell r="B286" t="str">
            <v>Tubulão a ar comprimido D=2,00m prof. 18 / 24 m</v>
          </cell>
          <cell r="C286" t="str">
            <v xml:space="preserve"> </v>
          </cell>
          <cell r="D286" t="str">
            <v xml:space="preserve"> </v>
          </cell>
          <cell r="E286" t="str">
            <v>m</v>
          </cell>
          <cell r="G286">
            <v>0</v>
          </cell>
          <cell r="H286">
            <v>0</v>
          </cell>
        </row>
        <row r="287">
          <cell r="A287" t="str">
            <v>03.411.54</v>
          </cell>
          <cell r="B287" t="str">
            <v>Tubulão a ar comprimido D=2,00m prof. 24 / 27 m</v>
          </cell>
          <cell r="C287" t="str">
            <v xml:space="preserve"> </v>
          </cell>
          <cell r="D287" t="str">
            <v xml:space="preserve"> </v>
          </cell>
          <cell r="E287" t="str">
            <v>m</v>
          </cell>
          <cell r="G287">
            <v>0</v>
          </cell>
          <cell r="H287">
            <v>0</v>
          </cell>
        </row>
        <row r="288">
          <cell r="A288" t="str">
            <v>03.411.55</v>
          </cell>
          <cell r="B288" t="str">
            <v>Tubulão a ar comprimido D=2,00m prof. 27 / 31 m</v>
          </cell>
          <cell r="C288" t="str">
            <v xml:space="preserve"> </v>
          </cell>
          <cell r="D288" t="str">
            <v xml:space="preserve"> </v>
          </cell>
          <cell r="E288" t="str">
            <v>m</v>
          </cell>
          <cell r="G288">
            <v>0</v>
          </cell>
          <cell r="H288">
            <v>0</v>
          </cell>
        </row>
        <row r="289">
          <cell r="A289" t="str">
            <v>03.411.61</v>
          </cell>
          <cell r="B289" t="str">
            <v>Tubulão a ar comprimido D=2,20m prof. até 12 m</v>
          </cell>
          <cell r="C289" t="str">
            <v xml:space="preserve"> </v>
          </cell>
          <cell r="D289" t="str">
            <v xml:space="preserve"> </v>
          </cell>
          <cell r="E289" t="str">
            <v>m</v>
          </cell>
          <cell r="G289">
            <v>0</v>
          </cell>
          <cell r="H289">
            <v>0</v>
          </cell>
        </row>
        <row r="290">
          <cell r="A290" t="str">
            <v>03.411.62</v>
          </cell>
          <cell r="B290" t="str">
            <v>Tubulão a ar comprimido D=2,20m prof. 12 / 18 m</v>
          </cell>
          <cell r="C290" t="str">
            <v xml:space="preserve"> </v>
          </cell>
          <cell r="D290" t="str">
            <v xml:space="preserve"> </v>
          </cell>
          <cell r="E290" t="str">
            <v>m</v>
          </cell>
          <cell r="G290">
            <v>0</v>
          </cell>
          <cell r="H290">
            <v>0</v>
          </cell>
        </row>
        <row r="291">
          <cell r="A291" t="str">
            <v>03.411.63</v>
          </cell>
          <cell r="B291" t="str">
            <v>Tubulão a ar comprimido D=2,20m prof. 18 / 24 m</v>
          </cell>
          <cell r="C291" t="str">
            <v xml:space="preserve"> </v>
          </cell>
          <cell r="D291" t="str">
            <v xml:space="preserve"> </v>
          </cell>
          <cell r="E291" t="str">
            <v>m</v>
          </cell>
          <cell r="G291">
            <v>0</v>
          </cell>
          <cell r="H291">
            <v>0</v>
          </cell>
        </row>
        <row r="292">
          <cell r="A292" t="str">
            <v>03.411.64</v>
          </cell>
          <cell r="B292" t="str">
            <v>Tubulão a ar comprimido D=2,20m prof. 24 / 27 m</v>
          </cell>
          <cell r="C292" t="str">
            <v xml:space="preserve"> </v>
          </cell>
          <cell r="D292" t="str">
            <v xml:space="preserve"> </v>
          </cell>
          <cell r="E292" t="str">
            <v>m</v>
          </cell>
          <cell r="G292">
            <v>0</v>
          </cell>
          <cell r="H292">
            <v>0</v>
          </cell>
        </row>
        <row r="293">
          <cell r="A293" t="str">
            <v>03.411.65</v>
          </cell>
          <cell r="B293" t="str">
            <v>Tubulão a ar comprimido D=2,20m prof. 27 / 31 m</v>
          </cell>
          <cell r="C293" t="str">
            <v xml:space="preserve"> </v>
          </cell>
          <cell r="D293" t="str">
            <v xml:space="preserve"> </v>
          </cell>
          <cell r="E293" t="str">
            <v>m</v>
          </cell>
          <cell r="G293">
            <v>0</v>
          </cell>
          <cell r="H293">
            <v>0</v>
          </cell>
        </row>
        <row r="294">
          <cell r="A294" t="str">
            <v>DER90150</v>
          </cell>
          <cell r="B294" t="str">
            <v>Escavação em tubulão a céu aberto em material de 1ªcateg.</v>
          </cell>
          <cell r="C294" t="str">
            <v xml:space="preserve"> </v>
          </cell>
          <cell r="D294" t="str">
            <v xml:space="preserve"> </v>
          </cell>
          <cell r="E294" t="str">
            <v>m3</v>
          </cell>
          <cell r="F294">
            <v>136.15</v>
          </cell>
          <cell r="G294">
            <v>48.741700000000002</v>
          </cell>
          <cell r="H294">
            <v>184.89170000000001</v>
          </cell>
        </row>
        <row r="295">
          <cell r="A295" t="str">
            <v>DER90160</v>
          </cell>
          <cell r="B295" t="str">
            <v>Escavação em tubulão a céu aberto em material de 3ªcateg.</v>
          </cell>
          <cell r="C295" t="str">
            <v xml:space="preserve"> </v>
          </cell>
          <cell r="D295" t="str">
            <v xml:space="preserve"> </v>
          </cell>
          <cell r="E295" t="str">
            <v>m3</v>
          </cell>
          <cell r="F295">
            <v>471.91</v>
          </cell>
          <cell r="G295">
            <v>168.94378</v>
          </cell>
          <cell r="H295">
            <v>640.85378000000003</v>
          </cell>
        </row>
        <row r="296">
          <cell r="A296" t="str">
            <v>DER90170</v>
          </cell>
          <cell r="B296" t="str">
            <v>Escavação em tubulão sob ar comprimido em material de 1ªcateg.</v>
          </cell>
          <cell r="C296" t="str">
            <v xml:space="preserve"> </v>
          </cell>
          <cell r="D296" t="str">
            <v xml:space="preserve"> </v>
          </cell>
          <cell r="E296" t="str">
            <v>m3</v>
          </cell>
          <cell r="F296">
            <v>546.41999999999996</v>
          </cell>
          <cell r="G296">
            <v>195.61835999999997</v>
          </cell>
          <cell r="H296">
            <v>742.0383599999999</v>
          </cell>
        </row>
        <row r="297">
          <cell r="A297" t="str">
            <v>DER90180</v>
          </cell>
          <cell r="B297" t="str">
            <v>Escavação em tubulão sob ar comprimido em material de 3ªcateg.</v>
          </cell>
          <cell r="C297" t="str">
            <v xml:space="preserve"> </v>
          </cell>
          <cell r="D297" t="str">
            <v xml:space="preserve"> </v>
          </cell>
          <cell r="E297" t="str">
            <v>m3</v>
          </cell>
          <cell r="F297">
            <v>849.96</v>
          </cell>
          <cell r="G297">
            <v>304.28568000000001</v>
          </cell>
          <cell r="H297">
            <v>1154.24568</v>
          </cell>
        </row>
        <row r="298">
          <cell r="A298" t="str">
            <v>DER90190</v>
          </cell>
          <cell r="B298" t="str">
            <v>Cravação de fuste de tubulão a céu aberto</v>
          </cell>
          <cell r="C298" t="str">
            <v xml:space="preserve"> </v>
          </cell>
          <cell r="D298" t="str">
            <v xml:space="preserve"> </v>
          </cell>
          <cell r="E298" t="str">
            <v>m</v>
          </cell>
          <cell r="G298">
            <v>0</v>
          </cell>
          <cell r="H298">
            <v>0</v>
          </cell>
        </row>
        <row r="299">
          <cell r="A299" t="str">
            <v>DER90200</v>
          </cell>
          <cell r="B299" t="str">
            <v>Cravação de fuste de tubulão sob ar comprimido</v>
          </cell>
          <cell r="C299" t="str">
            <v xml:space="preserve"> </v>
          </cell>
          <cell r="D299" t="str">
            <v xml:space="preserve"> </v>
          </cell>
          <cell r="E299" t="str">
            <v>m</v>
          </cell>
          <cell r="G299">
            <v>0</v>
          </cell>
          <cell r="H299">
            <v>0</v>
          </cell>
        </row>
        <row r="300">
          <cell r="A300" t="str">
            <v>03.412.01</v>
          </cell>
          <cell r="B300" t="str">
            <v>Esc p/ alarg base tub ar comp prof. até 12m</v>
          </cell>
          <cell r="C300" t="str">
            <v xml:space="preserve"> </v>
          </cell>
          <cell r="D300" t="str">
            <v xml:space="preserve"> </v>
          </cell>
          <cell r="E300" t="str">
            <v>m3</v>
          </cell>
          <cell r="F300">
            <v>546.20000000000005</v>
          </cell>
          <cell r="G300">
            <v>195.53960000000001</v>
          </cell>
          <cell r="H300">
            <v>741.73960000000011</v>
          </cell>
        </row>
        <row r="301">
          <cell r="A301" t="str">
            <v>03.412.02</v>
          </cell>
          <cell r="B301" t="str">
            <v>Esc p/ alarg base tub ar comp prof. 12 / 1 8 m</v>
          </cell>
          <cell r="C301" t="str">
            <v xml:space="preserve"> </v>
          </cell>
          <cell r="D301" t="str">
            <v xml:space="preserve"> </v>
          </cell>
          <cell r="E301" t="str">
            <v>m3</v>
          </cell>
          <cell r="F301">
            <v>607.66999999999996</v>
          </cell>
          <cell r="G301">
            <v>217.54585999999998</v>
          </cell>
          <cell r="H301">
            <v>825.21585999999991</v>
          </cell>
        </row>
        <row r="302">
          <cell r="A302" t="str">
            <v>03.412.03</v>
          </cell>
          <cell r="B302" t="str">
            <v>Esc p/ alarg base tub ar comp prof. 18 / 24 m</v>
          </cell>
          <cell r="C302" t="str">
            <v xml:space="preserve"> </v>
          </cell>
          <cell r="D302" t="str">
            <v xml:space="preserve"> </v>
          </cell>
          <cell r="E302" t="str">
            <v>m3</v>
          </cell>
          <cell r="F302">
            <v>830.29</v>
          </cell>
          <cell r="G302">
            <v>297.24381999999997</v>
          </cell>
          <cell r="H302">
            <v>1127.5338199999999</v>
          </cell>
        </row>
        <row r="303">
          <cell r="A303" t="str">
            <v>03.412.04</v>
          </cell>
          <cell r="B303" t="str">
            <v>Esc p/ alarg base tub ar comp prof. 24 / 27 m</v>
          </cell>
          <cell r="C303" t="str">
            <v xml:space="preserve"> </v>
          </cell>
          <cell r="D303" t="str">
            <v xml:space="preserve"> </v>
          </cell>
          <cell r="E303" t="str">
            <v>m3</v>
          </cell>
          <cell r="G303">
            <v>0</v>
          </cell>
          <cell r="H303">
            <v>0</v>
          </cell>
        </row>
        <row r="304">
          <cell r="A304" t="str">
            <v>03.412.05</v>
          </cell>
          <cell r="B304" t="str">
            <v>Esc p/ alarg base tub ar comp prof. 27 / 31 m</v>
          </cell>
          <cell r="C304" t="str">
            <v xml:space="preserve"> </v>
          </cell>
          <cell r="D304" t="str">
            <v xml:space="preserve"> </v>
          </cell>
          <cell r="E304" t="str">
            <v>m3</v>
          </cell>
          <cell r="G304">
            <v>0</v>
          </cell>
          <cell r="H304">
            <v>0</v>
          </cell>
        </row>
        <row r="305">
          <cell r="A305" t="str">
            <v>03.412.11</v>
          </cell>
          <cell r="B305" t="str">
            <v>Forn lanc conc base tub ar comp prof até 12 m</v>
          </cell>
          <cell r="C305" t="str">
            <v xml:space="preserve"> </v>
          </cell>
          <cell r="D305" t="str">
            <v xml:space="preserve"> </v>
          </cell>
          <cell r="E305" t="str">
            <v>m3</v>
          </cell>
          <cell r="G305">
            <v>0</v>
          </cell>
          <cell r="H305">
            <v>0</v>
          </cell>
        </row>
        <row r="306">
          <cell r="A306" t="str">
            <v>03.412.12</v>
          </cell>
          <cell r="B306" t="str">
            <v>Forn lanc conc base tub ar comp prof 12 / 18 m</v>
          </cell>
          <cell r="C306" t="str">
            <v xml:space="preserve"> </v>
          </cell>
          <cell r="D306" t="str">
            <v xml:space="preserve"> </v>
          </cell>
          <cell r="E306" t="str">
            <v>m3</v>
          </cell>
          <cell r="G306">
            <v>0</v>
          </cell>
          <cell r="H306">
            <v>0</v>
          </cell>
        </row>
        <row r="307">
          <cell r="A307" t="str">
            <v>03.412.13</v>
          </cell>
          <cell r="B307" t="str">
            <v>Forn lanc conc base tub ar comp prof 18 / 24 m</v>
          </cell>
          <cell r="C307" t="str">
            <v xml:space="preserve"> </v>
          </cell>
          <cell r="D307" t="str">
            <v xml:space="preserve"> </v>
          </cell>
          <cell r="E307" t="str">
            <v>m3</v>
          </cell>
          <cell r="G307">
            <v>0</v>
          </cell>
          <cell r="H307">
            <v>0</v>
          </cell>
        </row>
        <row r="308">
          <cell r="A308" t="str">
            <v>03.412.14</v>
          </cell>
          <cell r="B308" t="str">
            <v>Forn lanc conc base tub ar comp prof 24 / 27 m</v>
          </cell>
          <cell r="C308" t="str">
            <v xml:space="preserve"> </v>
          </cell>
          <cell r="D308" t="str">
            <v xml:space="preserve"> </v>
          </cell>
          <cell r="E308" t="str">
            <v>m3</v>
          </cell>
          <cell r="G308">
            <v>0</v>
          </cell>
          <cell r="H308">
            <v>0</v>
          </cell>
        </row>
        <row r="309">
          <cell r="A309" t="str">
            <v>03.412.15</v>
          </cell>
          <cell r="B309" t="str">
            <v>Forn lanc conc base tub ar comp prof 27 / 31 m</v>
          </cell>
          <cell r="C309" t="str">
            <v xml:space="preserve"> </v>
          </cell>
          <cell r="D309" t="str">
            <v xml:space="preserve"> </v>
          </cell>
          <cell r="E309" t="str">
            <v>m3</v>
          </cell>
          <cell r="G309">
            <v>0</v>
          </cell>
          <cell r="H309">
            <v>0</v>
          </cell>
        </row>
        <row r="310">
          <cell r="A310" t="str">
            <v>03.510.00</v>
          </cell>
          <cell r="B310" t="str">
            <v>Aparelho de apoio em neoprene</v>
          </cell>
          <cell r="C310" t="str">
            <v xml:space="preserve"> </v>
          </cell>
          <cell r="D310" t="str">
            <v xml:space="preserve"> </v>
          </cell>
          <cell r="E310" t="str">
            <v>kg</v>
          </cell>
          <cell r="F310">
            <v>64.02</v>
          </cell>
          <cell r="G310">
            <v>22.919159999999998</v>
          </cell>
          <cell r="H310">
            <v>86.939159999999987</v>
          </cell>
        </row>
        <row r="311">
          <cell r="A311" t="str">
            <v>03.700.01</v>
          </cell>
          <cell r="B311" t="str">
            <v>Guarda corpo em concreto Fck = 18 MPa</v>
          </cell>
          <cell r="C311" t="str">
            <v xml:space="preserve"> </v>
          </cell>
          <cell r="D311" t="str">
            <v xml:space="preserve"> </v>
          </cell>
          <cell r="E311" t="str">
            <v>m</v>
          </cell>
          <cell r="F311">
            <v>59.02</v>
          </cell>
          <cell r="G311">
            <v>21.129159999999999</v>
          </cell>
          <cell r="H311">
            <v>80.149159999999995</v>
          </cell>
        </row>
        <row r="312">
          <cell r="A312" t="str">
            <v>03.920.01</v>
          </cell>
          <cell r="B312" t="str">
            <v>Abertura concretagem bases Tubulões céu aberto</v>
          </cell>
          <cell r="C312" t="str">
            <v xml:space="preserve"> </v>
          </cell>
          <cell r="D312" t="str">
            <v xml:space="preserve"> </v>
          </cell>
          <cell r="E312" t="str">
            <v>m3</v>
          </cell>
          <cell r="G312">
            <v>0</v>
          </cell>
          <cell r="H312">
            <v>0</v>
          </cell>
        </row>
        <row r="313">
          <cell r="A313" t="str">
            <v>03.920.02</v>
          </cell>
          <cell r="B313" t="str">
            <v>Abertura concretagem bases Tubulões  ar comprimido</v>
          </cell>
          <cell r="C313" t="str">
            <v xml:space="preserve"> </v>
          </cell>
          <cell r="D313" t="str">
            <v xml:space="preserve"> </v>
          </cell>
          <cell r="E313" t="str">
            <v>m3</v>
          </cell>
          <cell r="G313">
            <v>0</v>
          </cell>
          <cell r="H313">
            <v>0</v>
          </cell>
        </row>
        <row r="314">
          <cell r="A314" t="str">
            <v>03.930.00</v>
          </cell>
          <cell r="B314" t="str">
            <v>Junta de cantoneira</v>
          </cell>
          <cell r="C314" t="str">
            <v xml:space="preserve"> </v>
          </cell>
          <cell r="D314" t="str">
            <v xml:space="preserve"> </v>
          </cell>
          <cell r="E314" t="str">
            <v>m</v>
          </cell>
          <cell r="G314">
            <v>0</v>
          </cell>
          <cell r="H314">
            <v>0</v>
          </cell>
        </row>
        <row r="315">
          <cell r="A315" t="str">
            <v>03.940.00</v>
          </cell>
          <cell r="B315" t="str">
            <v>Apiloamento manual</v>
          </cell>
          <cell r="C315" t="str">
            <v xml:space="preserve"> </v>
          </cell>
          <cell r="D315" t="str">
            <v xml:space="preserve"> </v>
          </cell>
          <cell r="E315" t="str">
            <v>m3</v>
          </cell>
          <cell r="F315">
            <v>3.35</v>
          </cell>
          <cell r="G315">
            <v>1.1993</v>
          </cell>
          <cell r="H315">
            <v>4.5493000000000006</v>
          </cell>
        </row>
        <row r="316">
          <cell r="A316" t="str">
            <v>03.940.01</v>
          </cell>
          <cell r="B316" t="str">
            <v>Reaterro e compactação manual de bueiros</v>
          </cell>
          <cell r="C316" t="str">
            <v xml:space="preserve"> </v>
          </cell>
          <cell r="D316" t="str">
            <v xml:space="preserve"> </v>
          </cell>
          <cell r="E316" t="str">
            <v>m3</v>
          </cell>
          <cell r="F316">
            <v>3.35</v>
          </cell>
          <cell r="G316">
            <v>1.1993</v>
          </cell>
          <cell r="H316">
            <v>4.5493000000000006</v>
          </cell>
        </row>
        <row r="317">
          <cell r="A317" t="str">
            <v>03.951.01</v>
          </cell>
          <cell r="B317" t="str">
            <v>Pintura com nata de cimento</v>
          </cell>
          <cell r="C317" t="str">
            <v xml:space="preserve"> </v>
          </cell>
          <cell r="D317" t="str">
            <v xml:space="preserve"> </v>
          </cell>
          <cell r="E317" t="str">
            <v>m2</v>
          </cell>
          <cell r="G317">
            <v>0</v>
          </cell>
          <cell r="H317">
            <v>0</v>
          </cell>
        </row>
        <row r="318">
          <cell r="A318" t="str">
            <v>03.990.01</v>
          </cell>
          <cell r="B318" t="str">
            <v>Confecção e colocação de cabo 4 varas de 1/2"</v>
          </cell>
          <cell r="C318" t="str">
            <v xml:space="preserve"> </v>
          </cell>
          <cell r="D318" t="str">
            <v xml:space="preserve"> </v>
          </cell>
          <cell r="E318" t="str">
            <v>kg</v>
          </cell>
          <cell r="G318">
            <v>0</v>
          </cell>
          <cell r="H318">
            <v>0</v>
          </cell>
        </row>
        <row r="319">
          <cell r="A319" t="str">
            <v>03.990.02</v>
          </cell>
          <cell r="B319" t="str">
            <v>Confecção e colocação de cabo 6 varas de 1/2"</v>
          </cell>
          <cell r="C319" t="str">
            <v xml:space="preserve"> </v>
          </cell>
          <cell r="D319" t="str">
            <v xml:space="preserve"> </v>
          </cell>
          <cell r="E319" t="str">
            <v>kg</v>
          </cell>
          <cell r="G319">
            <v>0</v>
          </cell>
          <cell r="H319">
            <v>0</v>
          </cell>
        </row>
        <row r="320">
          <cell r="A320" t="str">
            <v>03.990.03</v>
          </cell>
          <cell r="B320" t="str">
            <v>Confecção e colocação de cabo 7 varas de 1/2"</v>
          </cell>
          <cell r="C320" t="str">
            <v xml:space="preserve"> </v>
          </cell>
          <cell r="D320" t="str">
            <v xml:space="preserve"> </v>
          </cell>
          <cell r="E320" t="str">
            <v>kg</v>
          </cell>
          <cell r="G320">
            <v>0</v>
          </cell>
          <cell r="H320">
            <v>0</v>
          </cell>
        </row>
        <row r="321">
          <cell r="A321" t="str">
            <v>03.990.04</v>
          </cell>
          <cell r="B321" t="str">
            <v>Confecção e colocação de cabo 12 varas de 1/2"</v>
          </cell>
          <cell r="C321" t="str">
            <v xml:space="preserve"> </v>
          </cell>
          <cell r="D321" t="str">
            <v xml:space="preserve"> </v>
          </cell>
          <cell r="E321" t="str">
            <v>kg</v>
          </cell>
          <cell r="F321">
            <v>3.68</v>
          </cell>
          <cell r="G321">
            <v>1.3174399999999999</v>
          </cell>
          <cell r="H321">
            <v>4.9974400000000001</v>
          </cell>
        </row>
        <row r="322">
          <cell r="A322" t="str">
            <v>03.991.01</v>
          </cell>
          <cell r="B322" t="str">
            <v>Dreno de PVC D= 75 mm</v>
          </cell>
          <cell r="C322" t="str">
            <v xml:space="preserve"> </v>
          </cell>
          <cell r="D322" t="str">
            <v xml:space="preserve"> </v>
          </cell>
          <cell r="E322" t="str">
            <v>un</v>
          </cell>
          <cell r="G322">
            <v>0</v>
          </cell>
          <cell r="H322">
            <v>0</v>
          </cell>
        </row>
        <row r="323">
          <cell r="A323" t="str">
            <v>03.991.02</v>
          </cell>
          <cell r="B323" t="str">
            <v>Dreno de PVC D= 100 mm</v>
          </cell>
          <cell r="C323" t="str">
            <v xml:space="preserve"> </v>
          </cell>
          <cell r="D323" t="str">
            <v xml:space="preserve"> </v>
          </cell>
          <cell r="E323" t="str">
            <v>un</v>
          </cell>
          <cell r="F323">
            <v>2.17</v>
          </cell>
          <cell r="G323">
            <v>0.77685999999999999</v>
          </cell>
          <cell r="H323">
            <v>2.94686</v>
          </cell>
        </row>
        <row r="324">
          <cell r="A324" t="str">
            <v>P 03.991.01a</v>
          </cell>
          <cell r="B324" t="str">
            <v>Dreno de FF D= 30 mm x 750mm</v>
          </cell>
          <cell r="C324" t="str">
            <v xml:space="preserve"> </v>
          </cell>
          <cell r="D324" t="str">
            <v xml:space="preserve"> </v>
          </cell>
          <cell r="E324" t="str">
            <v>un</v>
          </cell>
          <cell r="F324">
            <v>4.5999999999999996</v>
          </cell>
          <cell r="G324">
            <v>1.6467999999999998</v>
          </cell>
          <cell r="H324">
            <v>6.2467999999999995</v>
          </cell>
        </row>
        <row r="325">
          <cell r="A325" t="str">
            <v>P 03.991.01b</v>
          </cell>
          <cell r="B325" t="str">
            <v>Dreno de FF D= 50 mm x 500mm</v>
          </cell>
          <cell r="C325" t="str">
            <v xml:space="preserve"> </v>
          </cell>
          <cell r="D325" t="str">
            <v xml:space="preserve"> </v>
          </cell>
          <cell r="E325" t="str">
            <v>un</v>
          </cell>
          <cell r="F325">
            <v>4.88</v>
          </cell>
          <cell r="G325">
            <v>1.7470399999999999</v>
          </cell>
          <cell r="H325">
            <v>6.62704</v>
          </cell>
        </row>
        <row r="326">
          <cell r="A326" t="str">
            <v>P 03.991.01c</v>
          </cell>
          <cell r="B326" t="str">
            <v>Dreno de FF D= 100 mm x 500mm</v>
          </cell>
          <cell r="C326" t="str">
            <v xml:space="preserve"> </v>
          </cell>
          <cell r="D326" t="str">
            <v xml:space="preserve"> </v>
          </cell>
          <cell r="E326" t="str">
            <v>un</v>
          </cell>
          <cell r="F326">
            <v>11.52</v>
          </cell>
          <cell r="G326">
            <v>4.1241599999999998</v>
          </cell>
          <cell r="H326">
            <v>15.644159999999999</v>
          </cell>
        </row>
        <row r="327">
          <cell r="A327" t="str">
            <v>P 03.991.01d</v>
          </cell>
          <cell r="B327" t="str">
            <v>Dreno de FF D= 150 mm x 500mm</v>
          </cell>
          <cell r="C327" t="str">
            <v xml:space="preserve"> </v>
          </cell>
          <cell r="D327" t="str">
            <v xml:space="preserve"> </v>
          </cell>
          <cell r="E327" t="str">
            <v>un</v>
          </cell>
          <cell r="F327">
            <v>18.34</v>
          </cell>
          <cell r="G327">
            <v>6.5657199999999998</v>
          </cell>
          <cell r="H327">
            <v>24.905719999999999</v>
          </cell>
        </row>
        <row r="328">
          <cell r="A328" t="str">
            <v>P 03.991.01f</v>
          </cell>
          <cell r="B328" t="str">
            <v>Dreno de FF D= 150 mm x 400mm</v>
          </cell>
          <cell r="C328" t="str">
            <v xml:space="preserve"> </v>
          </cell>
          <cell r="D328" t="str">
            <v xml:space="preserve"> </v>
          </cell>
          <cell r="E328" t="str">
            <v>un</v>
          </cell>
          <cell r="F328">
            <v>15</v>
          </cell>
          <cell r="G328">
            <v>5.37</v>
          </cell>
          <cell r="H328">
            <v>20.37</v>
          </cell>
        </row>
        <row r="329">
          <cell r="A329" t="str">
            <v>03.993.01</v>
          </cell>
          <cell r="B329" t="str">
            <v>Cravação estacas metálicas-trilhos soldados-estrel</v>
          </cell>
          <cell r="C329" t="str">
            <v xml:space="preserve"> </v>
          </cell>
          <cell r="D329" t="str">
            <v xml:space="preserve"> </v>
          </cell>
          <cell r="E329" t="str">
            <v>m</v>
          </cell>
          <cell r="G329">
            <v>0</v>
          </cell>
          <cell r="H329">
            <v>0</v>
          </cell>
        </row>
        <row r="330">
          <cell r="A330" t="str">
            <v>03.993.02</v>
          </cell>
          <cell r="B330" t="str">
            <v>Cravação estacas pre-mold. de concreto</v>
          </cell>
          <cell r="C330" t="str">
            <v xml:space="preserve"> </v>
          </cell>
          <cell r="D330" t="str">
            <v xml:space="preserve"> </v>
          </cell>
          <cell r="E330" t="str">
            <v>m</v>
          </cell>
          <cell r="F330">
            <v>114.24</v>
          </cell>
          <cell r="G330">
            <v>40.897919999999999</v>
          </cell>
          <cell r="H330">
            <v>155.13792000000001</v>
          </cell>
        </row>
        <row r="331">
          <cell r="A331" t="str">
            <v>P 03.993.02a</v>
          </cell>
          <cell r="B331" t="str">
            <v>Estacas pré-mold. de concreto 700 KN, fornec., transp.e cravação</v>
          </cell>
          <cell r="C331" t="str">
            <v xml:space="preserve"> </v>
          </cell>
          <cell r="D331" t="str">
            <v xml:space="preserve"> </v>
          </cell>
          <cell r="E331" t="str">
            <v>m</v>
          </cell>
          <cell r="F331">
            <v>35.4</v>
          </cell>
          <cell r="G331">
            <v>12.6732</v>
          </cell>
          <cell r="H331">
            <v>48.0732</v>
          </cell>
        </row>
        <row r="332">
          <cell r="A332" t="str">
            <v>P 03.993.02b</v>
          </cell>
          <cell r="B332" t="str">
            <v>Estacas pré-mold. de concreto 550 KN, fornec., transp e cravação</v>
          </cell>
          <cell r="C332" t="str">
            <v xml:space="preserve"> </v>
          </cell>
          <cell r="D332" t="str">
            <v xml:space="preserve"> </v>
          </cell>
          <cell r="E332" t="str">
            <v>m</v>
          </cell>
          <cell r="F332">
            <v>25.92</v>
          </cell>
          <cell r="G332">
            <v>9.2793600000000005</v>
          </cell>
          <cell r="H332">
            <v>35.199359999999999</v>
          </cell>
        </row>
        <row r="333">
          <cell r="A333" t="str">
            <v>P 03.993.02c</v>
          </cell>
          <cell r="B333" t="str">
            <v>Emendas para estacas pré-moldadas</v>
          </cell>
          <cell r="E333" t="str">
            <v>un</v>
          </cell>
          <cell r="F333">
            <v>70</v>
          </cell>
          <cell r="G333">
            <v>25.06</v>
          </cell>
          <cell r="H333">
            <v>95.06</v>
          </cell>
        </row>
        <row r="334">
          <cell r="A334" t="str">
            <v>03.999.01</v>
          </cell>
          <cell r="B334" t="str">
            <v>Protensão e injeção de cabo de 4 varas de 1/2"</v>
          </cell>
          <cell r="C334" t="str">
            <v xml:space="preserve"> </v>
          </cell>
          <cell r="D334" t="str">
            <v xml:space="preserve"> </v>
          </cell>
          <cell r="E334" t="str">
            <v>un</v>
          </cell>
          <cell r="G334">
            <v>0</v>
          </cell>
          <cell r="H334">
            <v>0</v>
          </cell>
        </row>
        <row r="335">
          <cell r="A335" t="str">
            <v>03.999.02</v>
          </cell>
          <cell r="B335" t="str">
            <v>Protensão e injeção de cabo de 6 varas de 1/2"</v>
          </cell>
          <cell r="C335" t="str">
            <v xml:space="preserve"> </v>
          </cell>
          <cell r="D335" t="str">
            <v xml:space="preserve"> </v>
          </cell>
          <cell r="E335" t="str">
            <v>un</v>
          </cell>
          <cell r="G335">
            <v>0</v>
          </cell>
          <cell r="H335">
            <v>0</v>
          </cell>
        </row>
        <row r="336">
          <cell r="A336" t="str">
            <v>03.999.03</v>
          </cell>
          <cell r="B336" t="str">
            <v>Protensão e injeção de cabo de 7 varas de 1/2"</v>
          </cell>
          <cell r="C336" t="str">
            <v xml:space="preserve"> </v>
          </cell>
          <cell r="D336" t="str">
            <v xml:space="preserve"> </v>
          </cell>
          <cell r="E336" t="str">
            <v>un</v>
          </cell>
          <cell r="G336">
            <v>0</v>
          </cell>
          <cell r="H336">
            <v>0</v>
          </cell>
        </row>
        <row r="337">
          <cell r="A337" t="str">
            <v>03.999.04</v>
          </cell>
          <cell r="B337" t="str">
            <v>Protensão e injeção de cabo de 12 varas de 1/2"</v>
          </cell>
          <cell r="E337" t="str">
            <v>un</v>
          </cell>
          <cell r="F337">
            <v>572.07000000000005</v>
          </cell>
          <cell r="G337">
            <v>204.80106000000001</v>
          </cell>
          <cell r="H337">
            <v>776.87106000000006</v>
          </cell>
        </row>
        <row r="338">
          <cell r="A338">
            <v>4</v>
          </cell>
          <cell r="B338" t="str">
            <v>DRENAGEM E OBRAS DE ARTE CORRENTES</v>
          </cell>
          <cell r="G338">
            <v>0</v>
          </cell>
        </row>
        <row r="339">
          <cell r="A339" t="str">
            <v>04.000.00</v>
          </cell>
          <cell r="B339" t="str">
            <v>Escavação manual em material de 1a categoria</v>
          </cell>
          <cell r="C339" t="str">
            <v xml:space="preserve"> </v>
          </cell>
          <cell r="D339" t="str">
            <v xml:space="preserve"> </v>
          </cell>
          <cell r="E339" t="str">
            <v>m3</v>
          </cell>
          <cell r="F339">
            <v>12.94</v>
          </cell>
          <cell r="G339">
            <v>4.6325199999999995</v>
          </cell>
          <cell r="H339">
            <v>17.572519999999997</v>
          </cell>
        </row>
        <row r="340">
          <cell r="A340" t="str">
            <v>04.000.01</v>
          </cell>
          <cell r="B340" t="str">
            <v>Escavação manual,reaterro e compactação (material de 1a categoria)</v>
          </cell>
          <cell r="C340" t="str">
            <v xml:space="preserve"> </v>
          </cell>
          <cell r="D340" t="str">
            <v xml:space="preserve"> </v>
          </cell>
          <cell r="E340" t="str">
            <v>m3</v>
          </cell>
          <cell r="F340">
            <v>16.440000000000001</v>
          </cell>
          <cell r="G340">
            <v>5.8855200000000005</v>
          </cell>
          <cell r="H340">
            <v>22.325520000000001</v>
          </cell>
        </row>
        <row r="341">
          <cell r="A341" t="str">
            <v>04.001.00</v>
          </cell>
          <cell r="B341" t="str">
            <v>Escavação mecânica em material de 1a categoria</v>
          </cell>
          <cell r="C341" t="str">
            <v xml:space="preserve"> </v>
          </cell>
          <cell r="D341" t="str">
            <v xml:space="preserve"> </v>
          </cell>
          <cell r="E341" t="str">
            <v>m3</v>
          </cell>
          <cell r="F341">
            <v>1.54</v>
          </cell>
          <cell r="G341">
            <v>0.55132000000000003</v>
          </cell>
          <cell r="H341">
            <v>2.0913200000000001</v>
          </cell>
        </row>
        <row r="342">
          <cell r="A342" t="str">
            <v>04.001.01</v>
          </cell>
          <cell r="B342" t="str">
            <v>Escavação mecânica,reaterro e compactação (material de 1a categoria)</v>
          </cell>
          <cell r="C342" t="str">
            <v xml:space="preserve"> </v>
          </cell>
          <cell r="D342" t="str">
            <v xml:space="preserve"> </v>
          </cell>
          <cell r="E342" t="str">
            <v>m3</v>
          </cell>
          <cell r="F342">
            <v>2.23</v>
          </cell>
          <cell r="G342">
            <v>0.79833999999999994</v>
          </cell>
          <cell r="H342">
            <v>3.02834</v>
          </cell>
        </row>
        <row r="343">
          <cell r="A343" t="str">
            <v>04.002.01</v>
          </cell>
          <cell r="B343" t="str">
            <v>Perfuração para dreno sub-horizontal em material de 1a  categoria)</v>
          </cell>
          <cell r="C343" t="str">
            <v xml:space="preserve"> </v>
          </cell>
          <cell r="D343" t="str">
            <v xml:space="preserve"> </v>
          </cell>
          <cell r="E343" t="str">
            <v>m3</v>
          </cell>
          <cell r="G343">
            <v>0</v>
          </cell>
          <cell r="H343">
            <v>0</v>
          </cell>
        </row>
        <row r="344">
          <cell r="A344" t="str">
            <v>04.010.00</v>
          </cell>
          <cell r="B344" t="str">
            <v>Escavação manual em material de 2a categoria</v>
          </cell>
          <cell r="C344" t="str">
            <v xml:space="preserve"> </v>
          </cell>
          <cell r="D344" t="str">
            <v xml:space="preserve"> </v>
          </cell>
          <cell r="E344" t="str">
            <v>m3</v>
          </cell>
          <cell r="F344">
            <v>6.37</v>
          </cell>
          <cell r="G344">
            <v>2.2804600000000002</v>
          </cell>
          <cell r="H344">
            <v>8.6504600000000007</v>
          </cell>
        </row>
        <row r="345">
          <cell r="A345" t="str">
            <v>04.010.01</v>
          </cell>
          <cell r="B345" t="str">
            <v>Escavação manual,reaterro e compactação (material de 2a  categoria)</v>
          </cell>
          <cell r="C345" t="str">
            <v xml:space="preserve"> </v>
          </cell>
          <cell r="D345" t="str">
            <v xml:space="preserve"> </v>
          </cell>
          <cell r="E345" t="str">
            <v>m3</v>
          </cell>
          <cell r="F345">
            <v>9.5299999999999994</v>
          </cell>
          <cell r="G345">
            <v>3.4117399999999996</v>
          </cell>
          <cell r="H345">
            <v>12.941739999999999</v>
          </cell>
        </row>
        <row r="346">
          <cell r="A346" t="str">
            <v>04.011.00</v>
          </cell>
          <cell r="B346" t="str">
            <v>Escavação mecânica em material de 2a categoria</v>
          </cell>
          <cell r="C346" t="str">
            <v xml:space="preserve"> </v>
          </cell>
          <cell r="D346" t="str">
            <v xml:space="preserve"> </v>
          </cell>
          <cell r="E346" t="str">
            <v>m3</v>
          </cell>
          <cell r="F346">
            <v>0.66</v>
          </cell>
          <cell r="G346">
            <v>0.23627999999999999</v>
          </cell>
          <cell r="H346">
            <v>0.89627999999999997</v>
          </cell>
        </row>
        <row r="347">
          <cell r="A347" t="str">
            <v>04.011.01</v>
          </cell>
          <cell r="B347" t="str">
            <v>Escavação mecânica,reaterro e compactação (material de 2a categoria)</v>
          </cell>
          <cell r="C347" t="str">
            <v xml:space="preserve"> </v>
          </cell>
          <cell r="D347" t="str">
            <v xml:space="preserve"> </v>
          </cell>
          <cell r="E347" t="str">
            <v>m3</v>
          </cell>
          <cell r="F347">
            <v>1.1100000000000001</v>
          </cell>
          <cell r="G347">
            <v>0.39738000000000001</v>
          </cell>
          <cell r="H347">
            <v>1.5073800000000002</v>
          </cell>
        </row>
        <row r="348">
          <cell r="A348" t="str">
            <v>04.012.01</v>
          </cell>
          <cell r="B348" t="str">
            <v>Perfuração para dreno sub-horizontal em material de 2a categoria</v>
          </cell>
          <cell r="C348" t="str">
            <v xml:space="preserve"> </v>
          </cell>
          <cell r="D348" t="str">
            <v xml:space="preserve"> </v>
          </cell>
          <cell r="E348" t="str">
            <v>m3</v>
          </cell>
          <cell r="G348">
            <v>0</v>
          </cell>
          <cell r="H348">
            <v>0</v>
          </cell>
        </row>
        <row r="349">
          <cell r="A349" t="str">
            <v>04.020.00</v>
          </cell>
          <cell r="B349" t="str">
            <v>Escavação em material de 3a  categoria (*)</v>
          </cell>
          <cell r="C349" t="str">
            <v xml:space="preserve"> </v>
          </cell>
          <cell r="D349" t="str">
            <v xml:space="preserve"> </v>
          </cell>
          <cell r="E349" t="str">
            <v xml:space="preserve">m </v>
          </cell>
          <cell r="F349">
            <v>21.15</v>
          </cell>
          <cell r="G349">
            <v>7.571699999999999</v>
          </cell>
          <cell r="H349">
            <v>28.721699999999998</v>
          </cell>
        </row>
        <row r="350">
          <cell r="A350" t="str">
            <v>04.100.01</v>
          </cell>
          <cell r="B350" t="str">
            <v>Corpo de BSTC D=0.60m</v>
          </cell>
          <cell r="C350" t="str">
            <v>DNER-ES284/97</v>
          </cell>
          <cell r="D350" t="str">
            <v xml:space="preserve"> </v>
          </cell>
          <cell r="E350" t="str">
            <v xml:space="preserve">m </v>
          </cell>
          <cell r="F350">
            <v>102.51</v>
          </cell>
          <cell r="G350">
            <v>36.69858</v>
          </cell>
          <cell r="H350">
            <v>139.20858000000001</v>
          </cell>
        </row>
        <row r="351">
          <cell r="A351" t="str">
            <v>04.100.02</v>
          </cell>
          <cell r="B351" t="str">
            <v>Corpo de BSTC D=0.80m</v>
          </cell>
          <cell r="C351" t="str">
            <v>DNER-ES284/97</v>
          </cell>
          <cell r="D351" t="str">
            <v xml:space="preserve"> </v>
          </cell>
          <cell r="E351" t="str">
            <v xml:space="preserve">m </v>
          </cell>
          <cell r="F351">
            <v>148.72999999999999</v>
          </cell>
          <cell r="G351">
            <v>53.245339999999992</v>
          </cell>
          <cell r="H351">
            <v>201.97533999999999</v>
          </cell>
        </row>
        <row r="352">
          <cell r="A352" t="str">
            <v>04.100.03</v>
          </cell>
          <cell r="B352" t="str">
            <v>Corpo de BSTC D=1.00m</v>
          </cell>
          <cell r="C352" t="str">
            <v>DNER-ES284/97</v>
          </cell>
          <cell r="D352" t="str">
            <v xml:space="preserve"> </v>
          </cell>
          <cell r="E352" t="str">
            <v xml:space="preserve">m </v>
          </cell>
          <cell r="F352">
            <v>206.43</v>
          </cell>
          <cell r="G352">
            <v>73.901939999999996</v>
          </cell>
          <cell r="H352">
            <v>280.33194000000003</v>
          </cell>
        </row>
        <row r="353">
          <cell r="A353" t="str">
            <v>04.100.04</v>
          </cell>
          <cell r="B353" t="str">
            <v>Corpo de BSTC D=1.20m</v>
          </cell>
          <cell r="C353" t="str">
            <v>DNER-ES284/97</v>
          </cell>
          <cell r="D353" t="str">
            <v xml:space="preserve"> </v>
          </cell>
          <cell r="E353" t="str">
            <v xml:space="preserve">m </v>
          </cell>
          <cell r="F353">
            <v>280.83</v>
          </cell>
          <cell r="G353">
            <v>100.53713999999999</v>
          </cell>
          <cell r="H353">
            <v>381.36713999999995</v>
          </cell>
        </row>
        <row r="354">
          <cell r="A354" t="str">
            <v>04.100.05</v>
          </cell>
          <cell r="B354" t="str">
            <v>Corpo de BSTC D=1.50m</v>
          </cell>
          <cell r="C354" t="str">
            <v>DNER-ES284/97</v>
          </cell>
          <cell r="D354" t="str">
            <v xml:space="preserve"> </v>
          </cell>
          <cell r="E354" t="str">
            <v xml:space="preserve">m </v>
          </cell>
          <cell r="F354">
            <v>420.76</v>
          </cell>
          <cell r="G354">
            <v>150.63208</v>
          </cell>
          <cell r="H354">
            <v>571.39207999999996</v>
          </cell>
        </row>
        <row r="355">
          <cell r="A355" t="str">
            <v>P 04.100.06</v>
          </cell>
          <cell r="B355" t="str">
            <v>Galeria D=0,40m envelopada</v>
          </cell>
          <cell r="D355" t="str">
            <v xml:space="preserve"> </v>
          </cell>
          <cell r="E355" t="str">
            <v>m</v>
          </cell>
          <cell r="F355">
            <v>76.12</v>
          </cell>
          <cell r="G355">
            <v>27.250959999999999</v>
          </cell>
          <cell r="H355">
            <v>103.37096</v>
          </cell>
        </row>
        <row r="356">
          <cell r="A356" t="str">
            <v>P 04.100.07</v>
          </cell>
          <cell r="B356" t="str">
            <v>Execução de galerias D=0,40 c/ lastro de brita</v>
          </cell>
          <cell r="D356" t="str">
            <v xml:space="preserve"> </v>
          </cell>
          <cell r="E356" t="str">
            <v>m</v>
          </cell>
          <cell r="F356">
            <v>30.69</v>
          </cell>
          <cell r="G356">
            <v>10.987019999999999</v>
          </cell>
          <cell r="H356">
            <v>41.677019999999999</v>
          </cell>
        </row>
        <row r="357">
          <cell r="A357" t="str">
            <v>P 04.100.08</v>
          </cell>
          <cell r="B357" t="str">
            <v>Execução de galerias D=0,40 c/ lastro de concreto</v>
          </cell>
          <cell r="D357" t="str">
            <v xml:space="preserve"> </v>
          </cell>
          <cell r="E357" t="str">
            <v>m</v>
          </cell>
          <cell r="F357">
            <v>43.19</v>
          </cell>
          <cell r="G357">
            <v>15.462019999999999</v>
          </cell>
          <cell r="H357">
            <v>58.652019999999993</v>
          </cell>
        </row>
        <row r="358">
          <cell r="A358" t="str">
            <v>P 04.100.08a</v>
          </cell>
          <cell r="B358" t="str">
            <v>Execução de travessia D=0,40 c/ lastro de concreto p/execução de desvio durante a obra</v>
          </cell>
          <cell r="D358" t="str">
            <v xml:space="preserve"> </v>
          </cell>
          <cell r="E358" t="str">
            <v>m</v>
          </cell>
          <cell r="F358">
            <v>43.19</v>
          </cell>
          <cell r="G358">
            <v>15.462019999999999</v>
          </cell>
          <cell r="H358">
            <v>58.652019999999993</v>
          </cell>
        </row>
        <row r="359">
          <cell r="A359" t="str">
            <v>P 04.100.09</v>
          </cell>
          <cell r="B359" t="str">
            <v>Execução de galerias D=0,60 c/ lastro de brita</v>
          </cell>
          <cell r="D359" t="str">
            <v xml:space="preserve"> </v>
          </cell>
          <cell r="E359" t="str">
            <v>m</v>
          </cell>
          <cell r="F359">
            <v>74.13</v>
          </cell>
          <cell r="G359">
            <v>26.538539999999998</v>
          </cell>
          <cell r="H359">
            <v>100.66853999999999</v>
          </cell>
        </row>
        <row r="360">
          <cell r="A360" t="str">
            <v>P 04.100.10</v>
          </cell>
          <cell r="B360" t="str">
            <v>Execução de galerias D=0,60 c/ lastro de concreto</v>
          </cell>
          <cell r="D360" t="str">
            <v xml:space="preserve"> </v>
          </cell>
          <cell r="E360" t="str">
            <v>m</v>
          </cell>
          <cell r="F360">
            <v>96.95</v>
          </cell>
          <cell r="G360">
            <v>34.708100000000002</v>
          </cell>
          <cell r="H360">
            <v>131.65809999999999</v>
          </cell>
        </row>
        <row r="361">
          <cell r="A361" t="str">
            <v>P 04.100.11</v>
          </cell>
          <cell r="B361" t="str">
            <v>Galeria D=0,80m envelopada</v>
          </cell>
          <cell r="D361" t="str">
            <v xml:space="preserve"> </v>
          </cell>
          <cell r="E361" t="str">
            <v>m</v>
          </cell>
          <cell r="F361">
            <v>193.7</v>
          </cell>
          <cell r="G361">
            <v>69.3446</v>
          </cell>
          <cell r="H361">
            <v>263.0446</v>
          </cell>
        </row>
        <row r="362">
          <cell r="A362" t="str">
            <v>P 04.100.12</v>
          </cell>
          <cell r="B362" t="str">
            <v>Galeria D=0,60m envelopada</v>
          </cell>
          <cell r="D362" t="str">
            <v xml:space="preserve"> </v>
          </cell>
          <cell r="E362" t="str">
            <v>m</v>
          </cell>
          <cell r="F362">
            <v>141.16</v>
          </cell>
          <cell r="G362">
            <v>50.53528</v>
          </cell>
          <cell r="H362">
            <v>191.69528</v>
          </cell>
        </row>
        <row r="363">
          <cell r="A363" t="str">
            <v>P 04.100.13</v>
          </cell>
          <cell r="B363" t="str">
            <v>Execução de galerias D=0,80 c/ lastro de brita</v>
          </cell>
          <cell r="D363" t="str">
            <v xml:space="preserve"> </v>
          </cell>
          <cell r="E363" t="str">
            <v>m</v>
          </cell>
          <cell r="F363">
            <v>39.64</v>
          </cell>
          <cell r="G363">
            <v>14.19112</v>
          </cell>
          <cell r="H363">
            <v>53.831119999999999</v>
          </cell>
        </row>
        <row r="364">
          <cell r="A364" t="str">
            <v>P.04.100.14</v>
          </cell>
          <cell r="B364" t="str">
            <v>Caixa de ligação e passagem BSTC, D=80cm, H=1,00m</v>
          </cell>
          <cell r="E364" t="str">
            <v>un</v>
          </cell>
          <cell r="F364">
            <v>332.18</v>
          </cell>
          <cell r="G364">
            <v>118.92044</v>
          </cell>
          <cell r="H364">
            <v>451.10043999999999</v>
          </cell>
        </row>
        <row r="365">
          <cell r="A365" t="str">
            <v>P.04.100.15</v>
          </cell>
          <cell r="B365" t="str">
            <v>Caixa de ligação e passagem BSTC,  D=1,00m, H=1,50m</v>
          </cell>
          <cell r="E365" t="str">
            <v>un</v>
          </cell>
          <cell r="F365">
            <v>546.02</v>
          </cell>
          <cell r="G365">
            <v>195.47515999999999</v>
          </cell>
          <cell r="H365">
            <v>741.49515999999994</v>
          </cell>
        </row>
        <row r="366">
          <cell r="A366" t="str">
            <v>P.04.100.16</v>
          </cell>
          <cell r="B366" t="str">
            <v>Caixa de ligação e passagem BDTC,  D=1,00m, H=1,50m</v>
          </cell>
          <cell r="E366" t="str">
            <v>un</v>
          </cell>
          <cell r="F366">
            <v>865.09</v>
          </cell>
          <cell r="G366">
            <v>309.70222000000001</v>
          </cell>
          <cell r="H366">
            <v>1174.79222</v>
          </cell>
        </row>
        <row r="367">
          <cell r="A367" t="str">
            <v>P.04.100.17</v>
          </cell>
          <cell r="B367" t="str">
            <v>Caixa de ligação e passagem BSTC,  D=40cm, H=1,50m</v>
          </cell>
          <cell r="E367" t="str">
            <v>un</v>
          </cell>
          <cell r="F367">
            <v>361.8</v>
          </cell>
          <cell r="G367">
            <v>129.52439999999999</v>
          </cell>
          <cell r="H367">
            <v>491.32439999999997</v>
          </cell>
        </row>
        <row r="368">
          <cell r="A368" t="str">
            <v>P.04.100.18</v>
          </cell>
          <cell r="B368" t="str">
            <v>Caixa coletora de canaleta c/ H=2,00m</v>
          </cell>
          <cell r="E368" t="str">
            <v>un</v>
          </cell>
          <cell r="F368">
            <v>498.06</v>
          </cell>
          <cell r="G368">
            <v>178.30547999999999</v>
          </cell>
          <cell r="H368">
            <v>676.36547999999993</v>
          </cell>
        </row>
        <row r="369">
          <cell r="A369" t="str">
            <v>P 04.100.19</v>
          </cell>
          <cell r="B369" t="str">
            <v>Tunnel liner plate, c/Epoxy-bonded, D=1,20m, E=2,70mm</v>
          </cell>
          <cell r="D369" t="str">
            <v xml:space="preserve"> </v>
          </cell>
          <cell r="E369" t="str">
            <v>m</v>
          </cell>
          <cell r="F369">
            <v>679.74</v>
          </cell>
          <cell r="G369">
            <v>243.34691999999998</v>
          </cell>
          <cell r="H369">
            <v>923.08691999999996</v>
          </cell>
        </row>
        <row r="370">
          <cell r="A370" t="str">
            <v>P 04.100.20</v>
          </cell>
          <cell r="B370" t="str">
            <v>Tunnel liner plate, c/Epoxy-bonded, D=1,40m, E=2,70mm</v>
          </cell>
          <cell r="D370" t="str">
            <v xml:space="preserve"> </v>
          </cell>
          <cell r="E370" t="str">
            <v>m</v>
          </cell>
          <cell r="F370">
            <v>758.04</v>
          </cell>
          <cell r="G370">
            <v>271.37831999999997</v>
          </cell>
          <cell r="H370">
            <v>1029.41832</v>
          </cell>
        </row>
        <row r="371">
          <cell r="A371" t="str">
            <v>P 04.100.21</v>
          </cell>
          <cell r="B371" t="str">
            <v>Tunnel liner plate, c/Epoxy-bonded, D=2,00m, E=2,70mm</v>
          </cell>
          <cell r="D371" t="str">
            <v xml:space="preserve"> </v>
          </cell>
          <cell r="E371" t="str">
            <v>m</v>
          </cell>
          <cell r="F371">
            <v>1009.36</v>
          </cell>
          <cell r="G371">
            <v>361.35088000000002</v>
          </cell>
          <cell r="H371">
            <v>1370.7108800000001</v>
          </cell>
        </row>
        <row r="372">
          <cell r="A372" t="str">
            <v>P 04.100.22</v>
          </cell>
          <cell r="B372" t="str">
            <v>Bueiro Met.Corrug.circular, T.Armco,  c/Epoxy-bonded, MP-100, D=1,40 m, E=2,0mm</v>
          </cell>
          <cell r="D372" t="str">
            <v xml:space="preserve"> </v>
          </cell>
          <cell r="E372" t="str">
            <v>m</v>
          </cell>
          <cell r="F372">
            <v>357.9</v>
          </cell>
          <cell r="G372">
            <v>128.12819999999999</v>
          </cell>
          <cell r="H372">
            <v>486.02819999999997</v>
          </cell>
        </row>
        <row r="373">
          <cell r="A373" t="str">
            <v>P 04.100.23</v>
          </cell>
          <cell r="B373" t="str">
            <v>Bueiro Met.Corrug.circular, T.Armco,  c/Epoxy-bonded, MP-100, D=1,50 m, E=2,0mm</v>
          </cell>
          <cell r="D373" t="str">
            <v xml:space="preserve"> </v>
          </cell>
          <cell r="E373" t="str">
            <v>m</v>
          </cell>
          <cell r="F373">
            <v>376.14</v>
          </cell>
          <cell r="G373">
            <v>134.65812</v>
          </cell>
          <cell r="H373">
            <v>510.79811999999998</v>
          </cell>
        </row>
        <row r="374">
          <cell r="A374" t="str">
            <v>P 04.100.24</v>
          </cell>
          <cell r="B374" t="str">
            <v>Bueiro Met.Corrug.circular, T.Armco,  c/Epoxy-bonded, MP-100, D=2,00 m, E=2,0mm</v>
          </cell>
          <cell r="D374" t="str">
            <v xml:space="preserve"> </v>
          </cell>
          <cell r="E374" t="str">
            <v>m</v>
          </cell>
          <cell r="F374">
            <v>482.07</v>
          </cell>
          <cell r="G374">
            <v>172.58105999999998</v>
          </cell>
          <cell r="H374">
            <v>654.65105999999992</v>
          </cell>
        </row>
        <row r="375">
          <cell r="A375" t="str">
            <v>P 04.100.40</v>
          </cell>
          <cell r="B375" t="str">
            <v>Execução de galerias D=0,80m c/ lastro de concreto</v>
          </cell>
          <cell r="D375" t="str">
            <v xml:space="preserve"> </v>
          </cell>
          <cell r="E375" t="str">
            <v>m</v>
          </cell>
          <cell r="F375">
            <v>145.33000000000001</v>
          </cell>
          <cell r="G375">
            <v>52.02814</v>
          </cell>
          <cell r="H375">
            <v>197.35814000000002</v>
          </cell>
        </row>
        <row r="376">
          <cell r="A376" t="str">
            <v>DER92196</v>
          </cell>
          <cell r="B376" t="str">
            <v>Envelopamento de galerias</v>
          </cell>
          <cell r="E376" t="str">
            <v>m3</v>
          </cell>
          <cell r="F376">
            <v>101.95</v>
          </cell>
          <cell r="G376">
            <v>36.498100000000001</v>
          </cell>
          <cell r="H376">
            <v>138.44810000000001</v>
          </cell>
        </row>
        <row r="377">
          <cell r="A377" t="str">
            <v>04.101.01</v>
          </cell>
          <cell r="B377" t="str">
            <v>Boca de BSTC D=0.60m-normal</v>
          </cell>
          <cell r="D377" t="str">
            <v xml:space="preserve"> </v>
          </cell>
          <cell r="E377" t="str">
            <v>un</v>
          </cell>
          <cell r="F377">
            <v>220.63</v>
          </cell>
          <cell r="G377">
            <v>78.98554</v>
          </cell>
          <cell r="H377">
            <v>299.61554000000001</v>
          </cell>
        </row>
        <row r="378">
          <cell r="A378" t="str">
            <v>04.101.02</v>
          </cell>
          <cell r="B378" t="str">
            <v>Boca de BSTC D=0.80m-normal</v>
          </cell>
          <cell r="C378" t="str">
            <v xml:space="preserve"> </v>
          </cell>
          <cell r="D378" t="str">
            <v xml:space="preserve"> </v>
          </cell>
          <cell r="E378" t="str">
            <v>un</v>
          </cell>
          <cell r="F378">
            <v>363.81</v>
          </cell>
          <cell r="G378">
            <v>130.24397999999999</v>
          </cell>
          <cell r="H378">
            <v>494.05398000000002</v>
          </cell>
        </row>
        <row r="379">
          <cell r="A379" t="str">
            <v>04.101.03</v>
          </cell>
          <cell r="B379" t="str">
            <v>Boca de BSTC D=1.00m-normal</v>
          </cell>
          <cell r="C379" t="str">
            <v xml:space="preserve"> </v>
          </cell>
          <cell r="D379" t="str">
            <v xml:space="preserve"> </v>
          </cell>
          <cell r="E379" t="str">
            <v>un</v>
          </cell>
          <cell r="F379">
            <v>557.85</v>
          </cell>
          <cell r="G379">
            <v>199.71029999999999</v>
          </cell>
          <cell r="H379">
            <v>757.56029999999998</v>
          </cell>
        </row>
        <row r="380">
          <cell r="A380" t="str">
            <v>04.101.04</v>
          </cell>
          <cell r="B380" t="str">
            <v>Boca de BSTC D=1.20m-normal</v>
          </cell>
          <cell r="C380" t="str">
            <v xml:space="preserve"> </v>
          </cell>
          <cell r="D380" t="str">
            <v xml:space="preserve"> </v>
          </cell>
          <cell r="E380" t="str">
            <v>un</v>
          </cell>
          <cell r="F380">
            <v>800.57</v>
          </cell>
          <cell r="G380">
            <v>286.60406</v>
          </cell>
          <cell r="H380">
            <v>1087.1740600000001</v>
          </cell>
        </row>
        <row r="381">
          <cell r="A381" t="str">
            <v>04.101.05</v>
          </cell>
          <cell r="B381" t="str">
            <v>Boca de BSTC D=1.50m-normal</v>
          </cell>
          <cell r="C381" t="str">
            <v xml:space="preserve"> </v>
          </cell>
          <cell r="D381" t="str">
            <v xml:space="preserve"> </v>
          </cell>
          <cell r="E381" t="str">
            <v>un</v>
          </cell>
          <cell r="F381">
            <v>1430.13</v>
          </cell>
          <cell r="G381">
            <v>511.98653999999999</v>
          </cell>
          <cell r="H381">
            <v>1942.11654</v>
          </cell>
        </row>
        <row r="382">
          <cell r="A382" t="str">
            <v>DER72950</v>
          </cell>
          <cell r="B382" t="str">
            <v>Boca de BSTC D=2,00m-normal</v>
          </cell>
          <cell r="C382" t="str">
            <v xml:space="preserve"> </v>
          </cell>
          <cell r="D382" t="str">
            <v xml:space="preserve"> </v>
          </cell>
          <cell r="E382" t="str">
            <v>un</v>
          </cell>
          <cell r="F382">
            <v>1082.3800000000001</v>
          </cell>
          <cell r="G382">
            <v>387.49204000000003</v>
          </cell>
          <cell r="H382">
            <v>1469.8720400000002</v>
          </cell>
        </row>
        <row r="383">
          <cell r="A383" t="str">
            <v>04.101.06</v>
          </cell>
          <cell r="B383" t="str">
            <v>Boca de BSTC D=0.60m-esc=15°</v>
          </cell>
          <cell r="C383" t="str">
            <v xml:space="preserve"> </v>
          </cell>
          <cell r="D383" t="str">
            <v xml:space="preserve"> </v>
          </cell>
          <cell r="E383" t="str">
            <v>un</v>
          </cell>
          <cell r="G383">
            <v>0</v>
          </cell>
          <cell r="H383">
            <v>0</v>
          </cell>
        </row>
        <row r="384">
          <cell r="A384" t="str">
            <v>04.101.07</v>
          </cell>
          <cell r="B384" t="str">
            <v>Boca de BSTC D=0.80m-esc=15°</v>
          </cell>
          <cell r="C384" t="str">
            <v xml:space="preserve"> </v>
          </cell>
          <cell r="D384" t="str">
            <v xml:space="preserve"> </v>
          </cell>
          <cell r="E384" t="str">
            <v>un</v>
          </cell>
          <cell r="F384">
            <v>382.86</v>
          </cell>
          <cell r="G384">
            <v>137.06388000000001</v>
          </cell>
          <cell r="H384">
            <v>519.92388000000005</v>
          </cell>
        </row>
        <row r="385">
          <cell r="A385" t="str">
            <v>04.101.08</v>
          </cell>
          <cell r="B385" t="str">
            <v>Boca de BSTC D=1.00m-esc=15°</v>
          </cell>
          <cell r="C385" t="str">
            <v xml:space="preserve"> </v>
          </cell>
          <cell r="D385" t="str">
            <v xml:space="preserve"> </v>
          </cell>
          <cell r="E385" t="str">
            <v>un</v>
          </cell>
          <cell r="F385">
            <v>585.09</v>
          </cell>
          <cell r="G385">
            <v>209.46222</v>
          </cell>
          <cell r="H385">
            <v>794.55222000000003</v>
          </cell>
        </row>
        <row r="386">
          <cell r="A386" t="str">
            <v>04.101.09</v>
          </cell>
          <cell r="B386" t="str">
            <v>Boca de BSTC D=1.20m-esc=15°</v>
          </cell>
          <cell r="C386" t="str">
            <v xml:space="preserve"> </v>
          </cell>
          <cell r="D386" t="str">
            <v xml:space="preserve"> </v>
          </cell>
          <cell r="E386" t="str">
            <v>un</v>
          </cell>
          <cell r="G386">
            <v>0</v>
          </cell>
          <cell r="H386">
            <v>0</v>
          </cell>
        </row>
        <row r="387">
          <cell r="A387" t="str">
            <v>04.101.10</v>
          </cell>
          <cell r="B387" t="str">
            <v>Boca de BSTC D=1.50m-esc=15°</v>
          </cell>
          <cell r="C387" t="str">
            <v xml:space="preserve"> </v>
          </cell>
          <cell r="D387" t="str">
            <v xml:space="preserve"> </v>
          </cell>
          <cell r="E387" t="str">
            <v>un</v>
          </cell>
          <cell r="G387">
            <v>0</v>
          </cell>
          <cell r="H387">
            <v>0</v>
          </cell>
        </row>
        <row r="388">
          <cell r="A388" t="str">
            <v>04.101.11</v>
          </cell>
          <cell r="B388" t="str">
            <v>Boca de BSTC D=0.60m-esc=30°</v>
          </cell>
          <cell r="C388" t="str">
            <v xml:space="preserve"> </v>
          </cell>
          <cell r="D388" t="str">
            <v xml:space="preserve"> </v>
          </cell>
          <cell r="E388" t="str">
            <v>un</v>
          </cell>
          <cell r="G388">
            <v>0</v>
          </cell>
          <cell r="H388">
            <v>0</v>
          </cell>
        </row>
        <row r="389">
          <cell r="A389" t="str">
            <v>04.101.12</v>
          </cell>
          <cell r="B389" t="str">
            <v>Boca de BSTC D=0.80m-esc=30°</v>
          </cell>
          <cell r="C389" t="str">
            <v xml:space="preserve"> </v>
          </cell>
          <cell r="D389" t="str">
            <v xml:space="preserve"> </v>
          </cell>
          <cell r="E389" t="str">
            <v>un</v>
          </cell>
          <cell r="G389">
            <v>0</v>
          </cell>
          <cell r="H389">
            <v>0</v>
          </cell>
        </row>
        <row r="390">
          <cell r="A390" t="str">
            <v>04.101.13</v>
          </cell>
          <cell r="B390" t="str">
            <v>Boca de BSTC D=1.00m-esc=30°</v>
          </cell>
          <cell r="C390" t="str">
            <v xml:space="preserve"> </v>
          </cell>
          <cell r="D390" t="str">
            <v xml:space="preserve"> </v>
          </cell>
          <cell r="E390" t="str">
            <v>un</v>
          </cell>
          <cell r="F390">
            <v>650.46</v>
          </cell>
          <cell r="G390">
            <v>232.86467999999999</v>
          </cell>
          <cell r="H390">
            <v>883.32468000000006</v>
          </cell>
        </row>
        <row r="391">
          <cell r="A391" t="str">
            <v>04.101.14</v>
          </cell>
          <cell r="B391" t="str">
            <v>Boca de BSTC D=1.20m-esc=30°</v>
          </cell>
          <cell r="C391" t="str">
            <v xml:space="preserve"> </v>
          </cell>
          <cell r="D391" t="str">
            <v xml:space="preserve"> </v>
          </cell>
          <cell r="E391" t="str">
            <v>un</v>
          </cell>
          <cell r="G391">
            <v>0</v>
          </cell>
          <cell r="H391">
            <v>0</v>
          </cell>
        </row>
        <row r="392">
          <cell r="A392" t="str">
            <v>04.101.15</v>
          </cell>
          <cell r="B392" t="str">
            <v>Boca de BSTC D=1.50m-esc=30°</v>
          </cell>
          <cell r="C392" t="str">
            <v xml:space="preserve"> </v>
          </cell>
          <cell r="D392" t="str">
            <v xml:space="preserve"> </v>
          </cell>
          <cell r="E392" t="str">
            <v>un</v>
          </cell>
          <cell r="G392">
            <v>0</v>
          </cell>
          <cell r="H392">
            <v>0</v>
          </cell>
        </row>
        <row r="393">
          <cell r="A393" t="str">
            <v>04.101.16</v>
          </cell>
          <cell r="B393" t="str">
            <v>Boca de BSTC D=0.60m-esc=45°</v>
          </cell>
          <cell r="C393" t="str">
            <v xml:space="preserve"> </v>
          </cell>
          <cell r="D393" t="str">
            <v xml:space="preserve"> </v>
          </cell>
          <cell r="E393" t="str">
            <v>un</v>
          </cell>
          <cell r="G393">
            <v>0</v>
          </cell>
          <cell r="H393">
            <v>0</v>
          </cell>
        </row>
        <row r="394">
          <cell r="A394" t="str">
            <v>04.101.17</v>
          </cell>
          <cell r="B394" t="str">
            <v>Boca de BSTC D=0.80m-esc=45°</v>
          </cell>
          <cell r="C394" t="str">
            <v xml:space="preserve"> </v>
          </cell>
          <cell r="D394" t="str">
            <v xml:space="preserve"> </v>
          </cell>
          <cell r="E394" t="str">
            <v>un</v>
          </cell>
          <cell r="G394">
            <v>0</v>
          </cell>
          <cell r="H394">
            <v>0</v>
          </cell>
        </row>
        <row r="395">
          <cell r="A395" t="str">
            <v>04.101.18</v>
          </cell>
          <cell r="B395" t="str">
            <v>Boca de BSTC D=1.00m-esc=45°</v>
          </cell>
          <cell r="C395" t="str">
            <v xml:space="preserve"> </v>
          </cell>
          <cell r="D395" t="str">
            <v xml:space="preserve"> </v>
          </cell>
          <cell r="E395" t="str">
            <v>un</v>
          </cell>
          <cell r="G395">
            <v>0</v>
          </cell>
          <cell r="H395">
            <v>0</v>
          </cell>
        </row>
        <row r="396">
          <cell r="A396" t="str">
            <v>04.101.19</v>
          </cell>
          <cell r="B396" t="str">
            <v>Boca de BSTC D=1.20m-esc=45°</v>
          </cell>
          <cell r="C396" t="str">
            <v xml:space="preserve"> </v>
          </cell>
          <cell r="D396" t="str">
            <v xml:space="preserve"> </v>
          </cell>
          <cell r="E396" t="str">
            <v>un</v>
          </cell>
          <cell r="G396">
            <v>0</v>
          </cell>
          <cell r="H396">
            <v>0</v>
          </cell>
        </row>
        <row r="397">
          <cell r="A397" t="str">
            <v>04.101.20</v>
          </cell>
          <cell r="B397" t="str">
            <v>Boca de BSTC D=1.50m-esc=45°</v>
          </cell>
          <cell r="C397" t="str">
            <v xml:space="preserve"> </v>
          </cell>
          <cell r="D397" t="str">
            <v xml:space="preserve"> </v>
          </cell>
          <cell r="E397" t="str">
            <v>un</v>
          </cell>
          <cell r="G397">
            <v>0</v>
          </cell>
          <cell r="H397">
            <v>0</v>
          </cell>
        </row>
        <row r="398">
          <cell r="A398" t="str">
            <v>P04.110.00</v>
          </cell>
          <cell r="B398" t="str">
            <v>Corpo de BDTC D=0.80m c/ laje de concreto</v>
          </cell>
          <cell r="E398" t="str">
            <v>m</v>
          </cell>
          <cell r="F398">
            <v>246.91</v>
          </cell>
          <cell r="G398">
            <v>88.393779999999992</v>
          </cell>
          <cell r="H398">
            <v>335.30377999999996</v>
          </cell>
        </row>
        <row r="399">
          <cell r="A399" t="str">
            <v>04.110.01</v>
          </cell>
          <cell r="B399" t="str">
            <v>Corpo de BDTC D=1.00m</v>
          </cell>
          <cell r="C399" t="str">
            <v>DNER-ES284/97</v>
          </cell>
          <cell r="D399" t="str">
            <v xml:space="preserve"> </v>
          </cell>
          <cell r="E399" t="str">
            <v>m</v>
          </cell>
          <cell r="F399">
            <v>421.31</v>
          </cell>
          <cell r="G399">
            <v>150.82898</v>
          </cell>
          <cell r="H399">
            <v>572.13897999999995</v>
          </cell>
        </row>
        <row r="400">
          <cell r="A400" t="str">
            <v>04.110.02</v>
          </cell>
          <cell r="B400" t="str">
            <v>Corpo de BDTC D=1.20m</v>
          </cell>
          <cell r="C400" t="str">
            <v>DNER-ES284/97</v>
          </cell>
          <cell r="D400" t="str">
            <v xml:space="preserve"> </v>
          </cell>
          <cell r="E400" t="str">
            <v>m</v>
          </cell>
          <cell r="F400">
            <v>548.88</v>
          </cell>
          <cell r="G400">
            <v>196.49903999999998</v>
          </cell>
          <cell r="H400">
            <v>745.37904000000003</v>
          </cell>
        </row>
        <row r="401">
          <cell r="A401" t="str">
            <v>04.110.03</v>
          </cell>
          <cell r="B401" t="str">
            <v>Corpo de BDTC D=1.50m</v>
          </cell>
          <cell r="C401" t="str">
            <v>DNER-ES284/97</v>
          </cell>
          <cell r="D401" t="str">
            <v xml:space="preserve"> </v>
          </cell>
          <cell r="E401" t="str">
            <v>m</v>
          </cell>
          <cell r="F401">
            <v>826.11</v>
          </cell>
          <cell r="G401">
            <v>295.74737999999996</v>
          </cell>
          <cell r="H401">
            <v>1121.8573799999999</v>
          </cell>
        </row>
        <row r="402">
          <cell r="A402" t="str">
            <v>P04.111.01</v>
          </cell>
          <cell r="B402" t="str">
            <v>Boca de BDTC D=0.80m</v>
          </cell>
          <cell r="E402" t="str">
            <v>un</v>
          </cell>
          <cell r="F402">
            <v>412.93</v>
          </cell>
          <cell r="G402">
            <v>147.82893999999999</v>
          </cell>
          <cell r="H402">
            <v>560.75893999999994</v>
          </cell>
        </row>
        <row r="403">
          <cell r="A403" t="str">
            <v>04.111.01</v>
          </cell>
          <cell r="B403" t="str">
            <v>Boca de BDTC D=1.00m-normal</v>
          </cell>
          <cell r="C403" t="str">
            <v xml:space="preserve"> </v>
          </cell>
          <cell r="D403" t="str">
            <v xml:space="preserve"> </v>
          </cell>
          <cell r="E403" t="str">
            <v>un</v>
          </cell>
          <cell r="F403">
            <v>778.07</v>
          </cell>
          <cell r="G403">
            <v>278.54906</v>
          </cell>
          <cell r="H403">
            <v>1056.61906</v>
          </cell>
        </row>
        <row r="404">
          <cell r="A404" t="str">
            <v>04.111.02</v>
          </cell>
          <cell r="B404" t="str">
            <v>Boca de BDTC D=1.20m-normal</v>
          </cell>
          <cell r="C404" t="str">
            <v xml:space="preserve"> </v>
          </cell>
          <cell r="D404" t="str">
            <v xml:space="preserve"> </v>
          </cell>
          <cell r="E404" t="str">
            <v>un</v>
          </cell>
          <cell r="F404">
            <v>1120.43</v>
          </cell>
          <cell r="G404">
            <v>401.11394000000001</v>
          </cell>
          <cell r="H404">
            <v>1521.54394</v>
          </cell>
        </row>
        <row r="405">
          <cell r="A405" t="str">
            <v>04.111.03</v>
          </cell>
          <cell r="B405" t="str">
            <v>Boca de BDTC D=1.50m-normal</v>
          </cell>
          <cell r="C405" t="str">
            <v xml:space="preserve"> </v>
          </cell>
          <cell r="D405" t="str">
            <v xml:space="preserve"> </v>
          </cell>
          <cell r="E405" t="str">
            <v>un</v>
          </cell>
          <cell r="F405">
            <v>1949.87</v>
          </cell>
          <cell r="G405">
            <v>698.05345999999997</v>
          </cell>
          <cell r="H405">
            <v>2647.92346</v>
          </cell>
        </row>
        <row r="406">
          <cell r="A406" t="str">
            <v>04.111.05</v>
          </cell>
          <cell r="B406" t="str">
            <v>Boca de BDTC D=1.00m-esc=15°</v>
          </cell>
          <cell r="C406" t="str">
            <v xml:space="preserve"> </v>
          </cell>
          <cell r="D406" t="str">
            <v xml:space="preserve"> </v>
          </cell>
          <cell r="E406" t="str">
            <v>un</v>
          </cell>
          <cell r="F406">
            <v>812.88</v>
          </cell>
          <cell r="G406">
            <v>291.01103999999998</v>
          </cell>
          <cell r="H406">
            <v>1103.89104</v>
          </cell>
        </row>
        <row r="407">
          <cell r="A407" t="str">
            <v>04.111.06</v>
          </cell>
          <cell r="B407" t="str">
            <v>Boca de BDTC D=1.20m-esc=15°</v>
          </cell>
          <cell r="C407" t="str">
            <v xml:space="preserve"> </v>
          </cell>
          <cell r="D407" t="str">
            <v xml:space="preserve"> </v>
          </cell>
          <cell r="E407" t="str">
            <v>un</v>
          </cell>
          <cell r="G407">
            <v>0</v>
          </cell>
          <cell r="H407">
            <v>0</v>
          </cell>
        </row>
        <row r="408">
          <cell r="A408" t="str">
            <v>04.111.07</v>
          </cell>
          <cell r="B408" t="str">
            <v>Boca de BDTC D=1.50m-esc=15°</v>
          </cell>
          <cell r="C408" t="str">
            <v xml:space="preserve"> </v>
          </cell>
          <cell r="D408" t="str">
            <v xml:space="preserve"> </v>
          </cell>
          <cell r="E408" t="str">
            <v>un</v>
          </cell>
          <cell r="G408">
            <v>0</v>
          </cell>
          <cell r="H408">
            <v>0</v>
          </cell>
        </row>
        <row r="409">
          <cell r="A409" t="str">
            <v>04.111.08</v>
          </cell>
          <cell r="B409" t="str">
            <v>Boca de BDTC D=1.00m-esc=30°</v>
          </cell>
          <cell r="C409" t="str">
            <v xml:space="preserve"> </v>
          </cell>
          <cell r="D409" t="str">
            <v xml:space="preserve"> </v>
          </cell>
          <cell r="E409" t="str">
            <v>un</v>
          </cell>
          <cell r="F409">
            <v>905.03</v>
          </cell>
          <cell r="G409">
            <v>324.00073999999995</v>
          </cell>
          <cell r="H409">
            <v>1229.0307399999999</v>
          </cell>
        </row>
        <row r="410">
          <cell r="A410" t="str">
            <v>04.111.09</v>
          </cell>
          <cell r="B410" t="str">
            <v>Boca de BDTC D=1.20m-esc=30°</v>
          </cell>
          <cell r="C410" t="str">
            <v xml:space="preserve"> </v>
          </cell>
          <cell r="D410" t="str">
            <v xml:space="preserve"> </v>
          </cell>
          <cell r="E410" t="str">
            <v>un</v>
          </cell>
          <cell r="G410">
            <v>0</v>
          </cell>
          <cell r="H410">
            <v>0</v>
          </cell>
        </row>
        <row r="411">
          <cell r="A411" t="str">
            <v>04.111.10</v>
          </cell>
          <cell r="B411" t="str">
            <v>Boca de BDTC D=1.50m-esc=30°</v>
          </cell>
          <cell r="C411" t="str">
            <v xml:space="preserve"> </v>
          </cell>
          <cell r="D411" t="str">
            <v xml:space="preserve"> </v>
          </cell>
          <cell r="E411" t="str">
            <v>un</v>
          </cell>
          <cell r="G411">
            <v>0</v>
          </cell>
          <cell r="H411">
            <v>0</v>
          </cell>
        </row>
        <row r="412">
          <cell r="A412" t="str">
            <v>04.111.11</v>
          </cell>
          <cell r="B412" t="str">
            <v>Boca de BDTC D=1.00m-esc=45°</v>
          </cell>
          <cell r="C412" t="str">
            <v xml:space="preserve"> </v>
          </cell>
          <cell r="D412" t="str">
            <v xml:space="preserve"> </v>
          </cell>
          <cell r="E412" t="str">
            <v>un</v>
          </cell>
          <cell r="G412">
            <v>0</v>
          </cell>
          <cell r="H412">
            <v>0</v>
          </cell>
        </row>
        <row r="413">
          <cell r="A413" t="str">
            <v>04.111.12</v>
          </cell>
          <cell r="B413" t="str">
            <v>Boca de BDTC D=1.20m-esc=45°</v>
          </cell>
          <cell r="C413" t="str">
            <v xml:space="preserve"> </v>
          </cell>
          <cell r="D413" t="str">
            <v xml:space="preserve"> </v>
          </cell>
          <cell r="E413" t="str">
            <v>un</v>
          </cell>
          <cell r="G413">
            <v>0</v>
          </cell>
          <cell r="H413">
            <v>0</v>
          </cell>
        </row>
        <row r="414">
          <cell r="A414" t="str">
            <v>04.111.13</v>
          </cell>
          <cell r="B414" t="str">
            <v>Boca de BDTC D=1.50m-esc=45°</v>
          </cell>
          <cell r="C414" t="str">
            <v xml:space="preserve"> </v>
          </cell>
          <cell r="D414" t="str">
            <v xml:space="preserve"> </v>
          </cell>
          <cell r="E414" t="str">
            <v>un</v>
          </cell>
          <cell r="G414">
            <v>0</v>
          </cell>
          <cell r="H414">
            <v>0</v>
          </cell>
        </row>
        <row r="415">
          <cell r="A415" t="str">
            <v>DER67700</v>
          </cell>
          <cell r="B415" t="str">
            <v>Corpo de BTTC D=0.80m c/enrocamento e laje</v>
          </cell>
          <cell r="C415" t="str">
            <v>DNER-ES284/96</v>
          </cell>
          <cell r="D415" t="str">
            <v xml:space="preserve"> </v>
          </cell>
          <cell r="E415" t="str">
            <v>m</v>
          </cell>
          <cell r="F415">
            <v>441.8</v>
          </cell>
          <cell r="G415">
            <v>158.1644</v>
          </cell>
          <cell r="H415">
            <v>599.96440000000007</v>
          </cell>
        </row>
        <row r="416">
          <cell r="A416" t="str">
            <v>04.120.01</v>
          </cell>
          <cell r="B416" t="str">
            <v>Corpo de BTTC D=1.00m</v>
          </cell>
          <cell r="C416" t="str">
            <v>DNER-ES284/97</v>
          </cell>
          <cell r="D416" t="str">
            <v xml:space="preserve"> </v>
          </cell>
          <cell r="E416" t="str">
            <v>m</v>
          </cell>
          <cell r="F416">
            <v>595.58000000000004</v>
          </cell>
          <cell r="G416">
            <v>213.21764000000002</v>
          </cell>
          <cell r="H416">
            <v>808.79764</v>
          </cell>
        </row>
        <row r="417">
          <cell r="A417" t="str">
            <v>04.120.02</v>
          </cell>
          <cell r="B417" t="str">
            <v>Corpo de BTTC D=1.20m</v>
          </cell>
          <cell r="C417" t="str">
            <v>DNER-ES284/97</v>
          </cell>
          <cell r="D417" t="str">
            <v xml:space="preserve"> </v>
          </cell>
          <cell r="E417" t="str">
            <v>m</v>
          </cell>
          <cell r="F417">
            <v>817.55</v>
          </cell>
          <cell r="G417">
            <v>292.68289999999996</v>
          </cell>
          <cell r="H417">
            <v>1110.2329</v>
          </cell>
        </row>
        <row r="418">
          <cell r="A418" t="str">
            <v>04.120.03</v>
          </cell>
          <cell r="B418" t="str">
            <v>Corpo de BTTC D=1.50m</v>
          </cell>
          <cell r="C418" t="str">
            <v>DNER-ES284/97</v>
          </cell>
          <cell r="D418" t="str">
            <v xml:space="preserve"> </v>
          </cell>
          <cell r="E418" t="str">
            <v>m</v>
          </cell>
          <cell r="G418">
            <v>0</v>
          </cell>
          <cell r="H418">
            <v>0</v>
          </cell>
        </row>
        <row r="419">
          <cell r="A419" t="str">
            <v>DER73550</v>
          </cell>
          <cell r="B419" t="str">
            <v>Boca de BTTC D=0,80m-normal</v>
          </cell>
          <cell r="C419" t="str">
            <v xml:space="preserve"> </v>
          </cell>
          <cell r="D419" t="str">
            <v xml:space="preserve"> </v>
          </cell>
          <cell r="E419" t="str">
            <v>un</v>
          </cell>
          <cell r="F419">
            <v>504.73</v>
          </cell>
          <cell r="G419">
            <v>180.69334000000001</v>
          </cell>
          <cell r="H419">
            <v>685.42334000000005</v>
          </cell>
        </row>
        <row r="420">
          <cell r="A420" t="str">
            <v>04.121.01</v>
          </cell>
          <cell r="B420" t="str">
            <v>Boca de BTTC D=1.00m-normal</v>
          </cell>
          <cell r="C420" t="str">
            <v xml:space="preserve"> </v>
          </cell>
          <cell r="D420" t="str">
            <v xml:space="preserve"> </v>
          </cell>
          <cell r="E420" t="str">
            <v>un</v>
          </cell>
          <cell r="F420">
            <v>999.17</v>
          </cell>
          <cell r="G420">
            <v>357.70285999999999</v>
          </cell>
          <cell r="H420">
            <v>1356.8728599999999</v>
          </cell>
        </row>
        <row r="421">
          <cell r="A421" t="str">
            <v>04.121.02</v>
          </cell>
          <cell r="B421" t="str">
            <v>Boca de BTTC D=1.20m-normal</v>
          </cell>
          <cell r="C421" t="str">
            <v xml:space="preserve"> </v>
          </cell>
          <cell r="D421" t="str">
            <v xml:space="preserve"> </v>
          </cell>
          <cell r="E421" t="str">
            <v>un</v>
          </cell>
          <cell r="F421">
            <v>1440.05</v>
          </cell>
          <cell r="G421">
            <v>515.53789999999992</v>
          </cell>
          <cell r="H421">
            <v>1955.5879</v>
          </cell>
        </row>
        <row r="422">
          <cell r="A422" t="str">
            <v>04.121.03</v>
          </cell>
          <cell r="B422" t="str">
            <v>Boca de BTTC D=1.50m-normal</v>
          </cell>
          <cell r="C422" t="str">
            <v xml:space="preserve"> </v>
          </cell>
          <cell r="D422" t="str">
            <v xml:space="preserve"> </v>
          </cell>
          <cell r="E422" t="str">
            <v>un</v>
          </cell>
          <cell r="G422">
            <v>0</v>
          </cell>
          <cell r="H422">
            <v>0</v>
          </cell>
        </row>
        <row r="423">
          <cell r="A423" t="str">
            <v>04.121.04</v>
          </cell>
          <cell r="B423" t="str">
            <v>Boca de BTTC D=1.00m-esc=15°</v>
          </cell>
          <cell r="C423" t="str">
            <v xml:space="preserve"> </v>
          </cell>
          <cell r="D423" t="str">
            <v xml:space="preserve"> </v>
          </cell>
          <cell r="E423" t="str">
            <v>un</v>
          </cell>
          <cell r="G423">
            <v>0</v>
          </cell>
          <cell r="H423">
            <v>0</v>
          </cell>
        </row>
        <row r="424">
          <cell r="A424" t="str">
            <v>04.121.05</v>
          </cell>
          <cell r="B424" t="str">
            <v>Boca de BTTC D= 1.20m-esc= 15°</v>
          </cell>
          <cell r="C424" t="str">
            <v xml:space="preserve"> </v>
          </cell>
          <cell r="D424" t="str">
            <v xml:space="preserve"> </v>
          </cell>
          <cell r="E424" t="str">
            <v>un</v>
          </cell>
          <cell r="G424">
            <v>0</v>
          </cell>
          <cell r="H424">
            <v>0</v>
          </cell>
        </row>
        <row r="425">
          <cell r="A425" t="str">
            <v>04.121.06</v>
          </cell>
          <cell r="B425" t="str">
            <v>Boca de BTTC D= 1.50m-esc= 15°</v>
          </cell>
          <cell r="C425" t="str">
            <v xml:space="preserve"> </v>
          </cell>
          <cell r="D425" t="str">
            <v xml:space="preserve"> </v>
          </cell>
          <cell r="E425" t="str">
            <v>un</v>
          </cell>
          <cell r="G425">
            <v>0</v>
          </cell>
          <cell r="H425">
            <v>0</v>
          </cell>
        </row>
        <row r="426">
          <cell r="A426" t="str">
            <v>04.121.07</v>
          </cell>
          <cell r="B426" t="str">
            <v>Boca de BTTC D=1.00m-esc=30°</v>
          </cell>
          <cell r="C426" t="str">
            <v xml:space="preserve"> </v>
          </cell>
          <cell r="D426" t="str">
            <v xml:space="preserve"> </v>
          </cell>
          <cell r="E426" t="str">
            <v>un</v>
          </cell>
          <cell r="G426">
            <v>0</v>
          </cell>
          <cell r="H426">
            <v>0</v>
          </cell>
        </row>
        <row r="427">
          <cell r="A427" t="str">
            <v>04.121.08</v>
          </cell>
          <cell r="B427" t="str">
            <v>Boca de BTTC D=1.20m-esc=30°</v>
          </cell>
          <cell r="C427" t="str">
            <v xml:space="preserve"> </v>
          </cell>
          <cell r="D427" t="str">
            <v xml:space="preserve"> </v>
          </cell>
          <cell r="E427" t="str">
            <v>un</v>
          </cell>
          <cell r="G427">
            <v>0</v>
          </cell>
          <cell r="H427">
            <v>0</v>
          </cell>
        </row>
        <row r="428">
          <cell r="A428" t="str">
            <v>04.121.09</v>
          </cell>
          <cell r="B428" t="str">
            <v>Boca de BTTC D=1.50m-esc=30°</v>
          </cell>
          <cell r="C428" t="str">
            <v xml:space="preserve"> </v>
          </cell>
          <cell r="D428" t="str">
            <v xml:space="preserve"> </v>
          </cell>
          <cell r="E428" t="str">
            <v>un</v>
          </cell>
          <cell r="G428">
            <v>0</v>
          </cell>
          <cell r="H428">
            <v>0</v>
          </cell>
        </row>
        <row r="429">
          <cell r="A429" t="str">
            <v>04.121.10</v>
          </cell>
          <cell r="B429" t="str">
            <v>Boca de BTTC D=1.00m-esc=45°</v>
          </cell>
          <cell r="C429" t="str">
            <v xml:space="preserve"> </v>
          </cell>
          <cell r="D429" t="str">
            <v xml:space="preserve"> </v>
          </cell>
          <cell r="E429" t="str">
            <v>un</v>
          </cell>
          <cell r="G429">
            <v>0</v>
          </cell>
          <cell r="H429">
            <v>0</v>
          </cell>
        </row>
        <row r="430">
          <cell r="A430" t="str">
            <v>04.121.11</v>
          </cell>
          <cell r="B430" t="str">
            <v>Boca de BTTC D=1.20m-esc=45°</v>
          </cell>
          <cell r="C430" t="str">
            <v xml:space="preserve"> </v>
          </cell>
          <cell r="D430" t="str">
            <v xml:space="preserve"> </v>
          </cell>
          <cell r="E430" t="str">
            <v>un</v>
          </cell>
          <cell r="G430">
            <v>0</v>
          </cell>
          <cell r="H430">
            <v>0</v>
          </cell>
        </row>
        <row r="431">
          <cell r="A431" t="str">
            <v>04.121.12</v>
          </cell>
          <cell r="B431" t="str">
            <v>Boca de BTTC D=1.50m-esc=45°</v>
          </cell>
          <cell r="C431" t="str">
            <v xml:space="preserve"> </v>
          </cell>
          <cell r="D431" t="str">
            <v xml:space="preserve"> </v>
          </cell>
          <cell r="E431" t="str">
            <v>un</v>
          </cell>
          <cell r="G431">
            <v>0</v>
          </cell>
          <cell r="H431">
            <v>0</v>
          </cell>
        </row>
        <row r="432">
          <cell r="A432" t="str">
            <v>04.200.01</v>
          </cell>
          <cell r="B432" t="str">
            <v>Corpo de BSCC 1.50x1.50m-H=0 a 1.00m</v>
          </cell>
          <cell r="C432" t="str">
            <v>DNER-ES286/97</v>
          </cell>
          <cell r="D432" t="str">
            <v xml:space="preserve"> </v>
          </cell>
          <cell r="E432" t="str">
            <v>m</v>
          </cell>
          <cell r="F432">
            <v>388.87</v>
          </cell>
          <cell r="G432">
            <v>139.21546000000001</v>
          </cell>
          <cell r="H432">
            <v>528.08546000000001</v>
          </cell>
        </row>
        <row r="433">
          <cell r="A433" t="str">
            <v>04.200.02</v>
          </cell>
          <cell r="B433" t="str">
            <v>Corpo de BSCC 2.00x2.00m-H=0 a 1.00m</v>
          </cell>
          <cell r="C433" t="str">
            <v>DNER-ES286/97</v>
          </cell>
          <cell r="D433" t="str">
            <v xml:space="preserve"> </v>
          </cell>
          <cell r="E433" t="str">
            <v>m</v>
          </cell>
          <cell r="F433">
            <v>543.29999999999995</v>
          </cell>
          <cell r="G433">
            <v>194.50139999999999</v>
          </cell>
          <cell r="H433">
            <v>737.80139999999994</v>
          </cell>
        </row>
        <row r="434">
          <cell r="A434" t="str">
            <v>04.200.03</v>
          </cell>
          <cell r="B434" t="str">
            <v>Corpo de BSCC 2.50x2.50m-H=0 a 1.00m</v>
          </cell>
          <cell r="C434" t="str">
            <v>DNER-ES286/97</v>
          </cell>
          <cell r="D434" t="str">
            <v xml:space="preserve"> </v>
          </cell>
          <cell r="E434" t="str">
            <v>m</v>
          </cell>
          <cell r="F434">
            <v>762.56</v>
          </cell>
          <cell r="G434">
            <v>272.99647999999996</v>
          </cell>
          <cell r="H434">
            <v>1035.55648</v>
          </cell>
        </row>
        <row r="435">
          <cell r="A435" t="str">
            <v>04.200.04</v>
          </cell>
          <cell r="B435" t="str">
            <v>Corpo de BSCC 3.00x3.00m-H=0 a 1.00m</v>
          </cell>
          <cell r="C435" t="str">
            <v>DNER-ES286/97</v>
          </cell>
          <cell r="D435" t="str">
            <v xml:space="preserve"> </v>
          </cell>
          <cell r="E435" t="str">
            <v>m</v>
          </cell>
          <cell r="F435">
            <v>998.67</v>
          </cell>
          <cell r="G435">
            <v>357.52385999999996</v>
          </cell>
          <cell r="H435">
            <v>1356.1938599999999</v>
          </cell>
        </row>
        <row r="436">
          <cell r="A436" t="str">
            <v>04.200.05</v>
          </cell>
          <cell r="B436" t="str">
            <v>Corpo de BSCC 1.50x1.50m-H=1.00 a 2.50m</v>
          </cell>
          <cell r="C436" t="str">
            <v>DNER-ES286/97</v>
          </cell>
          <cell r="D436" t="str">
            <v xml:space="preserve"> </v>
          </cell>
          <cell r="E436" t="str">
            <v>m</v>
          </cell>
          <cell r="F436">
            <v>345.02</v>
          </cell>
          <cell r="G436">
            <v>123.51715999999999</v>
          </cell>
          <cell r="H436">
            <v>468.53715999999997</v>
          </cell>
        </row>
        <row r="437">
          <cell r="A437" t="str">
            <v>04.200.06</v>
          </cell>
          <cell r="B437" t="str">
            <v>Corpo de BSCC 2.00x2.00m-H=1.00 a 2.50m</v>
          </cell>
          <cell r="C437" t="str">
            <v>DNER-ES286/97</v>
          </cell>
          <cell r="D437" t="str">
            <v xml:space="preserve"> </v>
          </cell>
          <cell r="E437" t="str">
            <v>m</v>
          </cell>
          <cell r="F437">
            <v>487.46</v>
          </cell>
          <cell r="G437">
            <v>174.51067999999998</v>
          </cell>
          <cell r="H437">
            <v>661.9706799999999</v>
          </cell>
        </row>
        <row r="438">
          <cell r="A438" t="str">
            <v>04.200.07</v>
          </cell>
          <cell r="B438" t="str">
            <v>Corpo de BSCC 2.50x2.50m-H=1.00 a 2.50m</v>
          </cell>
          <cell r="C438" t="str">
            <v>DNER-ES286/97</v>
          </cell>
          <cell r="D438" t="str">
            <v xml:space="preserve"> </v>
          </cell>
          <cell r="E438" t="str">
            <v>m</v>
          </cell>
          <cell r="F438">
            <v>718.65</v>
          </cell>
          <cell r="G438">
            <v>257.27670000000001</v>
          </cell>
          <cell r="H438">
            <v>975.92669999999998</v>
          </cell>
        </row>
        <row r="439">
          <cell r="A439" t="str">
            <v>04.200.08</v>
          </cell>
          <cell r="B439" t="str">
            <v>Corpo de BSCC 3.00x3.00m-H=1.00 a 2.50m</v>
          </cell>
          <cell r="C439" t="str">
            <v>DNER-ES286/97</v>
          </cell>
          <cell r="D439" t="str">
            <v xml:space="preserve"> </v>
          </cell>
          <cell r="E439" t="str">
            <v>m</v>
          </cell>
          <cell r="F439">
            <v>986.67</v>
          </cell>
          <cell r="G439">
            <v>353.22785999999996</v>
          </cell>
          <cell r="H439">
            <v>1339.89786</v>
          </cell>
        </row>
        <row r="440">
          <cell r="A440" t="str">
            <v>04.200.09</v>
          </cell>
          <cell r="B440" t="str">
            <v>Corpo de BSCC 1.50x1.50m-H=2.50 a 5.00m</v>
          </cell>
          <cell r="C440" t="str">
            <v>DNER-ES286/97</v>
          </cell>
          <cell r="D440" t="str">
            <v xml:space="preserve"> </v>
          </cell>
          <cell r="E440" t="str">
            <v>m</v>
          </cell>
          <cell r="F440">
            <v>374.93</v>
          </cell>
          <cell r="G440">
            <v>134.22494</v>
          </cell>
          <cell r="H440">
            <v>509.15494000000001</v>
          </cell>
        </row>
        <row r="441">
          <cell r="A441" t="str">
            <v>04.200.10</v>
          </cell>
          <cell r="B441" t="str">
            <v>Corpo de BSCC 2.00x2.00m-H=2.50 a 5.00m</v>
          </cell>
          <cell r="C441" t="str">
            <v>DNER-ES286/97</v>
          </cell>
          <cell r="D441" t="str">
            <v xml:space="preserve"> </v>
          </cell>
          <cell r="E441" t="str">
            <v>m</v>
          </cell>
          <cell r="F441">
            <v>571.76</v>
          </cell>
          <cell r="G441">
            <v>204.69007999999999</v>
          </cell>
          <cell r="H441">
            <v>776.45007999999996</v>
          </cell>
        </row>
        <row r="442">
          <cell r="A442" t="str">
            <v>04.200.11</v>
          </cell>
          <cell r="B442" t="str">
            <v>Corpo de BSCC 2.50x2.50m-H=2.50 a 5.00m</v>
          </cell>
          <cell r="C442" t="str">
            <v>DNER-ES286/97</v>
          </cell>
          <cell r="D442" t="str">
            <v xml:space="preserve"> </v>
          </cell>
          <cell r="E442" t="str">
            <v>m</v>
          </cell>
          <cell r="F442">
            <v>824.35</v>
          </cell>
          <cell r="G442">
            <v>295.1173</v>
          </cell>
          <cell r="H442">
            <v>1119.4673</v>
          </cell>
        </row>
        <row r="443">
          <cell r="A443" t="str">
            <v>04.200.12</v>
          </cell>
          <cell r="B443" t="str">
            <v>Corpo de BSCC 3.00x3.00m-H=2.50 a 5.00m</v>
          </cell>
          <cell r="C443" t="str">
            <v>DNER-ES286/97</v>
          </cell>
          <cell r="D443" t="str">
            <v xml:space="preserve"> </v>
          </cell>
          <cell r="E443" t="str">
            <v>m</v>
          </cell>
          <cell r="G443">
            <v>0</v>
          </cell>
          <cell r="H443">
            <v>0</v>
          </cell>
        </row>
        <row r="444">
          <cell r="A444" t="str">
            <v>04.200.13</v>
          </cell>
          <cell r="B444" t="str">
            <v>Corpo de BSCC 1.50x1.50m-H=5.00 a 7.50m</v>
          </cell>
          <cell r="C444" t="str">
            <v>DNER-ES286/97</v>
          </cell>
          <cell r="D444" t="str">
            <v xml:space="preserve"> </v>
          </cell>
          <cell r="E444" t="str">
            <v>m</v>
          </cell>
          <cell r="G444">
            <v>0</v>
          </cell>
          <cell r="H444">
            <v>0</v>
          </cell>
        </row>
        <row r="445">
          <cell r="A445" t="str">
            <v>04.200.14</v>
          </cell>
          <cell r="B445" t="str">
            <v>Corpo de BSCC 2.00x2.00m-H=5.00 a 7.50m</v>
          </cell>
          <cell r="C445" t="str">
            <v>DNER-ES286/97</v>
          </cell>
          <cell r="D445" t="str">
            <v xml:space="preserve"> </v>
          </cell>
          <cell r="E445" t="str">
            <v>m</v>
          </cell>
          <cell r="F445">
            <v>641.59</v>
          </cell>
          <cell r="G445">
            <v>229.68922000000001</v>
          </cell>
          <cell r="H445">
            <v>871.27922000000001</v>
          </cell>
        </row>
        <row r="446">
          <cell r="A446" t="str">
            <v>04.200.15</v>
          </cell>
          <cell r="B446" t="str">
            <v>Corpo de BSCC 2.50x2.50m-H=5.00 a 7.50m</v>
          </cell>
          <cell r="C446" t="str">
            <v>DNER-ES286/97</v>
          </cell>
          <cell r="D446" t="str">
            <v xml:space="preserve"> </v>
          </cell>
          <cell r="E446" t="str">
            <v>m</v>
          </cell>
          <cell r="F446">
            <v>925.52</v>
          </cell>
          <cell r="G446">
            <v>331.33616000000001</v>
          </cell>
          <cell r="H446">
            <v>1256.85616</v>
          </cell>
        </row>
        <row r="447">
          <cell r="A447" t="str">
            <v>04.200.16</v>
          </cell>
          <cell r="B447" t="str">
            <v>Corpo de BSCC 3.00x3.00m-H=5.00 a 7.50m</v>
          </cell>
          <cell r="C447" t="str">
            <v>DNER-ES286/97</v>
          </cell>
          <cell r="D447" t="str">
            <v xml:space="preserve"> </v>
          </cell>
          <cell r="E447" t="str">
            <v>m</v>
          </cell>
          <cell r="G447">
            <v>0</v>
          </cell>
          <cell r="H447">
            <v>0</v>
          </cell>
        </row>
        <row r="448">
          <cell r="A448" t="str">
            <v>04.200.17</v>
          </cell>
          <cell r="B448" t="str">
            <v>Corpo de BSCC 1.50x1.50m-H=7.50 a 10.00m</v>
          </cell>
          <cell r="C448" t="str">
            <v>DNER-ES286/97</v>
          </cell>
          <cell r="D448" t="str">
            <v xml:space="preserve"> </v>
          </cell>
          <cell r="E448" t="str">
            <v>m</v>
          </cell>
          <cell r="G448">
            <v>0</v>
          </cell>
          <cell r="H448">
            <v>0</v>
          </cell>
        </row>
        <row r="449">
          <cell r="A449" t="str">
            <v>04.200.18</v>
          </cell>
          <cell r="B449" t="str">
            <v>Corpo de BSCC 2.00x2.00m-H=7.50 a 10.00m</v>
          </cell>
          <cell r="C449" t="str">
            <v>DNER-ES286/97</v>
          </cell>
          <cell r="D449" t="str">
            <v xml:space="preserve"> </v>
          </cell>
          <cell r="E449" t="str">
            <v>m</v>
          </cell>
          <cell r="G449">
            <v>0</v>
          </cell>
          <cell r="H449">
            <v>0</v>
          </cell>
        </row>
        <row r="450">
          <cell r="A450" t="str">
            <v>04.200.19</v>
          </cell>
          <cell r="B450" t="str">
            <v>Corpo de BSCC 2.50x2.50m-H=7.50 a 10.00m</v>
          </cell>
          <cell r="C450" t="str">
            <v>DNER-ES286/97</v>
          </cell>
          <cell r="D450" t="str">
            <v xml:space="preserve"> </v>
          </cell>
          <cell r="E450" t="str">
            <v>m</v>
          </cell>
          <cell r="G450">
            <v>0</v>
          </cell>
          <cell r="H450">
            <v>0</v>
          </cell>
        </row>
        <row r="451">
          <cell r="A451" t="str">
            <v>04.200.20</v>
          </cell>
          <cell r="B451" t="str">
            <v>Corpo de BSCC 3.00x3.00m-H=7.50 a 10.00m</v>
          </cell>
          <cell r="C451" t="str">
            <v>DNER-ES286/97</v>
          </cell>
          <cell r="D451" t="str">
            <v xml:space="preserve"> </v>
          </cell>
          <cell r="E451" t="str">
            <v>m</v>
          </cell>
          <cell r="G451">
            <v>0</v>
          </cell>
          <cell r="H451">
            <v>0</v>
          </cell>
        </row>
        <row r="452">
          <cell r="A452" t="str">
            <v>04.200.21</v>
          </cell>
          <cell r="B452" t="str">
            <v>Corpo de BSCC 1.50x1.50m-H=10.00 a 12.50m</v>
          </cell>
          <cell r="C452" t="str">
            <v>DNER-ES286/97</v>
          </cell>
          <cell r="D452" t="str">
            <v xml:space="preserve"> </v>
          </cell>
          <cell r="E452" t="str">
            <v>m</v>
          </cell>
          <cell r="G452">
            <v>0</v>
          </cell>
          <cell r="H452">
            <v>0</v>
          </cell>
        </row>
        <row r="453">
          <cell r="A453" t="str">
            <v>04.200.22</v>
          </cell>
          <cell r="B453" t="str">
            <v>Corpo de BSCC 2.00x2.00m-H=10.00 a 12.50m</v>
          </cell>
          <cell r="C453" t="str">
            <v>DNER-ES286/97</v>
          </cell>
          <cell r="D453" t="str">
            <v xml:space="preserve"> </v>
          </cell>
          <cell r="E453" t="str">
            <v>m</v>
          </cell>
          <cell r="G453">
            <v>0</v>
          </cell>
          <cell r="H453">
            <v>0</v>
          </cell>
        </row>
        <row r="454">
          <cell r="A454" t="str">
            <v>04.200.23</v>
          </cell>
          <cell r="B454" t="str">
            <v>Corpo de BSCC 2.50x2.50m-H=10.00 a 12.50m</v>
          </cell>
          <cell r="C454" t="str">
            <v>DNER-ES286/97</v>
          </cell>
          <cell r="D454" t="str">
            <v xml:space="preserve"> </v>
          </cell>
          <cell r="E454" t="str">
            <v>m</v>
          </cell>
          <cell r="G454">
            <v>0</v>
          </cell>
          <cell r="H454">
            <v>0</v>
          </cell>
        </row>
        <row r="455">
          <cell r="A455" t="str">
            <v>04.200.24</v>
          </cell>
          <cell r="B455" t="str">
            <v>Corpo de BSCC 3.00x3.00m-H=10.00 a 12.50m</v>
          </cell>
          <cell r="C455" t="str">
            <v>DNER-ES286/97</v>
          </cell>
          <cell r="D455" t="str">
            <v xml:space="preserve"> </v>
          </cell>
          <cell r="E455" t="str">
            <v>m</v>
          </cell>
          <cell r="G455">
            <v>0</v>
          </cell>
          <cell r="H455">
            <v>0</v>
          </cell>
        </row>
        <row r="456">
          <cell r="A456" t="str">
            <v>04.200.25</v>
          </cell>
          <cell r="B456" t="str">
            <v>Corpo de BSCC 1.50x1.50m-H=12.50 a 15.00m</v>
          </cell>
          <cell r="C456" t="str">
            <v>DNER-ES286/97</v>
          </cell>
          <cell r="D456" t="str">
            <v xml:space="preserve"> </v>
          </cell>
          <cell r="E456" t="str">
            <v>m</v>
          </cell>
          <cell r="G456">
            <v>0</v>
          </cell>
          <cell r="H456">
            <v>0</v>
          </cell>
        </row>
        <row r="457">
          <cell r="A457" t="str">
            <v>04.200.26</v>
          </cell>
          <cell r="B457" t="str">
            <v>Corpo de BSCC 2.00x2.00m-H=12.50 a 15.00m</v>
          </cell>
          <cell r="C457" t="str">
            <v>DNER-ES286/97</v>
          </cell>
          <cell r="D457" t="str">
            <v xml:space="preserve"> </v>
          </cell>
          <cell r="E457" t="str">
            <v>m</v>
          </cell>
          <cell r="G457">
            <v>0</v>
          </cell>
          <cell r="H457">
            <v>0</v>
          </cell>
        </row>
        <row r="458">
          <cell r="A458" t="str">
            <v>04.200.27</v>
          </cell>
          <cell r="B458" t="str">
            <v>Corpo de BSCC 2.50x2.50m-H=12.50 a 15.00m</v>
          </cell>
          <cell r="C458" t="str">
            <v>DNER-ES286/97</v>
          </cell>
          <cell r="D458" t="str">
            <v xml:space="preserve"> </v>
          </cell>
          <cell r="E458" t="str">
            <v>m</v>
          </cell>
          <cell r="G458">
            <v>0</v>
          </cell>
          <cell r="H458">
            <v>0</v>
          </cell>
        </row>
        <row r="459">
          <cell r="A459" t="str">
            <v>04.200.28</v>
          </cell>
          <cell r="B459" t="str">
            <v>Corpo de BSCC 3.00x3.00m-H=12.50 a 15.00m</v>
          </cell>
          <cell r="C459" t="str">
            <v>DNER-ES286/97</v>
          </cell>
          <cell r="D459" t="str">
            <v xml:space="preserve"> </v>
          </cell>
          <cell r="E459" t="str">
            <v>m</v>
          </cell>
          <cell r="G459">
            <v>0</v>
          </cell>
          <cell r="H459">
            <v>0</v>
          </cell>
        </row>
        <row r="460">
          <cell r="A460" t="str">
            <v>04.201.01</v>
          </cell>
          <cell r="B460" t="str">
            <v>Boca de BSCC 1.50x1.50m - normal</v>
          </cell>
          <cell r="C460" t="str">
            <v xml:space="preserve"> </v>
          </cell>
          <cell r="D460" t="str">
            <v xml:space="preserve"> </v>
          </cell>
          <cell r="E460" t="str">
            <v>un</v>
          </cell>
          <cell r="F460">
            <v>2319.15</v>
          </cell>
          <cell r="G460">
            <v>830.25570000000005</v>
          </cell>
          <cell r="H460">
            <v>3149.4057000000003</v>
          </cell>
        </row>
        <row r="461">
          <cell r="A461" t="str">
            <v>04.201.02</v>
          </cell>
          <cell r="B461" t="str">
            <v>Boca de BSCC 2.00x2.00m - normal</v>
          </cell>
          <cell r="C461" t="str">
            <v xml:space="preserve"> </v>
          </cell>
          <cell r="D461" t="str">
            <v xml:space="preserve"> </v>
          </cell>
          <cell r="E461" t="str">
            <v>un</v>
          </cell>
          <cell r="F461">
            <v>3589.28</v>
          </cell>
          <cell r="G461">
            <v>1284.9622400000001</v>
          </cell>
          <cell r="H461">
            <v>4874.2422400000005</v>
          </cell>
        </row>
        <row r="462">
          <cell r="A462" t="str">
            <v>04.201.03</v>
          </cell>
          <cell r="B462" t="str">
            <v>Boca de BSCC 2.50x2.50m - normal</v>
          </cell>
          <cell r="C462" t="str">
            <v xml:space="preserve"> </v>
          </cell>
          <cell r="D462" t="str">
            <v xml:space="preserve"> </v>
          </cell>
          <cell r="E462" t="str">
            <v>un</v>
          </cell>
          <cell r="F462">
            <v>4845.04</v>
          </cell>
          <cell r="G462">
            <v>1734.52432</v>
          </cell>
          <cell r="H462">
            <v>6579.5643199999995</v>
          </cell>
        </row>
        <row r="463">
          <cell r="A463" t="str">
            <v>04.201.04</v>
          </cell>
          <cell r="B463" t="str">
            <v>Boca de BSCC 3.00x3.00m - normal</v>
          </cell>
          <cell r="C463" t="str">
            <v xml:space="preserve"> </v>
          </cell>
          <cell r="D463" t="str">
            <v xml:space="preserve"> </v>
          </cell>
          <cell r="E463" t="str">
            <v>un</v>
          </cell>
          <cell r="F463">
            <v>6854.77</v>
          </cell>
          <cell r="G463">
            <v>2454.0076600000002</v>
          </cell>
          <cell r="H463">
            <v>9308.7776599999997</v>
          </cell>
        </row>
        <row r="464">
          <cell r="A464" t="str">
            <v>04.201.05</v>
          </cell>
          <cell r="B464" t="str">
            <v>Boca de BSCC 1.50x1.50m - esc=15º</v>
          </cell>
          <cell r="C464" t="str">
            <v xml:space="preserve"> </v>
          </cell>
          <cell r="D464" t="str">
            <v xml:space="preserve"> </v>
          </cell>
          <cell r="E464" t="str">
            <v>un</v>
          </cell>
          <cell r="G464">
            <v>0</v>
          </cell>
          <cell r="H464">
            <v>0</v>
          </cell>
        </row>
        <row r="465">
          <cell r="A465" t="str">
            <v>04.201.06</v>
          </cell>
          <cell r="B465" t="str">
            <v>Boca de BSCC 2.00x2.00m - esc=15º</v>
          </cell>
          <cell r="C465" t="str">
            <v xml:space="preserve"> </v>
          </cell>
          <cell r="D465" t="str">
            <v xml:space="preserve"> </v>
          </cell>
          <cell r="E465" t="str">
            <v>un</v>
          </cell>
          <cell r="F465">
            <v>3653.28</v>
          </cell>
          <cell r="G465">
            <v>1307.8742400000001</v>
          </cell>
          <cell r="H465">
            <v>4961.1542399999998</v>
          </cell>
        </row>
        <row r="466">
          <cell r="A466" t="str">
            <v>04.201.07</v>
          </cell>
          <cell r="B466" t="str">
            <v>Boca de BSCC 2.50x2.50m - esc=15º</v>
          </cell>
          <cell r="C466" t="str">
            <v xml:space="preserve"> </v>
          </cell>
          <cell r="D466" t="str">
            <v xml:space="preserve"> </v>
          </cell>
          <cell r="E466" t="str">
            <v>un</v>
          </cell>
          <cell r="F466">
            <v>5106.16</v>
          </cell>
          <cell r="G466">
            <v>1828.0052799999999</v>
          </cell>
          <cell r="H466">
            <v>6934.1652799999993</v>
          </cell>
        </row>
        <row r="467">
          <cell r="A467" t="str">
            <v>04.201.08</v>
          </cell>
          <cell r="B467" t="str">
            <v>Boca de BSCC 3.00x3.00m - esc=15º</v>
          </cell>
          <cell r="C467" t="str">
            <v xml:space="preserve"> </v>
          </cell>
          <cell r="D467" t="str">
            <v xml:space="preserve"> </v>
          </cell>
          <cell r="E467" t="str">
            <v>un</v>
          </cell>
          <cell r="G467">
            <v>0</v>
          </cell>
          <cell r="H467">
            <v>0</v>
          </cell>
        </row>
        <row r="468">
          <cell r="A468" t="str">
            <v>04.201.09</v>
          </cell>
          <cell r="B468" t="str">
            <v>Boca de BSCC 1.50x1.50m - esc=30º</v>
          </cell>
          <cell r="C468" t="str">
            <v xml:space="preserve"> </v>
          </cell>
          <cell r="D468" t="str">
            <v xml:space="preserve"> </v>
          </cell>
          <cell r="E468" t="str">
            <v>un</v>
          </cell>
          <cell r="G468">
            <v>0</v>
          </cell>
          <cell r="H468">
            <v>0</v>
          </cell>
        </row>
        <row r="469">
          <cell r="A469" t="str">
            <v>04.201.10</v>
          </cell>
          <cell r="B469" t="str">
            <v>Boca de BSCC 2.00x2.00m - esc=30º</v>
          </cell>
          <cell r="C469" t="str">
            <v xml:space="preserve"> </v>
          </cell>
          <cell r="D469" t="str">
            <v xml:space="preserve"> </v>
          </cell>
          <cell r="E469" t="str">
            <v>un</v>
          </cell>
          <cell r="G469">
            <v>0</v>
          </cell>
          <cell r="H469">
            <v>0</v>
          </cell>
        </row>
        <row r="470">
          <cell r="A470" t="str">
            <v>04.201.11</v>
          </cell>
          <cell r="B470" t="str">
            <v>Boca de BSCC 2.50x2.50m - esc=30º</v>
          </cell>
          <cell r="C470" t="str">
            <v xml:space="preserve"> </v>
          </cell>
          <cell r="D470" t="str">
            <v xml:space="preserve"> </v>
          </cell>
          <cell r="E470" t="str">
            <v>un</v>
          </cell>
          <cell r="G470">
            <v>0</v>
          </cell>
          <cell r="H470">
            <v>0</v>
          </cell>
        </row>
        <row r="471">
          <cell r="A471" t="str">
            <v>04.201.12</v>
          </cell>
          <cell r="B471" t="str">
            <v>Boca de BSCC 3.00x3.00m - esc=30º</v>
          </cell>
          <cell r="C471" t="str">
            <v xml:space="preserve"> </v>
          </cell>
          <cell r="D471" t="str">
            <v xml:space="preserve"> </v>
          </cell>
          <cell r="E471" t="str">
            <v>un</v>
          </cell>
          <cell r="G471">
            <v>0</v>
          </cell>
          <cell r="H471">
            <v>0</v>
          </cell>
        </row>
        <row r="472">
          <cell r="A472" t="str">
            <v>04.201.13</v>
          </cell>
          <cell r="B472" t="str">
            <v>Boca de BSCC 1.50x1.50m - esc=45º</v>
          </cell>
          <cell r="C472" t="str">
            <v xml:space="preserve"> </v>
          </cell>
          <cell r="D472" t="str">
            <v xml:space="preserve"> </v>
          </cell>
          <cell r="E472" t="str">
            <v>un</v>
          </cell>
          <cell r="G472">
            <v>0</v>
          </cell>
          <cell r="H472">
            <v>0</v>
          </cell>
        </row>
        <row r="473">
          <cell r="A473" t="str">
            <v>04.201.14</v>
          </cell>
          <cell r="B473" t="str">
            <v>Boca de BSCC 2.00x2.00m - esc=45º</v>
          </cell>
          <cell r="C473" t="str">
            <v xml:space="preserve"> </v>
          </cell>
          <cell r="D473" t="str">
            <v xml:space="preserve"> </v>
          </cell>
          <cell r="E473" t="str">
            <v>un</v>
          </cell>
          <cell r="G473">
            <v>0</v>
          </cell>
          <cell r="H473">
            <v>0</v>
          </cell>
        </row>
        <row r="474">
          <cell r="A474" t="str">
            <v>04.201.15</v>
          </cell>
          <cell r="B474" t="str">
            <v>Boca de BSCC 2.50x2.50m - esc=45º</v>
          </cell>
          <cell r="C474" t="str">
            <v xml:space="preserve"> </v>
          </cell>
          <cell r="D474" t="str">
            <v xml:space="preserve"> </v>
          </cell>
          <cell r="E474" t="str">
            <v>un</v>
          </cell>
          <cell r="G474">
            <v>0</v>
          </cell>
          <cell r="H474">
            <v>0</v>
          </cell>
        </row>
        <row r="475">
          <cell r="A475" t="str">
            <v>04.201.16</v>
          </cell>
          <cell r="B475" t="str">
            <v>Boca de BSCC 3.00x3.00m - esc=45º</v>
          </cell>
          <cell r="C475" t="str">
            <v xml:space="preserve"> </v>
          </cell>
          <cell r="D475" t="str">
            <v xml:space="preserve"> </v>
          </cell>
          <cell r="E475" t="str">
            <v>un</v>
          </cell>
          <cell r="G475">
            <v>0</v>
          </cell>
          <cell r="H475">
            <v>0</v>
          </cell>
        </row>
        <row r="476">
          <cell r="A476" t="str">
            <v>04.210.01</v>
          </cell>
          <cell r="B476" t="str">
            <v>Corpo de BDCC 1.50x1.50m-H=0 a 1.00m</v>
          </cell>
          <cell r="C476" t="str">
            <v>DNER-ES286/97</v>
          </cell>
          <cell r="D476" t="str">
            <v xml:space="preserve"> </v>
          </cell>
          <cell r="E476" t="str">
            <v>m</v>
          </cell>
          <cell r="F476">
            <v>636.33000000000004</v>
          </cell>
          <cell r="G476">
            <v>227.80614</v>
          </cell>
          <cell r="H476">
            <v>864.13614000000007</v>
          </cell>
        </row>
        <row r="477">
          <cell r="A477" t="str">
            <v>04.210.02</v>
          </cell>
          <cell r="B477" t="str">
            <v>Corpo de BDCC 2.00x2.00m-H=0 a 1.00m</v>
          </cell>
          <cell r="C477" t="str">
            <v>DNER-ES286/97</v>
          </cell>
          <cell r="D477" t="str">
            <v xml:space="preserve"> </v>
          </cell>
          <cell r="E477" t="str">
            <v>m</v>
          </cell>
          <cell r="G477">
            <v>0</v>
          </cell>
          <cell r="H477">
            <v>0</v>
          </cell>
        </row>
        <row r="478">
          <cell r="A478" t="str">
            <v>04.210.03</v>
          </cell>
          <cell r="B478" t="str">
            <v>Corpo de BDCC 2.50x2.50m-H=0 a 1.00m</v>
          </cell>
          <cell r="C478" t="str">
            <v>DNER-ES286/97</v>
          </cell>
          <cell r="D478" t="str">
            <v xml:space="preserve"> </v>
          </cell>
          <cell r="E478" t="str">
            <v>m</v>
          </cell>
          <cell r="G478">
            <v>0</v>
          </cell>
          <cell r="H478">
            <v>0</v>
          </cell>
        </row>
        <row r="479">
          <cell r="A479" t="str">
            <v>04.210.04</v>
          </cell>
          <cell r="B479" t="str">
            <v>Corpo de BDCC 3.00x3.00m-H=0 a 1.00m</v>
          </cell>
          <cell r="C479" t="str">
            <v>DNER-ES286/97</v>
          </cell>
          <cell r="D479" t="str">
            <v xml:space="preserve"> </v>
          </cell>
          <cell r="E479" t="str">
            <v>m</v>
          </cell>
          <cell r="G479">
            <v>0</v>
          </cell>
          <cell r="H479">
            <v>0</v>
          </cell>
        </row>
        <row r="480">
          <cell r="A480" t="str">
            <v>04.210.05</v>
          </cell>
          <cell r="B480" t="str">
            <v>Corpo de BDCC 1.50x1.50m-H=1.00 a 2.50m</v>
          </cell>
          <cell r="C480" t="str">
            <v>DNER-ES286/97</v>
          </cell>
          <cell r="D480" t="str">
            <v xml:space="preserve"> </v>
          </cell>
          <cell r="E480" t="str">
            <v>m</v>
          </cell>
          <cell r="F480">
            <v>556.6</v>
          </cell>
          <cell r="G480">
            <v>199.2628</v>
          </cell>
          <cell r="H480">
            <v>755.86279999999999</v>
          </cell>
        </row>
        <row r="481">
          <cell r="A481" t="str">
            <v>04.210.06</v>
          </cell>
          <cell r="B481" t="str">
            <v>Corpo de BDCC 2.00x2.00m-H=1.00 a 2.50m</v>
          </cell>
          <cell r="C481" t="str">
            <v>DNER-ES286/97</v>
          </cell>
          <cell r="D481" t="str">
            <v xml:space="preserve"> </v>
          </cell>
          <cell r="E481" t="str">
            <v>m</v>
          </cell>
          <cell r="G481">
            <v>0</v>
          </cell>
          <cell r="H481">
            <v>0</v>
          </cell>
        </row>
        <row r="482">
          <cell r="A482" t="str">
            <v>04.210.07</v>
          </cell>
          <cell r="B482" t="str">
            <v>Corpo de BDCC 2.50x2.50m-H=1.00 a 2.50m</v>
          </cell>
          <cell r="C482" t="str">
            <v>DNER-ES286/97</v>
          </cell>
          <cell r="D482" t="str">
            <v xml:space="preserve"> </v>
          </cell>
          <cell r="E482" t="str">
            <v>m</v>
          </cell>
          <cell r="G482">
            <v>0</v>
          </cell>
          <cell r="H482">
            <v>0</v>
          </cell>
        </row>
        <row r="483">
          <cell r="A483" t="str">
            <v>04.210.08</v>
          </cell>
          <cell r="B483" t="str">
            <v>Corpo de BDCC 3.00x3.00m-H=1.00 a 2.50m</v>
          </cell>
          <cell r="C483" t="str">
            <v>DNER-ES286/97</v>
          </cell>
          <cell r="D483" t="str">
            <v xml:space="preserve"> </v>
          </cell>
          <cell r="E483" t="str">
            <v>m</v>
          </cell>
          <cell r="G483">
            <v>0</v>
          </cell>
          <cell r="H483">
            <v>0</v>
          </cell>
        </row>
        <row r="484">
          <cell r="A484" t="str">
            <v>04.210.09</v>
          </cell>
          <cell r="B484" t="str">
            <v>Corpo de BDCC 1.50x1.50m-H=2.50 a 5.00m</v>
          </cell>
          <cell r="C484" t="str">
            <v>DNER-ES286/97</v>
          </cell>
          <cell r="D484" t="str">
            <v xml:space="preserve"> </v>
          </cell>
          <cell r="E484" t="str">
            <v>m</v>
          </cell>
          <cell r="G484">
            <v>0</v>
          </cell>
          <cell r="H484">
            <v>0</v>
          </cell>
        </row>
        <row r="485">
          <cell r="A485" t="str">
            <v>04.210.10</v>
          </cell>
          <cell r="B485" t="str">
            <v>Corpo de BDCC 2.00x2.00m-H=2.50 a 5.00m</v>
          </cell>
          <cell r="C485" t="str">
            <v>DNER-ES286/97</v>
          </cell>
          <cell r="D485" t="str">
            <v xml:space="preserve"> </v>
          </cell>
          <cell r="E485" t="str">
            <v>m</v>
          </cell>
          <cell r="G485">
            <v>0</v>
          </cell>
          <cell r="H485">
            <v>0</v>
          </cell>
        </row>
        <row r="486">
          <cell r="A486" t="str">
            <v>04.210.11</v>
          </cell>
          <cell r="B486" t="str">
            <v>Corpo de BDCC 2.50x2.50m-H=2.50 a 5.00m</v>
          </cell>
          <cell r="C486" t="str">
            <v>DNER-ES286/97</v>
          </cell>
          <cell r="D486" t="str">
            <v xml:space="preserve"> </v>
          </cell>
          <cell r="E486" t="str">
            <v>m</v>
          </cell>
          <cell r="G486">
            <v>0</v>
          </cell>
          <cell r="H486">
            <v>0</v>
          </cell>
        </row>
        <row r="487">
          <cell r="A487" t="str">
            <v>04.210.12</v>
          </cell>
          <cell r="B487" t="str">
            <v>Corpo de BDCC 3.00x3.00m-H=2.50 a 5.00m</v>
          </cell>
          <cell r="C487" t="str">
            <v>DNER-ES286/97</v>
          </cell>
          <cell r="D487" t="str">
            <v xml:space="preserve"> </v>
          </cell>
          <cell r="E487" t="str">
            <v>m</v>
          </cell>
          <cell r="G487">
            <v>0</v>
          </cell>
          <cell r="H487">
            <v>0</v>
          </cell>
        </row>
        <row r="488">
          <cell r="A488" t="str">
            <v>04.210.13</v>
          </cell>
          <cell r="B488" t="str">
            <v>Corpo de BDCC 1.50x1.50m-H=5.00 a 7.50m</v>
          </cell>
          <cell r="C488" t="str">
            <v>DNER-ES286/97</v>
          </cell>
          <cell r="D488" t="str">
            <v xml:space="preserve"> </v>
          </cell>
          <cell r="E488" t="str">
            <v>m</v>
          </cell>
          <cell r="G488">
            <v>0</v>
          </cell>
          <cell r="H488">
            <v>0</v>
          </cell>
        </row>
        <row r="489">
          <cell r="A489" t="str">
            <v>04.210.14</v>
          </cell>
          <cell r="B489" t="str">
            <v>Corpo de BDCC 2.00x2.00m-H=5.00 a 7.50m</v>
          </cell>
          <cell r="C489" t="str">
            <v>DNER-ES286/97</v>
          </cell>
          <cell r="D489" t="str">
            <v xml:space="preserve"> </v>
          </cell>
          <cell r="E489" t="str">
            <v>m</v>
          </cell>
          <cell r="G489">
            <v>0</v>
          </cell>
          <cell r="H489">
            <v>0</v>
          </cell>
        </row>
        <row r="490">
          <cell r="A490" t="str">
            <v>04.210.15</v>
          </cell>
          <cell r="B490" t="str">
            <v>Corpo de BDCC 2.50x2.50m-H=5.00 a 7.50m</v>
          </cell>
          <cell r="C490" t="str">
            <v>DNER-ES286/97</v>
          </cell>
          <cell r="D490" t="str">
            <v xml:space="preserve"> </v>
          </cell>
          <cell r="E490" t="str">
            <v>m</v>
          </cell>
          <cell r="G490">
            <v>0</v>
          </cell>
          <cell r="H490">
            <v>0</v>
          </cell>
        </row>
        <row r="491">
          <cell r="A491" t="str">
            <v>04.210.16</v>
          </cell>
          <cell r="B491" t="str">
            <v>Corpo de BDCC 3.00x3.00m-H=5.00 a 7.50m</v>
          </cell>
          <cell r="C491" t="str">
            <v>DNER-ES286/97</v>
          </cell>
          <cell r="D491" t="str">
            <v xml:space="preserve"> </v>
          </cell>
          <cell r="E491" t="str">
            <v>m</v>
          </cell>
          <cell r="G491">
            <v>0</v>
          </cell>
          <cell r="H491">
            <v>0</v>
          </cell>
        </row>
        <row r="492">
          <cell r="A492" t="str">
            <v>04.210.17</v>
          </cell>
          <cell r="B492" t="str">
            <v>Corpo de BDCC 1.50x1.50m-H=7.50 a 10.00m</v>
          </cell>
          <cell r="C492" t="str">
            <v>DNER-ES286/97</v>
          </cell>
          <cell r="D492" t="str">
            <v xml:space="preserve"> </v>
          </cell>
          <cell r="E492" t="str">
            <v>m</v>
          </cell>
          <cell r="G492">
            <v>0</v>
          </cell>
          <cell r="H492">
            <v>0</v>
          </cell>
        </row>
        <row r="493">
          <cell r="A493" t="str">
            <v>04.210.18</v>
          </cell>
          <cell r="B493" t="str">
            <v>Corpo de BDCC 2.00x2.00m-H=7.50 a 10.00m</v>
          </cell>
          <cell r="C493" t="str">
            <v>DNER-ES286/97</v>
          </cell>
          <cell r="D493" t="str">
            <v xml:space="preserve"> </v>
          </cell>
          <cell r="E493" t="str">
            <v>m</v>
          </cell>
          <cell r="G493">
            <v>0</v>
          </cell>
          <cell r="H493">
            <v>0</v>
          </cell>
        </row>
        <row r="494">
          <cell r="A494" t="str">
            <v>04.210.19</v>
          </cell>
          <cell r="B494" t="str">
            <v>Corpo de BDCC 2.50x2.50m-H=7.50 a 10.00m</v>
          </cell>
          <cell r="C494" t="str">
            <v>DNER-ES286/97</v>
          </cell>
          <cell r="D494" t="str">
            <v xml:space="preserve"> </v>
          </cell>
          <cell r="E494" t="str">
            <v>m</v>
          </cell>
          <cell r="G494">
            <v>0</v>
          </cell>
          <cell r="H494">
            <v>0</v>
          </cell>
        </row>
        <row r="495">
          <cell r="A495" t="str">
            <v>04.210.20</v>
          </cell>
          <cell r="B495" t="str">
            <v>Corpo de BDCC 3.00x3.00m-H=7.50 a 10.00m</v>
          </cell>
          <cell r="C495" t="str">
            <v>DNER-ES286/97</v>
          </cell>
          <cell r="D495" t="str">
            <v xml:space="preserve"> </v>
          </cell>
          <cell r="E495" t="str">
            <v>m</v>
          </cell>
          <cell r="G495">
            <v>0</v>
          </cell>
          <cell r="H495">
            <v>0</v>
          </cell>
        </row>
        <row r="496">
          <cell r="A496" t="str">
            <v>04.210.21</v>
          </cell>
          <cell r="B496" t="str">
            <v>Corpo de BDCC 1.50x1.50m-H=10.00 a 12.50m</v>
          </cell>
          <cell r="C496" t="str">
            <v>DNER-ES286/97</v>
          </cell>
          <cell r="D496" t="str">
            <v xml:space="preserve"> </v>
          </cell>
          <cell r="E496" t="str">
            <v>m</v>
          </cell>
          <cell r="G496">
            <v>0</v>
          </cell>
          <cell r="H496">
            <v>0</v>
          </cell>
        </row>
        <row r="497">
          <cell r="A497" t="str">
            <v>04.210.22</v>
          </cell>
          <cell r="B497" t="str">
            <v>Corpo de BDCC 2.00x2.00m-H=10.00 a 12.50m</v>
          </cell>
          <cell r="C497" t="str">
            <v>DNER-ES286/97</v>
          </cell>
          <cell r="D497" t="str">
            <v xml:space="preserve"> </v>
          </cell>
          <cell r="E497" t="str">
            <v>m</v>
          </cell>
          <cell r="G497">
            <v>0</v>
          </cell>
          <cell r="H497">
            <v>0</v>
          </cell>
        </row>
        <row r="498">
          <cell r="A498" t="str">
            <v>04.210.23</v>
          </cell>
          <cell r="B498" t="str">
            <v>Corpo de BDCC 2.50x2.50m-H=10.00 a 12.50m</v>
          </cell>
          <cell r="C498" t="str">
            <v>DNER-ES286/97</v>
          </cell>
          <cell r="D498" t="str">
            <v xml:space="preserve"> </v>
          </cell>
          <cell r="E498" t="str">
            <v>m</v>
          </cell>
          <cell r="G498">
            <v>0</v>
          </cell>
          <cell r="H498">
            <v>0</v>
          </cell>
        </row>
        <row r="499">
          <cell r="A499" t="str">
            <v>04.210.24</v>
          </cell>
          <cell r="B499" t="str">
            <v>Corpo de BDCC 3.00x3.00m-H=10.00 a 12.50m</v>
          </cell>
          <cell r="C499" t="str">
            <v>DNER-ES286/97</v>
          </cell>
          <cell r="D499" t="str">
            <v xml:space="preserve"> </v>
          </cell>
          <cell r="E499" t="str">
            <v>m</v>
          </cell>
          <cell r="G499">
            <v>0</v>
          </cell>
          <cell r="H499">
            <v>0</v>
          </cell>
        </row>
        <row r="500">
          <cell r="A500" t="str">
            <v>04.210.25</v>
          </cell>
          <cell r="B500" t="str">
            <v>Corpo de BDCC 1.50x1.50m-H=12.50 a 15.00m</v>
          </cell>
          <cell r="C500" t="str">
            <v>DNER-ES286/97</v>
          </cell>
          <cell r="D500" t="str">
            <v xml:space="preserve"> </v>
          </cell>
          <cell r="E500" t="str">
            <v>m</v>
          </cell>
          <cell r="G500">
            <v>0</v>
          </cell>
          <cell r="H500">
            <v>0</v>
          </cell>
        </row>
        <row r="501">
          <cell r="A501" t="str">
            <v>04.210.26</v>
          </cell>
          <cell r="B501" t="str">
            <v>Corpo de BDCC 2.00x2.00m-H=12.50 a 15.00m</v>
          </cell>
          <cell r="C501" t="str">
            <v>DNER-ES286/97</v>
          </cell>
          <cell r="D501" t="str">
            <v xml:space="preserve"> </v>
          </cell>
          <cell r="E501" t="str">
            <v>m</v>
          </cell>
          <cell r="G501">
            <v>0</v>
          </cell>
          <cell r="H501">
            <v>0</v>
          </cell>
        </row>
        <row r="502">
          <cell r="A502" t="str">
            <v>04.210.27</v>
          </cell>
          <cell r="B502" t="str">
            <v>Corpo de BDCC 2.50x2.50m-H=12.50 a 15.00m</v>
          </cell>
          <cell r="C502" t="str">
            <v>DNER-ES286/97</v>
          </cell>
          <cell r="D502" t="str">
            <v xml:space="preserve"> </v>
          </cell>
          <cell r="E502" t="str">
            <v>m</v>
          </cell>
          <cell r="G502">
            <v>0</v>
          </cell>
          <cell r="H502">
            <v>0</v>
          </cell>
        </row>
        <row r="503">
          <cell r="A503" t="str">
            <v>04.210.28</v>
          </cell>
          <cell r="B503" t="str">
            <v>Corpo de BDCC 3.00x3.00m-H=12.50 a 15.00m</v>
          </cell>
          <cell r="C503" t="str">
            <v>DNER-ES286/97</v>
          </cell>
          <cell r="D503" t="str">
            <v xml:space="preserve"> </v>
          </cell>
          <cell r="E503" t="str">
            <v>m</v>
          </cell>
          <cell r="G503">
            <v>0</v>
          </cell>
          <cell r="H503">
            <v>0</v>
          </cell>
        </row>
        <row r="504">
          <cell r="A504" t="str">
            <v>04.211.01</v>
          </cell>
          <cell r="B504" t="str">
            <v>Boca de BDCC 1.50x1.50m - normal</v>
          </cell>
          <cell r="C504" t="str">
            <v xml:space="preserve"> </v>
          </cell>
          <cell r="D504" t="str">
            <v xml:space="preserve"> </v>
          </cell>
          <cell r="E504" t="str">
            <v>un</v>
          </cell>
          <cell r="F504">
            <v>2682.37</v>
          </cell>
          <cell r="G504">
            <v>960.28845999999987</v>
          </cell>
          <cell r="H504">
            <v>3642.6584599999996</v>
          </cell>
        </row>
        <row r="505">
          <cell r="A505" t="str">
            <v>04.211.02</v>
          </cell>
          <cell r="B505" t="str">
            <v>Boca de BDCC 2.00x2.00m - normal</v>
          </cell>
          <cell r="C505" t="str">
            <v xml:space="preserve"> </v>
          </cell>
          <cell r="D505" t="str">
            <v xml:space="preserve"> </v>
          </cell>
          <cell r="E505" t="str">
            <v>un</v>
          </cell>
          <cell r="G505">
            <v>0</v>
          </cell>
          <cell r="H505">
            <v>0</v>
          </cell>
        </row>
        <row r="506">
          <cell r="A506" t="str">
            <v>04.211.03</v>
          </cell>
          <cell r="B506" t="str">
            <v>Boca de BDCC 2.50x2.50m - normal</v>
          </cell>
          <cell r="C506" t="str">
            <v xml:space="preserve"> </v>
          </cell>
          <cell r="D506" t="str">
            <v xml:space="preserve"> </v>
          </cell>
          <cell r="E506" t="str">
            <v>un</v>
          </cell>
          <cell r="G506">
            <v>0</v>
          </cell>
          <cell r="H506">
            <v>0</v>
          </cell>
        </row>
        <row r="507">
          <cell r="A507" t="str">
            <v>04.211.04</v>
          </cell>
          <cell r="B507" t="str">
            <v>Boca de BDCC 3.00x3.00m - normal</v>
          </cell>
          <cell r="C507" t="str">
            <v xml:space="preserve"> </v>
          </cell>
          <cell r="D507" t="str">
            <v xml:space="preserve"> </v>
          </cell>
          <cell r="E507" t="str">
            <v>un</v>
          </cell>
          <cell r="G507">
            <v>0</v>
          </cell>
          <cell r="H507">
            <v>0</v>
          </cell>
        </row>
        <row r="508">
          <cell r="A508" t="str">
            <v>04.211.05</v>
          </cell>
          <cell r="B508" t="str">
            <v>Boca de BDCC 1.50x1.50m - esc=15°</v>
          </cell>
          <cell r="C508" t="str">
            <v xml:space="preserve"> </v>
          </cell>
          <cell r="D508" t="str">
            <v xml:space="preserve"> </v>
          </cell>
          <cell r="E508" t="str">
            <v>un</v>
          </cell>
          <cell r="G508">
            <v>0</v>
          </cell>
          <cell r="H508">
            <v>0</v>
          </cell>
        </row>
        <row r="509">
          <cell r="A509" t="str">
            <v>04.211.06</v>
          </cell>
          <cell r="B509" t="str">
            <v>Boca de BDCC 2.00x2.00m - esc=15°</v>
          </cell>
          <cell r="C509" t="str">
            <v xml:space="preserve"> </v>
          </cell>
          <cell r="D509" t="str">
            <v xml:space="preserve"> </v>
          </cell>
          <cell r="E509" t="str">
            <v>un</v>
          </cell>
          <cell r="G509">
            <v>0</v>
          </cell>
          <cell r="H509">
            <v>0</v>
          </cell>
        </row>
        <row r="510">
          <cell r="A510" t="str">
            <v>04.211.07</v>
          </cell>
          <cell r="B510" t="str">
            <v>Boca de BDCC 2.50x2.50m - esc=15°</v>
          </cell>
          <cell r="C510" t="str">
            <v xml:space="preserve"> </v>
          </cell>
          <cell r="D510" t="str">
            <v xml:space="preserve"> </v>
          </cell>
          <cell r="E510" t="str">
            <v>un</v>
          </cell>
          <cell r="G510">
            <v>0</v>
          </cell>
          <cell r="H510">
            <v>0</v>
          </cell>
        </row>
        <row r="511">
          <cell r="A511" t="str">
            <v>04.211.08</v>
          </cell>
          <cell r="B511" t="str">
            <v>Boca de BDCC 3.00x3.00m - esc=15°</v>
          </cell>
          <cell r="C511" t="str">
            <v xml:space="preserve"> </v>
          </cell>
          <cell r="D511" t="str">
            <v xml:space="preserve"> </v>
          </cell>
          <cell r="E511" t="str">
            <v>un</v>
          </cell>
          <cell r="G511">
            <v>0</v>
          </cell>
          <cell r="H511">
            <v>0</v>
          </cell>
        </row>
        <row r="512">
          <cell r="A512" t="str">
            <v>04.211.09</v>
          </cell>
          <cell r="B512" t="str">
            <v>Boca de BDCC 1.50x1.50m - esc=30°</v>
          </cell>
          <cell r="C512" t="str">
            <v xml:space="preserve"> </v>
          </cell>
          <cell r="D512" t="str">
            <v xml:space="preserve"> </v>
          </cell>
          <cell r="E512" t="str">
            <v>un</v>
          </cell>
          <cell r="F512">
            <v>3161.55</v>
          </cell>
          <cell r="G512">
            <v>1131.8349000000001</v>
          </cell>
          <cell r="H512">
            <v>4293.3849</v>
          </cell>
        </row>
        <row r="513">
          <cell r="A513" t="str">
            <v>04.211.10</v>
          </cell>
          <cell r="B513" t="str">
            <v>Boca de BDCC 2.00x2.00m - esc=30°</v>
          </cell>
          <cell r="C513" t="str">
            <v xml:space="preserve"> </v>
          </cell>
          <cell r="D513" t="str">
            <v xml:space="preserve"> </v>
          </cell>
          <cell r="E513" t="str">
            <v>un</v>
          </cell>
          <cell r="G513">
            <v>0</v>
          </cell>
          <cell r="H513">
            <v>0</v>
          </cell>
        </row>
        <row r="514">
          <cell r="A514" t="str">
            <v>04.211.11</v>
          </cell>
          <cell r="B514" t="str">
            <v>Boca de BDCC 2.50x2.50m - esc=30°</v>
          </cell>
          <cell r="C514" t="str">
            <v xml:space="preserve"> </v>
          </cell>
          <cell r="D514" t="str">
            <v xml:space="preserve"> </v>
          </cell>
          <cell r="E514" t="str">
            <v>un</v>
          </cell>
          <cell r="G514">
            <v>0</v>
          </cell>
          <cell r="H514">
            <v>0</v>
          </cell>
        </row>
        <row r="515">
          <cell r="A515" t="str">
            <v>04.211.12</v>
          </cell>
          <cell r="B515" t="str">
            <v>Boca de BDCC 3.00x3.00m - esc=30°</v>
          </cell>
          <cell r="C515" t="str">
            <v xml:space="preserve"> </v>
          </cell>
          <cell r="D515" t="str">
            <v xml:space="preserve"> </v>
          </cell>
          <cell r="E515" t="str">
            <v>un</v>
          </cell>
          <cell r="G515">
            <v>0</v>
          </cell>
          <cell r="H515">
            <v>0</v>
          </cell>
        </row>
        <row r="516">
          <cell r="A516" t="str">
            <v>04.211.13</v>
          </cell>
          <cell r="B516" t="str">
            <v>Boca de BDCC 1.50x1.50m - esc=45°</v>
          </cell>
          <cell r="C516" t="str">
            <v xml:space="preserve"> </v>
          </cell>
          <cell r="D516" t="str">
            <v xml:space="preserve"> </v>
          </cell>
          <cell r="E516" t="str">
            <v>un</v>
          </cell>
          <cell r="G516">
            <v>0</v>
          </cell>
          <cell r="H516">
            <v>0</v>
          </cell>
        </row>
        <row r="517">
          <cell r="A517" t="str">
            <v>04.211.14</v>
          </cell>
          <cell r="B517" t="str">
            <v>Boca de BDCC 2.00x2.00m - esc=45°</v>
          </cell>
          <cell r="C517" t="str">
            <v xml:space="preserve"> </v>
          </cell>
          <cell r="D517" t="str">
            <v xml:space="preserve"> </v>
          </cell>
          <cell r="E517" t="str">
            <v>un</v>
          </cell>
          <cell r="G517">
            <v>0</v>
          </cell>
          <cell r="H517">
            <v>0</v>
          </cell>
        </row>
        <row r="518">
          <cell r="A518" t="str">
            <v>04.211.15</v>
          </cell>
          <cell r="B518" t="str">
            <v>Boca de BDCC 2.50x2.50m - esc=45°</v>
          </cell>
          <cell r="C518" t="str">
            <v xml:space="preserve"> </v>
          </cell>
          <cell r="D518" t="str">
            <v xml:space="preserve"> </v>
          </cell>
          <cell r="E518" t="str">
            <v>un</v>
          </cell>
          <cell r="G518">
            <v>0</v>
          </cell>
          <cell r="H518">
            <v>0</v>
          </cell>
        </row>
        <row r="519">
          <cell r="A519" t="str">
            <v>04.211.16</v>
          </cell>
          <cell r="B519" t="str">
            <v>Boca de BDCC 3.00x3.00m - esc=45°</v>
          </cell>
          <cell r="C519" t="str">
            <v xml:space="preserve"> </v>
          </cell>
          <cell r="D519" t="str">
            <v xml:space="preserve"> </v>
          </cell>
          <cell r="E519" t="str">
            <v>un</v>
          </cell>
          <cell r="G519">
            <v>0</v>
          </cell>
          <cell r="H519">
            <v>0</v>
          </cell>
        </row>
        <row r="520">
          <cell r="A520" t="str">
            <v>04.220.01</v>
          </cell>
          <cell r="B520" t="str">
            <v>Corpo de BTCC 1.50x1.50m-H=0 a 1.00m</v>
          </cell>
          <cell r="C520" t="str">
            <v>DNER-ES286/97</v>
          </cell>
          <cell r="D520" t="str">
            <v xml:space="preserve"> </v>
          </cell>
          <cell r="E520" t="str">
            <v>m</v>
          </cell>
          <cell r="G520">
            <v>0</v>
          </cell>
          <cell r="H520">
            <v>0</v>
          </cell>
        </row>
        <row r="521">
          <cell r="A521" t="str">
            <v>04.220.02</v>
          </cell>
          <cell r="B521" t="str">
            <v>Corpo de BTCC 2.00x2.00m-H=0 a 1.00m</v>
          </cell>
          <cell r="C521" t="str">
            <v>DNER-ES286/97</v>
          </cell>
          <cell r="D521" t="str">
            <v xml:space="preserve"> </v>
          </cell>
          <cell r="E521" t="str">
            <v>m</v>
          </cell>
          <cell r="G521">
            <v>0</v>
          </cell>
          <cell r="H521">
            <v>0</v>
          </cell>
        </row>
        <row r="522">
          <cell r="A522" t="str">
            <v>04.220.03</v>
          </cell>
          <cell r="B522" t="str">
            <v>Corpo de BTCC 2.50x2.50m-H=0 a 1.00m</v>
          </cell>
          <cell r="C522" t="str">
            <v>DNER-ES286/97</v>
          </cell>
          <cell r="D522" t="str">
            <v xml:space="preserve"> </v>
          </cell>
          <cell r="E522" t="str">
            <v>m</v>
          </cell>
          <cell r="G522">
            <v>0</v>
          </cell>
          <cell r="H522">
            <v>0</v>
          </cell>
        </row>
        <row r="523">
          <cell r="A523" t="str">
            <v>04.220.04</v>
          </cell>
          <cell r="B523" t="str">
            <v>Corpo de BTCC 3.00x3.00m-H=0 a 1.00m</v>
          </cell>
          <cell r="C523" t="str">
            <v>DNER-ES286/97</v>
          </cell>
          <cell r="D523" t="str">
            <v xml:space="preserve"> </v>
          </cell>
          <cell r="E523" t="str">
            <v>m</v>
          </cell>
          <cell r="G523">
            <v>0</v>
          </cell>
          <cell r="H523">
            <v>0</v>
          </cell>
        </row>
        <row r="524">
          <cell r="A524" t="str">
            <v>04.220.05</v>
          </cell>
          <cell r="B524" t="str">
            <v>Corpo de BTCC 1.50x1.50m-H=1.00 a 2.50m</v>
          </cell>
          <cell r="C524" t="str">
            <v>DNER-ES286/97</v>
          </cell>
          <cell r="D524" t="str">
            <v xml:space="preserve"> </v>
          </cell>
          <cell r="E524" t="str">
            <v>m</v>
          </cell>
          <cell r="F524">
            <v>825.87</v>
          </cell>
          <cell r="G524">
            <v>295.66145999999998</v>
          </cell>
          <cell r="H524">
            <v>1121.5314599999999</v>
          </cell>
        </row>
        <row r="525">
          <cell r="A525" t="str">
            <v>04.220.06</v>
          </cell>
          <cell r="B525" t="str">
            <v>Corpo de BSTC 2.00x2.00m-H=1.00 a 2.50m</v>
          </cell>
          <cell r="C525" t="str">
            <v>DNER-ES286/97</v>
          </cell>
          <cell r="D525" t="str">
            <v xml:space="preserve"> </v>
          </cell>
          <cell r="E525" t="str">
            <v>m</v>
          </cell>
          <cell r="F525">
            <v>1187.6199999999999</v>
          </cell>
          <cell r="G525">
            <v>425.16795999999994</v>
          </cell>
          <cell r="H525">
            <v>1612.7879599999999</v>
          </cell>
        </row>
        <row r="526">
          <cell r="A526" t="str">
            <v>04.220.07</v>
          </cell>
          <cell r="B526" t="str">
            <v>Corpo de BTCC 2.50x2.50m-H=1.00 a 2.50m</v>
          </cell>
          <cell r="C526" t="str">
            <v>DNER-ES286/97</v>
          </cell>
          <cell r="D526" t="str">
            <v xml:space="preserve"> </v>
          </cell>
          <cell r="E526" t="str">
            <v>m</v>
          </cell>
          <cell r="G526">
            <v>0</v>
          </cell>
          <cell r="H526">
            <v>0</v>
          </cell>
        </row>
        <row r="527">
          <cell r="A527" t="str">
            <v>04.220.08</v>
          </cell>
          <cell r="B527" t="str">
            <v>Corpo de BTCC 3.00x3.00m-H=1.00 a 2.50m</v>
          </cell>
          <cell r="C527" t="str">
            <v>DNER-ES286/97</v>
          </cell>
          <cell r="D527" t="str">
            <v xml:space="preserve"> </v>
          </cell>
          <cell r="E527" t="str">
            <v>m</v>
          </cell>
          <cell r="G527">
            <v>0</v>
          </cell>
          <cell r="H527">
            <v>0</v>
          </cell>
        </row>
        <row r="528">
          <cell r="A528" t="str">
            <v>04.220.09</v>
          </cell>
          <cell r="B528" t="str">
            <v>Corpo de BTCC 1.50x1.50m-H=2.50 a 5.00m</v>
          </cell>
          <cell r="C528" t="str">
            <v>DNER-ES286/97</v>
          </cell>
          <cell r="D528" t="str">
            <v xml:space="preserve"> </v>
          </cell>
          <cell r="E528" t="str">
            <v>m</v>
          </cell>
          <cell r="F528">
            <v>899.7</v>
          </cell>
          <cell r="G528">
            <v>322.0926</v>
          </cell>
          <cell r="H528">
            <v>1221.7926</v>
          </cell>
        </row>
        <row r="529">
          <cell r="A529" t="str">
            <v>04.220.10</v>
          </cell>
          <cell r="B529" t="str">
            <v>Corpo de BTCC 2.00x2.00m-H=2.50 a 5.00m</v>
          </cell>
          <cell r="C529" t="str">
            <v>DNER-ES286/97</v>
          </cell>
          <cell r="D529" t="str">
            <v xml:space="preserve"> </v>
          </cell>
          <cell r="E529" t="str">
            <v>m</v>
          </cell>
          <cell r="G529">
            <v>0</v>
          </cell>
          <cell r="H529">
            <v>0</v>
          </cell>
        </row>
        <row r="530">
          <cell r="A530" t="str">
            <v>04.220.11</v>
          </cell>
          <cell r="B530" t="str">
            <v>Corpo de BTCC 2.50x2.50m-H=2.50 a 5.00m</v>
          </cell>
          <cell r="C530" t="str">
            <v>DNER-ES286/97</v>
          </cell>
          <cell r="D530" t="str">
            <v xml:space="preserve"> </v>
          </cell>
          <cell r="E530" t="str">
            <v>m</v>
          </cell>
          <cell r="G530">
            <v>0</v>
          </cell>
          <cell r="H530">
            <v>0</v>
          </cell>
        </row>
        <row r="531">
          <cell r="A531" t="str">
            <v>04.220.12</v>
          </cell>
          <cell r="B531" t="str">
            <v>Corpo de BTCC 3.00x3.00m-H=2.50 a 5.00m</v>
          </cell>
          <cell r="C531" t="str">
            <v>DNER-ES286/97</v>
          </cell>
          <cell r="D531" t="str">
            <v xml:space="preserve"> </v>
          </cell>
          <cell r="E531" t="str">
            <v>m</v>
          </cell>
          <cell r="G531">
            <v>0</v>
          </cell>
          <cell r="H531">
            <v>0</v>
          </cell>
        </row>
        <row r="532">
          <cell r="A532" t="str">
            <v>04.220.13</v>
          </cell>
          <cell r="B532" t="str">
            <v>Corpo de BTCC 1.50x1.50m-H=5.00 a 7.50m</v>
          </cell>
          <cell r="C532" t="str">
            <v>DNER-ES286/97</v>
          </cell>
          <cell r="D532" t="str">
            <v xml:space="preserve"> </v>
          </cell>
          <cell r="E532" t="str">
            <v>m</v>
          </cell>
          <cell r="G532">
            <v>0</v>
          </cell>
          <cell r="H532">
            <v>0</v>
          </cell>
        </row>
        <row r="533">
          <cell r="A533" t="str">
            <v>04.220.14</v>
          </cell>
          <cell r="B533" t="str">
            <v>Corpo de BTCC 2.0Dx2.00m-H=5.00 a 7.50m</v>
          </cell>
          <cell r="C533" t="str">
            <v>DNER-ES286/97</v>
          </cell>
          <cell r="D533" t="str">
            <v xml:space="preserve"> </v>
          </cell>
          <cell r="E533" t="str">
            <v>m</v>
          </cell>
          <cell r="G533">
            <v>0</v>
          </cell>
          <cell r="H533">
            <v>0</v>
          </cell>
        </row>
        <row r="534">
          <cell r="A534" t="str">
            <v>04.220.15</v>
          </cell>
          <cell r="B534" t="str">
            <v>Corpo de BTCC 2.50x2.50m-H=5.00 a 7.50m</v>
          </cell>
          <cell r="C534" t="str">
            <v>DNER-ES286/97</v>
          </cell>
          <cell r="D534" t="str">
            <v xml:space="preserve"> </v>
          </cell>
          <cell r="E534" t="str">
            <v>m</v>
          </cell>
          <cell r="G534">
            <v>0</v>
          </cell>
          <cell r="H534">
            <v>0</v>
          </cell>
        </row>
        <row r="535">
          <cell r="A535" t="str">
            <v>04.220.16</v>
          </cell>
          <cell r="B535" t="str">
            <v>Corpo de BTCC 3.00x3.00m-H=5.00 a 7.50m</v>
          </cell>
          <cell r="C535" t="str">
            <v>DNER-ES286/97</v>
          </cell>
          <cell r="D535" t="str">
            <v xml:space="preserve"> </v>
          </cell>
          <cell r="E535" t="str">
            <v>m</v>
          </cell>
          <cell r="G535">
            <v>0</v>
          </cell>
          <cell r="H535">
            <v>0</v>
          </cell>
        </row>
        <row r="536">
          <cell r="A536" t="str">
            <v>04.220.17</v>
          </cell>
          <cell r="B536" t="str">
            <v>Corpo de BTCC 1.50x1.50m-H=7.50 a 10.00m</v>
          </cell>
          <cell r="C536" t="str">
            <v>DNER-ES286/97</v>
          </cell>
          <cell r="D536" t="str">
            <v xml:space="preserve"> </v>
          </cell>
          <cell r="E536" t="str">
            <v>m</v>
          </cell>
          <cell r="G536">
            <v>0</v>
          </cell>
          <cell r="H536">
            <v>0</v>
          </cell>
        </row>
        <row r="537">
          <cell r="A537" t="str">
            <v>04.220.18</v>
          </cell>
          <cell r="B537" t="str">
            <v>Corpo de BTCC 2.00x2.00m-H=7.50 a 10.00m</v>
          </cell>
          <cell r="C537" t="str">
            <v>DNER-ES286/97</v>
          </cell>
          <cell r="D537" t="str">
            <v xml:space="preserve"> </v>
          </cell>
          <cell r="E537" t="str">
            <v>m</v>
          </cell>
          <cell r="G537">
            <v>0</v>
          </cell>
          <cell r="H537">
            <v>0</v>
          </cell>
        </row>
        <row r="538">
          <cell r="A538" t="str">
            <v>04.220.19</v>
          </cell>
          <cell r="B538" t="str">
            <v>Corpo de BTCC 2.50x2.50m-H=7.50 a 10.00m</v>
          </cell>
          <cell r="C538" t="str">
            <v>DNER-ES286/97</v>
          </cell>
          <cell r="D538" t="str">
            <v xml:space="preserve"> </v>
          </cell>
          <cell r="E538" t="str">
            <v>m</v>
          </cell>
          <cell r="G538">
            <v>0</v>
          </cell>
          <cell r="H538">
            <v>0</v>
          </cell>
        </row>
        <row r="539">
          <cell r="A539" t="str">
            <v>04.220.20</v>
          </cell>
          <cell r="B539" t="str">
            <v>Corpo de BTCC 3.00x3.00m-H=7.50 a 10.00m</v>
          </cell>
          <cell r="C539" t="str">
            <v>DNER-ES286/97</v>
          </cell>
          <cell r="D539" t="str">
            <v xml:space="preserve"> </v>
          </cell>
          <cell r="E539" t="str">
            <v>m</v>
          </cell>
          <cell r="G539">
            <v>0</v>
          </cell>
          <cell r="H539">
            <v>0</v>
          </cell>
        </row>
        <row r="540">
          <cell r="A540" t="str">
            <v>04.220.21</v>
          </cell>
          <cell r="B540" t="str">
            <v>Corpo de BTCC 1.50x1.50m-H=10.00 a 12.50m</v>
          </cell>
          <cell r="C540" t="str">
            <v>DNER-ES286/97</v>
          </cell>
          <cell r="D540" t="str">
            <v xml:space="preserve"> </v>
          </cell>
          <cell r="E540" t="str">
            <v>m</v>
          </cell>
          <cell r="G540">
            <v>0</v>
          </cell>
          <cell r="H540">
            <v>0</v>
          </cell>
        </row>
        <row r="541">
          <cell r="A541" t="str">
            <v>04.220.22</v>
          </cell>
          <cell r="B541" t="str">
            <v>Corpo de BTCC 2.00x2.00m-H=10.00 a 12.50m</v>
          </cell>
          <cell r="C541" t="str">
            <v>DNER-ES286/97</v>
          </cell>
          <cell r="D541" t="str">
            <v xml:space="preserve"> </v>
          </cell>
          <cell r="E541" t="str">
            <v>m</v>
          </cell>
          <cell r="G541">
            <v>0</v>
          </cell>
          <cell r="H541">
            <v>0</v>
          </cell>
        </row>
        <row r="542">
          <cell r="A542" t="str">
            <v>04.220.23</v>
          </cell>
          <cell r="B542" t="str">
            <v>Corpo de BTCC 2.50x2.50m-H=10.00 a 12.50m</v>
          </cell>
          <cell r="C542" t="str">
            <v>DNER-ES286/97</v>
          </cell>
          <cell r="D542" t="str">
            <v xml:space="preserve"> </v>
          </cell>
          <cell r="E542" t="str">
            <v>m</v>
          </cell>
          <cell r="G542">
            <v>0</v>
          </cell>
          <cell r="H542">
            <v>0</v>
          </cell>
        </row>
        <row r="543">
          <cell r="A543" t="str">
            <v>04.220.24</v>
          </cell>
          <cell r="B543" t="str">
            <v>Corpo de BTCC 3.00x3.00m-H=10.00 a 12.50m</v>
          </cell>
          <cell r="C543" t="str">
            <v>DNER-ES286/97</v>
          </cell>
          <cell r="D543" t="str">
            <v xml:space="preserve"> </v>
          </cell>
          <cell r="E543" t="str">
            <v>m</v>
          </cell>
          <cell r="G543">
            <v>0</v>
          </cell>
          <cell r="H543">
            <v>0</v>
          </cell>
        </row>
        <row r="544">
          <cell r="A544" t="str">
            <v>04.220.25</v>
          </cell>
          <cell r="B544" t="str">
            <v>Corpo de BTCC 1.50x1.50m-H=12.50 a 15.00m</v>
          </cell>
          <cell r="C544" t="str">
            <v>DNER-ES286/97</v>
          </cell>
          <cell r="D544" t="str">
            <v xml:space="preserve"> </v>
          </cell>
          <cell r="E544" t="str">
            <v>m</v>
          </cell>
          <cell r="G544">
            <v>0</v>
          </cell>
          <cell r="H544">
            <v>0</v>
          </cell>
        </row>
        <row r="545">
          <cell r="A545" t="str">
            <v>04.220.26</v>
          </cell>
          <cell r="B545" t="str">
            <v>Corpo de BTCC 2.00x2.00m-H=12.50 a 15.00m</v>
          </cell>
          <cell r="C545" t="str">
            <v>DNER-ES286/97</v>
          </cell>
          <cell r="D545" t="str">
            <v xml:space="preserve"> </v>
          </cell>
          <cell r="E545" t="str">
            <v>m</v>
          </cell>
          <cell r="G545">
            <v>0</v>
          </cell>
          <cell r="H545">
            <v>0</v>
          </cell>
        </row>
        <row r="546">
          <cell r="A546" t="str">
            <v>04.220.27</v>
          </cell>
          <cell r="B546" t="str">
            <v>Corpo de BTCC 2.50x2.50m-H=12.50 a 15.00m</v>
          </cell>
          <cell r="C546" t="str">
            <v>DNER-ES286/97</v>
          </cell>
          <cell r="D546" t="str">
            <v xml:space="preserve"> </v>
          </cell>
          <cell r="E546" t="str">
            <v>m</v>
          </cell>
          <cell r="G546">
            <v>0</v>
          </cell>
          <cell r="H546">
            <v>0</v>
          </cell>
        </row>
        <row r="547">
          <cell r="A547" t="str">
            <v>04.220.28</v>
          </cell>
          <cell r="B547" t="str">
            <v>Corpo de BTCC 3.00x3.00m-H=12.50 a 15.00m</v>
          </cell>
          <cell r="C547" t="str">
            <v>DNER-ES286/97</v>
          </cell>
          <cell r="D547" t="str">
            <v xml:space="preserve"> </v>
          </cell>
          <cell r="E547" t="str">
            <v>m</v>
          </cell>
          <cell r="G547">
            <v>0</v>
          </cell>
          <cell r="H547">
            <v>0</v>
          </cell>
        </row>
        <row r="548">
          <cell r="A548" t="str">
            <v>04.221.01</v>
          </cell>
          <cell r="B548" t="str">
            <v>Boca de BTCC 1.50x1.50m - normal</v>
          </cell>
          <cell r="C548" t="str">
            <v xml:space="preserve"> </v>
          </cell>
          <cell r="D548" t="str">
            <v xml:space="preserve"> </v>
          </cell>
          <cell r="E548" t="str">
            <v>un</v>
          </cell>
          <cell r="F548">
            <v>3358.97</v>
          </cell>
          <cell r="G548">
            <v>1202.5112599999998</v>
          </cell>
          <cell r="H548">
            <v>4561.4812599999996</v>
          </cell>
        </row>
        <row r="549">
          <cell r="A549" t="str">
            <v>04.221.02</v>
          </cell>
          <cell r="B549" t="str">
            <v>Boca de BTCC 2.00x2.00m - normal</v>
          </cell>
          <cell r="C549" t="str">
            <v xml:space="preserve"> </v>
          </cell>
          <cell r="D549" t="str">
            <v xml:space="preserve"> </v>
          </cell>
          <cell r="E549" t="str">
            <v>un</v>
          </cell>
          <cell r="G549">
            <v>0</v>
          </cell>
          <cell r="H549">
            <v>0</v>
          </cell>
        </row>
        <row r="550">
          <cell r="A550" t="str">
            <v>04.221.03</v>
          </cell>
          <cell r="B550" t="str">
            <v>Boca de BTCC 2.50x2.50m - normal</v>
          </cell>
          <cell r="C550" t="str">
            <v xml:space="preserve"> </v>
          </cell>
          <cell r="D550" t="str">
            <v xml:space="preserve"> </v>
          </cell>
          <cell r="E550" t="str">
            <v>un</v>
          </cell>
          <cell r="G550">
            <v>0</v>
          </cell>
          <cell r="H550">
            <v>0</v>
          </cell>
        </row>
        <row r="551">
          <cell r="A551" t="str">
            <v>04.221.04</v>
          </cell>
          <cell r="B551" t="str">
            <v>Boca de BTCC 3.00x3.00m - normal</v>
          </cell>
          <cell r="C551" t="str">
            <v xml:space="preserve"> </v>
          </cell>
          <cell r="D551" t="str">
            <v xml:space="preserve"> </v>
          </cell>
          <cell r="E551" t="str">
            <v>un</v>
          </cell>
          <cell r="G551">
            <v>0</v>
          </cell>
          <cell r="H551">
            <v>0</v>
          </cell>
        </row>
        <row r="552">
          <cell r="A552" t="str">
            <v>04.221.05</v>
          </cell>
          <cell r="B552" t="str">
            <v>Boca de BTCC 1.50x1.50m - esc=15°</v>
          </cell>
          <cell r="C552" t="str">
            <v xml:space="preserve"> </v>
          </cell>
          <cell r="D552" t="str">
            <v xml:space="preserve"> </v>
          </cell>
          <cell r="E552" t="str">
            <v>un</v>
          </cell>
          <cell r="G552">
            <v>0</v>
          </cell>
          <cell r="H552">
            <v>0</v>
          </cell>
        </row>
        <row r="553">
          <cell r="A553" t="str">
            <v>04.221.06</v>
          </cell>
          <cell r="B553" t="str">
            <v>Boca de BTCC 2.00x2.00m - esc=15°</v>
          </cell>
          <cell r="C553" t="str">
            <v xml:space="preserve"> </v>
          </cell>
          <cell r="D553" t="str">
            <v xml:space="preserve"> </v>
          </cell>
          <cell r="E553" t="str">
            <v>un</v>
          </cell>
          <cell r="G553">
            <v>0</v>
          </cell>
          <cell r="H553">
            <v>0</v>
          </cell>
        </row>
        <row r="554">
          <cell r="A554" t="str">
            <v>04.221.07</v>
          </cell>
          <cell r="B554" t="str">
            <v>Boca de BTCC 2.50x2.50m - esc=15°</v>
          </cell>
          <cell r="C554" t="str">
            <v xml:space="preserve"> </v>
          </cell>
          <cell r="D554" t="str">
            <v xml:space="preserve"> </v>
          </cell>
          <cell r="E554" t="str">
            <v>un</v>
          </cell>
          <cell r="G554">
            <v>0</v>
          </cell>
          <cell r="H554">
            <v>0</v>
          </cell>
        </row>
        <row r="555">
          <cell r="A555" t="str">
            <v>04.221.08</v>
          </cell>
          <cell r="B555" t="str">
            <v>Boca de BTCC 3.00x3.00m - esc=15°</v>
          </cell>
          <cell r="C555" t="str">
            <v xml:space="preserve"> </v>
          </cell>
          <cell r="D555" t="str">
            <v xml:space="preserve"> </v>
          </cell>
          <cell r="E555" t="str">
            <v>un</v>
          </cell>
          <cell r="G555">
            <v>0</v>
          </cell>
          <cell r="H555">
            <v>0</v>
          </cell>
        </row>
        <row r="556">
          <cell r="A556" t="str">
            <v>04.221.09</v>
          </cell>
          <cell r="B556" t="str">
            <v>Boca de BTCC 1.50x1.50m - esc=30°</v>
          </cell>
          <cell r="C556" t="str">
            <v xml:space="preserve"> </v>
          </cell>
          <cell r="D556" t="str">
            <v xml:space="preserve"> </v>
          </cell>
          <cell r="E556" t="str">
            <v>un</v>
          </cell>
          <cell r="G556">
            <v>0</v>
          </cell>
          <cell r="H556">
            <v>0</v>
          </cell>
        </row>
        <row r="557">
          <cell r="A557" t="str">
            <v>04.221.10</v>
          </cell>
          <cell r="B557" t="str">
            <v>Boca de BTCC 2.00x2.00m - esc=30°</v>
          </cell>
          <cell r="C557" t="str">
            <v xml:space="preserve"> </v>
          </cell>
          <cell r="D557" t="str">
            <v xml:space="preserve"> </v>
          </cell>
          <cell r="E557" t="str">
            <v>un</v>
          </cell>
          <cell r="G557">
            <v>0</v>
          </cell>
          <cell r="H557">
            <v>0</v>
          </cell>
        </row>
        <row r="558">
          <cell r="A558" t="str">
            <v>04.221.11</v>
          </cell>
          <cell r="B558" t="str">
            <v>Boca de BTCC 2.50x2.50m - esc=30°</v>
          </cell>
          <cell r="C558" t="str">
            <v xml:space="preserve"> </v>
          </cell>
          <cell r="D558" t="str">
            <v xml:space="preserve"> </v>
          </cell>
          <cell r="E558" t="str">
            <v>un</v>
          </cell>
          <cell r="G558">
            <v>0</v>
          </cell>
          <cell r="H558">
            <v>0</v>
          </cell>
        </row>
        <row r="559">
          <cell r="A559" t="str">
            <v>04.221.12</v>
          </cell>
          <cell r="B559" t="str">
            <v>Boca de BTCC 3.00x3.00m - esc=30°</v>
          </cell>
          <cell r="C559" t="str">
            <v xml:space="preserve"> </v>
          </cell>
          <cell r="D559" t="str">
            <v xml:space="preserve"> </v>
          </cell>
          <cell r="E559" t="str">
            <v>un</v>
          </cell>
          <cell r="G559">
            <v>0</v>
          </cell>
          <cell r="H559">
            <v>0</v>
          </cell>
        </row>
        <row r="560">
          <cell r="A560" t="str">
            <v>04.221.13</v>
          </cell>
          <cell r="B560" t="str">
            <v>Boca de BTCC 1.50x1.50m - esc=45°</v>
          </cell>
          <cell r="C560" t="str">
            <v xml:space="preserve"> </v>
          </cell>
          <cell r="D560" t="str">
            <v xml:space="preserve"> </v>
          </cell>
          <cell r="E560" t="str">
            <v>un</v>
          </cell>
          <cell r="G560">
            <v>0</v>
          </cell>
          <cell r="H560">
            <v>0</v>
          </cell>
        </row>
        <row r="561">
          <cell r="A561" t="str">
            <v xml:space="preserve">04.221.14  </v>
          </cell>
          <cell r="B561" t="str">
            <v>Boca de BTCC 2.00x2.00m - esc=45°</v>
          </cell>
          <cell r="C561" t="str">
            <v xml:space="preserve"> </v>
          </cell>
          <cell r="D561" t="str">
            <v xml:space="preserve"> </v>
          </cell>
          <cell r="E561" t="str">
            <v>un</v>
          </cell>
          <cell r="G561">
            <v>0</v>
          </cell>
          <cell r="H561">
            <v>0</v>
          </cell>
        </row>
        <row r="562">
          <cell r="A562" t="str">
            <v>04.221.15</v>
          </cell>
          <cell r="B562" t="str">
            <v>Boca de BTCC 2.50x2.50m - esc=45°</v>
          </cell>
          <cell r="C562" t="str">
            <v xml:space="preserve"> </v>
          </cell>
          <cell r="D562" t="str">
            <v xml:space="preserve"> </v>
          </cell>
          <cell r="E562" t="str">
            <v>un</v>
          </cell>
          <cell r="G562">
            <v>0</v>
          </cell>
          <cell r="H562">
            <v>0</v>
          </cell>
        </row>
        <row r="563">
          <cell r="A563" t="str">
            <v>04.221.16</v>
          </cell>
          <cell r="B563" t="str">
            <v>Boca de BTCC 3.00x3.00m - esc=45°</v>
          </cell>
          <cell r="C563" t="str">
            <v xml:space="preserve"> </v>
          </cell>
          <cell r="D563" t="str">
            <v xml:space="preserve"> </v>
          </cell>
          <cell r="E563" t="str">
            <v>un</v>
          </cell>
          <cell r="G563">
            <v>0</v>
          </cell>
          <cell r="H563">
            <v>0</v>
          </cell>
        </row>
        <row r="564">
          <cell r="A564" t="str">
            <v>04.400.01</v>
          </cell>
          <cell r="B564" t="str">
            <v>Valeta de prot. de cortes c/ revest. vegetal VPC 01</v>
          </cell>
          <cell r="C564" t="str">
            <v xml:space="preserve"> </v>
          </cell>
          <cell r="D564" t="str">
            <v xml:space="preserve"> </v>
          </cell>
          <cell r="E564" t="str">
            <v>m</v>
          </cell>
          <cell r="F564">
            <v>23.25</v>
          </cell>
          <cell r="G564">
            <v>8.3234999999999992</v>
          </cell>
          <cell r="H564">
            <v>31.573499999999999</v>
          </cell>
        </row>
        <row r="565">
          <cell r="A565" t="str">
            <v>04.400.02</v>
          </cell>
          <cell r="B565" t="str">
            <v>Valeta de prot. de cortes c/ revest. vegetal VPC 02</v>
          </cell>
          <cell r="C565" t="str">
            <v xml:space="preserve"> </v>
          </cell>
          <cell r="D565" t="str">
            <v xml:space="preserve"> </v>
          </cell>
          <cell r="E565" t="str">
            <v>m</v>
          </cell>
          <cell r="F565">
            <v>17.11</v>
          </cell>
          <cell r="G565">
            <v>6.1253799999999998</v>
          </cell>
          <cell r="H565">
            <v>23.235379999999999</v>
          </cell>
        </row>
        <row r="566">
          <cell r="A566" t="str">
            <v>04.400.03</v>
          </cell>
          <cell r="B566" t="str">
            <v>Valeta de prot. de cortes c/ revest. concreto VPC 03</v>
          </cell>
          <cell r="C566" t="str">
            <v xml:space="preserve"> </v>
          </cell>
          <cell r="D566" t="str">
            <v xml:space="preserve"> </v>
          </cell>
          <cell r="E566" t="str">
            <v>m</v>
          </cell>
          <cell r="F566">
            <v>29.22</v>
          </cell>
          <cell r="G566">
            <v>10.460759999999999</v>
          </cell>
          <cell r="H566">
            <v>39.680759999999999</v>
          </cell>
        </row>
        <row r="567">
          <cell r="A567" t="str">
            <v>04.400.04</v>
          </cell>
          <cell r="B567" t="str">
            <v>Valeta de prot. de cortes c/ revest. concreto VPC 04</v>
          </cell>
          <cell r="C567" t="str">
            <v xml:space="preserve"> </v>
          </cell>
          <cell r="D567" t="str">
            <v xml:space="preserve"> </v>
          </cell>
          <cell r="E567" t="str">
            <v>m</v>
          </cell>
          <cell r="G567">
            <v>0</v>
          </cell>
          <cell r="H567">
            <v>0</v>
          </cell>
        </row>
        <row r="568">
          <cell r="A568" t="str">
            <v>04.401.01</v>
          </cell>
          <cell r="B568" t="str">
            <v>Valeta de prot. de aterro c/ revest. vegetal VPA 01</v>
          </cell>
          <cell r="C568" t="str">
            <v xml:space="preserve"> </v>
          </cell>
          <cell r="D568" t="str">
            <v xml:space="preserve"> </v>
          </cell>
          <cell r="E568" t="str">
            <v>m</v>
          </cell>
          <cell r="F568">
            <v>23.55</v>
          </cell>
          <cell r="G568">
            <v>8.4308999999999994</v>
          </cell>
          <cell r="H568">
            <v>31.980899999999998</v>
          </cell>
        </row>
        <row r="569">
          <cell r="A569" t="str">
            <v>04.401.02</v>
          </cell>
          <cell r="B569" t="str">
            <v>Valeta de prot. de aterro c/ revest. vegetal VPA 02</v>
          </cell>
          <cell r="C569" t="str">
            <v xml:space="preserve"> </v>
          </cell>
          <cell r="D569" t="str">
            <v xml:space="preserve"> </v>
          </cell>
          <cell r="E569" t="str">
            <v>m</v>
          </cell>
          <cell r="F569">
            <v>17.91</v>
          </cell>
          <cell r="G569">
            <v>6.4117799999999994</v>
          </cell>
          <cell r="H569">
            <v>24.32178</v>
          </cell>
        </row>
        <row r="570">
          <cell r="A570" t="str">
            <v>04.401.03</v>
          </cell>
          <cell r="B570" t="str">
            <v>Valeta de prot. de aterro c/ revest. concreto VPA 03</v>
          </cell>
          <cell r="C570" t="str">
            <v xml:space="preserve"> </v>
          </cell>
          <cell r="D570" t="str">
            <v xml:space="preserve"> </v>
          </cell>
          <cell r="E570" t="str">
            <v>m</v>
          </cell>
          <cell r="G570">
            <v>0</v>
          </cell>
          <cell r="H570">
            <v>0</v>
          </cell>
        </row>
        <row r="571">
          <cell r="A571" t="str">
            <v>04.401.04</v>
          </cell>
          <cell r="B571" t="str">
            <v>Valeta de prot. de aterro c/revest. concretoVPA 04</v>
          </cell>
          <cell r="C571" t="str">
            <v xml:space="preserve"> </v>
          </cell>
          <cell r="D571" t="str">
            <v xml:space="preserve"> </v>
          </cell>
          <cell r="E571" t="str">
            <v>m</v>
          </cell>
          <cell r="G571">
            <v>0</v>
          </cell>
          <cell r="H571">
            <v>0</v>
          </cell>
        </row>
        <row r="572">
          <cell r="A572" t="str">
            <v>04.401.05</v>
          </cell>
          <cell r="B572" t="str">
            <v>Valeta de prot. de cortes/aterro s/ revest.  VPC 05 NPA 05</v>
          </cell>
          <cell r="C572" t="str">
            <v xml:space="preserve"> </v>
          </cell>
          <cell r="D572" t="str">
            <v xml:space="preserve"> </v>
          </cell>
          <cell r="E572" t="str">
            <v>m</v>
          </cell>
          <cell r="G572">
            <v>0</v>
          </cell>
          <cell r="H572">
            <v>0</v>
          </cell>
        </row>
        <row r="573">
          <cell r="A573" t="str">
            <v>04.401.06</v>
          </cell>
          <cell r="B573" t="str">
            <v>Valeta de prot. de cortes/aterro s/ revest.  VPC 06 NPA 06</v>
          </cell>
          <cell r="C573" t="str">
            <v xml:space="preserve"> </v>
          </cell>
          <cell r="D573" t="str">
            <v xml:space="preserve"> </v>
          </cell>
          <cell r="E573" t="str">
            <v>m</v>
          </cell>
          <cell r="G573">
            <v>0</v>
          </cell>
          <cell r="H573">
            <v>0</v>
          </cell>
        </row>
        <row r="574">
          <cell r="A574" t="str">
            <v>04.500.01</v>
          </cell>
          <cell r="B574" t="str">
            <v>Dreno longit. profundo p/cortes em solo-DPS 01</v>
          </cell>
          <cell r="C574" t="str">
            <v>DNER-ES292/97</v>
          </cell>
          <cell r="D574" t="str">
            <v xml:space="preserve"> </v>
          </cell>
          <cell r="E574" t="str">
            <v>m</v>
          </cell>
          <cell r="G574">
            <v>0</v>
          </cell>
          <cell r="H574">
            <v>0</v>
          </cell>
        </row>
        <row r="575">
          <cell r="A575" t="str">
            <v>04.500.02</v>
          </cell>
          <cell r="B575" t="str">
            <v>Dreno longit. profundo p/cortes em solo-DPS 02</v>
          </cell>
          <cell r="C575" t="str">
            <v>DNER-ES292/97</v>
          </cell>
          <cell r="D575" t="str">
            <v xml:space="preserve"> </v>
          </cell>
          <cell r="E575" t="str">
            <v>m</v>
          </cell>
          <cell r="F575">
            <v>12.86</v>
          </cell>
          <cell r="G575">
            <v>4.6038799999999993</v>
          </cell>
          <cell r="H575">
            <v>17.46388</v>
          </cell>
        </row>
        <row r="576">
          <cell r="A576" t="str">
            <v>04.500.03</v>
          </cell>
          <cell r="B576" t="str">
            <v>Dreno longit. profundo p/cortes em solo-DPS 03</v>
          </cell>
          <cell r="C576" t="str">
            <v>DNER-ES292/97</v>
          </cell>
          <cell r="D576" t="str">
            <v xml:space="preserve"> </v>
          </cell>
          <cell r="E576" t="str">
            <v>m</v>
          </cell>
          <cell r="G576">
            <v>0</v>
          </cell>
          <cell r="H576">
            <v>0</v>
          </cell>
        </row>
        <row r="577">
          <cell r="A577" t="str">
            <v>04.500.04</v>
          </cell>
          <cell r="B577" t="str">
            <v>Dreno longit. profundo p/cortes em solo-DPS 04</v>
          </cell>
          <cell r="C577" t="str">
            <v>DNER-ES292/97</v>
          </cell>
          <cell r="D577" t="str">
            <v xml:space="preserve"> </v>
          </cell>
          <cell r="E577" t="str">
            <v>m</v>
          </cell>
          <cell r="G577">
            <v>0</v>
          </cell>
          <cell r="H577">
            <v>0</v>
          </cell>
        </row>
        <row r="578">
          <cell r="A578" t="str">
            <v>04.500.05</v>
          </cell>
          <cell r="B578" t="str">
            <v>Dreno longit. profundo p/cortes em solo-DPS 05</v>
          </cell>
          <cell r="C578" t="str">
            <v>DNER-ES292/97</v>
          </cell>
          <cell r="D578" t="str">
            <v xml:space="preserve"> </v>
          </cell>
          <cell r="E578" t="str">
            <v>m</v>
          </cell>
          <cell r="G578">
            <v>0</v>
          </cell>
          <cell r="H578">
            <v>0</v>
          </cell>
        </row>
        <row r="579">
          <cell r="A579" t="str">
            <v>04.500.06</v>
          </cell>
          <cell r="B579" t="str">
            <v>Dreno longit. profundo p/cortes em solo- DPS 06</v>
          </cell>
          <cell r="C579" t="str">
            <v>DNER-ES292/97</v>
          </cell>
          <cell r="D579" t="str">
            <v xml:space="preserve"> </v>
          </cell>
          <cell r="E579" t="str">
            <v>m</v>
          </cell>
          <cell r="F579">
            <v>25.73</v>
          </cell>
          <cell r="G579">
            <v>9.2113399999999999</v>
          </cell>
          <cell r="H579">
            <v>34.941339999999997</v>
          </cell>
        </row>
        <row r="580">
          <cell r="A580" t="str">
            <v>04.500.07</v>
          </cell>
          <cell r="B580" t="str">
            <v>Dreno longit. profundo p/cortes em solo- DPS 07</v>
          </cell>
          <cell r="C580" t="str">
            <v>DNER-ES292/97</v>
          </cell>
          <cell r="D580" t="str">
            <v xml:space="preserve"> </v>
          </cell>
          <cell r="E580" t="str">
            <v>m</v>
          </cell>
          <cell r="G580">
            <v>0</v>
          </cell>
          <cell r="H580">
            <v>0</v>
          </cell>
        </row>
        <row r="581">
          <cell r="A581" t="str">
            <v>04.500.08</v>
          </cell>
          <cell r="B581" t="str">
            <v>Dreno longit. profundo p/cortes em solo- DPS 08</v>
          </cell>
          <cell r="C581" t="str">
            <v>DNER-ES292/97</v>
          </cell>
          <cell r="D581" t="str">
            <v xml:space="preserve"> </v>
          </cell>
          <cell r="E581" t="str">
            <v>m</v>
          </cell>
          <cell r="G581">
            <v>0</v>
          </cell>
          <cell r="H581">
            <v>0</v>
          </cell>
        </row>
        <row r="582">
          <cell r="A582" t="str">
            <v>04.501.01</v>
          </cell>
          <cell r="B582" t="str">
            <v>Dreno longit. profundo p/cortes em rocha- DPR 01</v>
          </cell>
          <cell r="C582" t="str">
            <v>DNER-ES294/97</v>
          </cell>
          <cell r="D582" t="str">
            <v xml:space="preserve"> </v>
          </cell>
          <cell r="E582" t="str">
            <v>m</v>
          </cell>
          <cell r="G582">
            <v>0</v>
          </cell>
          <cell r="H582">
            <v>0</v>
          </cell>
        </row>
        <row r="583">
          <cell r="A583" t="str">
            <v>04.501.02</v>
          </cell>
          <cell r="B583" t="str">
            <v>Dreno longit. profundo p/cortes em rocha- DPR 02</v>
          </cell>
          <cell r="C583" t="str">
            <v>DNER-ES292/97</v>
          </cell>
          <cell r="D583" t="str">
            <v xml:space="preserve"> </v>
          </cell>
          <cell r="E583" t="str">
            <v>m</v>
          </cell>
          <cell r="G583">
            <v>0</v>
          </cell>
          <cell r="H583">
            <v>0</v>
          </cell>
        </row>
        <row r="584">
          <cell r="A584" t="str">
            <v>04.501.03</v>
          </cell>
          <cell r="B584" t="str">
            <v>Dreno longit. profundo p/cortes em rocha- DPR 03</v>
          </cell>
          <cell r="C584" t="str">
            <v>DNER-ES292/97</v>
          </cell>
          <cell r="D584" t="str">
            <v xml:space="preserve"> </v>
          </cell>
          <cell r="E584" t="str">
            <v>m</v>
          </cell>
          <cell r="F584">
            <v>11.2</v>
          </cell>
          <cell r="G584">
            <v>4.0095999999999998</v>
          </cell>
          <cell r="H584">
            <v>15.209599999999998</v>
          </cell>
        </row>
        <row r="585">
          <cell r="A585" t="str">
            <v>04.501.04</v>
          </cell>
          <cell r="B585" t="str">
            <v>Dreno longit. profundo p/cortes em rocha- DPR 04</v>
          </cell>
          <cell r="C585" t="str">
            <v>DNER-ES292/97</v>
          </cell>
          <cell r="D585" t="str">
            <v xml:space="preserve"> </v>
          </cell>
          <cell r="E585" t="str">
            <v>m</v>
          </cell>
          <cell r="G585">
            <v>0</v>
          </cell>
          <cell r="H585">
            <v>0</v>
          </cell>
        </row>
        <row r="586">
          <cell r="A586" t="str">
            <v>04.501.05</v>
          </cell>
          <cell r="B586" t="str">
            <v>Dreno longit. profundo p/cortes em rocha- DPR 05</v>
          </cell>
          <cell r="C586" t="str">
            <v>DNER-ES292/97</v>
          </cell>
          <cell r="D586" t="str">
            <v xml:space="preserve"> </v>
          </cell>
          <cell r="E586" t="str">
            <v>m</v>
          </cell>
          <cell r="G586">
            <v>0</v>
          </cell>
          <cell r="H586">
            <v>0</v>
          </cell>
        </row>
        <row r="587">
          <cell r="A587" t="str">
            <v>04.502.01</v>
          </cell>
          <cell r="B587" t="str">
            <v>Boca de saída p/ dreno longit. profundo- BSD 01</v>
          </cell>
          <cell r="C587" t="str">
            <v xml:space="preserve"> </v>
          </cell>
          <cell r="D587" t="str">
            <v xml:space="preserve"> </v>
          </cell>
          <cell r="E587" t="str">
            <v>un</v>
          </cell>
          <cell r="G587">
            <v>0</v>
          </cell>
          <cell r="H587">
            <v>0</v>
          </cell>
        </row>
        <row r="588">
          <cell r="A588" t="str">
            <v>04.502.02</v>
          </cell>
          <cell r="B588" t="str">
            <v>Boca de saída p/ dreno longit. profundo- BSD 02</v>
          </cell>
          <cell r="C588" t="str">
            <v xml:space="preserve"> </v>
          </cell>
          <cell r="D588" t="str">
            <v xml:space="preserve"> </v>
          </cell>
          <cell r="E588" t="str">
            <v>un</v>
          </cell>
          <cell r="F588">
            <v>36.14</v>
          </cell>
          <cell r="G588">
            <v>12.93812</v>
          </cell>
          <cell r="H588">
            <v>49.078119999999998</v>
          </cell>
        </row>
        <row r="589">
          <cell r="A589" t="str">
            <v>04.510.01</v>
          </cell>
          <cell r="B589" t="str">
            <v>Dreno sub- superficial- DSS 01</v>
          </cell>
          <cell r="C589" t="str">
            <v>DNER-ES294/97</v>
          </cell>
          <cell r="D589" t="str">
            <v xml:space="preserve"> </v>
          </cell>
          <cell r="E589" t="str">
            <v>m</v>
          </cell>
          <cell r="G589">
            <v>0</v>
          </cell>
          <cell r="H589">
            <v>0</v>
          </cell>
        </row>
        <row r="590">
          <cell r="A590" t="str">
            <v>04.510.02</v>
          </cell>
          <cell r="B590" t="str">
            <v>Dreno sub- superficial- DSS 02</v>
          </cell>
          <cell r="C590" t="str">
            <v>DNER-ES294/97</v>
          </cell>
          <cell r="D590" t="str">
            <v xml:space="preserve"> </v>
          </cell>
          <cell r="E590" t="str">
            <v>m</v>
          </cell>
          <cell r="G590">
            <v>0</v>
          </cell>
          <cell r="H590">
            <v>0</v>
          </cell>
        </row>
        <row r="591">
          <cell r="A591" t="str">
            <v>04.510.03</v>
          </cell>
          <cell r="B591" t="str">
            <v>Dreno sub- superficial- DSS 03</v>
          </cell>
          <cell r="C591" t="str">
            <v>DNER-ES294/97</v>
          </cell>
          <cell r="D591" t="str">
            <v xml:space="preserve"> </v>
          </cell>
          <cell r="E591" t="str">
            <v>m</v>
          </cell>
          <cell r="F591">
            <v>2.73</v>
          </cell>
          <cell r="G591">
            <v>0.97733999999999999</v>
          </cell>
          <cell r="H591">
            <v>3.7073399999999999</v>
          </cell>
        </row>
        <row r="592">
          <cell r="A592" t="str">
            <v>04.510.04</v>
          </cell>
          <cell r="B592" t="str">
            <v>Dreno sub- superficial- DSS 04</v>
          </cell>
          <cell r="C592" t="str">
            <v>DNER-ES294/97</v>
          </cell>
          <cell r="D592" t="str">
            <v xml:space="preserve"> </v>
          </cell>
          <cell r="E592" t="str">
            <v>m</v>
          </cell>
          <cell r="G592">
            <v>0</v>
          </cell>
          <cell r="H592">
            <v>0</v>
          </cell>
        </row>
        <row r="593">
          <cell r="A593" t="str">
            <v>04.511.01</v>
          </cell>
          <cell r="B593" t="str">
            <v>Boca de saída p/ dreno sub-superficial-BSD 03</v>
          </cell>
          <cell r="C593" t="str">
            <v xml:space="preserve"> </v>
          </cell>
          <cell r="D593" t="str">
            <v xml:space="preserve"> </v>
          </cell>
          <cell r="E593" t="str">
            <v>un</v>
          </cell>
          <cell r="F593">
            <v>15.36</v>
          </cell>
          <cell r="G593">
            <v>5.4988799999999998</v>
          </cell>
          <cell r="H593">
            <v>20.858879999999999</v>
          </cell>
        </row>
        <row r="594">
          <cell r="A594" t="str">
            <v>04.520.01</v>
          </cell>
          <cell r="B594" t="str">
            <v>Dreno sub- horizontal- DSH 01</v>
          </cell>
          <cell r="C594" t="str">
            <v xml:space="preserve"> </v>
          </cell>
          <cell r="D594" t="str">
            <v xml:space="preserve"> </v>
          </cell>
          <cell r="E594" t="str">
            <v>m</v>
          </cell>
          <cell r="G594">
            <v>0</v>
          </cell>
          <cell r="H594">
            <v>0</v>
          </cell>
        </row>
        <row r="595">
          <cell r="A595" t="str">
            <v>04.521.01</v>
          </cell>
          <cell r="B595" t="str">
            <v>Boca de saída p/ dreno sub-horizontal- BSD 04</v>
          </cell>
          <cell r="C595" t="str">
            <v>DNER-ES295/97</v>
          </cell>
          <cell r="D595" t="str">
            <v xml:space="preserve"> </v>
          </cell>
          <cell r="E595" t="str">
            <v>un</v>
          </cell>
          <cell r="G595">
            <v>0</v>
          </cell>
          <cell r="H595">
            <v>0</v>
          </cell>
        </row>
        <row r="596">
          <cell r="A596" t="str">
            <v>P 04.610.00</v>
          </cell>
          <cell r="B596" t="str">
            <v>Colchão drenante c/ fornecimento e transp. de materiais</v>
          </cell>
          <cell r="C596" t="str">
            <v xml:space="preserve"> </v>
          </cell>
          <cell r="D596" t="str">
            <v xml:space="preserve"> </v>
          </cell>
          <cell r="E596" t="str">
            <v>m3</v>
          </cell>
          <cell r="F596">
            <v>13.99</v>
          </cell>
          <cell r="G596">
            <v>5.0084200000000001</v>
          </cell>
          <cell r="H596">
            <v>18.998419999999999</v>
          </cell>
        </row>
        <row r="597">
          <cell r="A597" t="str">
            <v>P 04.610.01</v>
          </cell>
          <cell r="B597" t="str">
            <v>Demolição e remoção de pontilhão de madeira</v>
          </cell>
          <cell r="C597" t="str">
            <v xml:space="preserve"> </v>
          </cell>
          <cell r="D597" t="str">
            <v xml:space="preserve"> </v>
          </cell>
          <cell r="E597" t="str">
            <v>m2</v>
          </cell>
          <cell r="F597">
            <v>30</v>
          </cell>
          <cell r="G597">
            <v>10.74</v>
          </cell>
          <cell r="H597">
            <v>40.74</v>
          </cell>
        </row>
        <row r="598">
          <cell r="A598" t="str">
            <v>04.900.01</v>
          </cell>
          <cell r="B598" t="str">
            <v>Sarjeta triangular de concreto-STC 01</v>
          </cell>
          <cell r="C598" t="str">
            <v>DNER-ES288/97</v>
          </cell>
          <cell r="D598" t="str">
            <v xml:space="preserve"> </v>
          </cell>
          <cell r="E598" t="str">
            <v>m</v>
          </cell>
          <cell r="F598">
            <v>19.13</v>
          </cell>
          <cell r="G598">
            <v>6.848539999999999</v>
          </cell>
          <cell r="H598">
            <v>25.978539999999999</v>
          </cell>
        </row>
        <row r="599">
          <cell r="A599" t="str">
            <v>04.900.02</v>
          </cell>
          <cell r="B599" t="str">
            <v>Sarjeta triangular de concreto-STC 02</v>
          </cell>
          <cell r="C599" t="str">
            <v>DNER-ES288/97</v>
          </cell>
          <cell r="D599" t="str">
            <v xml:space="preserve"> </v>
          </cell>
          <cell r="E599" t="str">
            <v>m</v>
          </cell>
          <cell r="F599">
            <v>13.49</v>
          </cell>
          <cell r="G599">
            <v>4.8294199999999998</v>
          </cell>
          <cell r="H599">
            <v>18.319420000000001</v>
          </cell>
        </row>
        <row r="600">
          <cell r="A600" t="str">
            <v>04.900.03</v>
          </cell>
          <cell r="B600" t="str">
            <v>Sarjeta triangular de concreto-STC 03</v>
          </cell>
          <cell r="C600" t="str">
            <v>DNER-ES288/97</v>
          </cell>
          <cell r="D600" t="str">
            <v xml:space="preserve"> </v>
          </cell>
          <cell r="E600" t="str">
            <v>m</v>
          </cell>
          <cell r="F600">
            <v>11.8</v>
          </cell>
          <cell r="G600">
            <v>4.2244000000000002</v>
          </cell>
          <cell r="H600">
            <v>16.0244</v>
          </cell>
        </row>
        <row r="601">
          <cell r="A601" t="str">
            <v>04.900.04</v>
          </cell>
          <cell r="B601" t="str">
            <v>Sarjeta triangular de concreto-STC 04</v>
          </cell>
          <cell r="C601" t="str">
            <v>DNER-ES288/97</v>
          </cell>
          <cell r="D601" t="str">
            <v xml:space="preserve"> </v>
          </cell>
          <cell r="E601" t="str">
            <v>m</v>
          </cell>
          <cell r="F601">
            <v>9.52</v>
          </cell>
          <cell r="G601">
            <v>3.4081599999999996</v>
          </cell>
          <cell r="H601">
            <v>12.928159999999998</v>
          </cell>
        </row>
        <row r="602">
          <cell r="A602" t="str">
            <v>04.900.05</v>
          </cell>
          <cell r="B602" t="str">
            <v>Sarjeta triangular de concreto-STC 05</v>
          </cell>
          <cell r="C602" t="str">
            <v>DNER-ES288/97</v>
          </cell>
          <cell r="D602" t="str">
            <v xml:space="preserve"> </v>
          </cell>
          <cell r="E602" t="str">
            <v>m</v>
          </cell>
          <cell r="G602">
            <v>0</v>
          </cell>
          <cell r="H602">
            <v>0</v>
          </cell>
        </row>
        <row r="603">
          <cell r="A603" t="str">
            <v>04.900.06</v>
          </cell>
          <cell r="B603" t="str">
            <v>Sarjeta triangular de concreto-STC 06</v>
          </cell>
          <cell r="C603" t="str">
            <v>DNER-ES288/97</v>
          </cell>
          <cell r="D603" t="str">
            <v xml:space="preserve"> </v>
          </cell>
          <cell r="E603" t="str">
            <v>m</v>
          </cell>
          <cell r="G603">
            <v>0</v>
          </cell>
          <cell r="H603">
            <v>0</v>
          </cell>
        </row>
        <row r="604">
          <cell r="A604" t="str">
            <v>04.900.07</v>
          </cell>
          <cell r="B604" t="str">
            <v>Sarjeta triangular de concreto-STC 07</v>
          </cell>
          <cell r="C604" t="str">
            <v>DNER-ES288/97</v>
          </cell>
          <cell r="D604" t="str">
            <v xml:space="preserve"> </v>
          </cell>
          <cell r="E604" t="str">
            <v>m</v>
          </cell>
          <cell r="G604">
            <v>0</v>
          </cell>
          <cell r="H604">
            <v>0</v>
          </cell>
        </row>
        <row r="605">
          <cell r="A605" t="str">
            <v>04.900.08</v>
          </cell>
          <cell r="B605" t="str">
            <v>Sarjeta triangular de concreto-STC 08</v>
          </cell>
          <cell r="C605" t="str">
            <v>DNER-ES288/97</v>
          </cell>
          <cell r="D605" t="str">
            <v xml:space="preserve"> </v>
          </cell>
          <cell r="E605" t="str">
            <v>m</v>
          </cell>
          <cell r="G605">
            <v>0</v>
          </cell>
          <cell r="H605">
            <v>0</v>
          </cell>
        </row>
        <row r="606">
          <cell r="A606" t="str">
            <v>04.900.21</v>
          </cell>
          <cell r="B606" t="str">
            <v>Sarjeta de cant. central de concreto-SCC 01</v>
          </cell>
          <cell r="C606" t="str">
            <v>DNER-ES288/97</v>
          </cell>
          <cell r="D606" t="str">
            <v xml:space="preserve"> </v>
          </cell>
          <cell r="E606" t="str">
            <v>m</v>
          </cell>
          <cell r="F606">
            <v>10.199999999999999</v>
          </cell>
          <cell r="G606">
            <v>3.6515999999999997</v>
          </cell>
          <cell r="H606">
            <v>13.851599999999999</v>
          </cell>
        </row>
        <row r="607">
          <cell r="A607" t="str">
            <v>04.900.22</v>
          </cell>
          <cell r="B607" t="str">
            <v>Sarjeta de cant. central de concreto-SCC 02</v>
          </cell>
          <cell r="C607" t="str">
            <v>DNER-ES288/97</v>
          </cell>
          <cell r="D607" t="str">
            <v xml:space="preserve"> </v>
          </cell>
          <cell r="E607" t="str">
            <v>m</v>
          </cell>
          <cell r="F607">
            <v>14.12</v>
          </cell>
          <cell r="G607">
            <v>5.0549599999999995</v>
          </cell>
          <cell r="H607">
            <v>19.174959999999999</v>
          </cell>
        </row>
        <row r="608">
          <cell r="A608" t="str">
            <v>04.900.31</v>
          </cell>
          <cell r="B608" t="str">
            <v>Sarjeta triangular de grama-STG 01</v>
          </cell>
          <cell r="C608" t="str">
            <v xml:space="preserve"> </v>
          </cell>
          <cell r="D608" t="str">
            <v xml:space="preserve"> </v>
          </cell>
          <cell r="E608" t="str">
            <v>m</v>
          </cell>
          <cell r="F608">
            <v>10.8</v>
          </cell>
          <cell r="G608">
            <v>3.8664000000000001</v>
          </cell>
          <cell r="H608">
            <v>14.666400000000001</v>
          </cell>
        </row>
        <row r="609">
          <cell r="A609" t="str">
            <v>04.900.32</v>
          </cell>
          <cell r="B609" t="str">
            <v>Sarjeta triangular de grama-STG 02</v>
          </cell>
          <cell r="C609" t="str">
            <v xml:space="preserve"> </v>
          </cell>
          <cell r="D609" t="str">
            <v xml:space="preserve"> </v>
          </cell>
          <cell r="E609" t="str">
            <v>m</v>
          </cell>
          <cell r="F609">
            <v>8.94</v>
          </cell>
          <cell r="G609">
            <v>3.2005199999999996</v>
          </cell>
          <cell r="H609">
            <v>12.140519999999999</v>
          </cell>
        </row>
        <row r="610">
          <cell r="A610" t="str">
            <v>04.900.33</v>
          </cell>
          <cell r="B610" t="str">
            <v>Sarjeta triangular de grama-STG 03</v>
          </cell>
          <cell r="C610" t="str">
            <v xml:space="preserve"> </v>
          </cell>
          <cell r="D610" t="str">
            <v xml:space="preserve"> </v>
          </cell>
          <cell r="E610" t="str">
            <v>m</v>
          </cell>
          <cell r="F610">
            <v>7.81</v>
          </cell>
          <cell r="G610">
            <v>2.7959799999999997</v>
          </cell>
          <cell r="H610">
            <v>10.605979999999999</v>
          </cell>
        </row>
        <row r="611">
          <cell r="A611" t="str">
            <v>04.900.34</v>
          </cell>
          <cell r="B611" t="str">
            <v>Sarjeta triangular de grama-STG 04</v>
          </cell>
          <cell r="C611" t="str">
            <v xml:space="preserve"> </v>
          </cell>
          <cell r="D611" t="str">
            <v xml:space="preserve"> </v>
          </cell>
          <cell r="E611" t="str">
            <v>m</v>
          </cell>
          <cell r="F611">
            <v>6.24</v>
          </cell>
          <cell r="G611">
            <v>2.2339199999999999</v>
          </cell>
          <cell r="H611">
            <v>8.4739199999999997</v>
          </cell>
        </row>
        <row r="612">
          <cell r="A612" t="str">
            <v xml:space="preserve">04.900.41   </v>
          </cell>
          <cell r="B612" t="str">
            <v>Sarjeta triangular não revestida-STT 01</v>
          </cell>
          <cell r="C612" t="str">
            <v xml:space="preserve"> </v>
          </cell>
          <cell r="D612" t="str">
            <v xml:space="preserve"> </v>
          </cell>
          <cell r="E612" t="str">
            <v>m</v>
          </cell>
          <cell r="G612">
            <v>0</v>
          </cell>
          <cell r="H612">
            <v>0</v>
          </cell>
        </row>
        <row r="613">
          <cell r="A613" t="str">
            <v>04.900.42</v>
          </cell>
          <cell r="B613" t="str">
            <v>Sarjeta triangular não revestida-STT 02</v>
          </cell>
          <cell r="C613" t="str">
            <v xml:space="preserve"> </v>
          </cell>
          <cell r="D613" t="str">
            <v xml:space="preserve"> </v>
          </cell>
          <cell r="E613" t="str">
            <v>m</v>
          </cell>
          <cell r="G613">
            <v>0</v>
          </cell>
          <cell r="H613">
            <v>0</v>
          </cell>
        </row>
        <row r="614">
          <cell r="A614" t="str">
            <v>04.900.43</v>
          </cell>
          <cell r="B614" t="str">
            <v>Sarjeta triangular não revestida-STT 03</v>
          </cell>
          <cell r="C614" t="str">
            <v xml:space="preserve"> </v>
          </cell>
          <cell r="D614" t="str">
            <v xml:space="preserve"> </v>
          </cell>
          <cell r="E614" t="str">
            <v>m</v>
          </cell>
          <cell r="G614">
            <v>0</v>
          </cell>
          <cell r="H614">
            <v>0</v>
          </cell>
        </row>
        <row r="615">
          <cell r="A615" t="str">
            <v>04.900.44</v>
          </cell>
          <cell r="B615" t="str">
            <v>Sarjeta triangular não revestida-STT 04</v>
          </cell>
          <cell r="C615" t="str">
            <v xml:space="preserve"> </v>
          </cell>
          <cell r="D615" t="str">
            <v xml:space="preserve"> </v>
          </cell>
          <cell r="E615" t="str">
            <v>m</v>
          </cell>
          <cell r="G615">
            <v>0</v>
          </cell>
          <cell r="H615">
            <v>0</v>
          </cell>
        </row>
        <row r="616">
          <cell r="A616" t="str">
            <v>P 04.901.10</v>
          </cell>
          <cell r="B616" t="str">
            <v>Sarjeta de pé de aterro (terra armada)</v>
          </cell>
          <cell r="C616" t="str">
            <v xml:space="preserve"> </v>
          </cell>
          <cell r="D616" t="str">
            <v xml:space="preserve"> </v>
          </cell>
          <cell r="E616" t="str">
            <v>m</v>
          </cell>
          <cell r="F616">
            <v>12.19</v>
          </cell>
          <cell r="G616">
            <v>4.36402</v>
          </cell>
          <cell r="H616">
            <v>16.554020000000001</v>
          </cell>
        </row>
        <row r="617">
          <cell r="A617" t="str">
            <v>P 04.901.11</v>
          </cell>
          <cell r="B617" t="str">
            <v>Cimento asfático (Transporte)</v>
          </cell>
          <cell r="C617" t="str">
            <v xml:space="preserve"> </v>
          </cell>
          <cell r="D617" t="str">
            <v xml:space="preserve"> </v>
          </cell>
          <cell r="E617" t="str">
            <v>Kg</v>
          </cell>
          <cell r="F617">
            <v>0.01</v>
          </cell>
          <cell r="G617">
            <v>3.5799999999999998E-3</v>
          </cell>
          <cell r="H617">
            <v>1.358E-2</v>
          </cell>
        </row>
        <row r="618">
          <cell r="A618" t="str">
            <v>04.901.01</v>
          </cell>
          <cell r="B618" t="str">
            <v>Sarjeta trapezoidal de concreto-SZC 01</v>
          </cell>
          <cell r="C618" t="str">
            <v>DNER-ES288/97</v>
          </cell>
          <cell r="D618" t="str">
            <v xml:space="preserve"> </v>
          </cell>
          <cell r="E618" t="str">
            <v>m</v>
          </cell>
          <cell r="F618">
            <v>14.73</v>
          </cell>
          <cell r="G618">
            <v>5.2733400000000001</v>
          </cell>
          <cell r="H618">
            <v>20.003340000000001</v>
          </cell>
        </row>
        <row r="619">
          <cell r="A619" t="str">
            <v>04.901.02</v>
          </cell>
          <cell r="B619" t="str">
            <v>Sarjeta trapezoidal de concreto-SZC 02</v>
          </cell>
          <cell r="C619" t="str">
            <v>DNER-ES288/97</v>
          </cell>
          <cell r="D619" t="str">
            <v xml:space="preserve"> </v>
          </cell>
          <cell r="E619" t="str">
            <v>m</v>
          </cell>
          <cell r="F619">
            <v>10.18</v>
          </cell>
          <cell r="G619">
            <v>3.6444399999999999</v>
          </cell>
          <cell r="H619">
            <v>13.824439999999999</v>
          </cell>
        </row>
        <row r="620">
          <cell r="A620" t="str">
            <v>04.901.21</v>
          </cell>
          <cell r="B620" t="str">
            <v>Sarjeta de cant. central de concreto-SCC 03</v>
          </cell>
          <cell r="C620" t="str">
            <v>DNER-ES288/97</v>
          </cell>
          <cell r="D620" t="str">
            <v xml:space="preserve"> </v>
          </cell>
          <cell r="E620" t="str">
            <v>m</v>
          </cell>
          <cell r="F620">
            <v>12.24</v>
          </cell>
          <cell r="G620">
            <v>4.38192</v>
          </cell>
          <cell r="H620">
            <v>16.621919999999999</v>
          </cell>
        </row>
        <row r="621">
          <cell r="A621" t="str">
            <v>04.901.22</v>
          </cell>
          <cell r="B621" t="str">
            <v>Sarjeta de cant. central de concreto-SCC 04</v>
          </cell>
          <cell r="C621" t="str">
            <v>DNER-ES288/97</v>
          </cell>
          <cell r="D621" t="str">
            <v xml:space="preserve"> </v>
          </cell>
          <cell r="E621" t="str">
            <v>m</v>
          </cell>
          <cell r="F621">
            <v>21.21</v>
          </cell>
          <cell r="G621">
            <v>7.5931800000000003</v>
          </cell>
          <cell r="H621">
            <v>28.803180000000001</v>
          </cell>
        </row>
        <row r="622">
          <cell r="A622" t="str">
            <v>04.901.31</v>
          </cell>
          <cell r="B622" t="str">
            <v>Sarjeta trapezoidal de grama- SZG 01</v>
          </cell>
          <cell r="C622" t="str">
            <v xml:space="preserve"> </v>
          </cell>
          <cell r="D622" t="str">
            <v xml:space="preserve"> </v>
          </cell>
          <cell r="E622" t="str">
            <v>m</v>
          </cell>
          <cell r="G622">
            <v>0</v>
          </cell>
          <cell r="H622">
            <v>0</v>
          </cell>
        </row>
        <row r="623">
          <cell r="A623" t="str">
            <v>04.901.32</v>
          </cell>
          <cell r="B623" t="str">
            <v>Sarjeta trapezoidal de grama- SZG 02</v>
          </cell>
          <cell r="C623" t="str">
            <v xml:space="preserve"> </v>
          </cell>
          <cell r="D623" t="str">
            <v xml:space="preserve"> </v>
          </cell>
          <cell r="E623" t="str">
            <v>m</v>
          </cell>
          <cell r="G623">
            <v>0</v>
          </cell>
          <cell r="H623">
            <v>0</v>
          </cell>
        </row>
        <row r="624">
          <cell r="A624" t="str">
            <v>04.901.41</v>
          </cell>
          <cell r="B624" t="str">
            <v>Sarjeta trapezoidal não revestida-SZT 01</v>
          </cell>
          <cell r="C624" t="str">
            <v xml:space="preserve"> </v>
          </cell>
          <cell r="D624" t="str">
            <v xml:space="preserve"> </v>
          </cell>
          <cell r="E624" t="str">
            <v>m</v>
          </cell>
          <cell r="G624">
            <v>0</v>
          </cell>
          <cell r="H624">
            <v>0</v>
          </cell>
        </row>
        <row r="625">
          <cell r="A625" t="str">
            <v>04.901.42</v>
          </cell>
          <cell r="B625" t="str">
            <v>Sarjeta trapezoidal não revestida-SZT 02</v>
          </cell>
          <cell r="C625" t="str">
            <v xml:space="preserve"> </v>
          </cell>
          <cell r="D625" t="str">
            <v xml:space="preserve"> </v>
          </cell>
          <cell r="E625" t="str">
            <v>m</v>
          </cell>
          <cell r="G625">
            <v>0</v>
          </cell>
          <cell r="H625">
            <v>0</v>
          </cell>
        </row>
        <row r="626">
          <cell r="A626" t="str">
            <v>P04.901.43</v>
          </cell>
          <cell r="B626" t="str">
            <v>Canaleta c/ grelha de concreto</v>
          </cell>
          <cell r="E626" t="str">
            <v>m</v>
          </cell>
          <cell r="F626">
            <v>57.01</v>
          </cell>
          <cell r="G626">
            <v>20.409579999999998</v>
          </cell>
          <cell r="H626">
            <v>77.419579999999996</v>
          </cell>
        </row>
        <row r="627">
          <cell r="A627" t="str">
            <v>04.910.01</v>
          </cell>
          <cell r="B627" t="str">
            <v>Meio-fio de concreto-MFC 01</v>
          </cell>
          <cell r="C627" t="str">
            <v>DNER-ES290/97</v>
          </cell>
          <cell r="D627" t="str">
            <v xml:space="preserve"> </v>
          </cell>
          <cell r="E627" t="str">
            <v>m</v>
          </cell>
          <cell r="G627">
            <v>0</v>
          </cell>
          <cell r="H627">
            <v>0</v>
          </cell>
        </row>
        <row r="628">
          <cell r="A628" t="str">
            <v>04.910.02</v>
          </cell>
          <cell r="B628" t="str">
            <v>Meio-fio de concreto-MFC 02</v>
          </cell>
          <cell r="C628" t="str">
            <v>DNER-ES290/97</v>
          </cell>
          <cell r="D628" t="str">
            <v xml:space="preserve"> </v>
          </cell>
          <cell r="E628" t="str">
            <v>m</v>
          </cell>
          <cell r="G628">
            <v>0</v>
          </cell>
          <cell r="H628">
            <v>0</v>
          </cell>
        </row>
        <row r="629">
          <cell r="A629" t="str">
            <v>04.910.03</v>
          </cell>
          <cell r="B629" t="str">
            <v>Meio-fio de concreto-MFC 03</v>
          </cell>
          <cell r="C629" t="str">
            <v>DNER-ES290/97</v>
          </cell>
          <cell r="D629" t="str">
            <v xml:space="preserve"> </v>
          </cell>
          <cell r="E629" t="str">
            <v>m</v>
          </cell>
          <cell r="F629">
            <v>8.27</v>
          </cell>
          <cell r="G629">
            <v>2.9606599999999998</v>
          </cell>
          <cell r="H629">
            <v>11.23066</v>
          </cell>
        </row>
        <row r="630">
          <cell r="A630" t="str">
            <v>04.910.04</v>
          </cell>
          <cell r="B630" t="str">
            <v>Meio-fio de concreto-MFC 04</v>
          </cell>
          <cell r="C630" t="str">
            <v>DNER-ES290/97</v>
          </cell>
          <cell r="D630" t="str">
            <v xml:space="preserve"> </v>
          </cell>
          <cell r="E630" t="str">
            <v>m</v>
          </cell>
          <cell r="G630">
            <v>0</v>
          </cell>
          <cell r="H630">
            <v>0</v>
          </cell>
        </row>
        <row r="631">
          <cell r="A631" t="str">
            <v>04.910.05</v>
          </cell>
          <cell r="B631" t="str">
            <v>Meio-fio de concreto-MFC 05</v>
          </cell>
          <cell r="C631" t="str">
            <v>DNER-ES290/97</v>
          </cell>
          <cell r="D631" t="str">
            <v xml:space="preserve"> </v>
          </cell>
          <cell r="E631" t="str">
            <v>m</v>
          </cell>
          <cell r="F631">
            <v>7.76</v>
          </cell>
          <cell r="G631">
            <v>2.7780799999999997</v>
          </cell>
          <cell r="H631">
            <v>10.538079999999999</v>
          </cell>
        </row>
        <row r="632">
          <cell r="A632" t="str">
            <v>04.910.06</v>
          </cell>
          <cell r="B632" t="str">
            <v>Meio-fio de concreto-MFC 06</v>
          </cell>
          <cell r="C632" t="str">
            <v>DNER-ES290/97</v>
          </cell>
          <cell r="D632" t="str">
            <v xml:space="preserve"> </v>
          </cell>
          <cell r="E632" t="str">
            <v>m</v>
          </cell>
          <cell r="G632">
            <v>0</v>
          </cell>
          <cell r="H632">
            <v>0</v>
          </cell>
        </row>
        <row r="633">
          <cell r="A633" t="str">
            <v>04.910.07</v>
          </cell>
          <cell r="B633" t="str">
            <v>Meio-fio de concreto-MFC 07</v>
          </cell>
          <cell r="C633" t="str">
            <v>DNER-ES290/97</v>
          </cell>
          <cell r="D633" t="str">
            <v xml:space="preserve"> </v>
          </cell>
          <cell r="E633" t="str">
            <v>m</v>
          </cell>
          <cell r="G633">
            <v>0</v>
          </cell>
          <cell r="H633">
            <v>0</v>
          </cell>
        </row>
        <row r="634">
          <cell r="A634" t="str">
            <v>04.910.08</v>
          </cell>
          <cell r="B634" t="str">
            <v>Meio-fio de concreto-MFC 08</v>
          </cell>
          <cell r="C634" t="str">
            <v>DNER-ES290/97</v>
          </cell>
          <cell r="D634" t="str">
            <v xml:space="preserve"> </v>
          </cell>
          <cell r="E634" t="str">
            <v>m</v>
          </cell>
          <cell r="G634">
            <v>0</v>
          </cell>
          <cell r="H634">
            <v>0</v>
          </cell>
        </row>
        <row r="635">
          <cell r="A635" t="str">
            <v>04.930.01</v>
          </cell>
          <cell r="B635" t="str">
            <v>Caixa coletora de sarjeta-CCS 01</v>
          </cell>
          <cell r="C635" t="str">
            <v>DNER-ES287/97</v>
          </cell>
          <cell r="D635" t="str">
            <v xml:space="preserve"> </v>
          </cell>
          <cell r="E635" t="str">
            <v>un</v>
          </cell>
          <cell r="F635">
            <v>418.89</v>
          </cell>
          <cell r="G635">
            <v>149.96261999999999</v>
          </cell>
          <cell r="H635">
            <v>568.85262</v>
          </cell>
        </row>
        <row r="636">
          <cell r="A636" t="str">
            <v>04.930.02</v>
          </cell>
          <cell r="B636" t="str">
            <v>Caixa coletora de sarjeta-CCS 02</v>
          </cell>
          <cell r="C636" t="str">
            <v>DNER-ES287/97</v>
          </cell>
          <cell r="D636" t="str">
            <v xml:space="preserve"> </v>
          </cell>
          <cell r="E636" t="str">
            <v>un</v>
          </cell>
          <cell r="F636">
            <v>409.15</v>
          </cell>
          <cell r="G636">
            <v>146.47569999999999</v>
          </cell>
          <cell r="H636">
            <v>555.62569999999994</v>
          </cell>
        </row>
        <row r="637">
          <cell r="A637" t="str">
            <v>04.930.03</v>
          </cell>
          <cell r="B637" t="str">
            <v>Caixa coletora de sarjeta-CCS 03</v>
          </cell>
          <cell r="C637" t="str">
            <v>DNER-ES287/97</v>
          </cell>
          <cell r="D637" t="str">
            <v xml:space="preserve"> </v>
          </cell>
          <cell r="E637" t="str">
            <v>un</v>
          </cell>
          <cell r="F637">
            <v>399.4</v>
          </cell>
          <cell r="G637">
            <v>142.98519999999999</v>
          </cell>
          <cell r="H637">
            <v>542.38519999999994</v>
          </cell>
        </row>
        <row r="638">
          <cell r="A638" t="str">
            <v>04.930.04</v>
          </cell>
          <cell r="B638" t="str">
            <v>Caixa coletora de sarjeta-CCS 04</v>
          </cell>
          <cell r="C638" t="str">
            <v>DNER-ES287/97</v>
          </cell>
          <cell r="D638" t="str">
            <v xml:space="preserve"> </v>
          </cell>
          <cell r="E638" t="str">
            <v>un</v>
          </cell>
          <cell r="G638">
            <v>0</v>
          </cell>
          <cell r="H638">
            <v>0</v>
          </cell>
        </row>
        <row r="639">
          <cell r="A639" t="str">
            <v>04.930.05</v>
          </cell>
          <cell r="B639" t="str">
            <v>Caixa coletora de sarjeta-CCS 05</v>
          </cell>
          <cell r="C639" t="str">
            <v>DNER-ES287/97</v>
          </cell>
          <cell r="D639" t="str">
            <v xml:space="preserve"> </v>
          </cell>
          <cell r="E639" t="str">
            <v>un</v>
          </cell>
          <cell r="F639">
            <v>526.63</v>
          </cell>
          <cell r="G639">
            <v>188.53353999999999</v>
          </cell>
          <cell r="H639">
            <v>715.16354000000001</v>
          </cell>
        </row>
        <row r="640">
          <cell r="A640" t="str">
            <v>04.930.06</v>
          </cell>
          <cell r="B640" t="str">
            <v>Caixa coletora de sarjeta-CCS 06</v>
          </cell>
          <cell r="C640" t="str">
            <v>DNER-ES287/97</v>
          </cell>
          <cell r="D640" t="str">
            <v xml:space="preserve"> </v>
          </cell>
          <cell r="E640" t="str">
            <v>un</v>
          </cell>
          <cell r="F640">
            <v>516.30999999999995</v>
          </cell>
          <cell r="G640">
            <v>184.83897999999996</v>
          </cell>
          <cell r="H640">
            <v>701.14897999999994</v>
          </cell>
        </row>
        <row r="641">
          <cell r="A641" t="str">
            <v>04.930.07</v>
          </cell>
          <cell r="B641" t="str">
            <v>Caixa coletora de sarjeta-CCS 07</v>
          </cell>
          <cell r="C641" t="str">
            <v>DNER-ES287/97</v>
          </cell>
          <cell r="D641" t="str">
            <v xml:space="preserve"> </v>
          </cell>
          <cell r="E641" t="str">
            <v>un</v>
          </cell>
          <cell r="F641">
            <v>505.99</v>
          </cell>
          <cell r="G641">
            <v>181.14442</v>
          </cell>
          <cell r="H641">
            <v>687.13441999999998</v>
          </cell>
        </row>
        <row r="642">
          <cell r="A642" t="str">
            <v>04.930.08</v>
          </cell>
          <cell r="B642" t="str">
            <v>Caixa coletora de sarjeta-CCS 08</v>
          </cell>
          <cell r="C642" t="str">
            <v>DNER-ES287/97</v>
          </cell>
          <cell r="D642" t="str">
            <v xml:space="preserve"> </v>
          </cell>
          <cell r="E642" t="str">
            <v>un</v>
          </cell>
          <cell r="G642">
            <v>0</v>
          </cell>
          <cell r="H642">
            <v>0</v>
          </cell>
        </row>
        <row r="643">
          <cell r="A643" t="str">
            <v>04.930.09</v>
          </cell>
          <cell r="B643" t="str">
            <v>Caixa coletora de sarjeta-CCS 09</v>
          </cell>
          <cell r="C643" t="str">
            <v>DNER-ES287/97</v>
          </cell>
          <cell r="D643" t="str">
            <v xml:space="preserve"> </v>
          </cell>
          <cell r="E643" t="str">
            <v>un</v>
          </cell>
          <cell r="F643">
            <v>633.79999999999995</v>
          </cell>
          <cell r="G643">
            <v>226.90039999999996</v>
          </cell>
          <cell r="H643">
            <v>860.70039999999995</v>
          </cell>
        </row>
        <row r="644">
          <cell r="A644" t="str">
            <v>04.930.10</v>
          </cell>
          <cell r="B644" t="str">
            <v>Caixa coletora de sarjeta-CCS 10</v>
          </cell>
          <cell r="C644" t="str">
            <v>DNER-ES287/97</v>
          </cell>
          <cell r="D644" t="str">
            <v xml:space="preserve"> </v>
          </cell>
          <cell r="E644" t="str">
            <v>un</v>
          </cell>
          <cell r="F644">
            <v>623.48</v>
          </cell>
          <cell r="G644">
            <v>223.20583999999999</v>
          </cell>
          <cell r="H644">
            <v>846.68583999999998</v>
          </cell>
        </row>
        <row r="645">
          <cell r="A645" t="str">
            <v>04.930.11</v>
          </cell>
          <cell r="B645" t="str">
            <v>Caixa coletora de sarjeta-CCS 11</v>
          </cell>
          <cell r="C645" t="str">
            <v>DNER-ES287/97</v>
          </cell>
          <cell r="D645" t="str">
            <v xml:space="preserve"> </v>
          </cell>
          <cell r="E645" t="str">
            <v>un</v>
          </cell>
          <cell r="F645">
            <v>613.16</v>
          </cell>
          <cell r="G645">
            <v>219.51127999999997</v>
          </cell>
          <cell r="H645">
            <v>832.67127999999991</v>
          </cell>
        </row>
        <row r="646">
          <cell r="A646" t="str">
            <v>04.930.12</v>
          </cell>
          <cell r="B646" t="str">
            <v>Caixa coletora de sarjeta-CCS 12</v>
          </cell>
          <cell r="C646" t="str">
            <v>DNER-ES287/97</v>
          </cell>
          <cell r="D646" t="str">
            <v xml:space="preserve"> </v>
          </cell>
          <cell r="E646" t="str">
            <v>un</v>
          </cell>
          <cell r="G646">
            <v>0</v>
          </cell>
          <cell r="H646">
            <v>0</v>
          </cell>
        </row>
        <row r="647">
          <cell r="A647" t="str">
            <v>04.930.13</v>
          </cell>
          <cell r="B647" t="str">
            <v>Caixa coletora de sarjeta-CCS 13</v>
          </cell>
          <cell r="C647" t="str">
            <v>DNER-ES287/97</v>
          </cell>
          <cell r="D647" t="str">
            <v xml:space="preserve"> </v>
          </cell>
          <cell r="E647" t="str">
            <v>un</v>
          </cell>
          <cell r="G647">
            <v>0</v>
          </cell>
          <cell r="H647">
            <v>0</v>
          </cell>
        </row>
        <row r="648">
          <cell r="A648" t="str">
            <v>04.930.14</v>
          </cell>
          <cell r="B648" t="str">
            <v>Caixa coletora de sarjeta-CCS 14</v>
          </cell>
          <cell r="C648" t="str">
            <v>DNER-ES287/97</v>
          </cell>
          <cell r="D648" t="str">
            <v xml:space="preserve"> </v>
          </cell>
          <cell r="E648" t="str">
            <v>un</v>
          </cell>
          <cell r="G648">
            <v>0</v>
          </cell>
          <cell r="H648">
            <v>0</v>
          </cell>
        </row>
        <row r="649">
          <cell r="A649" t="str">
            <v>04.930.15</v>
          </cell>
          <cell r="B649" t="str">
            <v>Caixa coletora de sarjeta-CCS 15</v>
          </cell>
          <cell r="C649" t="str">
            <v>DNER-ES287/97</v>
          </cell>
          <cell r="D649" t="str">
            <v xml:space="preserve"> </v>
          </cell>
          <cell r="E649" t="str">
            <v>un</v>
          </cell>
          <cell r="G649">
            <v>0</v>
          </cell>
          <cell r="H649">
            <v>0</v>
          </cell>
        </row>
        <row r="650">
          <cell r="A650" t="str">
            <v>04.930.16</v>
          </cell>
          <cell r="B650" t="str">
            <v>Caixa coletora de sarjeta-CCS 16</v>
          </cell>
          <cell r="C650" t="str">
            <v>DNER-ES287/97</v>
          </cell>
          <cell r="D650" t="str">
            <v xml:space="preserve"> </v>
          </cell>
          <cell r="E650" t="str">
            <v>un</v>
          </cell>
          <cell r="G650">
            <v>0</v>
          </cell>
          <cell r="H650">
            <v>0</v>
          </cell>
        </row>
        <row r="651">
          <cell r="A651" t="str">
            <v>04.930.17</v>
          </cell>
          <cell r="B651" t="str">
            <v>Caixa coletora de sarjeta-CCS 17</v>
          </cell>
          <cell r="C651" t="str">
            <v>DNER-ES287/97</v>
          </cell>
          <cell r="D651" t="str">
            <v xml:space="preserve"> </v>
          </cell>
          <cell r="E651" t="str">
            <v>un</v>
          </cell>
          <cell r="G651">
            <v>0</v>
          </cell>
          <cell r="H651">
            <v>0</v>
          </cell>
        </row>
        <row r="652">
          <cell r="A652" t="str">
            <v>04.930.18</v>
          </cell>
          <cell r="B652" t="str">
            <v>Caixa coletora de sarjeta-CCS 18</v>
          </cell>
          <cell r="C652" t="str">
            <v>DNER-ES287/97</v>
          </cell>
          <cell r="D652" t="str">
            <v xml:space="preserve"> </v>
          </cell>
          <cell r="E652" t="str">
            <v>un</v>
          </cell>
          <cell r="G652">
            <v>0</v>
          </cell>
          <cell r="H652">
            <v>0</v>
          </cell>
        </row>
        <row r="653">
          <cell r="A653" t="str">
            <v>04.930.19</v>
          </cell>
          <cell r="B653" t="str">
            <v>Caixa coletora de sarjeta-CCS 19</v>
          </cell>
          <cell r="C653" t="str">
            <v>DNER-ES287/97</v>
          </cell>
          <cell r="D653" t="str">
            <v xml:space="preserve"> </v>
          </cell>
          <cell r="E653" t="str">
            <v>un</v>
          </cell>
          <cell r="G653">
            <v>0</v>
          </cell>
          <cell r="H653">
            <v>0</v>
          </cell>
        </row>
        <row r="654">
          <cell r="A654" t="str">
            <v>04.930.20</v>
          </cell>
          <cell r="B654" t="str">
            <v>Caixa coletora de sarjeta-CCS 20</v>
          </cell>
          <cell r="C654" t="str">
            <v>DNER-ES287/97</v>
          </cell>
          <cell r="D654" t="str">
            <v xml:space="preserve"> </v>
          </cell>
          <cell r="E654" t="str">
            <v>un</v>
          </cell>
          <cell r="G654">
            <v>0</v>
          </cell>
          <cell r="H654">
            <v>0</v>
          </cell>
        </row>
        <row r="655">
          <cell r="A655" t="str">
            <v>DER78150</v>
          </cell>
          <cell r="B655" t="str">
            <v>Caixa coletora de sarjeta - CCS, D=60cm e H = 1,00m</v>
          </cell>
          <cell r="E655" t="str">
            <v>un</v>
          </cell>
          <cell r="F655">
            <v>231</v>
          </cell>
          <cell r="G655">
            <v>82.697999999999993</v>
          </cell>
          <cell r="H655">
            <v>313.69799999999998</v>
          </cell>
        </row>
        <row r="656">
          <cell r="A656" t="str">
            <v>DER78150a</v>
          </cell>
          <cell r="B656" t="str">
            <v>Caixa coletora de sarjeta - CCS, D=60cm E H=1,5m</v>
          </cell>
          <cell r="E656" t="str">
            <v>un</v>
          </cell>
          <cell r="F656">
            <v>368.52</v>
          </cell>
          <cell r="G656">
            <v>131.93016</v>
          </cell>
          <cell r="H656">
            <v>500.45015999999998</v>
          </cell>
        </row>
        <row r="657">
          <cell r="A657" t="str">
            <v>DER78150b</v>
          </cell>
          <cell r="B657" t="str">
            <v>Caixa coletora de sarjeta - CCS, D=40cm E H=1,00m</v>
          </cell>
          <cell r="E657" t="str">
            <v>un</v>
          </cell>
          <cell r="F657">
            <v>281.35000000000002</v>
          </cell>
          <cell r="G657">
            <v>100.72330000000001</v>
          </cell>
          <cell r="H657">
            <v>382.07330000000002</v>
          </cell>
        </row>
        <row r="658">
          <cell r="A658" t="str">
            <v>DER78150c</v>
          </cell>
          <cell r="B658" t="str">
            <v>Caixa coletora de sarjeta - CCS, D=40cm E H=1,50m</v>
          </cell>
          <cell r="E658" t="str">
            <v>un</v>
          </cell>
          <cell r="F658">
            <v>370.9</v>
          </cell>
          <cell r="G658">
            <v>132.78219999999999</v>
          </cell>
          <cell r="H658">
            <v>503.68219999999997</v>
          </cell>
        </row>
        <row r="659">
          <cell r="A659" t="str">
            <v>DER78150d</v>
          </cell>
          <cell r="B659" t="str">
            <v>Caixa coletora de sarjeta - CCS, D=40cm E H=2,00m</v>
          </cell>
          <cell r="E659" t="str">
            <v>un</v>
          </cell>
          <cell r="F659">
            <v>460.43</v>
          </cell>
          <cell r="G659">
            <v>164.83393999999998</v>
          </cell>
          <cell r="H659">
            <v>625.26394000000005</v>
          </cell>
        </row>
        <row r="660">
          <cell r="A660" t="str">
            <v>DER78250</v>
          </cell>
          <cell r="B660" t="str">
            <v>Caixa coletora de sarjeta - CCS, D=80cm E H=1,50m</v>
          </cell>
          <cell r="E660" t="str">
            <v>un</v>
          </cell>
          <cell r="F660">
            <v>321.55</v>
          </cell>
          <cell r="G660">
            <v>115.11490000000001</v>
          </cell>
          <cell r="H660">
            <v>436.66489999999999</v>
          </cell>
        </row>
        <row r="661">
          <cell r="A661" t="str">
            <v>DER78300</v>
          </cell>
          <cell r="B661" t="str">
            <v>Caixa coletora de sarjeta - CCS, D=100cm E H=1,50m</v>
          </cell>
          <cell r="E661" t="str">
            <v>un</v>
          </cell>
          <cell r="F661">
            <v>331.03</v>
          </cell>
          <cell r="G661">
            <v>118.50873999999999</v>
          </cell>
          <cell r="H661">
            <v>449.53873999999996</v>
          </cell>
        </row>
        <row r="662">
          <cell r="A662" t="str">
            <v>DER77100</v>
          </cell>
          <cell r="B662" t="str">
            <v>Caixa coletora de talvegue - CCT, D=80cm E H=1,50m</v>
          </cell>
          <cell r="E662" t="str">
            <v>un</v>
          </cell>
          <cell r="F662">
            <v>309.24</v>
          </cell>
          <cell r="G662">
            <v>110.70792</v>
          </cell>
          <cell r="H662">
            <v>419.94792000000001</v>
          </cell>
        </row>
        <row r="663">
          <cell r="A663" t="str">
            <v>DER77150</v>
          </cell>
          <cell r="B663" t="str">
            <v>Caixa coletora de talvegue - CCT, D=100cm E H=1,50m</v>
          </cell>
          <cell r="E663" t="str">
            <v>un</v>
          </cell>
          <cell r="F663">
            <v>302.36</v>
          </cell>
          <cell r="G663">
            <v>108.24487999999999</v>
          </cell>
          <cell r="H663">
            <v>410.60487999999998</v>
          </cell>
        </row>
        <row r="664">
          <cell r="A664" t="str">
            <v>DER77150a</v>
          </cell>
          <cell r="B664" t="str">
            <v>Caixa coletora de talvegue - CCT, D=40cm E H=1,00m</v>
          </cell>
          <cell r="E664" t="str">
            <v>un</v>
          </cell>
          <cell r="F664">
            <v>285.89</v>
          </cell>
          <cell r="G664">
            <v>102.34862</v>
          </cell>
          <cell r="H664">
            <v>388.23861999999997</v>
          </cell>
        </row>
        <row r="665">
          <cell r="A665" t="str">
            <v>DER77150b</v>
          </cell>
          <cell r="B665" t="str">
            <v>Caixa coletora de talvegue - CCT, D=40cm E H=1,50m</v>
          </cell>
          <cell r="E665" t="str">
            <v>un</v>
          </cell>
          <cell r="F665">
            <v>376.22</v>
          </cell>
          <cell r="G665">
            <v>134.68675999999999</v>
          </cell>
          <cell r="H665">
            <v>510.90676000000002</v>
          </cell>
        </row>
        <row r="666">
          <cell r="A666" t="str">
            <v>DER77150c</v>
          </cell>
          <cell r="B666" t="str">
            <v>Caixa coletora de talvegue - CCT, D=60cm E H=1,00m</v>
          </cell>
          <cell r="E666" t="str">
            <v>un</v>
          </cell>
          <cell r="F666">
            <v>236.25</v>
          </cell>
          <cell r="G666">
            <v>84.577500000000001</v>
          </cell>
          <cell r="H666">
            <v>320.82749999999999</v>
          </cell>
        </row>
        <row r="667">
          <cell r="A667" t="str">
            <v>DER77150d</v>
          </cell>
          <cell r="B667" t="str">
            <v>Caixa coletora de talvegue, para BDTC, D=1,20m E H=1,50m</v>
          </cell>
          <cell r="E667" t="str">
            <v>un</v>
          </cell>
          <cell r="F667">
            <v>428.06</v>
          </cell>
          <cell r="G667">
            <v>153.24547999999999</v>
          </cell>
          <cell r="H667">
            <v>581.30547999999999</v>
          </cell>
        </row>
        <row r="668">
          <cell r="A668" t="str">
            <v>DER72450</v>
          </cell>
          <cell r="B668" t="str">
            <v>Boca para BSTC D=80cm - Normal</v>
          </cell>
          <cell r="E668" t="str">
            <v>un</v>
          </cell>
          <cell r="F668">
            <v>295.62</v>
          </cell>
          <cell r="G668">
            <v>105.83196</v>
          </cell>
          <cell r="H668">
            <v>401.45195999999999</v>
          </cell>
        </row>
        <row r="669">
          <cell r="A669" t="str">
            <v>DER72450a</v>
          </cell>
          <cell r="B669" t="str">
            <v>Boca para BSTM D=140cm - Normal</v>
          </cell>
          <cell r="E669" t="str">
            <v>un</v>
          </cell>
          <cell r="F669">
            <v>508.27</v>
          </cell>
          <cell r="G669">
            <v>181.96065999999999</v>
          </cell>
          <cell r="H669">
            <v>690.23065999999994</v>
          </cell>
        </row>
        <row r="670">
          <cell r="A670" t="str">
            <v>DER66050</v>
          </cell>
          <cell r="B670" t="str">
            <v>Corpo de BSTC D=50cm c/ lastro de brita</v>
          </cell>
          <cell r="E670" t="str">
            <v>m</v>
          </cell>
          <cell r="F670">
            <v>40.07</v>
          </cell>
          <cell r="G670">
            <v>14.34506</v>
          </cell>
          <cell r="H670">
            <v>54.415059999999997</v>
          </cell>
        </row>
        <row r="671">
          <cell r="A671" t="str">
            <v>DER72350a</v>
          </cell>
          <cell r="B671" t="str">
            <v>Boca para BSTC D=50cm - Normal</v>
          </cell>
          <cell r="E671" t="str">
            <v>un</v>
          </cell>
          <cell r="F671">
            <v>116.02</v>
          </cell>
          <cell r="G671">
            <v>41.535159999999998</v>
          </cell>
          <cell r="H671">
            <v>157.55516</v>
          </cell>
        </row>
        <row r="672">
          <cell r="A672" t="str">
            <v>DER72350b</v>
          </cell>
          <cell r="B672" t="str">
            <v>Boca para BSTC D=40cm - Normal</v>
          </cell>
          <cell r="E672" t="str">
            <v>un</v>
          </cell>
          <cell r="F672">
            <v>108.67</v>
          </cell>
          <cell r="G672">
            <v>38.903860000000002</v>
          </cell>
          <cell r="H672">
            <v>147.57386</v>
          </cell>
        </row>
        <row r="673">
          <cell r="A673" t="str">
            <v>P04.931.00</v>
          </cell>
          <cell r="B673" t="str">
            <v>Caixa coletora de talvegue para BSTC D=40cm com H=1,0m</v>
          </cell>
          <cell r="E673" t="str">
            <v>un</v>
          </cell>
          <cell r="F673">
            <v>131.63</v>
          </cell>
          <cell r="G673">
            <v>47.123539999999998</v>
          </cell>
          <cell r="H673">
            <v>178.75353999999999</v>
          </cell>
        </row>
        <row r="674">
          <cell r="A674" t="str">
            <v>P04.931.01</v>
          </cell>
          <cell r="B674" t="str">
            <v>Caixa coletora de talvegue para BSTC D=40cm com H=1,5m</v>
          </cell>
          <cell r="E674" t="str">
            <v>un</v>
          </cell>
          <cell r="F674">
            <v>197.14</v>
          </cell>
          <cell r="G674">
            <v>70.576119999999989</v>
          </cell>
          <cell r="H674">
            <v>267.71611999999999</v>
          </cell>
        </row>
        <row r="675">
          <cell r="A675" t="str">
            <v>04.931.01</v>
          </cell>
          <cell r="B675" t="str">
            <v>Caixa coletora de talvegue-CCT 01</v>
          </cell>
          <cell r="C675" t="str">
            <v>DNER-ES287/97</v>
          </cell>
          <cell r="D675" t="str">
            <v xml:space="preserve"> </v>
          </cell>
          <cell r="E675" t="str">
            <v>un</v>
          </cell>
          <cell r="F675">
            <v>425.88</v>
          </cell>
          <cell r="G675">
            <v>152.46503999999999</v>
          </cell>
          <cell r="H675">
            <v>578.34503999999993</v>
          </cell>
        </row>
        <row r="676">
          <cell r="A676" t="str">
            <v>04.931.02</v>
          </cell>
          <cell r="B676" t="str">
            <v>Caixa coletora de talvegue-CCT 02</v>
          </cell>
          <cell r="C676" t="str">
            <v>DNER-ES287/97</v>
          </cell>
          <cell r="D676" t="str">
            <v xml:space="preserve"> </v>
          </cell>
          <cell r="E676" t="str">
            <v>un</v>
          </cell>
          <cell r="F676">
            <v>415.57</v>
          </cell>
          <cell r="G676">
            <v>148.77405999999999</v>
          </cell>
          <cell r="H676">
            <v>564.34406000000001</v>
          </cell>
        </row>
        <row r="677">
          <cell r="A677" t="str">
            <v>04.931.03</v>
          </cell>
          <cell r="B677" t="str">
            <v>Caixa coletora de talvegue-CCT 03</v>
          </cell>
          <cell r="C677" t="str">
            <v>DNER-ES287/97</v>
          </cell>
          <cell r="D677" t="str">
            <v xml:space="preserve"> </v>
          </cell>
          <cell r="E677" t="str">
            <v>un</v>
          </cell>
          <cell r="F677">
            <v>406.22</v>
          </cell>
          <cell r="G677">
            <v>145.42676</v>
          </cell>
          <cell r="H677">
            <v>551.64676000000009</v>
          </cell>
        </row>
        <row r="678">
          <cell r="A678" t="str">
            <v>04.931.04</v>
          </cell>
          <cell r="B678" t="str">
            <v>Caixa coletora de talvegue-CCT 04</v>
          </cell>
          <cell r="C678" t="str">
            <v>DNER-ES287/97</v>
          </cell>
          <cell r="D678" t="str">
            <v xml:space="preserve"> </v>
          </cell>
          <cell r="E678" t="str">
            <v>un</v>
          </cell>
          <cell r="F678">
            <v>571.04999999999995</v>
          </cell>
          <cell r="G678">
            <v>204.43589999999998</v>
          </cell>
          <cell r="H678">
            <v>775.4858999999999</v>
          </cell>
        </row>
        <row r="679">
          <cell r="A679" t="str">
            <v>04.931.05</v>
          </cell>
          <cell r="B679" t="str">
            <v>Caixa coletora de talvegue-CCT 05</v>
          </cell>
          <cell r="C679" t="str">
            <v>DNER-ES287/97</v>
          </cell>
          <cell r="D679" t="str">
            <v xml:space="preserve"> </v>
          </cell>
          <cell r="E679" t="str">
            <v>un</v>
          </cell>
          <cell r="F679">
            <v>563.19000000000005</v>
          </cell>
          <cell r="G679">
            <v>201.62202000000002</v>
          </cell>
          <cell r="H679">
            <v>764.81202000000008</v>
          </cell>
        </row>
        <row r="680">
          <cell r="A680" t="str">
            <v>04.931.06</v>
          </cell>
          <cell r="B680" t="str">
            <v>Caixa coletora de talvegue-CCT 06</v>
          </cell>
          <cell r="C680" t="str">
            <v>DNER-ES287/97</v>
          </cell>
          <cell r="D680" t="str">
            <v xml:space="preserve"> </v>
          </cell>
          <cell r="E680" t="str">
            <v>un</v>
          </cell>
          <cell r="F680">
            <v>555.33000000000004</v>
          </cell>
          <cell r="G680">
            <v>198.80814000000001</v>
          </cell>
          <cell r="H680">
            <v>754.13814000000002</v>
          </cell>
        </row>
        <row r="681">
          <cell r="A681" t="str">
            <v>04.931.07</v>
          </cell>
          <cell r="B681" t="str">
            <v>Caixa coletora de talvegue-CCT 07</v>
          </cell>
          <cell r="C681" t="str">
            <v>DNER-ES287/97</v>
          </cell>
          <cell r="D681" t="str">
            <v xml:space="preserve"> </v>
          </cell>
          <cell r="E681" t="str">
            <v>un</v>
          </cell>
          <cell r="F681">
            <v>662.94</v>
          </cell>
          <cell r="G681">
            <v>237.33252000000002</v>
          </cell>
          <cell r="H681">
            <v>900.2725200000001</v>
          </cell>
        </row>
        <row r="682">
          <cell r="A682" t="str">
            <v>04.931.08</v>
          </cell>
          <cell r="B682" t="str">
            <v>Caixa coletora de talvegue-CCT 08</v>
          </cell>
          <cell r="C682" t="str">
            <v>DNER-ES287/97</v>
          </cell>
          <cell r="D682" t="str">
            <v xml:space="preserve"> </v>
          </cell>
          <cell r="E682" t="str">
            <v>un</v>
          </cell>
          <cell r="F682">
            <v>655.08000000000004</v>
          </cell>
          <cell r="G682">
            <v>234.51864</v>
          </cell>
          <cell r="H682">
            <v>889.59864000000005</v>
          </cell>
        </row>
        <row r="683">
          <cell r="A683" t="str">
            <v>04.931.09</v>
          </cell>
          <cell r="B683" t="str">
            <v>Caixa coletora de talvegue-CCT 09</v>
          </cell>
          <cell r="C683" t="str">
            <v>DNER-ES287/97</v>
          </cell>
          <cell r="D683" t="str">
            <v xml:space="preserve"> </v>
          </cell>
          <cell r="E683" t="str">
            <v>un</v>
          </cell>
          <cell r="F683">
            <v>647.22</v>
          </cell>
          <cell r="G683">
            <v>231.70475999999999</v>
          </cell>
          <cell r="H683">
            <v>878.92475999999999</v>
          </cell>
        </row>
        <row r="684">
          <cell r="A684" t="str">
            <v>04.931.10</v>
          </cell>
          <cell r="B684" t="str">
            <v>Caixa coletora de talvegue-CCT 10</v>
          </cell>
          <cell r="C684" t="str">
            <v>DNER-ES287/97</v>
          </cell>
          <cell r="D684" t="str">
            <v xml:space="preserve"> </v>
          </cell>
          <cell r="E684" t="str">
            <v>un</v>
          </cell>
          <cell r="F684">
            <v>639.36</v>
          </cell>
          <cell r="G684">
            <v>228.89087999999998</v>
          </cell>
          <cell r="H684">
            <v>868.25088000000005</v>
          </cell>
        </row>
        <row r="685">
          <cell r="A685" t="str">
            <v>04.931.11</v>
          </cell>
          <cell r="B685" t="str">
            <v>Caixa coletora de talvegue-CCT 11</v>
          </cell>
          <cell r="C685" t="str">
            <v>DNER-ES287/97</v>
          </cell>
          <cell r="D685" t="str">
            <v xml:space="preserve"> </v>
          </cell>
          <cell r="E685" t="str">
            <v>un</v>
          </cell>
          <cell r="F685">
            <v>131.63</v>
          </cell>
          <cell r="G685">
            <v>47.123539999999998</v>
          </cell>
          <cell r="H685">
            <v>178.75353999999999</v>
          </cell>
        </row>
        <row r="686">
          <cell r="A686" t="str">
            <v>04.931.12</v>
          </cell>
          <cell r="B686" t="str">
            <v>Caixa coletora de talvegue-CCT 12</v>
          </cell>
          <cell r="C686" t="str">
            <v>DNER-ES287/97</v>
          </cell>
          <cell r="D686" t="str">
            <v xml:space="preserve"> </v>
          </cell>
          <cell r="E686" t="str">
            <v>un</v>
          </cell>
          <cell r="F686">
            <v>197.14</v>
          </cell>
          <cell r="G686">
            <v>70.576119999999989</v>
          </cell>
          <cell r="H686">
            <v>267.71611999999999</v>
          </cell>
        </row>
        <row r="687">
          <cell r="A687" t="str">
            <v>04.931.13</v>
          </cell>
          <cell r="B687" t="str">
            <v>Caixa coletora de talvegue-CCT 13</v>
          </cell>
          <cell r="C687" t="str">
            <v>DNER-ES287/97</v>
          </cell>
          <cell r="D687" t="str">
            <v xml:space="preserve"> </v>
          </cell>
          <cell r="E687" t="str">
            <v>un</v>
          </cell>
          <cell r="F687">
            <v>425.88</v>
          </cell>
          <cell r="G687">
            <v>152.46503999999999</v>
          </cell>
          <cell r="H687">
            <v>578.34503999999993</v>
          </cell>
        </row>
        <row r="688">
          <cell r="A688" t="str">
            <v>04.931.14</v>
          </cell>
          <cell r="B688" t="str">
            <v>Caixa coletora de talvegue-CCT 14</v>
          </cell>
          <cell r="C688" t="str">
            <v>DNER-ES287/97</v>
          </cell>
          <cell r="D688" t="str">
            <v xml:space="preserve"> </v>
          </cell>
          <cell r="E688" t="str">
            <v>un</v>
          </cell>
          <cell r="F688">
            <v>415.57</v>
          </cell>
          <cell r="G688">
            <v>148.77405999999999</v>
          </cell>
          <cell r="H688">
            <v>564.34406000000001</v>
          </cell>
        </row>
        <row r="689">
          <cell r="A689" t="str">
            <v>04.931.15</v>
          </cell>
          <cell r="B689" t="str">
            <v>Caixa coletora de talvegue-CCT 15</v>
          </cell>
          <cell r="C689" t="str">
            <v>DNER-ES287/97</v>
          </cell>
          <cell r="D689" t="str">
            <v xml:space="preserve"> </v>
          </cell>
          <cell r="E689" t="str">
            <v>un</v>
          </cell>
          <cell r="F689">
            <v>318.66000000000003</v>
          </cell>
          <cell r="G689">
            <v>114.08028</v>
          </cell>
          <cell r="H689">
            <v>432.74028000000004</v>
          </cell>
        </row>
        <row r="690">
          <cell r="A690" t="str">
            <v>04.931.16</v>
          </cell>
          <cell r="B690" t="str">
            <v>Caixa coletora de talvegue-CCT 16</v>
          </cell>
          <cell r="C690" t="str">
            <v>DNER-ES287/97</v>
          </cell>
          <cell r="D690" t="str">
            <v xml:space="preserve"> </v>
          </cell>
          <cell r="E690" t="str">
            <v>un</v>
          </cell>
          <cell r="F690">
            <v>310.06</v>
          </cell>
          <cell r="G690">
            <v>111.00148</v>
          </cell>
          <cell r="H690">
            <v>421.06148000000002</v>
          </cell>
        </row>
        <row r="691">
          <cell r="A691" t="str">
            <v>04.931.17</v>
          </cell>
          <cell r="B691" t="str">
            <v>Caixa coletora de talvegue-CCT 17</v>
          </cell>
          <cell r="C691" t="str">
            <v>DNER-ES287/97</v>
          </cell>
          <cell r="D691" t="str">
            <v xml:space="preserve"> </v>
          </cell>
          <cell r="E691" t="str">
            <v>un</v>
          </cell>
          <cell r="F691">
            <v>417.28</v>
          </cell>
          <cell r="G691">
            <v>149.38623999999999</v>
          </cell>
          <cell r="H691">
            <v>566.66624000000002</v>
          </cell>
        </row>
        <row r="692">
          <cell r="A692" t="str">
            <v>04.931.18</v>
          </cell>
          <cell r="B692" t="str">
            <v>Caixa coletora de talvegue-CCT 18</v>
          </cell>
          <cell r="C692" t="str">
            <v>DNER-ES287/97</v>
          </cell>
          <cell r="D692" t="str">
            <v xml:space="preserve"> </v>
          </cell>
          <cell r="E692" t="str">
            <v>un</v>
          </cell>
          <cell r="F692">
            <v>409.82</v>
          </cell>
          <cell r="G692">
            <v>146.71555999999998</v>
          </cell>
          <cell r="H692">
            <v>556.53556000000003</v>
          </cell>
        </row>
        <row r="693">
          <cell r="A693" t="str">
            <v>04.931.19</v>
          </cell>
          <cell r="B693" t="str">
            <v>Caixa coletora de talvegue-CCT 19</v>
          </cell>
          <cell r="C693" t="str">
            <v>DNER-ES287/97</v>
          </cell>
          <cell r="D693" t="str">
            <v xml:space="preserve"> </v>
          </cell>
          <cell r="E693" t="str">
            <v>un</v>
          </cell>
          <cell r="F693">
            <v>402.7</v>
          </cell>
          <cell r="G693">
            <v>144.16659999999999</v>
          </cell>
          <cell r="H693">
            <v>546.86659999999995</v>
          </cell>
        </row>
        <row r="694">
          <cell r="A694" t="str">
            <v>04.931.20</v>
          </cell>
          <cell r="B694" t="str">
            <v>Caixa coletora de talvegue-CCT 20</v>
          </cell>
          <cell r="C694" t="str">
            <v>DNER-ES287/97</v>
          </cell>
          <cell r="D694" t="str">
            <v xml:space="preserve"> </v>
          </cell>
          <cell r="E694" t="str">
            <v>un</v>
          </cell>
          <cell r="F694">
            <v>425.14</v>
          </cell>
          <cell r="G694">
            <v>152.20012</v>
          </cell>
          <cell r="H694">
            <v>577.34011999999996</v>
          </cell>
        </row>
        <row r="695">
          <cell r="A695" t="str">
            <v>04.940.01</v>
          </cell>
          <cell r="B695" t="str">
            <v>Descida d’água tipo rápido- calha de concreto-DAR 01</v>
          </cell>
          <cell r="C695" t="str">
            <v>DNER-ES291/97</v>
          </cell>
          <cell r="D695" t="str">
            <v xml:space="preserve"> </v>
          </cell>
          <cell r="E695" t="str">
            <v>m</v>
          </cell>
          <cell r="G695">
            <v>0</v>
          </cell>
          <cell r="H695">
            <v>0</v>
          </cell>
        </row>
        <row r="696">
          <cell r="A696" t="str">
            <v>04.940.02</v>
          </cell>
          <cell r="B696" t="str">
            <v>Descida d’água tipo rápido- canal retangular-DAR 02</v>
          </cell>
          <cell r="C696" t="str">
            <v>DNER-ES291/97</v>
          </cell>
          <cell r="D696" t="str">
            <v xml:space="preserve"> </v>
          </cell>
          <cell r="E696" t="str">
            <v>m</v>
          </cell>
          <cell r="F696">
            <v>42.18</v>
          </cell>
          <cell r="G696">
            <v>15.100439999999999</v>
          </cell>
          <cell r="H696">
            <v>57.280439999999999</v>
          </cell>
        </row>
        <row r="697">
          <cell r="A697" t="str">
            <v>04.940.03</v>
          </cell>
          <cell r="B697" t="str">
            <v>Descida d'água tipo rápido- canal ret. armado-DAR 03</v>
          </cell>
          <cell r="C697" t="str">
            <v>DNER-ES291/97</v>
          </cell>
          <cell r="D697" t="str">
            <v xml:space="preserve"> </v>
          </cell>
          <cell r="E697" t="str">
            <v>m</v>
          </cell>
          <cell r="F697">
            <v>31.84</v>
          </cell>
          <cell r="G697">
            <v>11.398719999999999</v>
          </cell>
          <cell r="H697">
            <v>43.238720000000001</v>
          </cell>
        </row>
        <row r="698">
          <cell r="A698" t="str">
            <v>04.940.04</v>
          </cell>
          <cell r="B698" t="str">
            <v>Descida d’água tipo rápido- calha metálica-DAR 04</v>
          </cell>
          <cell r="C698" t="str">
            <v>DNER-ES291/97</v>
          </cell>
          <cell r="D698" t="str">
            <v xml:space="preserve"> </v>
          </cell>
          <cell r="E698" t="str">
            <v>m</v>
          </cell>
          <cell r="G698">
            <v>0</v>
          </cell>
          <cell r="H698">
            <v>0</v>
          </cell>
        </row>
        <row r="699">
          <cell r="A699" t="str">
            <v>04.941.01</v>
          </cell>
          <cell r="B699" t="str">
            <v>Descida d'água de aterros em degraus-DAD 01</v>
          </cell>
          <cell r="C699" t="str">
            <v>DNER-ES291/97</v>
          </cell>
          <cell r="D699" t="str">
            <v xml:space="preserve"> </v>
          </cell>
          <cell r="E699" t="str">
            <v>m</v>
          </cell>
          <cell r="G699">
            <v>0</v>
          </cell>
          <cell r="H699">
            <v>0</v>
          </cell>
        </row>
        <row r="700">
          <cell r="A700" t="str">
            <v>04.941.02</v>
          </cell>
          <cell r="B700" t="str">
            <v>Descida d'água de aterros em degraus-DAD 02</v>
          </cell>
          <cell r="C700" t="str">
            <v>DNER-ES291/97</v>
          </cell>
          <cell r="D700" t="str">
            <v xml:space="preserve"> </v>
          </cell>
          <cell r="E700" t="str">
            <v>m</v>
          </cell>
          <cell r="F700">
            <v>41.8</v>
          </cell>
          <cell r="G700">
            <v>14.964399999999998</v>
          </cell>
          <cell r="H700">
            <v>56.764399999999995</v>
          </cell>
        </row>
        <row r="701">
          <cell r="A701" t="str">
            <v>04.941.03</v>
          </cell>
          <cell r="B701" t="str">
            <v>Descida d'água de aterros em degraus-DAD 03</v>
          </cell>
          <cell r="C701" t="str">
            <v>DNER-ES291/97</v>
          </cell>
          <cell r="D701" t="str">
            <v xml:space="preserve"> </v>
          </cell>
          <cell r="E701" t="str">
            <v>m</v>
          </cell>
          <cell r="F701">
            <v>58.89</v>
          </cell>
          <cell r="G701">
            <v>21.082619999999999</v>
          </cell>
          <cell r="H701">
            <v>79.972620000000006</v>
          </cell>
        </row>
        <row r="702">
          <cell r="A702" t="str">
            <v>04.941.04</v>
          </cell>
          <cell r="B702" t="str">
            <v>Descida d'água de aterros em degraus-DAD 04</v>
          </cell>
          <cell r="C702" t="str">
            <v>DNER-ES291/97</v>
          </cell>
          <cell r="D702" t="str">
            <v xml:space="preserve"> </v>
          </cell>
          <cell r="E702" t="str">
            <v>m</v>
          </cell>
          <cell r="G702">
            <v>0</v>
          </cell>
          <cell r="H702">
            <v>0</v>
          </cell>
        </row>
        <row r="703">
          <cell r="A703" t="str">
            <v>04.941.05</v>
          </cell>
          <cell r="B703" t="str">
            <v>Descida d'água de aterros em degraus-DAD 05</v>
          </cell>
          <cell r="C703" t="str">
            <v>DNER-ES291/97</v>
          </cell>
          <cell r="D703" t="str">
            <v xml:space="preserve"> </v>
          </cell>
          <cell r="E703" t="str">
            <v>m</v>
          </cell>
          <cell r="G703">
            <v>0</v>
          </cell>
          <cell r="H703">
            <v>0</v>
          </cell>
        </row>
        <row r="704">
          <cell r="A704" t="str">
            <v>04.941.06</v>
          </cell>
          <cell r="B704" t="str">
            <v>Descida d'água de aterros em degraus-DAD 06</v>
          </cell>
          <cell r="C704" t="str">
            <v>DNER-ES291/97</v>
          </cell>
          <cell r="D704" t="str">
            <v xml:space="preserve"> </v>
          </cell>
          <cell r="E704" t="str">
            <v>m</v>
          </cell>
          <cell r="G704">
            <v>0</v>
          </cell>
          <cell r="H704">
            <v>0</v>
          </cell>
        </row>
        <row r="705">
          <cell r="A705" t="str">
            <v>04.941.07</v>
          </cell>
          <cell r="B705" t="str">
            <v>Descida d'água de aterros em degraus-DAD 07</v>
          </cell>
          <cell r="C705" t="str">
            <v>DNER-ES291/97</v>
          </cell>
          <cell r="D705" t="str">
            <v xml:space="preserve"> </v>
          </cell>
          <cell r="E705" t="str">
            <v>m</v>
          </cell>
          <cell r="G705">
            <v>0</v>
          </cell>
          <cell r="H705">
            <v>0</v>
          </cell>
        </row>
        <row r="706">
          <cell r="A706" t="str">
            <v>04.941.08</v>
          </cell>
          <cell r="B706" t="str">
            <v>Descida d'água de aterros em degraus-DAD 08</v>
          </cell>
          <cell r="C706" t="str">
            <v>DNER-ES291/97</v>
          </cell>
          <cell r="D706" t="str">
            <v xml:space="preserve"> </v>
          </cell>
          <cell r="E706" t="str">
            <v>m</v>
          </cell>
          <cell r="F706">
            <v>150.01</v>
          </cell>
          <cell r="G706">
            <v>53.703579999999995</v>
          </cell>
          <cell r="H706">
            <v>203.71357999999998</v>
          </cell>
        </row>
        <row r="707">
          <cell r="A707" t="str">
            <v>04.941.09</v>
          </cell>
          <cell r="B707" t="str">
            <v>Descida d’água de aterros em degraus-DAD 09</v>
          </cell>
          <cell r="C707" t="str">
            <v>DNER-ES291/97</v>
          </cell>
          <cell r="D707" t="str">
            <v xml:space="preserve"> </v>
          </cell>
          <cell r="E707" t="str">
            <v>m</v>
          </cell>
          <cell r="G707">
            <v>0</v>
          </cell>
          <cell r="H707">
            <v>0</v>
          </cell>
        </row>
        <row r="708">
          <cell r="A708" t="str">
            <v>04.941.10</v>
          </cell>
          <cell r="B708" t="str">
            <v>Descida d'água de aterros em degraus-DAD 10</v>
          </cell>
          <cell r="C708" t="str">
            <v>DNER-ES291/97</v>
          </cell>
          <cell r="D708" t="str">
            <v xml:space="preserve"> </v>
          </cell>
          <cell r="E708" t="str">
            <v>m</v>
          </cell>
          <cell r="G708">
            <v>0</v>
          </cell>
          <cell r="H708">
            <v>0</v>
          </cell>
        </row>
        <row r="709">
          <cell r="A709" t="str">
            <v>04.941.11</v>
          </cell>
          <cell r="B709" t="str">
            <v>Descida d'água de aterros em degraus-DAD 11</v>
          </cell>
          <cell r="C709" t="str">
            <v>DNER-ES291/97</v>
          </cell>
          <cell r="D709" t="str">
            <v xml:space="preserve"> </v>
          </cell>
          <cell r="E709" t="str">
            <v>m</v>
          </cell>
          <cell r="G709">
            <v>0</v>
          </cell>
          <cell r="H709">
            <v>0</v>
          </cell>
        </row>
        <row r="710">
          <cell r="A710" t="str">
            <v>04.941.12</v>
          </cell>
          <cell r="B710" t="str">
            <v>Descida d'água de aterros em degraus-DAD 12</v>
          </cell>
          <cell r="C710" t="str">
            <v>DNER-ES291/97</v>
          </cell>
          <cell r="D710" t="str">
            <v xml:space="preserve"> </v>
          </cell>
          <cell r="E710" t="str">
            <v>m</v>
          </cell>
          <cell r="G710">
            <v>0</v>
          </cell>
          <cell r="H710">
            <v>0</v>
          </cell>
        </row>
        <row r="711">
          <cell r="A711" t="str">
            <v>04.941.13</v>
          </cell>
          <cell r="B711" t="str">
            <v>Descida d'água de aterros em degraus-DAD 13</v>
          </cell>
          <cell r="C711" t="str">
            <v>DNER-ES291/97</v>
          </cell>
          <cell r="D711" t="str">
            <v xml:space="preserve"> </v>
          </cell>
          <cell r="E711" t="str">
            <v>m</v>
          </cell>
          <cell r="G711">
            <v>0</v>
          </cell>
          <cell r="H711">
            <v>0</v>
          </cell>
        </row>
        <row r="712">
          <cell r="A712" t="str">
            <v>04.941.14</v>
          </cell>
          <cell r="B712" t="str">
            <v>Descida d'água de aterros em degraus-DAD 14</v>
          </cell>
          <cell r="C712" t="str">
            <v>DNER-ES291/97</v>
          </cell>
          <cell r="D712" t="str">
            <v xml:space="preserve"> </v>
          </cell>
          <cell r="E712" t="str">
            <v>m</v>
          </cell>
          <cell r="F712">
            <v>211.26</v>
          </cell>
          <cell r="G712">
            <v>75.631079999999997</v>
          </cell>
          <cell r="H712">
            <v>286.89107999999999</v>
          </cell>
        </row>
        <row r="713">
          <cell r="A713" t="str">
            <v>04.941.15</v>
          </cell>
          <cell r="B713" t="str">
            <v>Descida d'água de aterros em degraus-DAD 15</v>
          </cell>
          <cell r="C713" t="str">
            <v>DNER-ES291/97</v>
          </cell>
          <cell r="D713" t="str">
            <v xml:space="preserve"> </v>
          </cell>
          <cell r="E713" t="str">
            <v>m</v>
          </cell>
          <cell r="G713">
            <v>0</v>
          </cell>
          <cell r="H713">
            <v>0</v>
          </cell>
        </row>
        <row r="714">
          <cell r="A714" t="str">
            <v>04.941.16</v>
          </cell>
          <cell r="B714" t="str">
            <v>Descida d'água de aterros em degraus-DAD 16</v>
          </cell>
          <cell r="C714" t="str">
            <v>DNER-ES291/97</v>
          </cell>
          <cell r="D714" t="str">
            <v xml:space="preserve"> </v>
          </cell>
          <cell r="E714" t="str">
            <v>m</v>
          </cell>
          <cell r="G714">
            <v>0</v>
          </cell>
          <cell r="H714">
            <v>0</v>
          </cell>
        </row>
        <row r="715">
          <cell r="A715" t="str">
            <v>04.941.17</v>
          </cell>
          <cell r="B715" t="str">
            <v>Descida d'água de aterros em degraus-DAD 17</v>
          </cell>
          <cell r="C715" t="str">
            <v>DNER-ES291/97</v>
          </cell>
          <cell r="D715" t="str">
            <v xml:space="preserve"> </v>
          </cell>
          <cell r="E715" t="str">
            <v>m</v>
          </cell>
          <cell r="G715">
            <v>0</v>
          </cell>
          <cell r="H715">
            <v>0</v>
          </cell>
        </row>
        <row r="716">
          <cell r="A716" t="str">
            <v>04.941.18</v>
          </cell>
          <cell r="B716" t="str">
            <v>Descida d’água de aterros em degraus-DAD 18</v>
          </cell>
          <cell r="C716" t="str">
            <v>DNER-ES291/97</v>
          </cell>
          <cell r="D716" t="str">
            <v xml:space="preserve"> </v>
          </cell>
          <cell r="E716" t="str">
            <v>m</v>
          </cell>
          <cell r="G716">
            <v>0</v>
          </cell>
          <cell r="H716">
            <v>0</v>
          </cell>
        </row>
        <row r="717">
          <cell r="A717" t="str">
            <v>04.941.31</v>
          </cell>
          <cell r="B717" t="str">
            <v>Descida d'água de cortes em degraus-DCD 01</v>
          </cell>
          <cell r="C717" t="str">
            <v>DNER-ES291/97</v>
          </cell>
          <cell r="D717" t="str">
            <v xml:space="preserve"> </v>
          </cell>
          <cell r="E717" t="str">
            <v>m</v>
          </cell>
          <cell r="G717">
            <v>0</v>
          </cell>
          <cell r="H717">
            <v>0</v>
          </cell>
        </row>
        <row r="718">
          <cell r="A718" t="str">
            <v>04.941.32</v>
          </cell>
          <cell r="B718" t="str">
            <v>Descida d'água de cortes em degraus-DCD 02</v>
          </cell>
          <cell r="C718" t="str">
            <v>DNER-ES291/97</v>
          </cell>
          <cell r="D718" t="str">
            <v xml:space="preserve"> </v>
          </cell>
          <cell r="E718" t="str">
            <v>m</v>
          </cell>
          <cell r="G718">
            <v>0</v>
          </cell>
          <cell r="H718">
            <v>0</v>
          </cell>
        </row>
        <row r="719">
          <cell r="A719" t="str">
            <v>04.941.33</v>
          </cell>
          <cell r="B719" t="str">
            <v>Descida d’água de cortes em degraus-DCD 03</v>
          </cell>
          <cell r="C719" t="str">
            <v>DNER-ES291/97</v>
          </cell>
          <cell r="D719" t="str">
            <v xml:space="preserve"> </v>
          </cell>
          <cell r="E719" t="str">
            <v>m</v>
          </cell>
          <cell r="G719">
            <v>0</v>
          </cell>
          <cell r="H719">
            <v>0</v>
          </cell>
        </row>
        <row r="720">
          <cell r="A720" t="str">
            <v>04.941.34</v>
          </cell>
          <cell r="B720" t="str">
            <v>Descida d'água de cortes em degraus-DCD 04</v>
          </cell>
          <cell r="C720" t="str">
            <v>DNER-ES291/97</v>
          </cell>
          <cell r="D720" t="str">
            <v xml:space="preserve"> </v>
          </cell>
          <cell r="E720" t="str">
            <v>m</v>
          </cell>
          <cell r="G720">
            <v>0</v>
          </cell>
          <cell r="H720">
            <v>0</v>
          </cell>
        </row>
        <row r="721">
          <cell r="A721" t="str">
            <v>04.942.01</v>
          </cell>
          <cell r="B721" t="str">
            <v>Entrada d'água- EDA 01</v>
          </cell>
          <cell r="C721" t="str">
            <v>DNER-ES291/97</v>
          </cell>
          <cell r="D721" t="str">
            <v xml:space="preserve"> </v>
          </cell>
          <cell r="E721" t="str">
            <v>un</v>
          </cell>
          <cell r="F721">
            <v>12</v>
          </cell>
          <cell r="G721">
            <v>4.2959999999999994</v>
          </cell>
          <cell r="H721">
            <v>16.295999999999999</v>
          </cell>
        </row>
        <row r="722">
          <cell r="A722" t="str">
            <v>04.942.02</v>
          </cell>
          <cell r="B722" t="str">
            <v>Entrada d'água- EDA 02</v>
          </cell>
          <cell r="C722" t="str">
            <v>DNER-ES291/97</v>
          </cell>
          <cell r="D722" t="str">
            <v xml:space="preserve"> </v>
          </cell>
          <cell r="E722" t="str">
            <v>un</v>
          </cell>
          <cell r="G722">
            <v>0</v>
          </cell>
          <cell r="H722">
            <v>0</v>
          </cell>
        </row>
        <row r="723">
          <cell r="A723" t="str">
            <v>04.950.01</v>
          </cell>
          <cell r="B723" t="str">
            <v>Dissipador de energia- DES 01</v>
          </cell>
          <cell r="C723" t="str">
            <v>DNER-ES283/97</v>
          </cell>
          <cell r="D723" t="str">
            <v xml:space="preserve"> </v>
          </cell>
          <cell r="E723" t="str">
            <v>un</v>
          </cell>
          <cell r="F723">
            <v>68.48</v>
          </cell>
          <cell r="G723">
            <v>24.515840000000001</v>
          </cell>
          <cell r="H723">
            <v>92.995840000000001</v>
          </cell>
        </row>
        <row r="724">
          <cell r="A724" t="str">
            <v>04.950.02</v>
          </cell>
          <cell r="B724" t="str">
            <v>Dissipador de energia- DES 02</v>
          </cell>
          <cell r="C724" t="str">
            <v>DNER-ES283/97</v>
          </cell>
          <cell r="D724" t="str">
            <v xml:space="preserve"> </v>
          </cell>
          <cell r="E724" t="str">
            <v>un</v>
          </cell>
          <cell r="F724">
            <v>81.430000000000007</v>
          </cell>
          <cell r="G724">
            <v>29.15194</v>
          </cell>
          <cell r="H724">
            <v>110.58194</v>
          </cell>
        </row>
        <row r="725">
          <cell r="A725" t="str">
            <v>04.950.03</v>
          </cell>
          <cell r="B725" t="str">
            <v>Dissipador de energia- DES 03</v>
          </cell>
          <cell r="C725" t="str">
            <v>DNER-ES283/97</v>
          </cell>
          <cell r="D725" t="str">
            <v xml:space="preserve"> </v>
          </cell>
          <cell r="E725" t="str">
            <v>un</v>
          </cell>
          <cell r="F725">
            <v>97.11</v>
          </cell>
          <cell r="G725">
            <v>34.76538</v>
          </cell>
          <cell r="H725">
            <v>131.87538000000001</v>
          </cell>
        </row>
        <row r="726">
          <cell r="A726" t="str">
            <v>04.950.04</v>
          </cell>
          <cell r="B726" t="str">
            <v>Dissipador de energia- DES 04</v>
          </cell>
          <cell r="C726" t="str">
            <v>DNER-ES283/97</v>
          </cell>
          <cell r="D726" t="str">
            <v xml:space="preserve"> </v>
          </cell>
          <cell r="E726" t="str">
            <v>un</v>
          </cell>
          <cell r="G726">
            <v>0</v>
          </cell>
          <cell r="H726">
            <v>0</v>
          </cell>
        </row>
        <row r="727">
          <cell r="A727" t="str">
            <v>04.950.21</v>
          </cell>
          <cell r="B727" t="str">
            <v>Dissipador de energia- DEB 01</v>
          </cell>
          <cell r="C727" t="str">
            <v>DNER-ES283/97</v>
          </cell>
          <cell r="D727" t="str">
            <v xml:space="preserve"> </v>
          </cell>
          <cell r="E727" t="str">
            <v>un</v>
          </cell>
          <cell r="F727">
            <v>74.739999999999995</v>
          </cell>
          <cell r="G727">
            <v>26.756919999999997</v>
          </cell>
          <cell r="H727">
            <v>101.49691999999999</v>
          </cell>
        </row>
        <row r="728">
          <cell r="A728" t="str">
            <v>04.950.22</v>
          </cell>
          <cell r="B728" t="str">
            <v>Dissipador de energia- DEB 02</v>
          </cell>
          <cell r="C728" t="str">
            <v>DNER-ES283/97</v>
          </cell>
          <cell r="D728" t="str">
            <v xml:space="preserve"> </v>
          </cell>
          <cell r="E728" t="str">
            <v>un</v>
          </cell>
          <cell r="F728">
            <v>251.57</v>
          </cell>
          <cell r="G728">
            <v>90.062059999999988</v>
          </cell>
          <cell r="H728">
            <v>341.63205999999997</v>
          </cell>
        </row>
        <row r="729">
          <cell r="A729" t="str">
            <v>04.950.23</v>
          </cell>
          <cell r="B729" t="str">
            <v>Dissipador de energia- DEB 03</v>
          </cell>
          <cell r="C729" t="str">
            <v>DNER-ES283/97</v>
          </cell>
          <cell r="D729" t="str">
            <v xml:space="preserve"> </v>
          </cell>
          <cell r="E729" t="str">
            <v>un</v>
          </cell>
          <cell r="F729">
            <v>403.37</v>
          </cell>
          <cell r="G729">
            <v>144.40645999999998</v>
          </cell>
          <cell r="H729">
            <v>547.77646000000004</v>
          </cell>
        </row>
        <row r="730">
          <cell r="A730" t="str">
            <v>04.950.24</v>
          </cell>
          <cell r="B730" t="str">
            <v>Dissipador de energia- DEB 04</v>
          </cell>
          <cell r="C730" t="str">
            <v>DNER-ES283/97</v>
          </cell>
          <cell r="D730" t="str">
            <v xml:space="preserve"> </v>
          </cell>
          <cell r="E730" t="str">
            <v>un</v>
          </cell>
          <cell r="F730">
            <v>593.01</v>
          </cell>
          <cell r="G730">
            <v>212.29757999999998</v>
          </cell>
          <cell r="H730">
            <v>805.30757999999992</v>
          </cell>
        </row>
        <row r="731">
          <cell r="A731" t="str">
            <v>04.950.25</v>
          </cell>
          <cell r="B731" t="str">
            <v>Dissipador de energia- DEB 05</v>
          </cell>
          <cell r="C731" t="str">
            <v>DNER-ES283/97</v>
          </cell>
          <cell r="D731" t="str">
            <v xml:space="preserve"> </v>
          </cell>
          <cell r="E731" t="str">
            <v>un</v>
          </cell>
          <cell r="G731">
            <v>0</v>
          </cell>
          <cell r="H731">
            <v>0</v>
          </cell>
        </row>
        <row r="732">
          <cell r="A732" t="str">
            <v>04.950.26</v>
          </cell>
          <cell r="B732" t="str">
            <v>Dissipador de energia- DEB 06</v>
          </cell>
          <cell r="C732" t="str">
            <v>DNER-ES283/97</v>
          </cell>
          <cell r="D732" t="str">
            <v xml:space="preserve"> </v>
          </cell>
          <cell r="E732" t="str">
            <v>un</v>
          </cell>
          <cell r="G732">
            <v>0</v>
          </cell>
          <cell r="H732">
            <v>0</v>
          </cell>
        </row>
        <row r="733">
          <cell r="A733" t="str">
            <v>04.950.27</v>
          </cell>
          <cell r="B733" t="str">
            <v>Dissipador de energia- DEB 07</v>
          </cell>
          <cell r="C733" t="str">
            <v>DNER-ES283/97</v>
          </cell>
          <cell r="D733" t="str">
            <v xml:space="preserve"> </v>
          </cell>
          <cell r="E733" t="str">
            <v>un</v>
          </cell>
          <cell r="F733">
            <v>842.49</v>
          </cell>
          <cell r="G733">
            <v>301.61142000000001</v>
          </cell>
          <cell r="H733">
            <v>1144.10142</v>
          </cell>
        </row>
        <row r="734">
          <cell r="A734" t="str">
            <v>04.950.28</v>
          </cell>
          <cell r="B734" t="str">
            <v>Dissipador de energia- DEB 08</v>
          </cell>
          <cell r="C734" t="str">
            <v>DNER-ES283/97</v>
          </cell>
          <cell r="D734" t="str">
            <v xml:space="preserve"> </v>
          </cell>
          <cell r="E734" t="str">
            <v>un</v>
          </cell>
          <cell r="G734">
            <v>0</v>
          </cell>
          <cell r="H734">
            <v>0</v>
          </cell>
        </row>
        <row r="735">
          <cell r="A735" t="str">
            <v>04.950.29</v>
          </cell>
          <cell r="B735" t="str">
            <v>Dissipador de energia- DEB 09</v>
          </cell>
          <cell r="C735" t="str">
            <v>DNER-ES283/97</v>
          </cell>
          <cell r="D735" t="str">
            <v xml:space="preserve"> </v>
          </cell>
          <cell r="E735" t="str">
            <v>un</v>
          </cell>
          <cell r="G735">
            <v>0</v>
          </cell>
          <cell r="H735">
            <v>0</v>
          </cell>
        </row>
        <row r="736">
          <cell r="A736" t="str">
            <v>04.950.30</v>
          </cell>
          <cell r="B736" t="str">
            <v>Dissipador de energia- DEB 10</v>
          </cell>
          <cell r="C736" t="str">
            <v>DNER-ES283/97</v>
          </cell>
          <cell r="D736" t="str">
            <v xml:space="preserve"> </v>
          </cell>
          <cell r="E736" t="str">
            <v>un</v>
          </cell>
          <cell r="F736">
            <v>1092.3814400000001</v>
          </cell>
          <cell r="G736">
            <v>391.07255552000004</v>
          </cell>
          <cell r="H736">
            <v>1483.4539955200003</v>
          </cell>
        </row>
        <row r="737">
          <cell r="A737" t="str">
            <v>04.950.31</v>
          </cell>
          <cell r="B737" t="str">
            <v>Dissipador de energia- DEB 11</v>
          </cell>
          <cell r="C737" t="str">
            <v>DNER-ES283/97</v>
          </cell>
          <cell r="D737" t="str">
            <v xml:space="preserve"> </v>
          </cell>
          <cell r="E737" t="str">
            <v>un</v>
          </cell>
          <cell r="G737">
            <v>0</v>
          </cell>
          <cell r="H737">
            <v>0</v>
          </cell>
        </row>
        <row r="738">
          <cell r="A738" t="str">
            <v>04.950.32</v>
          </cell>
          <cell r="B738" t="str">
            <v>Dissipador de energia- DEB 12</v>
          </cell>
          <cell r="C738" t="str">
            <v>DNER-ES283/97</v>
          </cell>
          <cell r="D738" t="str">
            <v xml:space="preserve"> </v>
          </cell>
          <cell r="E738" t="str">
            <v>un</v>
          </cell>
          <cell r="G738">
            <v>0</v>
          </cell>
          <cell r="H738">
            <v>0</v>
          </cell>
        </row>
        <row r="739">
          <cell r="A739" t="str">
            <v>04.950.51</v>
          </cell>
          <cell r="B739" t="str">
            <v>Dissipador de energia- DED 01</v>
          </cell>
          <cell r="C739" t="str">
            <v>DNER-ES283/97</v>
          </cell>
          <cell r="D739" t="str">
            <v xml:space="preserve"> </v>
          </cell>
          <cell r="E739" t="str">
            <v>un</v>
          </cell>
          <cell r="G739">
            <v>0</v>
          </cell>
          <cell r="H739">
            <v>0</v>
          </cell>
        </row>
        <row r="740">
          <cell r="A740" t="str">
            <v>04.960.01</v>
          </cell>
          <cell r="B740" t="str">
            <v>Boca de lobo simples c/ grelha de concreto-BLS 01</v>
          </cell>
          <cell r="C740" t="str">
            <v xml:space="preserve"> </v>
          </cell>
          <cell r="D740" t="str">
            <v xml:space="preserve"> </v>
          </cell>
          <cell r="E740" t="str">
            <v>un</v>
          </cell>
          <cell r="F740">
            <v>149.86000000000001</v>
          </cell>
          <cell r="G740">
            <v>53.649880000000003</v>
          </cell>
          <cell r="H740">
            <v>203.50988000000001</v>
          </cell>
        </row>
        <row r="741">
          <cell r="A741" t="str">
            <v>04.960.02</v>
          </cell>
          <cell r="B741" t="str">
            <v>Boca de lobo simples c/ grelha de concreto-BLS 02</v>
          </cell>
          <cell r="C741" t="str">
            <v xml:space="preserve"> </v>
          </cell>
          <cell r="D741" t="str">
            <v xml:space="preserve"> </v>
          </cell>
          <cell r="E741" t="str">
            <v>un</v>
          </cell>
          <cell r="F741">
            <v>189.87</v>
          </cell>
          <cell r="G741">
            <v>67.973460000000003</v>
          </cell>
          <cell r="H741">
            <v>257.84345999999999</v>
          </cell>
        </row>
        <row r="742">
          <cell r="A742" t="str">
            <v>04.960.03</v>
          </cell>
          <cell r="B742" t="str">
            <v>Boca de lobo simples c/ grelha de concreto-BLS 03</v>
          </cell>
          <cell r="C742" t="str">
            <v xml:space="preserve"> </v>
          </cell>
          <cell r="D742" t="str">
            <v xml:space="preserve"> </v>
          </cell>
          <cell r="E742" t="str">
            <v>un</v>
          </cell>
          <cell r="F742">
            <v>229.92</v>
          </cell>
          <cell r="G742">
            <v>82.311359999999993</v>
          </cell>
          <cell r="H742">
            <v>312.23136</v>
          </cell>
        </row>
        <row r="743">
          <cell r="A743" t="str">
            <v>04.960.04</v>
          </cell>
          <cell r="B743" t="str">
            <v>Boca de lobo simples c/ grelha de concreto-BLS 04</v>
          </cell>
          <cell r="C743" t="str">
            <v xml:space="preserve"> </v>
          </cell>
          <cell r="D743" t="str">
            <v xml:space="preserve"> </v>
          </cell>
          <cell r="E743" t="str">
            <v>un</v>
          </cell>
          <cell r="F743">
            <v>269.93</v>
          </cell>
          <cell r="G743">
            <v>96.63494</v>
          </cell>
          <cell r="H743">
            <v>366.56493999999998</v>
          </cell>
        </row>
        <row r="744">
          <cell r="A744" t="str">
            <v>04.960.05</v>
          </cell>
          <cell r="B744" t="str">
            <v>Boca de lobo simples c/ grelha de concreto-BLS 05</v>
          </cell>
          <cell r="C744" t="str">
            <v xml:space="preserve"> </v>
          </cell>
          <cell r="D744" t="str">
            <v xml:space="preserve"> </v>
          </cell>
          <cell r="E744" t="str">
            <v>un</v>
          </cell>
          <cell r="F744">
            <v>308.58999999999997</v>
          </cell>
          <cell r="G744">
            <v>110.47521999999999</v>
          </cell>
          <cell r="H744">
            <v>419.06521999999995</v>
          </cell>
        </row>
        <row r="745">
          <cell r="A745" t="str">
            <v>04.960.06</v>
          </cell>
          <cell r="B745" t="str">
            <v>Boca de lobo simples c/ grelha de concreto-BLS 06</v>
          </cell>
          <cell r="C745" t="str">
            <v xml:space="preserve"> </v>
          </cell>
          <cell r="D745" t="str">
            <v xml:space="preserve"> </v>
          </cell>
          <cell r="E745" t="str">
            <v>un</v>
          </cell>
          <cell r="G745">
            <v>0</v>
          </cell>
          <cell r="H745">
            <v>0</v>
          </cell>
        </row>
        <row r="746">
          <cell r="A746" t="str">
            <v>04.960.07</v>
          </cell>
          <cell r="B746" t="str">
            <v>Boca de lobo simples c/ grelha de concreto-BLS 07</v>
          </cell>
          <cell r="C746" t="str">
            <v xml:space="preserve"> </v>
          </cell>
          <cell r="D746" t="str">
            <v xml:space="preserve"> </v>
          </cell>
          <cell r="E746" t="str">
            <v>un</v>
          </cell>
          <cell r="G746">
            <v>0</v>
          </cell>
          <cell r="H746">
            <v>0</v>
          </cell>
        </row>
        <row r="747">
          <cell r="A747" t="str">
            <v>04.961.01</v>
          </cell>
          <cell r="B747" t="str">
            <v>Boca de lobo dupla c/ grelha de concreto-BLD 01</v>
          </cell>
          <cell r="C747" t="str">
            <v xml:space="preserve"> </v>
          </cell>
          <cell r="D747" t="str">
            <v xml:space="preserve"> </v>
          </cell>
          <cell r="E747" t="str">
            <v>un</v>
          </cell>
          <cell r="F747">
            <v>233.02584148497962</v>
          </cell>
          <cell r="G747">
            <v>83.423251251622702</v>
          </cell>
          <cell r="H747">
            <v>316.44909273660232</v>
          </cell>
        </row>
        <row r="748">
          <cell r="A748" t="str">
            <v>04.961.02</v>
          </cell>
          <cell r="B748" t="str">
            <v>Boca de lobo dupla c/ grelha de concreto-BLD 02</v>
          </cell>
          <cell r="C748" t="str">
            <v xml:space="preserve"> </v>
          </cell>
          <cell r="D748" t="str">
            <v xml:space="preserve"> </v>
          </cell>
          <cell r="E748" t="str">
            <v>un</v>
          </cell>
          <cell r="F748">
            <v>350.93</v>
          </cell>
          <cell r="G748">
            <v>125.63293999999999</v>
          </cell>
          <cell r="H748">
            <v>476.56294000000003</v>
          </cell>
        </row>
        <row r="749">
          <cell r="A749" t="str">
            <v>04.961.03</v>
          </cell>
          <cell r="B749" t="str">
            <v>Boca de lobo dupla c/ grelha de concreto-BLD 03</v>
          </cell>
          <cell r="C749" t="str">
            <v xml:space="preserve"> </v>
          </cell>
          <cell r="D749" t="str">
            <v xml:space="preserve"> </v>
          </cell>
          <cell r="E749" t="str">
            <v>un</v>
          </cell>
          <cell r="G749">
            <v>0</v>
          </cell>
          <cell r="H749">
            <v>0</v>
          </cell>
        </row>
        <row r="750">
          <cell r="A750" t="str">
            <v>04.961.04</v>
          </cell>
          <cell r="B750" t="str">
            <v>Boca de lobo dupla c/ grelha de concreto-BLD 04</v>
          </cell>
          <cell r="C750" t="str">
            <v xml:space="preserve"> </v>
          </cell>
          <cell r="D750" t="str">
            <v xml:space="preserve"> </v>
          </cell>
          <cell r="E750" t="str">
            <v>un</v>
          </cell>
          <cell r="G750">
            <v>0</v>
          </cell>
          <cell r="H750">
            <v>0</v>
          </cell>
        </row>
        <row r="751">
          <cell r="A751" t="str">
            <v>04.961.05</v>
          </cell>
          <cell r="B751" t="str">
            <v>Boca de lobo dupla c/ grelha de concreto-BLD 05</v>
          </cell>
          <cell r="C751" t="str">
            <v xml:space="preserve"> </v>
          </cell>
          <cell r="D751" t="str">
            <v xml:space="preserve"> </v>
          </cell>
          <cell r="E751" t="str">
            <v>un</v>
          </cell>
          <cell r="G751">
            <v>0</v>
          </cell>
          <cell r="H751">
            <v>0</v>
          </cell>
        </row>
        <row r="752">
          <cell r="A752" t="str">
            <v>04.961.06</v>
          </cell>
          <cell r="B752" t="str">
            <v>Boca de lobo dupla c/ grelha de concreto-BLD 06</v>
          </cell>
          <cell r="C752" t="str">
            <v xml:space="preserve"> </v>
          </cell>
          <cell r="D752" t="str">
            <v xml:space="preserve"> </v>
          </cell>
          <cell r="E752" t="str">
            <v>un</v>
          </cell>
          <cell r="G752">
            <v>0</v>
          </cell>
          <cell r="H752">
            <v>0</v>
          </cell>
        </row>
        <row r="753">
          <cell r="A753" t="str">
            <v>04.961.07</v>
          </cell>
          <cell r="B753" t="str">
            <v>Boca de lobo dupla c/ grelha de concreto-BLD 07</v>
          </cell>
          <cell r="C753" t="str">
            <v xml:space="preserve"> </v>
          </cell>
          <cell r="D753" t="str">
            <v xml:space="preserve"> </v>
          </cell>
          <cell r="E753" t="str">
            <v>un</v>
          </cell>
          <cell r="G753">
            <v>0</v>
          </cell>
          <cell r="H753">
            <v>0</v>
          </cell>
        </row>
        <row r="754">
          <cell r="A754" t="str">
            <v>04.962.01</v>
          </cell>
          <cell r="B754" t="str">
            <v>Caixa de ligação e passagem- CLP 01</v>
          </cell>
          <cell r="C754" t="str">
            <v>DNER-ES287/97</v>
          </cell>
          <cell r="D754" t="str">
            <v xml:space="preserve"> </v>
          </cell>
          <cell r="E754" t="str">
            <v>un</v>
          </cell>
          <cell r="F754">
            <v>273.22000000000003</v>
          </cell>
          <cell r="G754">
            <v>97.812760000000011</v>
          </cell>
          <cell r="H754">
            <v>371.03276000000005</v>
          </cell>
        </row>
        <row r="755">
          <cell r="A755" t="str">
            <v>04.962.02</v>
          </cell>
          <cell r="B755" t="str">
            <v>Caixa de ligação e passagem- CLP 02</v>
          </cell>
          <cell r="C755" t="str">
            <v>DNER-ES287/97</v>
          </cell>
          <cell r="D755" t="str">
            <v xml:space="preserve"> </v>
          </cell>
          <cell r="E755" t="str">
            <v>un</v>
          </cell>
          <cell r="F755">
            <v>265.04000000000002</v>
          </cell>
          <cell r="G755">
            <v>94.884320000000002</v>
          </cell>
          <cell r="H755">
            <v>359.92432000000002</v>
          </cell>
        </row>
        <row r="756">
          <cell r="A756" t="str">
            <v>04.962.03</v>
          </cell>
          <cell r="B756" t="str">
            <v>Caixa de ligação e passagem- CLP 03</v>
          </cell>
          <cell r="C756" t="str">
            <v>DNER-ES287/97</v>
          </cell>
          <cell r="D756" t="str">
            <v xml:space="preserve"> </v>
          </cell>
          <cell r="E756" t="str">
            <v>un</v>
          </cell>
          <cell r="F756">
            <v>371.37</v>
          </cell>
          <cell r="G756">
            <v>132.95045999999999</v>
          </cell>
          <cell r="H756">
            <v>504.32046000000003</v>
          </cell>
        </row>
        <row r="757">
          <cell r="A757" t="str">
            <v>04.962.04</v>
          </cell>
          <cell r="B757" t="str">
            <v>Caixa de ligação e passagem- CLP 04</v>
          </cell>
          <cell r="C757" t="str">
            <v>DNER-ES287/97</v>
          </cell>
          <cell r="D757" t="str">
            <v xml:space="preserve"> </v>
          </cell>
          <cell r="E757" t="str">
            <v>un</v>
          </cell>
          <cell r="F757">
            <v>475.68</v>
          </cell>
          <cell r="G757">
            <v>170.29344</v>
          </cell>
          <cell r="H757">
            <v>645.97343999999998</v>
          </cell>
        </row>
        <row r="758">
          <cell r="A758" t="str">
            <v>04.962.05</v>
          </cell>
          <cell r="B758" t="str">
            <v>Caixa de ligação e passagem- CLP 05</v>
          </cell>
          <cell r="C758" t="str">
            <v>DNER-ES287/97</v>
          </cell>
          <cell r="D758" t="str">
            <v xml:space="preserve"> </v>
          </cell>
          <cell r="E758" t="str">
            <v>un</v>
          </cell>
          <cell r="G758">
            <v>0</v>
          </cell>
          <cell r="H758">
            <v>0</v>
          </cell>
        </row>
        <row r="759">
          <cell r="A759" t="str">
            <v>04.962.06</v>
          </cell>
          <cell r="B759" t="str">
            <v>Caixa de ligação e passagem- CLP 06</v>
          </cell>
          <cell r="C759" t="str">
            <v>DNER-ES287/97</v>
          </cell>
          <cell r="D759" t="str">
            <v xml:space="preserve"> </v>
          </cell>
          <cell r="E759" t="str">
            <v>un</v>
          </cell>
          <cell r="G759">
            <v>0</v>
          </cell>
          <cell r="H759">
            <v>0</v>
          </cell>
        </row>
        <row r="760">
          <cell r="A760" t="str">
            <v>04.962.07</v>
          </cell>
          <cell r="B760" t="str">
            <v>Caixa de ligação e passagem- CLP 07</v>
          </cell>
          <cell r="C760" t="str">
            <v>DNER-ES287/97</v>
          </cell>
          <cell r="D760" t="str">
            <v xml:space="preserve"> </v>
          </cell>
          <cell r="E760" t="str">
            <v>un</v>
          </cell>
          <cell r="F760">
            <v>326.36</v>
          </cell>
          <cell r="G760">
            <v>116.83687999999999</v>
          </cell>
          <cell r="H760">
            <v>443.19688000000002</v>
          </cell>
        </row>
        <row r="761">
          <cell r="A761" t="str">
            <v>04.962.08</v>
          </cell>
          <cell r="B761" t="str">
            <v>Caixa de ligação e passagem- CLP 08</v>
          </cell>
          <cell r="C761" t="str">
            <v>DNER-ES287/97</v>
          </cell>
          <cell r="D761" t="str">
            <v xml:space="preserve"> </v>
          </cell>
          <cell r="E761" t="str">
            <v>un</v>
          </cell>
          <cell r="F761">
            <v>317.82</v>
          </cell>
          <cell r="G761">
            <v>113.77955999999999</v>
          </cell>
          <cell r="H761">
            <v>431.59956</v>
          </cell>
        </row>
        <row r="762">
          <cell r="A762" t="str">
            <v>04.962.09</v>
          </cell>
          <cell r="B762" t="str">
            <v>Caixa de ligação e passagem- CLP 09</v>
          </cell>
          <cell r="C762" t="str">
            <v>DNER-ES287/97</v>
          </cell>
          <cell r="D762" t="str">
            <v xml:space="preserve"> </v>
          </cell>
          <cell r="E762" t="str">
            <v>un</v>
          </cell>
          <cell r="G762">
            <v>0</v>
          </cell>
          <cell r="H762">
            <v>0</v>
          </cell>
        </row>
        <row r="763">
          <cell r="A763" t="str">
            <v>04.962.10</v>
          </cell>
          <cell r="B763" t="str">
            <v>Caixa de ligação e passagem- CLP 10</v>
          </cell>
          <cell r="C763" t="str">
            <v>DNER-ES287/97</v>
          </cell>
          <cell r="D763" t="str">
            <v xml:space="preserve"> </v>
          </cell>
          <cell r="E763" t="str">
            <v>un</v>
          </cell>
          <cell r="G763">
            <v>0</v>
          </cell>
          <cell r="H763">
            <v>0</v>
          </cell>
        </row>
        <row r="764">
          <cell r="A764" t="str">
            <v>04.962.11</v>
          </cell>
          <cell r="B764" t="str">
            <v>Caixa de ligação e passagem- CLP 11</v>
          </cell>
          <cell r="C764" t="str">
            <v>DNER-ES287/97</v>
          </cell>
          <cell r="D764" t="str">
            <v xml:space="preserve"> </v>
          </cell>
          <cell r="E764" t="str">
            <v>un</v>
          </cell>
          <cell r="G764">
            <v>0</v>
          </cell>
          <cell r="H764">
            <v>0</v>
          </cell>
        </row>
        <row r="765">
          <cell r="A765" t="str">
            <v>04.962.12</v>
          </cell>
          <cell r="B765" t="str">
            <v>Caixa de ligação e passagem- CLP 12</v>
          </cell>
          <cell r="C765" t="str">
            <v>DNER-ES287/97</v>
          </cell>
          <cell r="D765" t="str">
            <v xml:space="preserve"> </v>
          </cell>
          <cell r="E765" t="str">
            <v>un</v>
          </cell>
          <cell r="G765">
            <v>0</v>
          </cell>
          <cell r="H765">
            <v>0</v>
          </cell>
        </row>
        <row r="766">
          <cell r="A766" t="str">
            <v>04.962.13</v>
          </cell>
          <cell r="B766" t="str">
            <v>Caixa de ligação e passagem- CLP 13</v>
          </cell>
          <cell r="C766" t="str">
            <v>DNER-ES287/97</v>
          </cell>
          <cell r="D766" t="str">
            <v xml:space="preserve"> </v>
          </cell>
          <cell r="E766" t="str">
            <v>un</v>
          </cell>
          <cell r="G766">
            <v>0</v>
          </cell>
          <cell r="H766">
            <v>0</v>
          </cell>
        </row>
        <row r="767">
          <cell r="A767" t="str">
            <v>04.962.14</v>
          </cell>
          <cell r="B767" t="str">
            <v>Caixa de ligação e passagem- CLP 14</v>
          </cell>
          <cell r="C767" t="str">
            <v>DNER-ES287/97</v>
          </cell>
          <cell r="D767" t="str">
            <v xml:space="preserve"> </v>
          </cell>
          <cell r="E767" t="str">
            <v>un</v>
          </cell>
          <cell r="G767">
            <v>0</v>
          </cell>
          <cell r="H767">
            <v>0</v>
          </cell>
        </row>
        <row r="768">
          <cell r="A768" t="str">
            <v>04.962.15</v>
          </cell>
          <cell r="B768" t="str">
            <v>Caixa de ligação e passagem- CLP 15</v>
          </cell>
          <cell r="C768" t="str">
            <v>DNER-ES287/97</v>
          </cell>
          <cell r="D768" t="str">
            <v xml:space="preserve"> </v>
          </cell>
          <cell r="E768" t="str">
            <v>un</v>
          </cell>
          <cell r="F768">
            <v>503</v>
          </cell>
          <cell r="G768">
            <v>180.07399999999998</v>
          </cell>
          <cell r="H768">
            <v>683.07399999999996</v>
          </cell>
        </row>
        <row r="769">
          <cell r="A769" t="str">
            <v>04.962.16</v>
          </cell>
          <cell r="B769" t="str">
            <v>Caixa de ligação e passagem- CLP 16</v>
          </cell>
          <cell r="C769" t="str">
            <v>DNER-ES287/97</v>
          </cell>
          <cell r="D769" t="str">
            <v xml:space="preserve"> </v>
          </cell>
          <cell r="E769" t="str">
            <v>un</v>
          </cell>
          <cell r="G769">
            <v>0</v>
          </cell>
          <cell r="H769">
            <v>0</v>
          </cell>
        </row>
        <row r="770">
          <cell r="A770" t="str">
            <v>04.962.17</v>
          </cell>
          <cell r="B770" t="str">
            <v>Caixa de ligação e passagem- CLP 17</v>
          </cell>
          <cell r="C770" t="str">
            <v>DNER-ES287/97</v>
          </cell>
          <cell r="D770" t="str">
            <v xml:space="preserve"> </v>
          </cell>
          <cell r="E770" t="str">
            <v>un</v>
          </cell>
          <cell r="G770">
            <v>0</v>
          </cell>
          <cell r="H770">
            <v>0</v>
          </cell>
        </row>
        <row r="771">
          <cell r="A771" t="str">
            <v xml:space="preserve">04.962.18   </v>
          </cell>
          <cell r="B771" t="str">
            <v>Caixa de ligação e passagem- CLP 18</v>
          </cell>
          <cell r="C771" t="str">
            <v>DNER-ES287/97</v>
          </cell>
          <cell r="D771" t="str">
            <v xml:space="preserve"> </v>
          </cell>
          <cell r="E771" t="str">
            <v>un</v>
          </cell>
          <cell r="G771">
            <v>0</v>
          </cell>
          <cell r="H771">
            <v>0</v>
          </cell>
        </row>
        <row r="772">
          <cell r="A772" t="str">
            <v>04.963.01</v>
          </cell>
          <cell r="B772" t="str">
            <v>Poço de visita- PVI 01</v>
          </cell>
          <cell r="C772" t="str">
            <v xml:space="preserve"> </v>
          </cell>
          <cell r="D772" t="str">
            <v xml:space="preserve"> </v>
          </cell>
          <cell r="E772" t="str">
            <v>un</v>
          </cell>
          <cell r="F772">
            <v>363.11</v>
          </cell>
          <cell r="G772">
            <v>129.99338</v>
          </cell>
          <cell r="H772">
            <v>493.10338000000002</v>
          </cell>
        </row>
        <row r="773">
          <cell r="A773" t="str">
            <v>04.963.02</v>
          </cell>
          <cell r="B773" t="str">
            <v>Poço de visita- PVI 02</v>
          </cell>
          <cell r="C773" t="str">
            <v xml:space="preserve"> </v>
          </cell>
          <cell r="D773" t="str">
            <v xml:space="preserve"> </v>
          </cell>
          <cell r="E773" t="str">
            <v>un</v>
          </cell>
          <cell r="F773">
            <v>354.56</v>
          </cell>
          <cell r="G773">
            <v>126.93248</v>
          </cell>
          <cell r="H773">
            <v>481.49248</v>
          </cell>
        </row>
        <row r="774">
          <cell r="A774" t="str">
            <v>04.963.03</v>
          </cell>
          <cell r="B774" t="str">
            <v>Poço de visita- PVI 03</v>
          </cell>
          <cell r="C774" t="str">
            <v xml:space="preserve"> </v>
          </cell>
          <cell r="D774" t="str">
            <v xml:space="preserve"> </v>
          </cell>
          <cell r="E774" t="str">
            <v>un</v>
          </cell>
          <cell r="F774">
            <v>419.21</v>
          </cell>
          <cell r="G774">
            <v>150.07718</v>
          </cell>
          <cell r="H774">
            <v>569.28718000000003</v>
          </cell>
        </row>
        <row r="775">
          <cell r="A775" t="str">
            <v>04.963.04</v>
          </cell>
          <cell r="B775" t="str">
            <v>Poço de visita- PVI 04</v>
          </cell>
          <cell r="C775" t="str">
            <v xml:space="preserve"> </v>
          </cell>
          <cell r="D775" t="str">
            <v xml:space="preserve"> </v>
          </cell>
          <cell r="E775" t="str">
            <v>un</v>
          </cell>
          <cell r="G775">
            <v>0</v>
          </cell>
          <cell r="H775">
            <v>0</v>
          </cell>
        </row>
        <row r="776">
          <cell r="A776" t="str">
            <v>04.963.05</v>
          </cell>
          <cell r="B776" t="str">
            <v>Poço de visita- PVI 05</v>
          </cell>
          <cell r="C776" t="str">
            <v xml:space="preserve"> </v>
          </cell>
          <cell r="D776" t="str">
            <v xml:space="preserve"> </v>
          </cell>
          <cell r="E776" t="str">
            <v>un</v>
          </cell>
          <cell r="G776">
            <v>0</v>
          </cell>
          <cell r="H776">
            <v>0</v>
          </cell>
        </row>
        <row r="777">
          <cell r="A777" t="str">
            <v>04.963.06</v>
          </cell>
          <cell r="B777" t="str">
            <v>Poço de visita- PVI 06</v>
          </cell>
          <cell r="C777" t="str">
            <v xml:space="preserve"> </v>
          </cell>
          <cell r="D777" t="str">
            <v xml:space="preserve"> </v>
          </cell>
          <cell r="E777" t="str">
            <v>un</v>
          </cell>
          <cell r="G777">
            <v>0</v>
          </cell>
          <cell r="H777">
            <v>0</v>
          </cell>
        </row>
        <row r="778">
          <cell r="A778" t="str">
            <v>04.963.07</v>
          </cell>
          <cell r="B778" t="str">
            <v>Poço de visita- PVI 07</v>
          </cell>
          <cell r="C778" t="str">
            <v xml:space="preserve"> </v>
          </cell>
          <cell r="D778" t="str">
            <v xml:space="preserve"> </v>
          </cell>
          <cell r="E778" t="str">
            <v>un</v>
          </cell>
          <cell r="G778">
            <v>0</v>
          </cell>
          <cell r="H778">
            <v>0</v>
          </cell>
        </row>
        <row r="779">
          <cell r="A779" t="str">
            <v>04.963.08</v>
          </cell>
          <cell r="B779" t="str">
            <v>Poço de visita- PVI 08</v>
          </cell>
          <cell r="C779" t="str">
            <v xml:space="preserve"> </v>
          </cell>
          <cell r="D779" t="str">
            <v xml:space="preserve"> </v>
          </cell>
          <cell r="E779" t="str">
            <v>un</v>
          </cell>
          <cell r="G779">
            <v>0</v>
          </cell>
          <cell r="H779">
            <v>0</v>
          </cell>
        </row>
        <row r="780">
          <cell r="A780" t="str">
            <v>04.963.09</v>
          </cell>
          <cell r="B780" t="str">
            <v>Poço de visita- PVI 09</v>
          </cell>
          <cell r="C780" t="str">
            <v xml:space="preserve"> </v>
          </cell>
          <cell r="D780" t="str">
            <v xml:space="preserve"> </v>
          </cell>
          <cell r="E780" t="str">
            <v>un</v>
          </cell>
          <cell r="G780">
            <v>0</v>
          </cell>
          <cell r="H780">
            <v>0</v>
          </cell>
        </row>
        <row r="781">
          <cell r="A781" t="str">
            <v>04.963.10</v>
          </cell>
          <cell r="B781" t="str">
            <v>Poço de visita- PVI 10</v>
          </cell>
          <cell r="C781" t="str">
            <v xml:space="preserve"> </v>
          </cell>
          <cell r="D781" t="str">
            <v xml:space="preserve"> </v>
          </cell>
          <cell r="E781" t="str">
            <v>un</v>
          </cell>
          <cell r="G781">
            <v>0</v>
          </cell>
          <cell r="H781">
            <v>0</v>
          </cell>
        </row>
        <row r="782">
          <cell r="A782" t="str">
            <v>04.963.11</v>
          </cell>
          <cell r="B782" t="str">
            <v>Poço de visita- PVI 11</v>
          </cell>
          <cell r="C782" t="str">
            <v xml:space="preserve"> </v>
          </cell>
          <cell r="D782" t="str">
            <v xml:space="preserve"> </v>
          </cell>
          <cell r="E782" t="str">
            <v>un</v>
          </cell>
          <cell r="G782">
            <v>0</v>
          </cell>
          <cell r="H782">
            <v>0</v>
          </cell>
        </row>
        <row r="783">
          <cell r="A783" t="str">
            <v>04.963.12</v>
          </cell>
          <cell r="B783" t="str">
            <v>Poço de visita- PVI 12</v>
          </cell>
          <cell r="C783" t="str">
            <v xml:space="preserve"> </v>
          </cell>
          <cell r="D783" t="str">
            <v xml:space="preserve"> </v>
          </cell>
          <cell r="E783" t="str">
            <v>un</v>
          </cell>
          <cell r="G783">
            <v>0</v>
          </cell>
          <cell r="H783">
            <v>0</v>
          </cell>
        </row>
        <row r="784">
          <cell r="A784" t="str">
            <v>04.963.13</v>
          </cell>
          <cell r="B784" t="str">
            <v>Poço de visita- PVI 13</v>
          </cell>
          <cell r="C784" t="str">
            <v xml:space="preserve"> </v>
          </cell>
          <cell r="D784" t="str">
            <v xml:space="preserve"> </v>
          </cell>
          <cell r="E784" t="str">
            <v>un</v>
          </cell>
          <cell r="G784">
            <v>0</v>
          </cell>
          <cell r="H784">
            <v>0</v>
          </cell>
        </row>
        <row r="785">
          <cell r="A785" t="str">
            <v>04.963.14</v>
          </cell>
          <cell r="B785" t="str">
            <v>Poço de visita- PVI 14</v>
          </cell>
          <cell r="C785" t="str">
            <v xml:space="preserve"> </v>
          </cell>
          <cell r="D785" t="str">
            <v xml:space="preserve"> </v>
          </cell>
          <cell r="E785" t="str">
            <v>un</v>
          </cell>
          <cell r="G785">
            <v>0</v>
          </cell>
          <cell r="H785">
            <v>0</v>
          </cell>
        </row>
        <row r="786">
          <cell r="A786" t="str">
            <v>04.963.15</v>
          </cell>
          <cell r="B786" t="str">
            <v>Poço de visita- PVI 15</v>
          </cell>
          <cell r="C786" t="str">
            <v xml:space="preserve"> </v>
          </cell>
          <cell r="D786" t="str">
            <v xml:space="preserve"> </v>
          </cell>
          <cell r="E786" t="str">
            <v>un</v>
          </cell>
          <cell r="G786">
            <v>0</v>
          </cell>
          <cell r="H786">
            <v>0</v>
          </cell>
        </row>
        <row r="787">
          <cell r="A787" t="str">
            <v>04.963.16</v>
          </cell>
          <cell r="B787" t="str">
            <v>Poço de visita- PVI 16</v>
          </cell>
          <cell r="C787" t="str">
            <v xml:space="preserve"> </v>
          </cell>
          <cell r="D787" t="str">
            <v xml:space="preserve"> </v>
          </cell>
          <cell r="E787" t="str">
            <v>un</v>
          </cell>
          <cell r="G787">
            <v>0</v>
          </cell>
          <cell r="H787">
            <v>0</v>
          </cell>
        </row>
        <row r="788">
          <cell r="A788" t="str">
            <v>04.963.17</v>
          </cell>
          <cell r="B788" t="str">
            <v>Poço de visita- PVI 17</v>
          </cell>
          <cell r="C788" t="str">
            <v xml:space="preserve"> </v>
          </cell>
          <cell r="D788" t="str">
            <v xml:space="preserve"> </v>
          </cell>
          <cell r="E788" t="str">
            <v>un</v>
          </cell>
          <cell r="G788">
            <v>0</v>
          </cell>
          <cell r="H788">
            <v>0</v>
          </cell>
        </row>
        <row r="789">
          <cell r="A789" t="str">
            <v>04.963.18</v>
          </cell>
          <cell r="B789" t="str">
            <v>Poço de visita- PVI 18</v>
          </cell>
          <cell r="C789" t="str">
            <v xml:space="preserve"> </v>
          </cell>
          <cell r="D789" t="str">
            <v xml:space="preserve"> </v>
          </cell>
          <cell r="E789" t="str">
            <v>un</v>
          </cell>
          <cell r="G789">
            <v>0</v>
          </cell>
          <cell r="H789">
            <v>0</v>
          </cell>
        </row>
        <row r="790">
          <cell r="A790" t="str">
            <v>04.963.31</v>
          </cell>
          <cell r="B790" t="str">
            <v>Chaminé dos poços de visita- CPV 01</v>
          </cell>
          <cell r="C790" t="str">
            <v xml:space="preserve"> </v>
          </cell>
          <cell r="D790" t="str">
            <v xml:space="preserve"> </v>
          </cell>
          <cell r="E790" t="str">
            <v>un</v>
          </cell>
          <cell r="F790">
            <v>271.2</v>
          </cell>
          <cell r="G790">
            <v>97.08959999999999</v>
          </cell>
          <cell r="H790">
            <v>368.28959999999995</v>
          </cell>
        </row>
        <row r="791">
          <cell r="A791" t="str">
            <v>04.963.32</v>
          </cell>
          <cell r="B791" t="str">
            <v>Chaminé dos poços de visita- CPV 02</v>
          </cell>
          <cell r="C791" t="str">
            <v xml:space="preserve"> </v>
          </cell>
          <cell r="D791" t="str">
            <v xml:space="preserve"> </v>
          </cell>
          <cell r="E791" t="str">
            <v>un</v>
          </cell>
          <cell r="G791">
            <v>0</v>
          </cell>
          <cell r="H791">
            <v>0</v>
          </cell>
        </row>
        <row r="792">
          <cell r="A792" t="str">
            <v>04.963.33</v>
          </cell>
          <cell r="B792" t="str">
            <v>Chaminé dos popos de visita- CPV 03</v>
          </cell>
          <cell r="C792" t="str">
            <v xml:space="preserve"> </v>
          </cell>
          <cell r="D792" t="str">
            <v xml:space="preserve"> </v>
          </cell>
          <cell r="E792" t="str">
            <v>un</v>
          </cell>
          <cell r="G792">
            <v>0</v>
          </cell>
          <cell r="H792">
            <v>0</v>
          </cell>
        </row>
        <row r="793">
          <cell r="A793" t="str">
            <v>04.963.34</v>
          </cell>
          <cell r="B793" t="str">
            <v>Chaminé dos poços de visita- CPV 04</v>
          </cell>
          <cell r="C793" t="str">
            <v xml:space="preserve"> </v>
          </cell>
          <cell r="D793" t="str">
            <v xml:space="preserve"> </v>
          </cell>
          <cell r="E793" t="str">
            <v>un</v>
          </cell>
          <cell r="G793">
            <v>0</v>
          </cell>
          <cell r="H793">
            <v>0</v>
          </cell>
        </row>
        <row r="794">
          <cell r="A794" t="str">
            <v>04.963.35</v>
          </cell>
          <cell r="B794" t="str">
            <v>Chaminé dos poços de visita- CPV 05</v>
          </cell>
          <cell r="C794" t="str">
            <v xml:space="preserve"> </v>
          </cell>
          <cell r="D794" t="str">
            <v xml:space="preserve"> </v>
          </cell>
          <cell r="E794" t="str">
            <v>un</v>
          </cell>
          <cell r="G794">
            <v>0</v>
          </cell>
          <cell r="H794">
            <v>0</v>
          </cell>
        </row>
        <row r="795">
          <cell r="A795" t="str">
            <v>04.963.36</v>
          </cell>
          <cell r="B795" t="str">
            <v>Chaminé dos poços de visita- CPV 06</v>
          </cell>
          <cell r="C795" t="str">
            <v xml:space="preserve"> </v>
          </cell>
          <cell r="D795" t="str">
            <v xml:space="preserve"> </v>
          </cell>
          <cell r="E795" t="str">
            <v>un</v>
          </cell>
          <cell r="G795">
            <v>0</v>
          </cell>
          <cell r="H795">
            <v>0</v>
          </cell>
        </row>
        <row r="796">
          <cell r="A796" t="str">
            <v>04.963.37</v>
          </cell>
          <cell r="B796" t="str">
            <v>Chaminé dos poços de visita- CPV 07</v>
          </cell>
          <cell r="C796" t="str">
            <v xml:space="preserve"> </v>
          </cell>
          <cell r="D796" t="str">
            <v xml:space="preserve"> </v>
          </cell>
          <cell r="E796" t="str">
            <v>un</v>
          </cell>
          <cell r="G796">
            <v>0</v>
          </cell>
          <cell r="H796">
            <v>0</v>
          </cell>
        </row>
        <row r="797">
          <cell r="A797" t="str">
            <v>04.964.01</v>
          </cell>
          <cell r="B797" t="str">
            <v>Tubulação drenagem urbana- D=40 s/berço</v>
          </cell>
          <cell r="D797" t="str">
            <v xml:space="preserve"> </v>
          </cell>
          <cell r="E797" t="str">
            <v>m</v>
          </cell>
          <cell r="F797">
            <v>44.13</v>
          </cell>
          <cell r="G797">
            <v>15.798540000000001</v>
          </cell>
          <cell r="H797">
            <v>59.928540000000005</v>
          </cell>
        </row>
        <row r="798">
          <cell r="A798" t="str">
            <v>04.964.02</v>
          </cell>
          <cell r="B798" t="str">
            <v>Tubulação drenagem urbana- D=60 s/berço</v>
          </cell>
          <cell r="C798" t="str">
            <v xml:space="preserve"> </v>
          </cell>
          <cell r="D798" t="str">
            <v xml:space="preserve"> </v>
          </cell>
          <cell r="E798" t="str">
            <v>m</v>
          </cell>
          <cell r="F798">
            <v>79.260000000000005</v>
          </cell>
          <cell r="G798">
            <v>28.375080000000001</v>
          </cell>
          <cell r="H798">
            <v>107.63508</v>
          </cell>
        </row>
        <row r="799">
          <cell r="A799" t="str">
            <v>04.964.03</v>
          </cell>
          <cell r="B799" t="str">
            <v>Tubulação drenagem urbana- D=80 s/berço</v>
          </cell>
          <cell r="C799" t="str">
            <v xml:space="preserve"> </v>
          </cell>
          <cell r="D799" t="str">
            <v xml:space="preserve"> </v>
          </cell>
          <cell r="E799" t="str">
            <v>m</v>
          </cell>
          <cell r="G799">
            <v>0</v>
          </cell>
          <cell r="H799">
            <v>0</v>
          </cell>
        </row>
        <row r="800">
          <cell r="A800" t="str">
            <v>04.964.04</v>
          </cell>
          <cell r="B800" t="str">
            <v>Tubulação drenagem urbana- D=100 s/berço</v>
          </cell>
          <cell r="C800" t="str">
            <v xml:space="preserve"> </v>
          </cell>
          <cell r="D800" t="str">
            <v xml:space="preserve"> </v>
          </cell>
          <cell r="E800" t="str">
            <v>m</v>
          </cell>
          <cell r="G800">
            <v>0</v>
          </cell>
          <cell r="H800">
            <v>0</v>
          </cell>
        </row>
        <row r="801">
          <cell r="A801" t="str">
            <v>04.964.05</v>
          </cell>
          <cell r="B801" t="str">
            <v>Tubulação drenagem urbana- D=120 s/berço</v>
          </cell>
          <cell r="C801" t="str">
            <v xml:space="preserve"> </v>
          </cell>
          <cell r="D801" t="str">
            <v xml:space="preserve"> </v>
          </cell>
          <cell r="E801" t="str">
            <v>m</v>
          </cell>
          <cell r="G801">
            <v>0</v>
          </cell>
          <cell r="H801">
            <v>0</v>
          </cell>
        </row>
        <row r="802">
          <cell r="A802" t="str">
            <v>04.964.06</v>
          </cell>
          <cell r="B802" t="str">
            <v>Tubulação drenagem urbana- D=150 s/berço</v>
          </cell>
          <cell r="C802" t="str">
            <v xml:space="preserve"> </v>
          </cell>
          <cell r="D802" t="str">
            <v xml:space="preserve"> </v>
          </cell>
          <cell r="E802" t="str">
            <v>m</v>
          </cell>
          <cell r="G802">
            <v>0</v>
          </cell>
          <cell r="H802">
            <v>0</v>
          </cell>
        </row>
        <row r="803">
          <cell r="A803" t="str">
            <v>04.990.01</v>
          </cell>
          <cell r="B803" t="str">
            <v>Transposição de segmentos de sarjetas- TSS 01</v>
          </cell>
          <cell r="C803" t="str">
            <v>DNER-ES289/97</v>
          </cell>
          <cell r="D803" t="str">
            <v xml:space="preserve"> </v>
          </cell>
          <cell r="E803" t="str">
            <v>m</v>
          </cell>
          <cell r="F803">
            <v>42.77</v>
          </cell>
          <cell r="G803">
            <v>15.31166</v>
          </cell>
          <cell r="H803">
            <v>58.081659999999999</v>
          </cell>
        </row>
        <row r="804">
          <cell r="A804" t="str">
            <v>04.990.02</v>
          </cell>
          <cell r="B804" t="str">
            <v>Transposição de segmentos de sarjetas- TSS 02</v>
          </cell>
          <cell r="C804" t="str">
            <v>DNER-ES289/97</v>
          </cell>
          <cell r="D804" t="str">
            <v xml:space="preserve"> </v>
          </cell>
          <cell r="E804" t="str">
            <v>m</v>
          </cell>
          <cell r="G804">
            <v>0</v>
          </cell>
          <cell r="H804">
            <v>0</v>
          </cell>
        </row>
        <row r="805">
          <cell r="A805" t="str">
            <v>04.990.03</v>
          </cell>
          <cell r="B805" t="str">
            <v>Transposição de segmentos de sarjetas- TSS 03</v>
          </cell>
          <cell r="C805" t="str">
            <v>DNER-ES289/97</v>
          </cell>
          <cell r="D805" t="str">
            <v xml:space="preserve"> </v>
          </cell>
          <cell r="E805" t="str">
            <v>m</v>
          </cell>
          <cell r="F805">
            <v>77.73</v>
          </cell>
          <cell r="G805">
            <v>27.82734</v>
          </cell>
          <cell r="H805">
            <v>105.55734000000001</v>
          </cell>
        </row>
        <row r="806">
          <cell r="A806" t="str">
            <v>04.990.04</v>
          </cell>
          <cell r="B806" t="str">
            <v>Transposição de segmentos de sarjetas- TSS 04</v>
          </cell>
          <cell r="C806" t="str">
            <v>DNER-ES289/97</v>
          </cell>
          <cell r="D806" t="str">
            <v xml:space="preserve"> </v>
          </cell>
          <cell r="E806" t="str">
            <v>m</v>
          </cell>
          <cell r="G806">
            <v>0</v>
          </cell>
          <cell r="H806">
            <v>0</v>
          </cell>
        </row>
        <row r="807">
          <cell r="A807" t="str">
            <v>04.990.05</v>
          </cell>
          <cell r="B807" t="str">
            <v>Transposição de segmentos de sarjetas- TSS 05</v>
          </cell>
          <cell r="C807" t="str">
            <v>DNER-ES289/97</v>
          </cell>
          <cell r="D807" t="str">
            <v xml:space="preserve"> </v>
          </cell>
          <cell r="E807" t="str">
            <v>m</v>
          </cell>
          <cell r="G807">
            <v>0</v>
          </cell>
          <cell r="H807">
            <v>0</v>
          </cell>
        </row>
        <row r="808">
          <cell r="A808" t="str">
            <v>04.990.06</v>
          </cell>
          <cell r="B808" t="str">
            <v>Transposição de segmentos de sarjetas- TSS 06</v>
          </cell>
          <cell r="C808" t="str">
            <v>DNER-ES289/97</v>
          </cell>
          <cell r="D808" t="str">
            <v xml:space="preserve"> </v>
          </cell>
          <cell r="E808" t="str">
            <v>m</v>
          </cell>
          <cell r="F808">
            <v>58.19</v>
          </cell>
          <cell r="G808">
            <v>20.83202</v>
          </cell>
          <cell r="H808">
            <v>79.022019999999998</v>
          </cell>
        </row>
        <row r="809">
          <cell r="A809" t="str">
            <v>04.991.01</v>
          </cell>
          <cell r="B809" t="str">
            <v>Tampa de concreto p/ caixa coletora(4 nervuras)-TCC 01</v>
          </cell>
          <cell r="C809" t="str">
            <v xml:space="preserve"> </v>
          </cell>
          <cell r="D809" t="str">
            <v xml:space="preserve"> </v>
          </cell>
          <cell r="E809" t="str">
            <v>un</v>
          </cell>
          <cell r="F809">
            <v>35.6</v>
          </cell>
          <cell r="G809">
            <v>12.7448</v>
          </cell>
          <cell r="H809">
            <v>48.344799999999999</v>
          </cell>
        </row>
        <row r="810">
          <cell r="A810" t="str">
            <v>04.991.02</v>
          </cell>
          <cell r="B810" t="str">
            <v>Tampa de ferro p/ caixa coletora- TCC 02</v>
          </cell>
          <cell r="C810" t="str">
            <v xml:space="preserve"> </v>
          </cell>
          <cell r="D810" t="str">
            <v xml:space="preserve"> </v>
          </cell>
          <cell r="E810" t="str">
            <v>un</v>
          </cell>
          <cell r="G810">
            <v>0</v>
          </cell>
          <cell r="H810">
            <v>0</v>
          </cell>
        </row>
        <row r="811">
          <cell r="A811" t="str">
            <v>04.999.01</v>
          </cell>
          <cell r="B811" t="str">
            <v>Remoção de bueiros existentes</v>
          </cell>
          <cell r="C811" t="str">
            <v xml:space="preserve"> </v>
          </cell>
          <cell r="D811" t="str">
            <v xml:space="preserve"> </v>
          </cell>
          <cell r="E811" t="str">
            <v>m</v>
          </cell>
          <cell r="F811">
            <v>9.6199999999999992</v>
          </cell>
          <cell r="G811">
            <v>3.4439599999999997</v>
          </cell>
          <cell r="H811">
            <v>13.063959999999998</v>
          </cell>
        </row>
        <row r="812">
          <cell r="A812" t="str">
            <v>04.999.01a</v>
          </cell>
          <cell r="B812" t="str">
            <v>Limpeza de bueiro e revestimento com tela galvanizada e concreto</v>
          </cell>
          <cell r="C812" t="str">
            <v xml:space="preserve"> </v>
          </cell>
          <cell r="D812" t="str">
            <v xml:space="preserve"> </v>
          </cell>
          <cell r="E812" t="str">
            <v>m</v>
          </cell>
          <cell r="F812">
            <v>32.53</v>
          </cell>
          <cell r="G812">
            <v>11.64574</v>
          </cell>
          <cell r="H812">
            <v>44.175740000000005</v>
          </cell>
        </row>
        <row r="813">
          <cell r="A813" t="str">
            <v>04.999.02</v>
          </cell>
          <cell r="B813" t="str">
            <v>Demolição de dispositivos de concreto</v>
          </cell>
          <cell r="C813" t="str">
            <v>DNER-ES296/97</v>
          </cell>
          <cell r="D813" t="str">
            <v xml:space="preserve"> </v>
          </cell>
          <cell r="E813" t="str">
            <v>m3</v>
          </cell>
          <cell r="F813">
            <v>9.26</v>
          </cell>
          <cell r="G813">
            <v>3.3150799999999996</v>
          </cell>
          <cell r="H813">
            <v>12.57508</v>
          </cell>
        </row>
        <row r="814">
          <cell r="A814" t="str">
            <v>04.999.03</v>
          </cell>
          <cell r="B814" t="str">
            <v>Escoramento de bueiros celulares</v>
          </cell>
          <cell r="C814" t="str">
            <v xml:space="preserve"> </v>
          </cell>
          <cell r="D814" t="str">
            <v xml:space="preserve"> </v>
          </cell>
          <cell r="E814" t="str">
            <v>m3</v>
          </cell>
          <cell r="F814">
            <v>8.75</v>
          </cell>
          <cell r="G814">
            <v>3.1324999999999998</v>
          </cell>
          <cell r="H814">
            <v>11.8825</v>
          </cell>
        </row>
        <row r="815">
          <cell r="A815" t="str">
            <v>04.999.04</v>
          </cell>
          <cell r="B815" t="str">
            <v>Restauração de disp. danif. c/ concreto fck=11 MPa</v>
          </cell>
          <cell r="C815" t="str">
            <v>DNER-ES298/97</v>
          </cell>
          <cell r="D815" t="str">
            <v xml:space="preserve"> </v>
          </cell>
          <cell r="E815" t="str">
            <v>m3</v>
          </cell>
          <cell r="G815">
            <v>0</v>
          </cell>
          <cell r="H815">
            <v>0</v>
          </cell>
        </row>
        <row r="816">
          <cell r="A816" t="str">
            <v>04.999.05</v>
          </cell>
          <cell r="B816" t="str">
            <v>Restauração de disp. danif. c/ argamassa cim.-areia 1:3</v>
          </cell>
          <cell r="C816" t="str">
            <v>DNER-ES298/97</v>
          </cell>
          <cell r="D816" t="str">
            <v xml:space="preserve"> </v>
          </cell>
          <cell r="E816" t="str">
            <v>m3</v>
          </cell>
          <cell r="G816">
            <v>0</v>
          </cell>
          <cell r="H816">
            <v>0</v>
          </cell>
        </row>
        <row r="817">
          <cell r="A817" t="str">
            <v>04.999.06</v>
          </cell>
          <cell r="B817" t="str">
            <v>Solo local /selo de argila apiloado</v>
          </cell>
          <cell r="C817" t="str">
            <v xml:space="preserve"> </v>
          </cell>
          <cell r="D817" t="str">
            <v xml:space="preserve"> </v>
          </cell>
          <cell r="E817" t="str">
            <v>m3</v>
          </cell>
          <cell r="F817">
            <v>8.39</v>
          </cell>
          <cell r="G817">
            <v>3.0036200000000002</v>
          </cell>
          <cell r="H817">
            <v>11.39362</v>
          </cell>
        </row>
        <row r="818">
          <cell r="A818" t="str">
            <v>04.999.07</v>
          </cell>
          <cell r="B818" t="str">
            <v>Lastro de brita</v>
          </cell>
          <cell r="C818" t="str">
            <v xml:space="preserve"> </v>
          </cell>
          <cell r="D818" t="str">
            <v xml:space="preserve"> </v>
          </cell>
          <cell r="E818" t="str">
            <v>m3</v>
          </cell>
          <cell r="F818">
            <v>23.74</v>
          </cell>
          <cell r="G818">
            <v>8.4989199999999983</v>
          </cell>
          <cell r="H818">
            <v>32.238919999999993</v>
          </cell>
        </row>
        <row r="819">
          <cell r="A819" t="str">
            <v>05.000.03</v>
          </cell>
          <cell r="B819" t="str">
            <v>Guia de madeira- 2,5x7 cm</v>
          </cell>
          <cell r="C819" t="str">
            <v xml:space="preserve"> </v>
          </cell>
          <cell r="D819" t="str">
            <v xml:space="preserve"> </v>
          </cell>
          <cell r="E819" t="str">
            <v>m</v>
          </cell>
          <cell r="F819">
            <v>1.29</v>
          </cell>
          <cell r="G819">
            <v>0.46182000000000001</v>
          </cell>
          <cell r="H819">
            <v>1.7518199999999999</v>
          </cell>
        </row>
        <row r="820">
          <cell r="A820" t="str">
            <v>05.000.04</v>
          </cell>
          <cell r="B820" t="str">
            <v>Guia de madeira- 2,5x10 cm</v>
          </cell>
          <cell r="C820" t="str">
            <v xml:space="preserve"> </v>
          </cell>
          <cell r="D820" t="str">
            <v xml:space="preserve"> </v>
          </cell>
          <cell r="E820" t="str">
            <v>m</v>
          </cell>
          <cell r="G820">
            <v>0</v>
          </cell>
          <cell r="H820">
            <v>0</v>
          </cell>
        </row>
        <row r="821">
          <cell r="A821" t="str">
            <v>05.000.06</v>
          </cell>
          <cell r="B821" t="str">
            <v>Calha metálica semi- circular D= 40</v>
          </cell>
          <cell r="C821" t="str">
            <v xml:space="preserve"> </v>
          </cell>
          <cell r="D821" t="str">
            <v xml:space="preserve"> </v>
          </cell>
          <cell r="E821" t="str">
            <v>m</v>
          </cell>
          <cell r="G821">
            <v>0</v>
          </cell>
          <cell r="H821">
            <v>0</v>
          </cell>
        </row>
        <row r="822">
          <cell r="A822" t="str">
            <v>05.000.09</v>
          </cell>
          <cell r="B822" t="str">
            <v>Dentes p/ assent. de bueiros simples D=60</v>
          </cell>
          <cell r="C822" t="str">
            <v xml:space="preserve"> </v>
          </cell>
          <cell r="D822" t="str">
            <v xml:space="preserve"> </v>
          </cell>
          <cell r="E822" t="str">
            <v>un</v>
          </cell>
          <cell r="G822">
            <v>0</v>
          </cell>
          <cell r="H822">
            <v>0</v>
          </cell>
        </row>
        <row r="823">
          <cell r="A823" t="str">
            <v>05.000.10</v>
          </cell>
          <cell r="B823" t="str">
            <v>Dentes p/ assent. de bueiros simples D=80</v>
          </cell>
          <cell r="C823" t="str">
            <v xml:space="preserve"> </v>
          </cell>
          <cell r="D823" t="str">
            <v xml:space="preserve"> </v>
          </cell>
          <cell r="E823" t="str">
            <v>un</v>
          </cell>
          <cell r="G823">
            <v>0</v>
          </cell>
          <cell r="H823">
            <v>0</v>
          </cell>
        </row>
        <row r="824">
          <cell r="A824" t="str">
            <v>05.000.11</v>
          </cell>
          <cell r="B824" t="str">
            <v>Dentes p/ assent. de bueiros simples D=100</v>
          </cell>
          <cell r="C824" t="str">
            <v xml:space="preserve"> </v>
          </cell>
          <cell r="D824" t="str">
            <v xml:space="preserve"> </v>
          </cell>
          <cell r="E824" t="str">
            <v>un</v>
          </cell>
          <cell r="G824">
            <v>0</v>
          </cell>
          <cell r="H824">
            <v>0</v>
          </cell>
        </row>
        <row r="825">
          <cell r="A825" t="str">
            <v>05.000.12</v>
          </cell>
          <cell r="B825" t="str">
            <v>Dentes p/ assent. de bueiros simples D=120</v>
          </cell>
          <cell r="C825" t="str">
            <v xml:space="preserve"> </v>
          </cell>
          <cell r="D825" t="str">
            <v xml:space="preserve"> </v>
          </cell>
          <cell r="E825" t="str">
            <v>un</v>
          </cell>
          <cell r="G825">
            <v>0</v>
          </cell>
          <cell r="H825">
            <v>0</v>
          </cell>
        </row>
        <row r="826">
          <cell r="A826" t="str">
            <v>05.000.13</v>
          </cell>
          <cell r="B826" t="str">
            <v>Dentes p/ assent. de bueiros simples D=150</v>
          </cell>
          <cell r="C826" t="str">
            <v xml:space="preserve"> </v>
          </cell>
          <cell r="D826" t="str">
            <v xml:space="preserve"> </v>
          </cell>
          <cell r="E826" t="str">
            <v>un</v>
          </cell>
          <cell r="G826">
            <v>0</v>
          </cell>
          <cell r="H826">
            <v>0</v>
          </cell>
        </row>
        <row r="827">
          <cell r="A827" t="str">
            <v>05.000.14</v>
          </cell>
          <cell r="B827" t="str">
            <v>Dentes p/ assent. de bueiros duplos D=100</v>
          </cell>
          <cell r="C827" t="str">
            <v xml:space="preserve"> </v>
          </cell>
          <cell r="D827" t="str">
            <v xml:space="preserve"> </v>
          </cell>
          <cell r="E827" t="str">
            <v>un</v>
          </cell>
          <cell r="G827">
            <v>0</v>
          </cell>
          <cell r="H827">
            <v>0</v>
          </cell>
        </row>
        <row r="828">
          <cell r="A828" t="str">
            <v>05.000.15</v>
          </cell>
          <cell r="B828" t="str">
            <v>Dentes p/ assent. de bueiros duplos D=120</v>
          </cell>
          <cell r="C828" t="str">
            <v xml:space="preserve"> </v>
          </cell>
          <cell r="D828" t="str">
            <v xml:space="preserve"> </v>
          </cell>
          <cell r="E828" t="str">
            <v>un</v>
          </cell>
          <cell r="G828">
            <v>0</v>
          </cell>
          <cell r="H828">
            <v>0</v>
          </cell>
        </row>
        <row r="829">
          <cell r="A829" t="str">
            <v>05.000.16</v>
          </cell>
          <cell r="B829" t="str">
            <v>Dentes p/ assent. de bueiros duplos D=150</v>
          </cell>
          <cell r="C829" t="str">
            <v xml:space="preserve"> </v>
          </cell>
          <cell r="D829" t="str">
            <v xml:space="preserve"> </v>
          </cell>
          <cell r="E829" t="str">
            <v>un</v>
          </cell>
          <cell r="G829">
            <v>0</v>
          </cell>
          <cell r="H829">
            <v>0</v>
          </cell>
        </row>
        <row r="830">
          <cell r="A830" t="str">
            <v>05.000.17</v>
          </cell>
          <cell r="B830" t="str">
            <v>Dentes p/ assent. de bueiros triplos D=100</v>
          </cell>
          <cell r="E830" t="str">
            <v>un</v>
          </cell>
          <cell r="G830">
            <v>0</v>
          </cell>
          <cell r="H830">
            <v>0</v>
          </cell>
        </row>
        <row r="831">
          <cell r="A831" t="str">
            <v>05.000.18</v>
          </cell>
          <cell r="B831" t="str">
            <v>Dentes p/ assent. de bueiros triplos D=120</v>
          </cell>
          <cell r="E831" t="str">
            <v>un</v>
          </cell>
          <cell r="G831">
            <v>0</v>
          </cell>
          <cell r="H831">
            <v>0</v>
          </cell>
        </row>
        <row r="832">
          <cell r="A832" t="str">
            <v>05.000.19</v>
          </cell>
          <cell r="B832" t="str">
            <v>Dentes p/ assent. de bueiros triplos D=150</v>
          </cell>
          <cell r="E832" t="str">
            <v>un</v>
          </cell>
          <cell r="G832">
            <v>0</v>
          </cell>
          <cell r="H832">
            <v>0</v>
          </cell>
        </row>
        <row r="833">
          <cell r="A833">
            <v>9000030</v>
          </cell>
          <cell r="B833" t="str">
            <v>Drenos verticais fibroquímicos (Geodrenos flexíveis)</v>
          </cell>
          <cell r="E833" t="str">
            <v>m</v>
          </cell>
          <cell r="F833">
            <v>4.05</v>
          </cell>
          <cell r="G833">
            <v>1.4499</v>
          </cell>
          <cell r="H833">
            <v>5.4999000000000002</v>
          </cell>
        </row>
        <row r="834">
          <cell r="A834">
            <v>9000031</v>
          </cell>
          <cell r="B834" t="str">
            <v>Geogrelhas</v>
          </cell>
          <cell r="E834" t="str">
            <v>m</v>
          </cell>
          <cell r="F834">
            <v>4.92</v>
          </cell>
          <cell r="G834">
            <v>1.7613599999999998</v>
          </cell>
          <cell r="H834">
            <v>6.6813599999999997</v>
          </cell>
        </row>
        <row r="835">
          <cell r="A835">
            <v>9000032</v>
          </cell>
          <cell r="B835" t="str">
            <v>Manta Geotextil 200g/m2</v>
          </cell>
          <cell r="E835" t="str">
            <v>m2</v>
          </cell>
          <cell r="F835">
            <v>4.29</v>
          </cell>
          <cell r="G835">
            <v>1.53582</v>
          </cell>
          <cell r="H835">
            <v>5.8258200000000002</v>
          </cell>
        </row>
        <row r="836">
          <cell r="A836">
            <v>5</v>
          </cell>
          <cell r="B836" t="str">
            <v>OBRAS COMPLEMENTARES E SINALIZAÇÃO</v>
          </cell>
          <cell r="G836">
            <v>0</v>
          </cell>
        </row>
        <row r="837">
          <cell r="A837" t="str">
            <v>05.100.00</v>
          </cell>
          <cell r="B837" t="str">
            <v>Enleivamento</v>
          </cell>
          <cell r="C837" t="str">
            <v>DNER-ES341/97</v>
          </cell>
          <cell r="D837" t="str">
            <v xml:space="preserve"> </v>
          </cell>
          <cell r="E837" t="str">
            <v>m2</v>
          </cell>
          <cell r="F837">
            <v>1.52</v>
          </cell>
          <cell r="G837">
            <v>0.54415999999999998</v>
          </cell>
          <cell r="H837">
            <v>2.0641600000000002</v>
          </cell>
        </row>
        <row r="838">
          <cell r="A838" t="str">
            <v>P 05.100.01</v>
          </cell>
          <cell r="B838" t="str">
            <v>Fornecimento e plantio de lírio amarelo</v>
          </cell>
          <cell r="C838" t="str">
            <v>DNER-ES341/97</v>
          </cell>
          <cell r="D838" t="str">
            <v xml:space="preserve"> </v>
          </cell>
          <cell r="E838" t="str">
            <v>m2</v>
          </cell>
          <cell r="F838">
            <v>10.41</v>
          </cell>
          <cell r="G838">
            <v>3.7267799999999998</v>
          </cell>
          <cell r="H838">
            <v>14.13678</v>
          </cell>
        </row>
        <row r="839">
          <cell r="A839" t="str">
            <v>P 05.100.02</v>
          </cell>
          <cell r="B839" t="str">
            <v>Fornecimento e plantio de árvore selecionada</v>
          </cell>
          <cell r="C839" t="str">
            <v>DNER-ES341/97</v>
          </cell>
          <cell r="D839" t="str">
            <v xml:space="preserve"> </v>
          </cell>
          <cell r="E839" t="str">
            <v>un</v>
          </cell>
          <cell r="F839">
            <v>4.43</v>
          </cell>
          <cell r="G839">
            <v>1.5859399999999999</v>
          </cell>
          <cell r="H839">
            <v>6.0159399999999996</v>
          </cell>
        </row>
        <row r="840">
          <cell r="A840" t="str">
            <v>P 05.100.04</v>
          </cell>
          <cell r="B840" t="str">
            <v>Alambrado c/tela galvanizada c/mourões de concreto h=2,00m</v>
          </cell>
          <cell r="D840" t="str">
            <v xml:space="preserve"> </v>
          </cell>
          <cell r="E840" t="str">
            <v>m</v>
          </cell>
          <cell r="F840">
            <v>28.23</v>
          </cell>
          <cell r="G840">
            <v>10.106339999999999</v>
          </cell>
          <cell r="H840">
            <v>38.33634</v>
          </cell>
        </row>
        <row r="841">
          <cell r="A841" t="str">
            <v>P 05.100.05</v>
          </cell>
          <cell r="B841" t="str">
            <v xml:space="preserve">Portão duas folhas 4,20 x 2,00m, c/tela de aço galvanizado </v>
          </cell>
          <cell r="E841" t="str">
            <v>un</v>
          </cell>
          <cell r="F841">
            <v>1488.03</v>
          </cell>
          <cell r="G841">
            <v>532.71474000000001</v>
          </cell>
          <cell r="H841">
            <v>2020.7447400000001</v>
          </cell>
        </row>
        <row r="842">
          <cell r="A842" t="str">
            <v>05.102.00</v>
          </cell>
          <cell r="B842" t="str">
            <v>Hidrossemeadura</v>
          </cell>
          <cell r="C842" t="str">
            <v>DNER-ES341/97</v>
          </cell>
          <cell r="D842" t="str">
            <v xml:space="preserve"> </v>
          </cell>
          <cell r="E842" t="str">
            <v>m2</v>
          </cell>
          <cell r="F842">
            <v>0.36</v>
          </cell>
          <cell r="G842">
            <v>0.12887999999999999</v>
          </cell>
          <cell r="H842">
            <v>0.48887999999999998</v>
          </cell>
        </row>
        <row r="843">
          <cell r="A843" t="str">
            <v>05.300.01</v>
          </cell>
          <cell r="B843" t="str">
            <v>Alvenaria de pedra arrumada</v>
          </cell>
          <cell r="C843" t="str">
            <v xml:space="preserve"> </v>
          </cell>
          <cell r="D843" t="str">
            <v xml:space="preserve"> </v>
          </cell>
          <cell r="E843" t="str">
            <v>m3</v>
          </cell>
          <cell r="F843">
            <v>29.96</v>
          </cell>
          <cell r="G843">
            <v>10.725680000000001</v>
          </cell>
          <cell r="H843">
            <v>40.685680000000005</v>
          </cell>
        </row>
        <row r="844">
          <cell r="A844" t="str">
            <v>05.300.02</v>
          </cell>
          <cell r="B844" t="str">
            <v>Enrocamento de pedra jogada</v>
          </cell>
          <cell r="C844" t="str">
            <v xml:space="preserve"> </v>
          </cell>
          <cell r="D844" t="str">
            <v xml:space="preserve"> </v>
          </cell>
          <cell r="E844" t="str">
            <v>m3</v>
          </cell>
          <cell r="F844">
            <v>20.21</v>
          </cell>
          <cell r="G844">
            <v>7.2351799999999997</v>
          </cell>
          <cell r="H844">
            <v>27.445180000000001</v>
          </cell>
        </row>
        <row r="845">
          <cell r="A845" t="str">
            <v>DER 45340</v>
          </cell>
          <cell r="B845" t="str">
            <v>Enrocamento de pedra arrumada</v>
          </cell>
          <cell r="C845" t="str">
            <v xml:space="preserve"> </v>
          </cell>
          <cell r="D845" t="str">
            <v xml:space="preserve"> </v>
          </cell>
          <cell r="E845" t="str">
            <v>m3</v>
          </cell>
          <cell r="F845">
            <v>24.57</v>
          </cell>
          <cell r="G845">
            <v>8.7960599999999989</v>
          </cell>
          <cell r="H845">
            <v>33.366059999999997</v>
          </cell>
        </row>
        <row r="846">
          <cell r="A846" t="str">
            <v>05.301.00</v>
          </cell>
          <cell r="B846" t="str">
            <v>Alvenaria de pedra argamassada</v>
          </cell>
          <cell r="C846" t="str">
            <v xml:space="preserve"> </v>
          </cell>
          <cell r="D846" t="str">
            <v xml:space="preserve"> </v>
          </cell>
          <cell r="E846" t="str">
            <v>m3</v>
          </cell>
          <cell r="F846">
            <v>74.8</v>
          </cell>
          <cell r="G846">
            <v>26.778399999999998</v>
          </cell>
          <cell r="H846">
            <v>101.57839999999999</v>
          </cell>
        </row>
        <row r="847">
          <cell r="A847" t="str">
            <v>05.301.01</v>
          </cell>
          <cell r="B847" t="str">
            <v>Alvenaria tijolos</v>
          </cell>
          <cell r="C847" t="str">
            <v xml:space="preserve"> </v>
          </cell>
          <cell r="D847" t="str">
            <v xml:space="preserve"> </v>
          </cell>
          <cell r="E847" t="str">
            <v>m2</v>
          </cell>
          <cell r="F847">
            <v>17.91</v>
          </cell>
          <cell r="G847">
            <v>6.4117799999999994</v>
          </cell>
          <cell r="H847">
            <v>24.32178</v>
          </cell>
        </row>
        <row r="848">
          <cell r="A848" t="str">
            <v>DER81950</v>
          </cell>
          <cell r="B848" t="str">
            <v>Calçada em lastro de brita c/revestimento em concreto</v>
          </cell>
          <cell r="C848" t="str">
            <v xml:space="preserve"> </v>
          </cell>
          <cell r="D848" t="str">
            <v xml:space="preserve"> </v>
          </cell>
          <cell r="E848" t="str">
            <v>m2</v>
          </cell>
          <cell r="F848">
            <v>6.58</v>
          </cell>
          <cell r="G848">
            <v>2.3556399999999997</v>
          </cell>
          <cell r="H848">
            <v>8.9356399999999994</v>
          </cell>
        </row>
        <row r="849">
          <cell r="A849" t="str">
            <v>P 05.300.00</v>
          </cell>
          <cell r="B849" t="str">
            <v>Abrigos para passageiros</v>
          </cell>
          <cell r="C849" t="str">
            <v xml:space="preserve"> </v>
          </cell>
          <cell r="D849" t="str">
            <v xml:space="preserve"> </v>
          </cell>
          <cell r="E849" t="str">
            <v>un</v>
          </cell>
          <cell r="F849">
            <v>613.17999999999995</v>
          </cell>
          <cell r="G849">
            <v>219.51843999999997</v>
          </cell>
          <cell r="H849">
            <v>832.69843999999989</v>
          </cell>
        </row>
        <row r="850">
          <cell r="A850" t="str">
            <v>P 06.030.00</v>
          </cell>
          <cell r="B850" t="str">
            <v>Barreira de segurança simples</v>
          </cell>
          <cell r="C850" t="str">
            <v xml:space="preserve"> </v>
          </cell>
          <cell r="D850" t="str">
            <v xml:space="preserve"> </v>
          </cell>
          <cell r="E850" t="str">
            <v>m</v>
          </cell>
          <cell r="F850">
            <v>38.409999999999997</v>
          </cell>
          <cell r="G850">
            <v>13.750779999999999</v>
          </cell>
          <cell r="H850">
            <v>52.160779999999995</v>
          </cell>
        </row>
        <row r="851">
          <cell r="A851" t="str">
            <v>P 06.030.02</v>
          </cell>
          <cell r="B851" t="str">
            <v>Barreira Classe II</v>
          </cell>
          <cell r="C851" t="str">
            <v xml:space="preserve"> </v>
          </cell>
          <cell r="D851" t="str">
            <v xml:space="preserve"> </v>
          </cell>
          <cell r="E851" t="str">
            <v>un</v>
          </cell>
          <cell r="F851">
            <v>38.49</v>
          </cell>
          <cell r="G851">
            <v>13.77942</v>
          </cell>
          <cell r="H851">
            <v>52.269420000000004</v>
          </cell>
        </row>
        <row r="852">
          <cell r="A852" t="str">
            <v>P 06.030.03</v>
          </cell>
          <cell r="B852" t="str">
            <v>Barreira Classe III</v>
          </cell>
          <cell r="C852" t="str">
            <v xml:space="preserve"> </v>
          </cell>
          <cell r="D852" t="str">
            <v xml:space="preserve"> </v>
          </cell>
          <cell r="E852" t="str">
            <v>un</v>
          </cell>
          <cell r="F852">
            <v>51.9</v>
          </cell>
          <cell r="G852">
            <v>18.580199999999998</v>
          </cell>
          <cell r="H852">
            <v>70.480199999999996</v>
          </cell>
        </row>
        <row r="853">
          <cell r="A853" t="str">
            <v>06.090.01</v>
          </cell>
          <cell r="B853" t="str">
            <v>Defensas metálicas</v>
          </cell>
          <cell r="C853" t="str">
            <v>DNER-EM370/97</v>
          </cell>
          <cell r="D853" t="str">
            <v xml:space="preserve"> </v>
          </cell>
          <cell r="E853" t="str">
            <v>m</v>
          </cell>
          <cell r="G853">
            <v>0</v>
          </cell>
          <cell r="H853">
            <v>0</v>
          </cell>
        </row>
        <row r="854">
          <cell r="A854" t="str">
            <v>06.100.01</v>
          </cell>
          <cell r="B854" t="str">
            <v>Pintura de faixa horizontal</v>
          </cell>
          <cell r="C854" t="str">
            <v>DNER-EM371-372-373/97</v>
          </cell>
          <cell r="D854" t="str">
            <v xml:space="preserve"> </v>
          </cell>
          <cell r="E854" t="str">
            <v>m2</v>
          </cell>
          <cell r="G854">
            <v>0</v>
          </cell>
          <cell r="H854">
            <v>0</v>
          </cell>
        </row>
        <row r="855">
          <cell r="A855" t="str">
            <v xml:space="preserve">06.100.02  </v>
          </cell>
          <cell r="B855" t="str">
            <v>Pintura setas e zebrados</v>
          </cell>
          <cell r="C855" t="str">
            <v>DNER-EM371-372-373/97</v>
          </cell>
          <cell r="D855" t="str">
            <v xml:space="preserve"> </v>
          </cell>
          <cell r="E855" t="str">
            <v>m2</v>
          </cell>
          <cell r="G855">
            <v>0</v>
          </cell>
          <cell r="H855">
            <v>0</v>
          </cell>
        </row>
        <row r="856">
          <cell r="A856" t="str">
            <v>P06.200.01a</v>
          </cell>
          <cell r="B856" t="str">
            <v>Placa de sinalização (SR) 0,50x0,60m</v>
          </cell>
          <cell r="E856" t="str">
            <v>un</v>
          </cell>
          <cell r="F856">
            <v>29.4</v>
          </cell>
          <cell r="G856">
            <v>10.5252</v>
          </cell>
          <cell r="H856">
            <v>39.925199999999997</v>
          </cell>
        </row>
        <row r="857">
          <cell r="A857" t="str">
            <v>P06.200.01b</v>
          </cell>
          <cell r="B857" t="str">
            <v>Placa de sinalização (SR) 1,00x0,70m</v>
          </cell>
          <cell r="E857" t="str">
            <v>un</v>
          </cell>
          <cell r="F857">
            <v>68.59</v>
          </cell>
          <cell r="G857">
            <v>24.555219999999998</v>
          </cell>
          <cell r="H857">
            <v>93.145219999999995</v>
          </cell>
        </row>
        <row r="858">
          <cell r="A858" t="str">
            <v>P06.200.01c</v>
          </cell>
          <cell r="B858" t="str">
            <v>Placa de sinalização (SR) 1,50x0,70m</v>
          </cell>
          <cell r="E858" t="str">
            <v>un</v>
          </cell>
          <cell r="F858">
            <v>102.89</v>
          </cell>
          <cell r="G858">
            <v>36.834620000000001</v>
          </cell>
          <cell r="H858">
            <v>139.72462000000002</v>
          </cell>
        </row>
        <row r="859">
          <cell r="A859" t="str">
            <v>P06.200.01d</v>
          </cell>
          <cell r="B859" t="str">
            <v>Placa de sinalização (SR) 1,50x0,80m</v>
          </cell>
          <cell r="E859" t="str">
            <v>un</v>
          </cell>
          <cell r="F859">
            <v>117.59</v>
          </cell>
          <cell r="G859">
            <v>42.09722</v>
          </cell>
          <cell r="H859">
            <v>159.68722</v>
          </cell>
        </row>
        <row r="860">
          <cell r="A860" t="str">
            <v>P06.200.01e</v>
          </cell>
          <cell r="B860" t="str">
            <v>Placa de sinalização (SR) 1,50x0,50m</v>
          </cell>
          <cell r="E860" t="str">
            <v>un</v>
          </cell>
          <cell r="F860">
            <v>73.489999999999995</v>
          </cell>
          <cell r="G860">
            <v>26.309419999999996</v>
          </cell>
          <cell r="H860">
            <v>99.799419999999998</v>
          </cell>
        </row>
        <row r="861">
          <cell r="A861" t="str">
            <v>P06.200.01f</v>
          </cell>
          <cell r="B861" t="str">
            <v>Placa de sinalização (SR) 1,50x1,00m</v>
          </cell>
          <cell r="E861" t="str">
            <v>un</v>
          </cell>
          <cell r="F861">
            <v>146.99</v>
          </cell>
          <cell r="G861">
            <v>52.622419999999998</v>
          </cell>
          <cell r="H861">
            <v>199.61242000000001</v>
          </cell>
        </row>
        <row r="862">
          <cell r="A862" t="str">
            <v>P06.200.01g</v>
          </cell>
          <cell r="B862" t="str">
            <v>Placa de sinalização (SR) 2,00x1,00m</v>
          </cell>
          <cell r="E862" t="str">
            <v>un</v>
          </cell>
          <cell r="F862">
            <v>195.98</v>
          </cell>
          <cell r="G862">
            <v>70.160839999999993</v>
          </cell>
          <cell r="H862">
            <v>266.14083999999997</v>
          </cell>
        </row>
        <row r="863">
          <cell r="A863" t="str">
            <v>P06.200.01h</v>
          </cell>
          <cell r="B863" t="str">
            <v>Placa de sinalização (SR) D=0,80m</v>
          </cell>
          <cell r="E863" t="str">
            <v>un</v>
          </cell>
          <cell r="F863">
            <v>49</v>
          </cell>
          <cell r="G863">
            <v>17.541999999999998</v>
          </cell>
          <cell r="H863">
            <v>66.542000000000002</v>
          </cell>
        </row>
        <row r="864">
          <cell r="A864" t="str">
            <v>P06.200.01i</v>
          </cell>
          <cell r="B864" t="str">
            <v>Placa de sinalização (SR) 0,80x0,80m</v>
          </cell>
          <cell r="E864" t="str">
            <v>un</v>
          </cell>
          <cell r="F864">
            <v>62.71</v>
          </cell>
          <cell r="G864">
            <v>22.45018</v>
          </cell>
          <cell r="H864">
            <v>85.160179999999997</v>
          </cell>
        </row>
        <row r="865">
          <cell r="A865" t="str">
            <v>P06.200.01j</v>
          </cell>
          <cell r="B865" t="str">
            <v>Sinalizador intermitente</v>
          </cell>
          <cell r="E865" t="str">
            <v>un</v>
          </cell>
          <cell r="F865">
            <v>12</v>
          </cell>
          <cell r="G865">
            <v>4.2959999999999994</v>
          </cell>
          <cell r="H865">
            <v>16.295999999999999</v>
          </cell>
        </row>
        <row r="866">
          <cell r="A866" t="str">
            <v>P06.200.01k</v>
          </cell>
          <cell r="B866" t="str">
            <v>Sinalizador (balde)</v>
          </cell>
          <cell r="E866" t="str">
            <v>un</v>
          </cell>
          <cell r="F866">
            <v>7</v>
          </cell>
          <cell r="G866">
            <v>2.5059999999999998</v>
          </cell>
          <cell r="H866">
            <v>9.5060000000000002</v>
          </cell>
        </row>
        <row r="867">
          <cell r="A867" t="str">
            <v>P06.200.01l</v>
          </cell>
          <cell r="B867" t="str">
            <v>Sinalizador com bandeira</v>
          </cell>
          <cell r="E867" t="str">
            <v>homxh</v>
          </cell>
          <cell r="F867">
            <v>3.69</v>
          </cell>
          <cell r="G867">
            <v>1.3210199999999999</v>
          </cell>
          <cell r="H867">
            <v>5.0110200000000003</v>
          </cell>
        </row>
        <row r="868">
          <cell r="A868" t="str">
            <v>06.200.02</v>
          </cell>
          <cell r="B868" t="str">
            <v>Placa de sinalização tot. refletiva (forn/impl)</v>
          </cell>
          <cell r="E868" t="str">
            <v>m2</v>
          </cell>
          <cell r="F868">
            <v>156.05000000000001</v>
          </cell>
          <cell r="G868">
            <v>55.865900000000003</v>
          </cell>
          <cell r="H868">
            <v>211.91590000000002</v>
          </cell>
        </row>
        <row r="869">
          <cell r="A869" t="str">
            <v>P06.200.02a</v>
          </cell>
          <cell r="B869" t="str">
            <v>Placa de sinalização (TR) D=0,40m</v>
          </cell>
          <cell r="E869" t="str">
            <v>un</v>
          </cell>
          <cell r="F869">
            <v>20.29</v>
          </cell>
          <cell r="G869">
            <v>7.2638199999999991</v>
          </cell>
          <cell r="H869">
            <v>27.553819999999998</v>
          </cell>
        </row>
        <row r="870">
          <cell r="A870" t="str">
            <v>P06.200.02b</v>
          </cell>
          <cell r="B870" t="str">
            <v>Placa de sinalização (TR) D=0,80m</v>
          </cell>
          <cell r="E870" t="str">
            <v>un</v>
          </cell>
          <cell r="F870">
            <v>78.03</v>
          </cell>
          <cell r="G870">
            <v>27.934739999999998</v>
          </cell>
          <cell r="H870">
            <v>105.96474000000001</v>
          </cell>
        </row>
        <row r="871">
          <cell r="A871" t="str">
            <v>P06.200.02c</v>
          </cell>
          <cell r="B871" t="str">
            <v>Placa de sinalização (TR) D=1,20m</v>
          </cell>
          <cell r="E871" t="str">
            <v>un</v>
          </cell>
          <cell r="F871">
            <v>176.34</v>
          </cell>
          <cell r="G871">
            <v>63.129719999999999</v>
          </cell>
          <cell r="H871">
            <v>239.46972</v>
          </cell>
        </row>
        <row r="872">
          <cell r="A872" t="str">
            <v>P06.200.02d</v>
          </cell>
          <cell r="B872" t="str">
            <v>Placa de sinalização (TR) 1,20x1,20m</v>
          </cell>
          <cell r="E872" t="str">
            <v>un</v>
          </cell>
          <cell r="F872">
            <v>224.71</v>
          </cell>
          <cell r="G872">
            <v>80.446179999999998</v>
          </cell>
          <cell r="H872">
            <v>305.15618000000001</v>
          </cell>
        </row>
        <row r="873">
          <cell r="A873" t="str">
            <v>P06.200.02e</v>
          </cell>
          <cell r="B873" t="str">
            <v>Placa octogonal de sinalização (TR) L=0,33m</v>
          </cell>
          <cell r="E873" t="str">
            <v>un</v>
          </cell>
          <cell r="F873">
            <v>99.87</v>
          </cell>
          <cell r="G873">
            <v>35.753459999999997</v>
          </cell>
          <cell r="H873">
            <v>135.62345999999999</v>
          </cell>
        </row>
        <row r="874">
          <cell r="A874" t="str">
            <v>P06.200.02f</v>
          </cell>
          <cell r="B874" t="str">
            <v>Placa triangular de sinalização (TR) L=1,00m</v>
          </cell>
          <cell r="E874" t="str">
            <v>un</v>
          </cell>
          <cell r="F874">
            <v>78.03</v>
          </cell>
          <cell r="G874">
            <v>27.934739999999998</v>
          </cell>
          <cell r="H874">
            <v>105.96474000000001</v>
          </cell>
        </row>
        <row r="875">
          <cell r="A875" t="str">
            <v>P06.200.02g</v>
          </cell>
          <cell r="B875" t="str">
            <v>Placa de sinalização (TR) 0,40x0,60m</v>
          </cell>
          <cell r="E875" t="str">
            <v>un</v>
          </cell>
          <cell r="F875">
            <v>37.450000000000003</v>
          </cell>
          <cell r="G875">
            <v>13.4071</v>
          </cell>
          <cell r="H875">
            <v>50.857100000000003</v>
          </cell>
        </row>
        <row r="876">
          <cell r="A876" t="str">
            <v>P06.200.02h</v>
          </cell>
          <cell r="B876" t="str">
            <v>Placa de sinalização (TR) 2,00x1,00m</v>
          </cell>
          <cell r="E876" t="str">
            <v>un</v>
          </cell>
          <cell r="F876">
            <v>312.10000000000002</v>
          </cell>
          <cell r="G876">
            <v>111.73180000000001</v>
          </cell>
          <cell r="H876">
            <v>423.83180000000004</v>
          </cell>
        </row>
        <row r="877">
          <cell r="A877" t="str">
            <v>P06.200.02i</v>
          </cell>
          <cell r="B877" t="str">
            <v>Placa de sinalização (TR) 3,00x1,50m</v>
          </cell>
          <cell r="E877" t="str">
            <v>un</v>
          </cell>
          <cell r="F877">
            <v>702.23</v>
          </cell>
          <cell r="G877">
            <v>251.39833999999999</v>
          </cell>
          <cell r="H877">
            <v>953.62833999999998</v>
          </cell>
        </row>
        <row r="878">
          <cell r="A878" t="str">
            <v>P06.200.02j</v>
          </cell>
          <cell r="B878" t="str">
            <v>Placa de sinalização (TR) 0,50x0,67m</v>
          </cell>
          <cell r="E878" t="str">
            <v>un</v>
          </cell>
          <cell r="F878">
            <v>51.5</v>
          </cell>
          <cell r="G878">
            <v>18.436999999999998</v>
          </cell>
          <cell r="H878">
            <v>69.936999999999998</v>
          </cell>
        </row>
        <row r="879">
          <cell r="A879" t="str">
            <v>06.200.03</v>
          </cell>
          <cell r="B879" t="str">
            <v>Placa de identif. de rodovia (0,60x0,65 m)</v>
          </cell>
          <cell r="C879" t="str">
            <v xml:space="preserve"> </v>
          </cell>
          <cell r="D879" t="str">
            <v xml:space="preserve"> </v>
          </cell>
          <cell r="E879" t="str">
            <v>un</v>
          </cell>
          <cell r="G879">
            <v>0</v>
          </cell>
          <cell r="H879">
            <v>0</v>
          </cell>
        </row>
        <row r="880">
          <cell r="A880" t="str">
            <v>06.200.04</v>
          </cell>
          <cell r="B880" t="str">
            <v>Placa octogonal de 1,00 m</v>
          </cell>
          <cell r="C880" t="str">
            <v xml:space="preserve"> </v>
          </cell>
          <cell r="D880" t="str">
            <v xml:space="preserve"> </v>
          </cell>
          <cell r="E880" t="str">
            <v>un</v>
          </cell>
          <cell r="G880">
            <v>0</v>
          </cell>
          <cell r="H880">
            <v>0</v>
          </cell>
        </row>
        <row r="881">
          <cell r="A881" t="str">
            <v>06.200.05</v>
          </cell>
          <cell r="B881" t="str">
            <v>Placa quadrada 1,00x1,00 m</v>
          </cell>
          <cell r="C881" t="str">
            <v xml:space="preserve"> </v>
          </cell>
          <cell r="D881" t="str">
            <v xml:space="preserve"> </v>
          </cell>
          <cell r="E881" t="str">
            <v>un</v>
          </cell>
          <cell r="G881">
            <v>0</v>
          </cell>
          <cell r="H881">
            <v>0</v>
          </cell>
        </row>
        <row r="882">
          <cell r="A882" t="str">
            <v>06.200.06</v>
          </cell>
          <cell r="B882" t="str">
            <v>Placa retangular 1,20x0.80 m</v>
          </cell>
          <cell r="C882" t="str">
            <v xml:space="preserve"> </v>
          </cell>
          <cell r="D882" t="str">
            <v xml:space="preserve"> </v>
          </cell>
          <cell r="E882" t="str">
            <v>un</v>
          </cell>
          <cell r="G882">
            <v>0</v>
          </cell>
          <cell r="H882">
            <v>0</v>
          </cell>
        </row>
        <row r="883">
          <cell r="A883" t="str">
            <v>06.200.07</v>
          </cell>
          <cell r="B883" t="str">
            <v>Placa retangular 2.00x0,80 m</v>
          </cell>
          <cell r="C883" t="str">
            <v xml:space="preserve"> </v>
          </cell>
          <cell r="D883" t="str">
            <v xml:space="preserve"> </v>
          </cell>
          <cell r="E883" t="str">
            <v>un</v>
          </cell>
          <cell r="G883">
            <v>0</v>
          </cell>
          <cell r="H883">
            <v>0</v>
          </cell>
        </row>
        <row r="884">
          <cell r="A884" t="str">
            <v>06.200.08</v>
          </cell>
          <cell r="B884" t="str">
            <v>Placa retangular 2,00x0,40 m</v>
          </cell>
          <cell r="C884" t="str">
            <v xml:space="preserve"> </v>
          </cell>
          <cell r="D884" t="str">
            <v xml:space="preserve"> </v>
          </cell>
          <cell r="E884" t="str">
            <v>un</v>
          </cell>
          <cell r="G884">
            <v>0</v>
          </cell>
          <cell r="H884">
            <v>0</v>
          </cell>
        </row>
        <row r="885">
          <cell r="A885" t="str">
            <v>06.200.09</v>
          </cell>
          <cell r="B885" t="str">
            <v>Placa retangular 2,00x1,00 m</v>
          </cell>
          <cell r="C885" t="str">
            <v xml:space="preserve"> </v>
          </cell>
          <cell r="D885" t="str">
            <v xml:space="preserve"> </v>
          </cell>
          <cell r="E885" t="str">
            <v>un</v>
          </cell>
          <cell r="G885">
            <v>0</v>
          </cell>
          <cell r="H885">
            <v>0</v>
          </cell>
        </row>
        <row r="886">
          <cell r="A886" t="str">
            <v>06.200.10</v>
          </cell>
          <cell r="B886" t="str">
            <v>Placa retangular 2,00x1,50 m</v>
          </cell>
          <cell r="C886" t="str">
            <v xml:space="preserve"> </v>
          </cell>
          <cell r="D886" t="str">
            <v xml:space="preserve"> </v>
          </cell>
          <cell r="E886" t="str">
            <v>un</v>
          </cell>
          <cell r="G886">
            <v>0</v>
          </cell>
          <cell r="H886">
            <v>0</v>
          </cell>
        </row>
        <row r="887">
          <cell r="A887" t="str">
            <v>06.200.11</v>
          </cell>
          <cell r="B887" t="str">
            <v>Placa de informação 3,5x1,5 m</v>
          </cell>
          <cell r="C887" t="str">
            <v xml:space="preserve"> </v>
          </cell>
          <cell r="D887" t="str">
            <v xml:space="preserve"> </v>
          </cell>
          <cell r="E887" t="str">
            <v>un</v>
          </cell>
          <cell r="G887">
            <v>0</v>
          </cell>
          <cell r="H887">
            <v>0</v>
          </cell>
        </row>
        <row r="888">
          <cell r="A888" t="str">
            <v>06.210.01</v>
          </cell>
          <cell r="B888" t="str">
            <v>Pórtico metálico</v>
          </cell>
          <cell r="C888" t="str">
            <v xml:space="preserve"> </v>
          </cell>
          <cell r="D888" t="str">
            <v xml:space="preserve"> </v>
          </cell>
          <cell r="E888" t="str">
            <v>un</v>
          </cell>
          <cell r="F888">
            <v>19915.3</v>
          </cell>
          <cell r="G888">
            <v>7129.6773999999996</v>
          </cell>
          <cell r="H888">
            <v>27044.9774</v>
          </cell>
        </row>
        <row r="889">
          <cell r="A889" t="str">
            <v>P06.210.02</v>
          </cell>
          <cell r="B889" t="str">
            <v>Bandeira simples 5,10 x 6,50m</v>
          </cell>
          <cell r="C889" t="str">
            <v xml:space="preserve"> </v>
          </cell>
          <cell r="D889" t="str">
            <v xml:space="preserve"> </v>
          </cell>
          <cell r="E889" t="str">
            <v>un</v>
          </cell>
          <cell r="F889">
            <v>5800</v>
          </cell>
          <cell r="G889">
            <v>2076.4</v>
          </cell>
          <cell r="H889">
            <v>7876.4</v>
          </cell>
        </row>
        <row r="890">
          <cell r="A890" t="str">
            <v>06.230.00</v>
          </cell>
          <cell r="B890" t="str">
            <v>Balizadores</v>
          </cell>
          <cell r="C890" t="str">
            <v xml:space="preserve"> </v>
          </cell>
          <cell r="D890" t="str">
            <v xml:space="preserve"> </v>
          </cell>
          <cell r="E890" t="str">
            <v>un</v>
          </cell>
          <cell r="G890">
            <v>0</v>
          </cell>
          <cell r="H890">
            <v>0</v>
          </cell>
        </row>
        <row r="891">
          <cell r="A891" t="str">
            <v>06.240.00</v>
          </cell>
          <cell r="B891" t="str">
            <v>Marco quilométrico</v>
          </cell>
          <cell r="C891" t="str">
            <v xml:space="preserve"> </v>
          </cell>
          <cell r="D891" t="str">
            <v xml:space="preserve"> </v>
          </cell>
          <cell r="E891" t="str">
            <v>un</v>
          </cell>
          <cell r="G891">
            <v>0</v>
          </cell>
          <cell r="H891">
            <v>0</v>
          </cell>
        </row>
        <row r="892">
          <cell r="A892" t="str">
            <v>P 06.400.00</v>
          </cell>
          <cell r="B892" t="str">
            <v>Remoção de cercas de arame farpado</v>
          </cell>
          <cell r="C892" t="str">
            <v xml:space="preserve"> </v>
          </cell>
          <cell r="D892" t="str">
            <v xml:space="preserve"> </v>
          </cell>
          <cell r="E892" t="str">
            <v>m</v>
          </cell>
          <cell r="F892">
            <v>0.49</v>
          </cell>
          <cell r="G892">
            <v>0.17541999999999999</v>
          </cell>
          <cell r="H892">
            <v>0.66542000000000001</v>
          </cell>
        </row>
        <row r="893">
          <cell r="A893" t="str">
            <v>DER80050</v>
          </cell>
          <cell r="B893" t="str">
            <v>Remoção e recolocação de cercas de arame farpado</v>
          </cell>
          <cell r="E893" t="str">
            <v>m</v>
          </cell>
          <cell r="F893">
            <v>2.38</v>
          </cell>
          <cell r="G893">
            <v>0.85203999999999991</v>
          </cell>
          <cell r="H893">
            <v>3.2320399999999996</v>
          </cell>
        </row>
        <row r="894">
          <cell r="A894" t="str">
            <v>06.400.01</v>
          </cell>
          <cell r="B894" t="str">
            <v>Cercas de arame farpado c/ mourao de concreto</v>
          </cell>
          <cell r="C894" t="str">
            <v>DNER-ES338/97</v>
          </cell>
          <cell r="D894" t="str">
            <v xml:space="preserve"> </v>
          </cell>
          <cell r="E894" t="str">
            <v>m</v>
          </cell>
          <cell r="F894">
            <v>6.45</v>
          </cell>
          <cell r="G894">
            <v>2.3090999999999999</v>
          </cell>
          <cell r="H894">
            <v>8.7591000000000001</v>
          </cell>
        </row>
        <row r="895">
          <cell r="A895" t="str">
            <v>06.410.00</v>
          </cell>
          <cell r="B895" t="str">
            <v>Cercas de arame farpado c/ suportes de madeira</v>
          </cell>
          <cell r="C895" t="str">
            <v>DNER-ES338/97</v>
          </cell>
          <cell r="D895" t="str">
            <v xml:space="preserve"> </v>
          </cell>
          <cell r="E895" t="str">
            <v>m</v>
          </cell>
          <cell r="F895">
            <v>4.12</v>
          </cell>
          <cell r="G895">
            <v>1.47496</v>
          </cell>
          <cell r="H895">
            <v>5.5949600000000004</v>
          </cell>
        </row>
        <row r="896">
          <cell r="A896" t="str">
            <v>08.300.01</v>
          </cell>
          <cell r="B896" t="str">
            <v>Limpeza de sarjetas,valetas e meio-fios</v>
          </cell>
          <cell r="C896" t="str">
            <v>DNER-ES297/97</v>
          </cell>
          <cell r="D896" t="str">
            <v xml:space="preserve"> </v>
          </cell>
          <cell r="E896" t="str">
            <v>m</v>
          </cell>
          <cell r="G896">
            <v>0</v>
          </cell>
          <cell r="H896">
            <v>0</v>
          </cell>
        </row>
        <row r="897">
          <cell r="A897" t="str">
            <v>08.302.01</v>
          </cell>
          <cell r="B897" t="str">
            <v>Limpeza e desobstrução de bueiros simples</v>
          </cell>
          <cell r="C897" t="str">
            <v>DNER-ES297/97</v>
          </cell>
          <cell r="D897" t="str">
            <v xml:space="preserve"> </v>
          </cell>
          <cell r="E897" t="str">
            <v>m</v>
          </cell>
          <cell r="G897">
            <v>0</v>
          </cell>
          <cell r="H897">
            <v>0</v>
          </cell>
        </row>
        <row r="898">
          <cell r="A898" t="str">
            <v>08.302.02</v>
          </cell>
          <cell r="B898" t="str">
            <v>Limpeza e desobstrução de bueiros duplos</v>
          </cell>
          <cell r="C898" t="str">
            <v>DNER-ES297/97</v>
          </cell>
          <cell r="D898" t="str">
            <v xml:space="preserve"> </v>
          </cell>
          <cell r="E898" t="str">
            <v>m</v>
          </cell>
          <cell r="G898">
            <v>0</v>
          </cell>
          <cell r="H898">
            <v>0</v>
          </cell>
        </row>
        <row r="899">
          <cell r="A899" t="str">
            <v>08.302.03</v>
          </cell>
          <cell r="B899" t="str">
            <v>Limpeza e desobstrução de bueiros triplos</v>
          </cell>
          <cell r="C899" t="str">
            <v>DNER-ES297/97</v>
          </cell>
          <cell r="D899" t="str">
            <v xml:space="preserve"> </v>
          </cell>
          <cell r="E899" t="str">
            <v>m</v>
          </cell>
          <cell r="G899">
            <v>0</v>
          </cell>
          <cell r="H899">
            <v>0</v>
          </cell>
        </row>
        <row r="900">
          <cell r="A900" t="str">
            <v>09.512.02</v>
          </cell>
          <cell r="B900" t="str">
            <v>Confecção de tubos de concreto D = 0,20</v>
          </cell>
          <cell r="C900" t="str">
            <v xml:space="preserve"> </v>
          </cell>
          <cell r="D900" t="str">
            <v xml:space="preserve"> </v>
          </cell>
          <cell r="E900" t="str">
            <v>m</v>
          </cell>
          <cell r="F900">
            <v>3.39</v>
          </cell>
          <cell r="G900">
            <v>1.2136199999999999</v>
          </cell>
          <cell r="H900">
            <v>4.6036200000000003</v>
          </cell>
        </row>
        <row r="901">
          <cell r="A901" t="str">
            <v>09.512.03</v>
          </cell>
          <cell r="B901" t="str">
            <v>Confecção de tubos de concreto D = 0,30</v>
          </cell>
          <cell r="C901" t="str">
            <v xml:space="preserve"> </v>
          </cell>
          <cell r="D901" t="str">
            <v xml:space="preserve"> </v>
          </cell>
          <cell r="E901" t="str">
            <v>m</v>
          </cell>
          <cell r="G901">
            <v>0</v>
          </cell>
          <cell r="H901">
            <v>0</v>
          </cell>
        </row>
        <row r="902">
          <cell r="A902" t="str">
            <v>09.512.04</v>
          </cell>
          <cell r="B902" t="str">
            <v>Confecção de tubos de concreto D = 0,40</v>
          </cell>
          <cell r="C902" t="str">
            <v xml:space="preserve"> </v>
          </cell>
          <cell r="D902" t="str">
            <v xml:space="preserve"> </v>
          </cell>
          <cell r="E902" t="str">
            <v>m</v>
          </cell>
          <cell r="G902">
            <v>0</v>
          </cell>
          <cell r="H902">
            <v>0</v>
          </cell>
        </row>
        <row r="903">
          <cell r="A903" t="str">
            <v>09.512.05</v>
          </cell>
          <cell r="B903" t="str">
            <v>Confecção de tubos de conc. armado D = 0,60</v>
          </cell>
          <cell r="C903" t="str">
            <v xml:space="preserve"> </v>
          </cell>
          <cell r="D903" t="str">
            <v xml:space="preserve"> </v>
          </cell>
          <cell r="E903" t="str">
            <v>m</v>
          </cell>
          <cell r="F903">
            <v>58.28</v>
          </cell>
          <cell r="G903">
            <v>20.864239999999999</v>
          </cell>
          <cell r="H903">
            <v>79.144239999999996</v>
          </cell>
        </row>
        <row r="904">
          <cell r="A904" t="str">
            <v>09.512.06</v>
          </cell>
          <cell r="B904" t="str">
            <v>Confecção de tubos de conc. armado D = 0,80</v>
          </cell>
          <cell r="C904" t="str">
            <v xml:space="preserve"> </v>
          </cell>
          <cell r="D904" t="str">
            <v xml:space="preserve"> </v>
          </cell>
          <cell r="E904" t="str">
            <v>m</v>
          </cell>
          <cell r="F904">
            <v>89.96</v>
          </cell>
          <cell r="G904">
            <v>32.205679999999994</v>
          </cell>
          <cell r="H904">
            <v>122.16567999999998</v>
          </cell>
        </row>
        <row r="905">
          <cell r="A905" t="str">
            <v>09.512.07</v>
          </cell>
          <cell r="B905" t="str">
            <v>Confecção de tubos de conc. armado D = 1,00</v>
          </cell>
          <cell r="C905" t="str">
            <v xml:space="preserve"> </v>
          </cell>
          <cell r="D905" t="str">
            <v xml:space="preserve"> </v>
          </cell>
          <cell r="E905" t="str">
            <v>m</v>
          </cell>
          <cell r="G905">
            <v>0</v>
          </cell>
          <cell r="H905">
            <v>0</v>
          </cell>
        </row>
        <row r="906">
          <cell r="A906" t="str">
            <v>09.512.08</v>
          </cell>
          <cell r="B906" t="str">
            <v>Confecção de tubos de conc. armado D = 1,20</v>
          </cell>
          <cell r="C906" t="str">
            <v xml:space="preserve"> </v>
          </cell>
          <cell r="D906" t="str">
            <v xml:space="preserve"> </v>
          </cell>
          <cell r="E906" t="str">
            <v>m</v>
          </cell>
          <cell r="G906">
            <v>0</v>
          </cell>
          <cell r="H906">
            <v>0</v>
          </cell>
        </row>
        <row r="907">
          <cell r="A907" t="str">
            <v>09.512.09</v>
          </cell>
          <cell r="B907" t="str">
            <v>Confecção de tubos de conc. armado D = 1,50</v>
          </cell>
          <cell r="C907" t="str">
            <v xml:space="preserve"> </v>
          </cell>
          <cell r="D907" t="str">
            <v xml:space="preserve"> </v>
          </cell>
          <cell r="E907" t="str">
            <v>m</v>
          </cell>
          <cell r="G907">
            <v>0</v>
          </cell>
          <cell r="H907">
            <v>0</v>
          </cell>
        </row>
        <row r="908">
          <cell r="A908" t="str">
            <v>09.512.10</v>
          </cell>
          <cell r="B908" t="str">
            <v>Confecção de tubos de conc. armado D = 0,40</v>
          </cell>
          <cell r="C908" t="str">
            <v xml:space="preserve"> </v>
          </cell>
          <cell r="D908" t="str">
            <v xml:space="preserve"> </v>
          </cell>
          <cell r="E908" t="str">
            <v>m</v>
          </cell>
          <cell r="F908">
            <v>23.72</v>
          </cell>
          <cell r="G908">
            <v>8.4917599999999993</v>
          </cell>
          <cell r="H908">
            <v>32.211759999999998</v>
          </cell>
        </row>
        <row r="909">
          <cell r="A909" t="str">
            <v>09.517.01</v>
          </cell>
          <cell r="B909" t="str">
            <v>Areia extraída</v>
          </cell>
          <cell r="C909" t="str">
            <v xml:space="preserve"> </v>
          </cell>
          <cell r="D909" t="str">
            <v xml:space="preserve"> </v>
          </cell>
          <cell r="E909" t="str">
            <v>m3</v>
          </cell>
          <cell r="F909">
            <v>1.58</v>
          </cell>
          <cell r="G909">
            <v>0.56564000000000003</v>
          </cell>
          <cell r="H909">
            <v>2.1456400000000002</v>
          </cell>
        </row>
        <row r="910">
          <cell r="A910" t="str">
            <v>09.517.02</v>
          </cell>
          <cell r="B910" t="str">
            <v>Rocha p/ britagem</v>
          </cell>
          <cell r="C910" t="str">
            <v xml:space="preserve"> </v>
          </cell>
          <cell r="D910" t="str">
            <v xml:space="preserve"> </v>
          </cell>
          <cell r="E910" t="str">
            <v>m3</v>
          </cell>
          <cell r="F910">
            <v>3.53</v>
          </cell>
          <cell r="G910">
            <v>1.2637399999999999</v>
          </cell>
          <cell r="H910">
            <v>4.7937399999999997</v>
          </cell>
        </row>
        <row r="911">
          <cell r="A911" t="str">
            <v>09.517.03</v>
          </cell>
          <cell r="B911" t="str">
            <v>Rocha fragmentada por fogacho</v>
          </cell>
          <cell r="C911" t="str">
            <v xml:space="preserve"> </v>
          </cell>
          <cell r="D911" t="str">
            <v xml:space="preserve"> </v>
          </cell>
          <cell r="E911" t="str">
            <v>m3</v>
          </cell>
          <cell r="F911">
            <v>8.7799999999999994</v>
          </cell>
          <cell r="G911">
            <v>3.1432399999999996</v>
          </cell>
          <cell r="H911">
            <v>11.92324</v>
          </cell>
        </row>
        <row r="912">
          <cell r="A912" t="str">
            <v>09.517.04</v>
          </cell>
          <cell r="B912" t="str">
            <v>Pedra de mão</v>
          </cell>
          <cell r="C912" t="str">
            <v xml:space="preserve"> </v>
          </cell>
          <cell r="D912" t="str">
            <v xml:space="preserve"> </v>
          </cell>
          <cell r="E912" t="str">
            <v>m3</v>
          </cell>
          <cell r="F912">
            <v>8.7799999999999994</v>
          </cell>
          <cell r="G912">
            <v>3.1432399999999996</v>
          </cell>
          <cell r="H912">
            <v>11.92324</v>
          </cell>
        </row>
        <row r="913">
          <cell r="A913" t="str">
            <v>09.517.05</v>
          </cell>
          <cell r="B913" t="str">
            <v>Brita produzida</v>
          </cell>
          <cell r="C913" t="str">
            <v xml:space="preserve"> </v>
          </cell>
          <cell r="D913" t="str">
            <v xml:space="preserve"> </v>
          </cell>
          <cell r="E913" t="str">
            <v>m3</v>
          </cell>
          <cell r="F913">
            <v>10.119999999999999</v>
          </cell>
          <cell r="G913">
            <v>3.6229599999999995</v>
          </cell>
          <cell r="H913">
            <v>13.742959999999998</v>
          </cell>
        </row>
        <row r="914">
          <cell r="A914" t="str">
            <v>09.519.01</v>
          </cell>
          <cell r="B914" t="str">
            <v>Obtenção de grama em placas</v>
          </cell>
          <cell r="C914" t="str">
            <v xml:space="preserve"> </v>
          </cell>
          <cell r="D914" t="str">
            <v xml:space="preserve"> </v>
          </cell>
          <cell r="E914" t="str">
            <v>m2</v>
          </cell>
          <cell r="F914">
            <v>0.81</v>
          </cell>
          <cell r="G914">
            <v>0.28998000000000002</v>
          </cell>
          <cell r="H914">
            <v>1.09998</v>
          </cell>
        </row>
        <row r="915">
          <cell r="A915" t="str">
            <v>09.601.00</v>
          </cell>
          <cell r="B915" t="str">
            <v>Transporte CAP 150/200 p/ tratamento superficial</v>
          </cell>
          <cell r="C915" t="str">
            <v xml:space="preserve"> </v>
          </cell>
          <cell r="D915" t="str">
            <v xml:space="preserve"> </v>
          </cell>
          <cell r="E915" t="str">
            <v>t</v>
          </cell>
          <cell r="F915">
            <v>455.45</v>
          </cell>
          <cell r="G915">
            <v>163.05109999999999</v>
          </cell>
          <cell r="H915">
            <v>618.50109999999995</v>
          </cell>
        </row>
        <row r="916">
          <cell r="A916" t="str">
            <v>09.601.01</v>
          </cell>
          <cell r="B916" t="str">
            <v>Transporte emulsão asfáltica RR-1C p/ pint. lig.</v>
          </cell>
          <cell r="C916" t="str">
            <v xml:space="preserve"> </v>
          </cell>
          <cell r="D916" t="str">
            <v xml:space="preserve"> </v>
          </cell>
          <cell r="E916" t="str">
            <v>t</v>
          </cell>
          <cell r="F916">
            <v>470.65</v>
          </cell>
          <cell r="G916">
            <v>168.49269999999999</v>
          </cell>
          <cell r="H916">
            <v>639.14269999999999</v>
          </cell>
        </row>
        <row r="917">
          <cell r="A917" t="str">
            <v>09.601.02</v>
          </cell>
          <cell r="B917" t="str">
            <v>Transporte asfalto diluido CM30 p/ imprimação</v>
          </cell>
          <cell r="C917" t="str">
            <v xml:space="preserve"> </v>
          </cell>
          <cell r="D917" t="str">
            <v xml:space="preserve"> </v>
          </cell>
          <cell r="E917" t="str">
            <v>t</v>
          </cell>
          <cell r="F917">
            <v>633.95000000000005</v>
          </cell>
          <cell r="G917">
            <v>226.95410000000001</v>
          </cell>
          <cell r="H917">
            <v>860.90410000000008</v>
          </cell>
        </row>
        <row r="918">
          <cell r="A918" t="str">
            <v>09.601.03</v>
          </cell>
          <cell r="B918" t="str">
            <v>Transporte CAP 50/60</v>
          </cell>
          <cell r="C918" t="str">
            <v xml:space="preserve"> </v>
          </cell>
          <cell r="D918" t="str">
            <v xml:space="preserve"> </v>
          </cell>
          <cell r="E918" t="str">
            <v>kg</v>
          </cell>
          <cell r="G918">
            <v>0</v>
          </cell>
          <cell r="H918">
            <v>0</v>
          </cell>
        </row>
        <row r="919">
          <cell r="A919" t="str">
            <v>09.601.04</v>
          </cell>
          <cell r="B919" t="str">
            <v>Transporte CAP 20</v>
          </cell>
          <cell r="C919" t="str">
            <v xml:space="preserve"> </v>
          </cell>
          <cell r="D919" t="str">
            <v xml:space="preserve"> </v>
          </cell>
          <cell r="E919" t="str">
            <v>t</v>
          </cell>
          <cell r="F919">
            <v>500.46</v>
          </cell>
          <cell r="G919">
            <v>179.16467999999998</v>
          </cell>
          <cell r="H919">
            <v>679.6246799999999</v>
          </cell>
        </row>
        <row r="920">
          <cell r="A920" t="str">
            <v>09.601.05</v>
          </cell>
          <cell r="B920" t="str">
            <v>Transporte CAP 40</v>
          </cell>
          <cell r="C920" t="str">
            <v xml:space="preserve"> </v>
          </cell>
          <cell r="D920" t="str">
            <v xml:space="preserve"> </v>
          </cell>
          <cell r="E920" t="str">
            <v>t</v>
          </cell>
          <cell r="G920">
            <v>0</v>
          </cell>
          <cell r="H920">
            <v>0</v>
          </cell>
        </row>
        <row r="921">
          <cell r="A921" t="str">
            <v>09.999.01</v>
          </cell>
          <cell r="B921" t="str">
            <v>Torre de madeira</v>
          </cell>
          <cell r="C921" t="str">
            <v xml:space="preserve"> </v>
          </cell>
          <cell r="D921" t="str">
            <v xml:space="preserve"> </v>
          </cell>
          <cell r="E921" t="str">
            <v>und</v>
          </cell>
          <cell r="F921">
            <v>62.2</v>
          </cell>
          <cell r="G921">
            <v>22.267600000000002</v>
          </cell>
          <cell r="H921">
            <v>84.467600000000004</v>
          </cell>
        </row>
        <row r="922">
          <cell r="A922" t="str">
            <v>P06.800.01</v>
          </cell>
          <cell r="B922" t="str">
            <v>Iluminação de viadutos</v>
          </cell>
          <cell r="C922" t="str">
            <v xml:space="preserve"> </v>
          </cell>
          <cell r="D922" t="str">
            <v xml:space="preserve"> </v>
          </cell>
          <cell r="E922" t="str">
            <v>un</v>
          </cell>
          <cell r="G922">
            <v>0</v>
          </cell>
          <cell r="H922">
            <v>0</v>
          </cell>
        </row>
        <row r="923">
          <cell r="A923" t="str">
            <v>P06.800.02</v>
          </cell>
          <cell r="B923" t="str">
            <v>Iluminação de passagem de pedestres</v>
          </cell>
          <cell r="C923" t="str">
            <v xml:space="preserve"> </v>
          </cell>
          <cell r="D923" t="str">
            <v xml:space="preserve"> </v>
          </cell>
          <cell r="E923" t="str">
            <v>un</v>
          </cell>
          <cell r="G923">
            <v>0</v>
          </cell>
          <cell r="H923">
            <v>0</v>
          </cell>
        </row>
        <row r="924">
          <cell r="A924" t="str">
            <v>5.1</v>
          </cell>
          <cell r="B924" t="str">
            <v>PROJETO DE ILUMINAÇÃO</v>
          </cell>
          <cell r="C924" t="str">
            <v xml:space="preserve"> </v>
          </cell>
          <cell r="D924" t="str">
            <v xml:space="preserve"> </v>
          </cell>
          <cell r="G924">
            <v>0</v>
          </cell>
        </row>
        <row r="925">
          <cell r="A925" t="str">
            <v>PI 01</v>
          </cell>
          <cell r="B925" t="str">
            <v>Poste de aço galv. a fogo, c/ 20,0m de alt. p/ instal. tipo engastado</v>
          </cell>
          <cell r="C925" t="str">
            <v xml:space="preserve"> </v>
          </cell>
          <cell r="D925" t="str">
            <v xml:space="preserve"> </v>
          </cell>
          <cell r="E925" t="str">
            <v>un</v>
          </cell>
          <cell r="G925">
            <v>0</v>
          </cell>
          <cell r="H925">
            <v>2662.25</v>
          </cell>
        </row>
        <row r="926">
          <cell r="A926" t="str">
            <v>PI 02</v>
          </cell>
          <cell r="B926" t="str">
            <v>Poste de aço galvanizado a fogo, c/ 10,0m de alt. p/instal.na lat. dos viadutos</v>
          </cell>
          <cell r="C926" t="str">
            <v xml:space="preserve"> </v>
          </cell>
          <cell r="D926" t="str">
            <v xml:space="preserve"> </v>
          </cell>
          <cell r="E926" t="str">
            <v>un</v>
          </cell>
          <cell r="G926">
            <v>0</v>
          </cell>
          <cell r="H926">
            <v>500</v>
          </cell>
        </row>
        <row r="927">
          <cell r="A927" t="str">
            <v>PI 02a</v>
          </cell>
          <cell r="B927" t="str">
            <v>Poste de aço galvanizado a fogo, c/ 5,0m de alt. p/instal.na lat. das passarelas</v>
          </cell>
          <cell r="C927" t="str">
            <v xml:space="preserve"> </v>
          </cell>
          <cell r="D927" t="str">
            <v xml:space="preserve"> </v>
          </cell>
          <cell r="E927" t="str">
            <v>un</v>
          </cell>
          <cell r="H927">
            <v>300</v>
          </cell>
        </row>
        <row r="928">
          <cell r="A928" t="str">
            <v>PI 03</v>
          </cell>
          <cell r="B928" t="str">
            <v xml:space="preserve">Luminária p/ iluminação pública ref.HRC-612 da Philips ou similar </v>
          </cell>
          <cell r="C928" t="str">
            <v xml:space="preserve"> </v>
          </cell>
          <cell r="D928" t="str">
            <v xml:space="preserve"> </v>
          </cell>
          <cell r="E928" t="str">
            <v>un</v>
          </cell>
          <cell r="G928">
            <v>0</v>
          </cell>
          <cell r="H928">
            <v>400</v>
          </cell>
        </row>
        <row r="929">
          <cell r="A929" t="str">
            <v>PI 04</v>
          </cell>
          <cell r="B929" t="str">
            <v xml:space="preserve">Luminária p/ iluminação pública ref.SRC-612 da Philips ou similar </v>
          </cell>
          <cell r="C929" t="str">
            <v xml:space="preserve"> </v>
          </cell>
          <cell r="D929" t="str">
            <v xml:space="preserve"> </v>
          </cell>
          <cell r="E929" t="str">
            <v>un</v>
          </cell>
          <cell r="G929">
            <v>0</v>
          </cell>
          <cell r="H929">
            <v>425.5</v>
          </cell>
        </row>
        <row r="930">
          <cell r="A930" t="str">
            <v>PI 05</v>
          </cell>
          <cell r="B930" t="str">
            <v>Suporte p/ luminária tipo ZGP614 da Philips ou similar</v>
          </cell>
          <cell r="C930" t="str">
            <v xml:space="preserve"> </v>
          </cell>
          <cell r="D930" t="str">
            <v xml:space="preserve"> </v>
          </cell>
          <cell r="E930" t="str">
            <v>un</v>
          </cell>
          <cell r="G930">
            <v>0</v>
          </cell>
          <cell r="H930">
            <v>120</v>
          </cell>
        </row>
        <row r="931">
          <cell r="A931" t="str">
            <v>PI 06</v>
          </cell>
          <cell r="B931" t="str">
            <v>Suporte p/ luminária tipo ZGP616 da Philips ou similar</v>
          </cell>
          <cell r="C931" t="str">
            <v xml:space="preserve"> </v>
          </cell>
          <cell r="D931" t="str">
            <v xml:space="preserve"> </v>
          </cell>
          <cell r="E931" t="str">
            <v>un</v>
          </cell>
          <cell r="G931">
            <v>0</v>
          </cell>
          <cell r="H931">
            <v>143.75</v>
          </cell>
        </row>
        <row r="932">
          <cell r="A932" t="str">
            <v>PI 07</v>
          </cell>
          <cell r="B932" t="str">
            <v>Suporte p/ luminária tipo ZGP402 da Philips ou similar</v>
          </cell>
          <cell r="C932" t="str">
            <v xml:space="preserve"> </v>
          </cell>
          <cell r="D932" t="str">
            <v xml:space="preserve"> </v>
          </cell>
          <cell r="E932" t="str">
            <v>un</v>
          </cell>
          <cell r="G932">
            <v>0</v>
          </cell>
          <cell r="H932">
            <v>100</v>
          </cell>
        </row>
        <row r="933">
          <cell r="A933" t="str">
            <v>PI 08</v>
          </cell>
          <cell r="B933" t="str">
            <v>Suporte p/ luminária tipo ZGP401 da Philips ou similar</v>
          </cell>
          <cell r="C933" t="str">
            <v xml:space="preserve"> </v>
          </cell>
          <cell r="D933" t="str">
            <v xml:space="preserve"> </v>
          </cell>
          <cell r="E933" t="str">
            <v>un</v>
          </cell>
          <cell r="G933">
            <v>0</v>
          </cell>
          <cell r="H933">
            <v>81.650000000000006</v>
          </cell>
        </row>
        <row r="934">
          <cell r="A934" t="str">
            <v>PI 09</v>
          </cell>
          <cell r="B934" t="str">
            <v>Lâmpada a vapor de sódio 400W, alta pressão, base E40</v>
          </cell>
          <cell r="C934" t="str">
            <v xml:space="preserve"> </v>
          </cell>
          <cell r="D934" t="str">
            <v xml:space="preserve"> </v>
          </cell>
          <cell r="E934" t="str">
            <v>un</v>
          </cell>
          <cell r="G934">
            <v>0</v>
          </cell>
          <cell r="H934">
            <v>33.35</v>
          </cell>
        </row>
        <row r="935">
          <cell r="A935" t="str">
            <v>PI 10</v>
          </cell>
          <cell r="B935" t="str">
            <v>Lâmpada a vapor de mercúrio 250W, alta pressão, base E40</v>
          </cell>
          <cell r="C935" t="str">
            <v xml:space="preserve"> </v>
          </cell>
          <cell r="D935" t="str">
            <v xml:space="preserve"> </v>
          </cell>
          <cell r="E935" t="str">
            <v>un</v>
          </cell>
          <cell r="G935">
            <v>0</v>
          </cell>
          <cell r="H935">
            <v>28.75</v>
          </cell>
        </row>
        <row r="936">
          <cell r="A936" t="str">
            <v>PI 11</v>
          </cell>
          <cell r="B936" t="str">
            <v>Lâmpada fluorescente compacta 23 W, 220V, ref PL eletrônica  da Philips ou similar</v>
          </cell>
          <cell r="C936" t="str">
            <v xml:space="preserve"> </v>
          </cell>
          <cell r="D936" t="str">
            <v xml:space="preserve"> </v>
          </cell>
          <cell r="E936" t="str">
            <v>un</v>
          </cell>
          <cell r="G936">
            <v>0</v>
          </cell>
          <cell r="H936">
            <v>32.200000000000003</v>
          </cell>
        </row>
        <row r="937">
          <cell r="A937" t="str">
            <v>PI 12</v>
          </cell>
          <cell r="B937" t="str">
            <v>Luminária blindada p/ lâmpada incandescente 100W, ref. WY-10 da Wetzel ou similar</v>
          </cell>
          <cell r="C937" t="str">
            <v xml:space="preserve"> </v>
          </cell>
          <cell r="D937" t="str">
            <v xml:space="preserve"> </v>
          </cell>
          <cell r="E937" t="str">
            <v>un</v>
          </cell>
          <cell r="G937">
            <v>0</v>
          </cell>
          <cell r="H937">
            <v>40.6</v>
          </cell>
        </row>
        <row r="938">
          <cell r="A938" t="str">
            <v>PI 13</v>
          </cell>
          <cell r="B938" t="str">
            <v>Eletroduto de aço 20mm, vara de 3m</v>
          </cell>
          <cell r="C938" t="str">
            <v xml:space="preserve"> </v>
          </cell>
          <cell r="D938" t="str">
            <v xml:space="preserve"> </v>
          </cell>
          <cell r="E938" t="str">
            <v>un</v>
          </cell>
          <cell r="G938">
            <v>0</v>
          </cell>
          <cell r="H938">
            <v>14.49</v>
          </cell>
        </row>
        <row r="939">
          <cell r="A939" t="str">
            <v>PI 14</v>
          </cell>
          <cell r="B939" t="str">
            <v>Caixa de passagem para instalação aparente D=50mm, tipo T</v>
          </cell>
          <cell r="C939" t="str">
            <v xml:space="preserve"> </v>
          </cell>
          <cell r="D939" t="str">
            <v xml:space="preserve"> </v>
          </cell>
          <cell r="E939" t="str">
            <v>un</v>
          </cell>
          <cell r="G939">
            <v>0</v>
          </cell>
          <cell r="H939">
            <v>4.08</v>
          </cell>
        </row>
        <row r="940">
          <cell r="A940" t="str">
            <v>PI 15</v>
          </cell>
          <cell r="B940" t="str">
            <v>Caixa de passagem para instalação aparente D=20mm, tipo LB</v>
          </cell>
          <cell r="C940" t="str">
            <v xml:space="preserve"> </v>
          </cell>
          <cell r="D940" t="str">
            <v xml:space="preserve"> </v>
          </cell>
          <cell r="E940" t="str">
            <v>un</v>
          </cell>
          <cell r="G940">
            <v>0</v>
          </cell>
          <cell r="H940">
            <v>3.62</v>
          </cell>
        </row>
        <row r="941">
          <cell r="A941" t="str">
            <v>PI 16</v>
          </cell>
          <cell r="B941" t="str">
            <v>Caixa de passagem para instalação aparente D=3/4", tipo X</v>
          </cell>
          <cell r="C941" t="str">
            <v xml:space="preserve"> </v>
          </cell>
          <cell r="D941" t="str">
            <v xml:space="preserve"> </v>
          </cell>
          <cell r="E941" t="str">
            <v>un</v>
          </cell>
          <cell r="G941">
            <v>0</v>
          </cell>
          <cell r="H941">
            <v>4.43</v>
          </cell>
        </row>
        <row r="942">
          <cell r="A942" t="str">
            <v>PI 17</v>
          </cell>
          <cell r="B942" t="str">
            <v>Luminária pública pad. CELESC, p/ 1 lâmpada à vapor  merc.80W, ref. HRQ 630 da Philips ou similar</v>
          </cell>
          <cell r="C942" t="str">
            <v xml:space="preserve"> </v>
          </cell>
          <cell r="D942" t="str">
            <v xml:space="preserve"> </v>
          </cell>
          <cell r="E942" t="str">
            <v>un</v>
          </cell>
          <cell r="G942">
            <v>0</v>
          </cell>
          <cell r="H942">
            <v>17.829999999999998</v>
          </cell>
        </row>
        <row r="943">
          <cell r="A943" t="str">
            <v>PI 18</v>
          </cell>
          <cell r="B943" t="str">
            <v>Braço curvo p/ iluminação pública padrão CELESC</v>
          </cell>
          <cell r="C943" t="str">
            <v xml:space="preserve"> </v>
          </cell>
          <cell r="D943" t="str">
            <v xml:space="preserve"> </v>
          </cell>
          <cell r="E943" t="str">
            <v>un</v>
          </cell>
          <cell r="G943">
            <v>0</v>
          </cell>
          <cell r="H943">
            <v>6.33</v>
          </cell>
        </row>
        <row r="944">
          <cell r="A944" t="str">
            <v>PI 19</v>
          </cell>
          <cell r="B944" t="str">
            <v>Reator p/ Lâmpada a vapor de mercúrio, 80W, ref. RVM 80426-02, da Philips ou similar</v>
          </cell>
          <cell r="C944" t="str">
            <v xml:space="preserve"> </v>
          </cell>
          <cell r="D944" t="str">
            <v xml:space="preserve"> </v>
          </cell>
          <cell r="E944" t="str">
            <v>un</v>
          </cell>
          <cell r="G944">
            <v>0</v>
          </cell>
          <cell r="H944">
            <v>21.05</v>
          </cell>
        </row>
        <row r="945">
          <cell r="A945" t="str">
            <v>PI 20</v>
          </cell>
          <cell r="B945" t="str">
            <v>Poste de concreto duplo T 10m, 150 daN</v>
          </cell>
          <cell r="C945" t="str">
            <v xml:space="preserve"> </v>
          </cell>
          <cell r="D945" t="str">
            <v xml:space="preserve"> </v>
          </cell>
          <cell r="E945" t="str">
            <v>un</v>
          </cell>
          <cell r="G945">
            <v>0</v>
          </cell>
          <cell r="H945">
            <v>200</v>
          </cell>
        </row>
        <row r="946">
          <cell r="A946" t="str">
            <v>PI 21</v>
          </cell>
          <cell r="B946" t="str">
            <v>Lâmpada à vapor de mercúrio 80W</v>
          </cell>
          <cell r="C946" t="str">
            <v xml:space="preserve"> </v>
          </cell>
          <cell r="D946" t="str">
            <v xml:space="preserve"> </v>
          </cell>
          <cell r="E946" t="str">
            <v>un</v>
          </cell>
          <cell r="G946">
            <v>0</v>
          </cell>
          <cell r="H946">
            <v>7.82</v>
          </cell>
        </row>
        <row r="947">
          <cell r="A947" t="str">
            <v>PI 22</v>
          </cell>
          <cell r="B947" t="str">
            <v>Base completa com fusível Diazed, 6A, retardado, incluíndo tampa, anel de proteção e ajuste</v>
          </cell>
          <cell r="C947" t="str">
            <v xml:space="preserve"> </v>
          </cell>
          <cell r="D947" t="str">
            <v xml:space="preserve"> </v>
          </cell>
          <cell r="E947" t="str">
            <v>un</v>
          </cell>
          <cell r="G947">
            <v>0</v>
          </cell>
          <cell r="H947">
            <v>8.6300000000000008</v>
          </cell>
        </row>
        <row r="948">
          <cell r="A948" t="str">
            <v>PI 23</v>
          </cell>
          <cell r="B948" t="str">
            <v>Contator tripolar a seco, p/ corrente alternada - 55 A, para uso em rede 380/220V - 60Hz</v>
          </cell>
          <cell r="C948" t="str">
            <v xml:space="preserve"> </v>
          </cell>
          <cell r="D948" t="str">
            <v xml:space="preserve"> </v>
          </cell>
          <cell r="E948" t="str">
            <v>un</v>
          </cell>
          <cell r="G948">
            <v>0</v>
          </cell>
          <cell r="H948">
            <v>234.6</v>
          </cell>
        </row>
        <row r="949">
          <cell r="A949" t="str">
            <v>PI 24</v>
          </cell>
          <cell r="B949" t="str">
            <v>Fita elétrica auto fusão a base de borracha EPR</v>
          </cell>
          <cell r="C949" t="str">
            <v xml:space="preserve"> </v>
          </cell>
          <cell r="D949" t="str">
            <v xml:space="preserve"> </v>
          </cell>
          <cell r="E949" t="str">
            <v>un</v>
          </cell>
          <cell r="G949">
            <v>0</v>
          </cell>
          <cell r="H949">
            <v>6.39</v>
          </cell>
        </row>
        <row r="950">
          <cell r="A950" t="str">
            <v>PI 25</v>
          </cell>
          <cell r="B950" t="str">
            <v>Fita adesiva plástica isolante</v>
          </cell>
          <cell r="C950" t="str">
            <v xml:space="preserve"> </v>
          </cell>
          <cell r="D950" t="str">
            <v xml:space="preserve"> </v>
          </cell>
          <cell r="E950" t="str">
            <v>un</v>
          </cell>
          <cell r="G950">
            <v>0</v>
          </cell>
          <cell r="H950">
            <v>3.84</v>
          </cell>
        </row>
        <row r="951">
          <cell r="A951" t="str">
            <v>PI 26</v>
          </cell>
          <cell r="B951" t="str">
            <v>Relé fotoelétrico c/ suporte para fixação galv. com furo 18mm</v>
          </cell>
          <cell r="C951" t="str">
            <v xml:space="preserve"> </v>
          </cell>
          <cell r="D951" t="str">
            <v xml:space="preserve"> </v>
          </cell>
          <cell r="E951" t="str">
            <v>un</v>
          </cell>
          <cell r="G951">
            <v>0</v>
          </cell>
          <cell r="H951">
            <v>11.5</v>
          </cell>
        </row>
        <row r="952">
          <cell r="A952" t="str">
            <v>PI 27</v>
          </cell>
          <cell r="B952" t="str">
            <v>Cabo isolado p/ 1000V, bitola 35mm²</v>
          </cell>
          <cell r="C952" t="str">
            <v xml:space="preserve"> </v>
          </cell>
          <cell r="D952" t="str">
            <v xml:space="preserve"> </v>
          </cell>
          <cell r="E952" t="str">
            <v>m</v>
          </cell>
          <cell r="G952">
            <v>0</v>
          </cell>
          <cell r="H952">
            <v>1.55</v>
          </cell>
        </row>
        <row r="953">
          <cell r="A953" t="str">
            <v>PI 28</v>
          </cell>
          <cell r="B953" t="str">
            <v>Eletroduto de aço tipo pesado 100mm</v>
          </cell>
          <cell r="C953" t="str">
            <v xml:space="preserve"> </v>
          </cell>
          <cell r="D953" t="str">
            <v xml:space="preserve"> </v>
          </cell>
          <cell r="E953" t="str">
            <v>m</v>
          </cell>
          <cell r="G953">
            <v>0</v>
          </cell>
          <cell r="H953">
            <v>28.55</v>
          </cell>
        </row>
        <row r="954">
          <cell r="A954" t="str">
            <v>PI 29</v>
          </cell>
          <cell r="B954" t="str">
            <v>Curva em alumínio fundido de alta resistência, fixação por encaixe,50mm</v>
          </cell>
          <cell r="C954" t="str">
            <v xml:space="preserve"> </v>
          </cell>
          <cell r="D954" t="str">
            <v xml:space="preserve"> </v>
          </cell>
          <cell r="E954" t="str">
            <v>un</v>
          </cell>
          <cell r="G954">
            <v>0</v>
          </cell>
          <cell r="H954">
            <v>18.75</v>
          </cell>
        </row>
        <row r="955">
          <cell r="A955" t="str">
            <v>PI 30</v>
          </cell>
          <cell r="B955" t="str">
            <v>Haste para aterramento aço-cobre D 13x2400mm</v>
          </cell>
          <cell r="C955" t="str">
            <v xml:space="preserve"> </v>
          </cell>
          <cell r="D955" t="str">
            <v xml:space="preserve"> </v>
          </cell>
          <cell r="E955" t="str">
            <v>un</v>
          </cell>
          <cell r="G955">
            <v>0</v>
          </cell>
          <cell r="H955">
            <v>6.04</v>
          </cell>
        </row>
        <row r="956">
          <cell r="A956" t="str">
            <v>PI 31</v>
          </cell>
          <cell r="B956" t="str">
            <v>Cabo de cobre nú meio duro, 7 fios 2AWG</v>
          </cell>
          <cell r="C956" t="str">
            <v xml:space="preserve"> </v>
          </cell>
          <cell r="D956" t="str">
            <v xml:space="preserve"> </v>
          </cell>
          <cell r="E956" t="str">
            <v>kg</v>
          </cell>
          <cell r="G956">
            <v>0</v>
          </cell>
          <cell r="H956">
            <v>7.02</v>
          </cell>
        </row>
        <row r="957">
          <cell r="A957" t="str">
            <v>PI 32</v>
          </cell>
          <cell r="B957" t="str">
            <v>Conetor paralelo, liga alumínio tronco 1/0-4 AWG e derivação 2-4AWG</v>
          </cell>
          <cell r="C957" t="str">
            <v xml:space="preserve"> </v>
          </cell>
          <cell r="D957" t="str">
            <v xml:space="preserve"> </v>
          </cell>
          <cell r="E957" t="str">
            <v>un</v>
          </cell>
          <cell r="G957">
            <v>0</v>
          </cell>
          <cell r="H957">
            <v>1.04</v>
          </cell>
        </row>
        <row r="958">
          <cell r="A958" t="str">
            <v>PI 33</v>
          </cell>
          <cell r="B958" t="str">
            <v>Tubo de aço galvanizado, vara de 6m e 50mm</v>
          </cell>
          <cell r="C958" t="str">
            <v xml:space="preserve"> </v>
          </cell>
          <cell r="D958" t="str">
            <v xml:space="preserve"> </v>
          </cell>
          <cell r="E958" t="str">
            <v>un</v>
          </cell>
          <cell r="G958">
            <v>0</v>
          </cell>
          <cell r="H958">
            <v>74.06</v>
          </cell>
        </row>
        <row r="959">
          <cell r="A959" t="str">
            <v>PI 34</v>
          </cell>
          <cell r="B959" t="str">
            <v>Construção de caixa tipo SP, ou pré-instalada com as mesmas características</v>
          </cell>
          <cell r="C959" t="str">
            <v xml:space="preserve"> </v>
          </cell>
          <cell r="D959" t="str">
            <v xml:space="preserve"> </v>
          </cell>
          <cell r="E959" t="str">
            <v>un</v>
          </cell>
          <cell r="G959">
            <v>0</v>
          </cell>
          <cell r="H959">
            <v>180</v>
          </cell>
        </row>
        <row r="960">
          <cell r="A960" t="str">
            <v>PI 35</v>
          </cell>
          <cell r="B960" t="str">
            <v>Construção de embasamento p/ poste tipo engastado, 20m de altura</v>
          </cell>
          <cell r="C960" t="str">
            <v xml:space="preserve"> </v>
          </cell>
          <cell r="D960" t="str">
            <v xml:space="preserve"> </v>
          </cell>
          <cell r="E960" t="str">
            <v>un</v>
          </cell>
          <cell r="G960">
            <v>0</v>
          </cell>
          <cell r="H960">
            <v>494</v>
          </cell>
        </row>
        <row r="961">
          <cell r="A961" t="str">
            <v>PI 36</v>
          </cell>
          <cell r="B961" t="str">
            <v>Construção de embasamento p/ poste tipo engastado, concreto duplo T, 10m de altura</v>
          </cell>
          <cell r="C961" t="str">
            <v xml:space="preserve"> </v>
          </cell>
          <cell r="D961" t="str">
            <v xml:space="preserve"> </v>
          </cell>
          <cell r="E961" t="str">
            <v>un</v>
          </cell>
          <cell r="G961">
            <v>0</v>
          </cell>
          <cell r="H961">
            <v>285</v>
          </cell>
        </row>
        <row r="962">
          <cell r="A962" t="str">
            <v>PI 37</v>
          </cell>
          <cell r="B962" t="str">
            <v>Lançamento de cabos em dutos de aço, classe 1000V, circuito trifásico mais neutro, e monofásico</v>
          </cell>
          <cell r="C962" t="str">
            <v xml:space="preserve"> </v>
          </cell>
          <cell r="D962" t="str">
            <v xml:space="preserve"> </v>
          </cell>
          <cell r="E962" t="str">
            <v>m</v>
          </cell>
          <cell r="G962">
            <v>0</v>
          </cell>
          <cell r="H962">
            <v>4</v>
          </cell>
        </row>
        <row r="963">
          <cell r="A963" t="str">
            <v>PI 38</v>
          </cell>
          <cell r="B963" t="str">
            <v>Confecção de emendas retas ou derivação em cabos classe 1000V, c/ conector à compressão</v>
          </cell>
          <cell r="C963" t="str">
            <v xml:space="preserve"> </v>
          </cell>
          <cell r="D963" t="str">
            <v xml:space="preserve"> </v>
          </cell>
          <cell r="E963" t="str">
            <v>un</v>
          </cell>
          <cell r="G963">
            <v>0</v>
          </cell>
          <cell r="H963">
            <v>4.5</v>
          </cell>
        </row>
        <row r="964">
          <cell r="A964" t="str">
            <v>PI 39</v>
          </cell>
          <cell r="B964" t="str">
            <v>Fixação de haste de terra e conexão ao neutro</v>
          </cell>
          <cell r="C964" t="str">
            <v xml:space="preserve"> </v>
          </cell>
          <cell r="D964" t="str">
            <v xml:space="preserve"> </v>
          </cell>
          <cell r="E964" t="str">
            <v>un</v>
          </cell>
          <cell r="G964">
            <v>0</v>
          </cell>
          <cell r="H964">
            <v>35</v>
          </cell>
        </row>
        <row r="965">
          <cell r="A965" t="str">
            <v>PI 40</v>
          </cell>
          <cell r="B965" t="str">
            <v>Montagem eletromecân.de iluminação a 17,5m de alt., formada p/2 pétalas, c/ fixação dos equip.</v>
          </cell>
          <cell r="C965" t="str">
            <v xml:space="preserve"> </v>
          </cell>
          <cell r="D965" t="str">
            <v xml:space="preserve"> </v>
          </cell>
          <cell r="E965" t="str">
            <v>un</v>
          </cell>
          <cell r="G965">
            <v>0</v>
          </cell>
          <cell r="H965">
            <v>550</v>
          </cell>
        </row>
        <row r="966">
          <cell r="A966" t="str">
            <v>PI 41</v>
          </cell>
          <cell r="B966" t="str">
            <v>Instalação de tubo de aço vara de 6m e curva de entrada de cabos na lateral do poste c/ fix. dutos</v>
          </cell>
          <cell r="C966" t="str">
            <v xml:space="preserve"> </v>
          </cell>
          <cell r="D966" t="str">
            <v xml:space="preserve"> </v>
          </cell>
          <cell r="E966" t="str">
            <v>un</v>
          </cell>
          <cell r="G966">
            <v>0</v>
          </cell>
          <cell r="H966">
            <v>200</v>
          </cell>
        </row>
        <row r="967">
          <cell r="A967" t="str">
            <v>PI 42</v>
          </cell>
          <cell r="B967" t="str">
            <v>Instalação de poste de aço de 20m de altura engastado</v>
          </cell>
          <cell r="C967" t="str">
            <v xml:space="preserve"> </v>
          </cell>
          <cell r="D967" t="str">
            <v xml:space="preserve"> </v>
          </cell>
          <cell r="E967" t="str">
            <v>un</v>
          </cell>
          <cell r="G967">
            <v>0</v>
          </cell>
          <cell r="H967">
            <v>250</v>
          </cell>
        </row>
        <row r="968">
          <cell r="A968" t="str">
            <v>PI 43</v>
          </cell>
          <cell r="B968" t="str">
            <v>Travessia de pista asfáltica p/ lançamento dutos aço tipo pesado 100mm</v>
          </cell>
          <cell r="C968" t="str">
            <v xml:space="preserve"> </v>
          </cell>
          <cell r="D968" t="str">
            <v xml:space="preserve"> </v>
          </cell>
          <cell r="E968" t="str">
            <v>m</v>
          </cell>
          <cell r="G968">
            <v>0</v>
          </cell>
          <cell r="H968">
            <v>70</v>
          </cell>
        </row>
        <row r="969">
          <cell r="A969" t="str">
            <v>PI 44</v>
          </cell>
          <cell r="B969" t="str">
            <v>Montagem eletromecânica de luminária 10,0m de altura, c/ fixação dos equip.e conexões elétricos</v>
          </cell>
          <cell r="C969" t="str">
            <v xml:space="preserve"> </v>
          </cell>
          <cell r="D969" t="str">
            <v xml:space="preserve"> </v>
          </cell>
          <cell r="E969" t="str">
            <v>un</v>
          </cell>
          <cell r="G969">
            <v>0</v>
          </cell>
          <cell r="H969">
            <v>60</v>
          </cell>
        </row>
        <row r="970">
          <cell r="A970" t="str">
            <v>PI 45</v>
          </cell>
          <cell r="B970" t="str">
            <v>Montagem eletromecânica de luminária padrão CELESC em poste de 11m de altura, duplo T,c/ fixação dos equip.e conexões elétricos</v>
          </cell>
          <cell r="C970" t="str">
            <v xml:space="preserve"> </v>
          </cell>
          <cell r="D970" t="str">
            <v xml:space="preserve"> </v>
          </cell>
          <cell r="E970" t="str">
            <v>un</v>
          </cell>
          <cell r="G970">
            <v>0</v>
          </cell>
          <cell r="H970">
            <v>35</v>
          </cell>
        </row>
        <row r="971">
          <cell r="A971" t="str">
            <v>PI 46</v>
          </cell>
          <cell r="B971" t="str">
            <v>Fixação de eletroduto de aço vara 3m ao longo das passarelas</v>
          </cell>
          <cell r="C971" t="str">
            <v xml:space="preserve"> </v>
          </cell>
          <cell r="D971" t="str">
            <v xml:space="preserve"> </v>
          </cell>
          <cell r="E971" t="str">
            <v>un</v>
          </cell>
          <cell r="G971">
            <v>0</v>
          </cell>
          <cell r="H971">
            <v>30</v>
          </cell>
        </row>
        <row r="972">
          <cell r="A972" t="str">
            <v>PI 47</v>
          </cell>
          <cell r="B972" t="str">
            <v>Poste de concreto duplo T, 10/300 daN</v>
          </cell>
          <cell r="C972" t="str">
            <v xml:space="preserve"> </v>
          </cell>
          <cell r="D972" t="str">
            <v xml:space="preserve"> </v>
          </cell>
          <cell r="E972" t="str">
            <v>un</v>
          </cell>
          <cell r="G972">
            <v>0</v>
          </cell>
          <cell r="H972">
            <v>215.6</v>
          </cell>
        </row>
        <row r="973">
          <cell r="A973" t="str">
            <v>PI 48</v>
          </cell>
          <cell r="B973" t="str">
            <v>Armação secundária p/ 2 estribo</v>
          </cell>
          <cell r="C973" t="str">
            <v xml:space="preserve"> </v>
          </cell>
          <cell r="D973" t="str">
            <v xml:space="preserve"> </v>
          </cell>
          <cell r="E973" t="str">
            <v>un</v>
          </cell>
          <cell r="G973">
            <v>0</v>
          </cell>
          <cell r="H973">
            <v>7.5</v>
          </cell>
        </row>
        <row r="974">
          <cell r="A974" t="str">
            <v>PI 49</v>
          </cell>
          <cell r="B974" t="str">
            <v>Armação secundária p/ 1 estribo</v>
          </cell>
          <cell r="C974" t="str">
            <v xml:space="preserve"> </v>
          </cell>
          <cell r="D974" t="str">
            <v xml:space="preserve"> </v>
          </cell>
          <cell r="E974" t="str">
            <v>un</v>
          </cell>
          <cell r="G974">
            <v>0</v>
          </cell>
          <cell r="H974">
            <v>3.5</v>
          </cell>
        </row>
        <row r="975">
          <cell r="A975" t="str">
            <v>PI 50</v>
          </cell>
          <cell r="B975" t="str">
            <v>Cabo isolado, de alumínio singelo, bitola 4 mm² - estimada</v>
          </cell>
          <cell r="C975" t="str">
            <v xml:space="preserve"> </v>
          </cell>
          <cell r="D975" t="str">
            <v xml:space="preserve"> </v>
          </cell>
          <cell r="E975" t="str">
            <v>m</v>
          </cell>
          <cell r="G975">
            <v>0</v>
          </cell>
          <cell r="H975">
            <v>0.35</v>
          </cell>
        </row>
        <row r="976">
          <cell r="A976" t="str">
            <v>PI 51</v>
          </cell>
          <cell r="B976" t="str">
            <v>Eletoduto de PVC corrugado tipo Kanalex ou similar, 50 mm</v>
          </cell>
          <cell r="C976" t="str">
            <v xml:space="preserve"> </v>
          </cell>
          <cell r="D976" t="str">
            <v xml:space="preserve"> </v>
          </cell>
          <cell r="E976" t="str">
            <v>m</v>
          </cell>
          <cell r="G976">
            <v>0</v>
          </cell>
          <cell r="H976">
            <v>3.02</v>
          </cell>
        </row>
        <row r="977">
          <cell r="A977" t="str">
            <v>PI 52</v>
          </cell>
          <cell r="B977" t="str">
            <v>Luminária IMB C-300 ou similar</v>
          </cell>
          <cell r="C977" t="str">
            <v xml:space="preserve"> </v>
          </cell>
          <cell r="D977" t="str">
            <v xml:space="preserve"> </v>
          </cell>
          <cell r="E977" t="str">
            <v>un</v>
          </cell>
          <cell r="G977">
            <v>0</v>
          </cell>
          <cell r="H977">
            <v>410</v>
          </cell>
        </row>
        <row r="978">
          <cell r="A978" t="str">
            <v>PI 53</v>
          </cell>
          <cell r="B978" t="str">
            <v>Cabo isolado p/ 1000V, de alumínio, singelo, cor preto, bitola 35 mm² (XLPE) est.</v>
          </cell>
          <cell r="C978" t="str">
            <v xml:space="preserve"> </v>
          </cell>
          <cell r="D978" t="str">
            <v xml:space="preserve"> </v>
          </cell>
          <cell r="E978" t="str">
            <v>m</v>
          </cell>
          <cell r="G978">
            <v>0</v>
          </cell>
          <cell r="H978">
            <v>5.0999999999999996</v>
          </cell>
        </row>
        <row r="979">
          <cell r="A979" t="str">
            <v>PI 54</v>
          </cell>
          <cell r="B979" t="str">
            <v>Eletroduto de PVC corrugado tipo Kanalex ou similar, D=100mm</v>
          </cell>
          <cell r="C979" t="str">
            <v xml:space="preserve"> </v>
          </cell>
          <cell r="D979" t="str">
            <v xml:space="preserve"> </v>
          </cell>
          <cell r="E979" t="str">
            <v>m</v>
          </cell>
          <cell r="G979">
            <v>0</v>
          </cell>
          <cell r="H979">
            <v>4.95</v>
          </cell>
        </row>
        <row r="980">
          <cell r="A980" t="str">
            <v>PI 55</v>
          </cell>
          <cell r="B980" t="str">
            <v>Cabo de cobre nú, 25 mm²</v>
          </cell>
          <cell r="C980" t="str">
            <v xml:space="preserve"> </v>
          </cell>
          <cell r="D980" t="str">
            <v xml:space="preserve"> </v>
          </cell>
          <cell r="E980" t="str">
            <v>m</v>
          </cell>
          <cell r="G980">
            <v>0</v>
          </cell>
          <cell r="H980">
            <v>1.1499999999999999</v>
          </cell>
        </row>
        <row r="981">
          <cell r="A981" t="str">
            <v>PI 56</v>
          </cell>
          <cell r="B981" t="str">
            <v>Cabo isolado p/ 1000V, 4 mm² de alumínio</v>
          </cell>
          <cell r="C981" t="str">
            <v xml:space="preserve"> </v>
          </cell>
          <cell r="D981" t="str">
            <v xml:space="preserve"> </v>
          </cell>
          <cell r="E981" t="str">
            <v>m</v>
          </cell>
          <cell r="G981">
            <v>0</v>
          </cell>
          <cell r="H981">
            <v>0.37</v>
          </cell>
        </row>
        <row r="982">
          <cell r="A982" t="str">
            <v>PI 57</v>
          </cell>
          <cell r="B982" t="str">
            <v>Lançamento de cabos em eletroduto de PVC corrugado</v>
          </cell>
          <cell r="C982" t="str">
            <v xml:space="preserve"> </v>
          </cell>
          <cell r="D982" t="str">
            <v xml:space="preserve"> </v>
          </cell>
          <cell r="E982" t="str">
            <v>m</v>
          </cell>
          <cell r="G982">
            <v>0</v>
          </cell>
          <cell r="H982">
            <v>3</v>
          </cell>
        </row>
        <row r="983">
          <cell r="A983" t="str">
            <v>PI 58</v>
          </cell>
          <cell r="B983" t="str">
            <v>Fixação de caixas de passagem p/ instalação aparente D=20mm</v>
          </cell>
          <cell r="C983" t="str">
            <v xml:space="preserve"> </v>
          </cell>
          <cell r="D983" t="str">
            <v xml:space="preserve"> </v>
          </cell>
          <cell r="E983" t="str">
            <v>un</v>
          </cell>
          <cell r="G983">
            <v>0</v>
          </cell>
          <cell r="H983">
            <v>10</v>
          </cell>
        </row>
        <row r="984">
          <cell r="A984" t="str">
            <v>PI 59</v>
          </cell>
          <cell r="B984" t="str">
            <v>Instalação de luminária blindada para lâmpada a vapor de mercúrio 250W</v>
          </cell>
          <cell r="C984" t="str">
            <v xml:space="preserve"> </v>
          </cell>
          <cell r="D984" t="str">
            <v xml:space="preserve"> </v>
          </cell>
          <cell r="E984" t="str">
            <v>un</v>
          </cell>
          <cell r="G984">
            <v>0</v>
          </cell>
          <cell r="H984">
            <v>20</v>
          </cell>
        </row>
        <row r="985">
          <cell r="A985" t="str">
            <v>PI 60</v>
          </cell>
          <cell r="B985" t="str">
            <v>Lâmpada a vapor de mercúrio 250W</v>
          </cell>
          <cell r="C985" t="str">
            <v xml:space="preserve"> </v>
          </cell>
          <cell r="D985" t="str">
            <v xml:space="preserve"> </v>
          </cell>
          <cell r="E985" t="str">
            <v>un</v>
          </cell>
          <cell r="G985">
            <v>0</v>
          </cell>
          <cell r="H985">
            <v>16.3</v>
          </cell>
        </row>
        <row r="986">
          <cell r="A986" t="str">
            <v>PI 61</v>
          </cell>
          <cell r="B986" t="str">
            <v>Isolador de roldana</v>
          </cell>
          <cell r="C986" t="str">
            <v xml:space="preserve"> </v>
          </cell>
          <cell r="D986" t="str">
            <v xml:space="preserve"> </v>
          </cell>
          <cell r="E986" t="str">
            <v>un</v>
          </cell>
          <cell r="G986">
            <v>0</v>
          </cell>
          <cell r="H986">
            <v>4.5</v>
          </cell>
        </row>
        <row r="987">
          <cell r="A987" t="str">
            <v>PI 62</v>
          </cell>
          <cell r="B987" t="str">
            <v>Caixa de passagem para instalação aparente D=20mm, tipo T</v>
          </cell>
          <cell r="C987" t="str">
            <v xml:space="preserve"> </v>
          </cell>
          <cell r="D987" t="str">
            <v xml:space="preserve"> </v>
          </cell>
          <cell r="E987" t="str">
            <v>un</v>
          </cell>
          <cell r="G987">
            <v>0</v>
          </cell>
          <cell r="H987">
            <v>20</v>
          </cell>
        </row>
        <row r="988">
          <cell r="A988" t="str">
            <v>PI 63</v>
          </cell>
          <cell r="B988" t="str">
            <v>Eletroduto de aço galvanizado, d=50mm, vara de 3m</v>
          </cell>
          <cell r="C988" t="str">
            <v xml:space="preserve"> </v>
          </cell>
          <cell r="D988" t="str">
            <v xml:space="preserve"> </v>
          </cell>
          <cell r="E988" t="str">
            <v>un</v>
          </cell>
          <cell r="G988">
            <v>0</v>
          </cell>
          <cell r="H988">
            <v>40</v>
          </cell>
        </row>
        <row r="989">
          <cell r="A989" t="str">
            <v>PI 64</v>
          </cell>
          <cell r="B989" t="str">
            <v>Caixa de passagem p/ instalação aparente, D=50mm, tipo E</v>
          </cell>
          <cell r="C989" t="str">
            <v xml:space="preserve"> </v>
          </cell>
          <cell r="D989" t="str">
            <v xml:space="preserve"> </v>
          </cell>
          <cell r="E989" t="str">
            <v>un</v>
          </cell>
          <cell r="G989">
            <v>0</v>
          </cell>
          <cell r="H989">
            <v>20</v>
          </cell>
        </row>
        <row r="990">
          <cell r="A990" t="str">
            <v>PI 65</v>
          </cell>
          <cell r="B990" t="str">
            <v>Cabo de alumínio 1/0</v>
          </cell>
          <cell r="C990" t="str">
            <v xml:space="preserve"> </v>
          </cell>
          <cell r="D990" t="str">
            <v xml:space="preserve"> </v>
          </cell>
          <cell r="E990" t="str">
            <v>m</v>
          </cell>
          <cell r="G990">
            <v>0</v>
          </cell>
          <cell r="H990">
            <v>1.7</v>
          </cell>
        </row>
        <row r="991">
          <cell r="A991" t="str">
            <v>PI 66</v>
          </cell>
          <cell r="B991" t="str">
            <v>Cabo isolado p/ 1000 V, 6 mm2 de alumínio</v>
          </cell>
          <cell r="C991" t="str">
            <v xml:space="preserve"> </v>
          </cell>
          <cell r="D991" t="str">
            <v xml:space="preserve"> </v>
          </cell>
          <cell r="E991" t="str">
            <v>m</v>
          </cell>
          <cell r="G991">
            <v>0</v>
          </cell>
          <cell r="H991">
            <v>1</v>
          </cell>
        </row>
        <row r="992">
          <cell r="A992" t="str">
            <v>PI 67</v>
          </cell>
          <cell r="B992" t="str">
            <v>Cabo isolado p/ 1000 V, 2,5 mm2 de alumínio</v>
          </cell>
          <cell r="C992" t="str">
            <v xml:space="preserve"> </v>
          </cell>
          <cell r="D992" t="str">
            <v xml:space="preserve"> </v>
          </cell>
          <cell r="E992" t="str">
            <v>m</v>
          </cell>
          <cell r="G992">
            <v>0</v>
          </cell>
          <cell r="H992">
            <v>0.6</v>
          </cell>
        </row>
        <row r="993">
          <cell r="A993" t="str">
            <v>PI 68</v>
          </cell>
          <cell r="B993" t="str">
            <v>Instalação poste metálico c/ base, 10m de altura na lateral do viaduto</v>
          </cell>
          <cell r="C993" t="str">
            <v xml:space="preserve"> </v>
          </cell>
          <cell r="D993" t="str">
            <v xml:space="preserve"> </v>
          </cell>
          <cell r="E993" t="str">
            <v>un</v>
          </cell>
          <cell r="G993">
            <v>0</v>
          </cell>
          <cell r="H993">
            <v>100</v>
          </cell>
        </row>
        <row r="994">
          <cell r="A994" t="str">
            <v>PI 69</v>
          </cell>
          <cell r="B994" t="str">
            <v>Instalação de poste concreto duplo T, 10m de altura, engastado</v>
          </cell>
          <cell r="C994" t="str">
            <v xml:space="preserve"> </v>
          </cell>
          <cell r="D994" t="str">
            <v xml:space="preserve"> </v>
          </cell>
          <cell r="E994" t="str">
            <v>un</v>
          </cell>
          <cell r="G994">
            <v>0</v>
          </cell>
          <cell r="H994">
            <v>200</v>
          </cell>
        </row>
        <row r="995">
          <cell r="A995" t="str">
            <v>PI 70</v>
          </cell>
          <cell r="B995" t="str">
            <v>Fixação de eletroduto de aço vara 6m ao longo das passarelas</v>
          </cell>
          <cell r="C995" t="str">
            <v xml:space="preserve"> </v>
          </cell>
          <cell r="D995" t="str">
            <v xml:space="preserve"> </v>
          </cell>
          <cell r="E995" t="str">
            <v>un</v>
          </cell>
          <cell r="G995">
            <v>0</v>
          </cell>
          <cell r="H995">
            <v>300</v>
          </cell>
        </row>
        <row r="996">
          <cell r="A996" t="str">
            <v>PI 71</v>
          </cell>
          <cell r="B996" t="str">
            <v>Cabo isolado p/ 1000V, de alumínio, singelo, cor preto, bitola 25 mm² (XLPE) est.</v>
          </cell>
          <cell r="C996" t="str">
            <v xml:space="preserve"> </v>
          </cell>
          <cell r="D996" t="str">
            <v xml:space="preserve"> </v>
          </cell>
          <cell r="E996" t="str">
            <v>m</v>
          </cell>
          <cell r="G996">
            <v>0</v>
          </cell>
          <cell r="H996">
            <v>4.62</v>
          </cell>
        </row>
        <row r="997">
          <cell r="A997" t="str">
            <v>PI 72</v>
          </cell>
          <cell r="B997" t="str">
            <v>Eletroduto de aço 1.1/4" (vara de 3m), na passarela, conforme projeto</v>
          </cell>
          <cell r="E997" t="str">
            <v>m</v>
          </cell>
          <cell r="H997">
            <v>18</v>
          </cell>
        </row>
        <row r="998">
          <cell r="A998" t="str">
            <v>PI 73</v>
          </cell>
          <cell r="B998" t="str">
            <v>Reator de alto fator externo c/ignitor p/ lâmpada a vapor de mercúrio,  da Entral ou similar</v>
          </cell>
          <cell r="C998" t="str">
            <v xml:space="preserve"> </v>
          </cell>
          <cell r="D998" t="str">
            <v xml:space="preserve"> </v>
          </cell>
          <cell r="E998" t="str">
            <v>un</v>
          </cell>
          <cell r="G998">
            <v>0</v>
          </cell>
          <cell r="H998">
            <v>37</v>
          </cell>
        </row>
        <row r="999">
          <cell r="A999" t="str">
            <v>PI 74</v>
          </cell>
          <cell r="B999" t="str">
            <v>Chave de iluminação pública</v>
          </cell>
          <cell r="C999" t="str">
            <v xml:space="preserve"> </v>
          </cell>
          <cell r="D999" t="str">
            <v xml:space="preserve"> </v>
          </cell>
          <cell r="E999" t="str">
            <v>un</v>
          </cell>
          <cell r="G999">
            <v>0</v>
          </cell>
          <cell r="H999">
            <v>95</v>
          </cell>
        </row>
        <row r="1000">
          <cell r="A1000" t="str">
            <v>PI 75</v>
          </cell>
          <cell r="B1000" t="str">
            <v>Montagem eletromecânica de luminária 5m de altura, c/fixação dos equipam.e conexões elét.</v>
          </cell>
          <cell r="E1000" t="str">
            <v>un</v>
          </cell>
          <cell r="G1000">
            <v>0</v>
          </cell>
          <cell r="H1000">
            <v>67.08</v>
          </cell>
        </row>
        <row r="1002">
          <cell r="A1002" t="str">
            <v>5.2</v>
          </cell>
          <cell r="B1002" t="str">
            <v>REMANEJAMENTO DE REDES PÚBLICAS</v>
          </cell>
          <cell r="G1002">
            <v>0</v>
          </cell>
        </row>
        <row r="1003">
          <cell r="A1003" t="str">
            <v>R1</v>
          </cell>
          <cell r="B1003" t="str">
            <v>Remanejamento de Rede de Baixa Tensão (220/380V)</v>
          </cell>
          <cell r="C1003" t="str">
            <v xml:space="preserve"> </v>
          </cell>
          <cell r="D1003" t="str">
            <v xml:space="preserve"> </v>
          </cell>
          <cell r="E1003" t="str">
            <v>m</v>
          </cell>
          <cell r="G1003">
            <v>0</v>
          </cell>
          <cell r="H1003">
            <v>4.7</v>
          </cell>
        </row>
        <row r="1004">
          <cell r="A1004" t="str">
            <v>R2</v>
          </cell>
          <cell r="B1004" t="str">
            <v>Remanejamento de Rede de Alta Tensão (138kV)</v>
          </cell>
          <cell r="C1004" t="str">
            <v xml:space="preserve"> </v>
          </cell>
          <cell r="D1004" t="str">
            <v xml:space="preserve"> </v>
          </cell>
          <cell r="E1004" t="str">
            <v>m</v>
          </cell>
          <cell r="G1004">
            <v>0</v>
          </cell>
          <cell r="H1004">
            <v>6.2</v>
          </cell>
        </row>
        <row r="1005">
          <cell r="A1005" t="str">
            <v>R3</v>
          </cell>
          <cell r="B1005" t="str">
            <v>Remanejamento de Rede de Telefonia</v>
          </cell>
          <cell r="C1005" t="str">
            <v xml:space="preserve"> </v>
          </cell>
          <cell r="D1005" t="str">
            <v xml:space="preserve"> </v>
          </cell>
          <cell r="E1005" t="str">
            <v>m</v>
          </cell>
          <cell r="G1005">
            <v>0</v>
          </cell>
          <cell r="H1005">
            <v>2</v>
          </cell>
        </row>
        <row r="1006">
          <cell r="A1006" t="str">
            <v>R4</v>
          </cell>
          <cell r="B1006" t="str">
            <v>Remanejamento de Rede de Alta e Baixa Tensão</v>
          </cell>
          <cell r="C1006" t="str">
            <v xml:space="preserve"> </v>
          </cell>
          <cell r="D1006" t="str">
            <v xml:space="preserve"> </v>
          </cell>
          <cell r="E1006" t="str">
            <v>m</v>
          </cell>
          <cell r="G1006">
            <v>0</v>
          </cell>
          <cell r="H1006">
            <v>10.9</v>
          </cell>
        </row>
        <row r="1007">
          <cell r="A1007" t="str">
            <v>R5</v>
          </cell>
          <cell r="B1007" t="str">
            <v>Remanejamento de Rede de Alta e Baixa Tensão e Telefonia</v>
          </cell>
          <cell r="C1007" t="str">
            <v xml:space="preserve"> </v>
          </cell>
          <cell r="D1007" t="str">
            <v xml:space="preserve"> </v>
          </cell>
          <cell r="E1007" t="str">
            <v>m</v>
          </cell>
          <cell r="G1007">
            <v>0</v>
          </cell>
          <cell r="H1007">
            <v>12.9</v>
          </cell>
        </row>
        <row r="1008">
          <cell r="A1008" t="str">
            <v>R6</v>
          </cell>
          <cell r="B1008" t="str">
            <v>Remanejamento de Rede de Alta Tensão  e Telefonia</v>
          </cell>
          <cell r="C1008" t="str">
            <v xml:space="preserve"> </v>
          </cell>
          <cell r="D1008" t="str">
            <v xml:space="preserve"> </v>
          </cell>
          <cell r="E1008" t="str">
            <v>m</v>
          </cell>
          <cell r="G1008">
            <v>0</v>
          </cell>
          <cell r="H1008">
            <v>8.1999999999999993</v>
          </cell>
        </row>
        <row r="1009">
          <cell r="A1009" t="str">
            <v>R7</v>
          </cell>
          <cell r="B1009" t="str">
            <v>Remanejamento de Rede de Baixa Tensão e Telefonia</v>
          </cell>
          <cell r="C1009" t="str">
            <v xml:space="preserve"> </v>
          </cell>
          <cell r="D1009" t="str">
            <v xml:space="preserve"> </v>
          </cell>
          <cell r="E1009" t="str">
            <v>m</v>
          </cell>
          <cell r="G1009">
            <v>0</v>
          </cell>
          <cell r="H1009">
            <v>6.7</v>
          </cell>
        </row>
        <row r="1010">
          <cell r="A1010" t="str">
            <v>R8</v>
          </cell>
          <cell r="B1010" t="str">
            <v>Remanejamento de Poste de Concreto 9/150</v>
          </cell>
          <cell r="C1010" t="str">
            <v xml:space="preserve"> </v>
          </cell>
          <cell r="D1010" t="str">
            <v xml:space="preserve"> </v>
          </cell>
          <cell r="E1010" t="str">
            <v>un</v>
          </cell>
          <cell r="G1010">
            <v>0</v>
          </cell>
          <cell r="H1010">
            <v>75</v>
          </cell>
        </row>
        <row r="1011">
          <cell r="A1011" t="str">
            <v>R9</v>
          </cell>
          <cell r="B1011" t="str">
            <v>Remanejamento de Poste de Concreto 9/300</v>
          </cell>
          <cell r="C1011" t="str">
            <v xml:space="preserve"> </v>
          </cell>
          <cell r="D1011" t="str">
            <v xml:space="preserve"> </v>
          </cell>
          <cell r="E1011" t="str">
            <v>un</v>
          </cell>
          <cell r="G1011">
            <v>0</v>
          </cell>
          <cell r="H1011">
            <v>75</v>
          </cell>
        </row>
        <row r="1012">
          <cell r="A1012" t="str">
            <v>R10</v>
          </cell>
          <cell r="B1012" t="str">
            <v>Remanejamento de Poste de Concreto 10/150</v>
          </cell>
          <cell r="C1012" t="str">
            <v xml:space="preserve"> </v>
          </cell>
          <cell r="D1012" t="str">
            <v xml:space="preserve"> </v>
          </cell>
          <cell r="E1012" t="str">
            <v>un</v>
          </cell>
          <cell r="G1012">
            <v>0</v>
          </cell>
          <cell r="H1012">
            <v>75</v>
          </cell>
        </row>
        <row r="1013">
          <cell r="A1013" t="str">
            <v>R11</v>
          </cell>
          <cell r="B1013" t="str">
            <v>Remanejamento de Poste de Concreto 10/300</v>
          </cell>
          <cell r="C1013" t="str">
            <v xml:space="preserve"> </v>
          </cell>
          <cell r="D1013" t="str">
            <v xml:space="preserve"> </v>
          </cell>
          <cell r="E1013" t="str">
            <v>un</v>
          </cell>
          <cell r="G1013">
            <v>0</v>
          </cell>
          <cell r="H1013">
            <v>75</v>
          </cell>
        </row>
        <row r="1014">
          <cell r="A1014" t="str">
            <v>R12</v>
          </cell>
          <cell r="B1014" t="str">
            <v>Remanejamento de Poste de Concreto 10/600</v>
          </cell>
          <cell r="C1014" t="str">
            <v xml:space="preserve"> </v>
          </cell>
          <cell r="D1014" t="str">
            <v xml:space="preserve"> </v>
          </cell>
          <cell r="E1014" t="str">
            <v>un</v>
          </cell>
          <cell r="G1014">
            <v>0</v>
          </cell>
          <cell r="H1014">
            <v>75</v>
          </cell>
        </row>
        <row r="1015">
          <cell r="A1015" t="str">
            <v>R13</v>
          </cell>
          <cell r="B1015" t="str">
            <v>Remanejamento de Poste de Concreto 11/150</v>
          </cell>
          <cell r="C1015" t="str">
            <v xml:space="preserve"> </v>
          </cell>
          <cell r="D1015" t="str">
            <v xml:space="preserve"> </v>
          </cell>
          <cell r="E1015" t="str">
            <v>un</v>
          </cell>
          <cell r="G1015">
            <v>0</v>
          </cell>
          <cell r="H1015">
            <v>75</v>
          </cell>
        </row>
        <row r="1016">
          <cell r="A1016" t="str">
            <v>R14</v>
          </cell>
          <cell r="B1016" t="str">
            <v>Remanejamento de Poste de Concreto 11/300</v>
          </cell>
          <cell r="C1016" t="str">
            <v xml:space="preserve"> </v>
          </cell>
          <cell r="D1016" t="str">
            <v xml:space="preserve"> </v>
          </cell>
          <cell r="E1016" t="str">
            <v>un</v>
          </cell>
          <cell r="G1016">
            <v>0</v>
          </cell>
          <cell r="H1016">
            <v>75</v>
          </cell>
        </row>
        <row r="1017">
          <cell r="A1017" t="str">
            <v>R15</v>
          </cell>
          <cell r="B1017" t="str">
            <v>Remanejamento de Poste de Concreto 11/500</v>
          </cell>
          <cell r="C1017" t="str">
            <v xml:space="preserve"> </v>
          </cell>
          <cell r="D1017" t="str">
            <v xml:space="preserve"> </v>
          </cell>
          <cell r="E1017" t="str">
            <v>un</v>
          </cell>
          <cell r="G1017">
            <v>0</v>
          </cell>
          <cell r="H1017">
            <v>75</v>
          </cell>
        </row>
        <row r="1018">
          <cell r="A1018" t="str">
            <v>R16</v>
          </cell>
          <cell r="B1018" t="str">
            <v>Remanejamento de Poste de Concreto 10/150 c/ 1 pétala (400W) instalado</v>
          </cell>
          <cell r="C1018" t="str">
            <v xml:space="preserve"> </v>
          </cell>
          <cell r="D1018" t="str">
            <v xml:space="preserve"> </v>
          </cell>
          <cell r="E1018" t="str">
            <v>un</v>
          </cell>
          <cell r="G1018">
            <v>0</v>
          </cell>
          <cell r="H1018">
            <v>150</v>
          </cell>
        </row>
        <row r="1019">
          <cell r="A1019" t="str">
            <v>R17</v>
          </cell>
          <cell r="B1019" t="str">
            <v>Remanejamento de Poste de Concreto 10/150 c/ 2 pétala (400W) instalado</v>
          </cell>
          <cell r="C1019" t="str">
            <v xml:space="preserve"> </v>
          </cell>
          <cell r="D1019" t="str">
            <v xml:space="preserve"> </v>
          </cell>
          <cell r="E1019" t="str">
            <v>un</v>
          </cell>
          <cell r="G1019">
            <v>0</v>
          </cell>
          <cell r="H1019">
            <v>200</v>
          </cell>
        </row>
        <row r="1020">
          <cell r="A1020" t="str">
            <v>R17a</v>
          </cell>
          <cell r="B1020" t="str">
            <v>Remanejamento de Poste de Concreto 11/150 c/ 2 pétala (400W) instalado</v>
          </cell>
          <cell r="C1020" t="str">
            <v xml:space="preserve"> </v>
          </cell>
          <cell r="D1020" t="str">
            <v xml:space="preserve"> </v>
          </cell>
          <cell r="E1020" t="str">
            <v>un</v>
          </cell>
          <cell r="G1020">
            <v>0</v>
          </cell>
          <cell r="H1020">
            <v>200</v>
          </cell>
        </row>
        <row r="1021">
          <cell r="A1021" t="str">
            <v>R18</v>
          </cell>
          <cell r="B1021" t="str">
            <v>Remanejamento de Poste de Concreto 10/150 c/ 3 pétalas (400W) instalado</v>
          </cell>
          <cell r="C1021" t="str">
            <v xml:space="preserve"> </v>
          </cell>
          <cell r="D1021" t="str">
            <v xml:space="preserve"> </v>
          </cell>
          <cell r="E1021" t="str">
            <v>un</v>
          </cell>
          <cell r="G1021">
            <v>0</v>
          </cell>
          <cell r="H1021">
            <v>250</v>
          </cell>
        </row>
        <row r="1022">
          <cell r="A1022" t="str">
            <v>R19</v>
          </cell>
          <cell r="B1022" t="str">
            <v>Remanejamento de Poste de Concreto 10/150 c/ 4 pétalas (400W) instalado</v>
          </cell>
          <cell r="C1022" t="str">
            <v xml:space="preserve"> </v>
          </cell>
          <cell r="D1022" t="str">
            <v xml:space="preserve"> </v>
          </cell>
          <cell r="E1022" t="str">
            <v>un</v>
          </cell>
          <cell r="G1022">
            <v>0</v>
          </cell>
          <cell r="H1022">
            <v>300</v>
          </cell>
        </row>
        <row r="1023">
          <cell r="A1023" t="str">
            <v>R20</v>
          </cell>
          <cell r="B1023" t="str">
            <v>Remanejamento de Poste de Concreto 10/300 c/ 3 pétalas (400W) instalado</v>
          </cell>
          <cell r="C1023" t="str">
            <v xml:space="preserve"> </v>
          </cell>
          <cell r="D1023" t="str">
            <v xml:space="preserve"> </v>
          </cell>
          <cell r="E1023" t="str">
            <v>un</v>
          </cell>
          <cell r="G1023">
            <v>0</v>
          </cell>
          <cell r="H1023">
            <v>250</v>
          </cell>
        </row>
        <row r="1024">
          <cell r="A1024" t="str">
            <v>R20A</v>
          </cell>
          <cell r="B1024" t="str">
            <v>Remanejamento de Poste de Concreto 11/300 c/ 3 pétalas (400W) instalado</v>
          </cell>
          <cell r="C1024" t="str">
            <v xml:space="preserve"> </v>
          </cell>
          <cell r="D1024" t="str">
            <v xml:space="preserve"> </v>
          </cell>
          <cell r="E1024" t="str">
            <v>un</v>
          </cell>
          <cell r="G1024">
            <v>0</v>
          </cell>
          <cell r="H1024">
            <v>250</v>
          </cell>
        </row>
        <row r="1025">
          <cell r="A1025" t="str">
            <v>R21</v>
          </cell>
          <cell r="B1025" t="str">
            <v xml:space="preserve">Remanejamento de Poste de Concreto 10/300 c/ 4 pétalas (400W) instalado </v>
          </cell>
          <cell r="C1025" t="str">
            <v xml:space="preserve"> </v>
          </cell>
          <cell r="D1025" t="str">
            <v xml:space="preserve"> </v>
          </cell>
          <cell r="E1025" t="str">
            <v>un</v>
          </cell>
          <cell r="G1025">
            <v>0</v>
          </cell>
          <cell r="H1025">
            <v>300</v>
          </cell>
        </row>
        <row r="1026">
          <cell r="A1026" t="str">
            <v>R22</v>
          </cell>
          <cell r="B1026" t="str">
            <v>Remanejamento de Poste de Concreto 09/300 c/ transformador</v>
          </cell>
          <cell r="C1026" t="str">
            <v xml:space="preserve"> </v>
          </cell>
          <cell r="D1026" t="str">
            <v xml:space="preserve"> </v>
          </cell>
          <cell r="E1026" t="str">
            <v>un</v>
          </cell>
          <cell r="G1026">
            <v>0</v>
          </cell>
          <cell r="H1026">
            <v>290</v>
          </cell>
        </row>
        <row r="1027">
          <cell r="A1027" t="str">
            <v>R23</v>
          </cell>
          <cell r="B1027" t="str">
            <v>Remanejamento de Poste de Concreto 11/300 c/ transformador</v>
          </cell>
          <cell r="C1027" t="str">
            <v xml:space="preserve"> </v>
          </cell>
          <cell r="D1027" t="str">
            <v xml:space="preserve"> </v>
          </cell>
          <cell r="E1027" t="str">
            <v>un</v>
          </cell>
          <cell r="G1027">
            <v>0</v>
          </cell>
          <cell r="H1027">
            <v>290</v>
          </cell>
        </row>
        <row r="1028">
          <cell r="A1028" t="str">
            <v>R24</v>
          </cell>
          <cell r="B1028" t="str">
            <v>Remanejamento de Poste Metálico 20m c/ 2 pétalas instalado</v>
          </cell>
          <cell r="C1028" t="str">
            <v xml:space="preserve"> </v>
          </cell>
          <cell r="D1028" t="str">
            <v xml:space="preserve"> </v>
          </cell>
          <cell r="E1028" t="str">
            <v>un</v>
          </cell>
          <cell r="G1028">
            <v>0</v>
          </cell>
          <cell r="H1028">
            <v>350</v>
          </cell>
        </row>
        <row r="1029">
          <cell r="A1029" t="str">
            <v>R25</v>
          </cell>
          <cell r="B1029" t="str">
            <v>Remanejamento de Poste Metálico 20m c/ 3 pétalas instalado</v>
          </cell>
          <cell r="C1029" t="str">
            <v xml:space="preserve"> </v>
          </cell>
          <cell r="D1029" t="str">
            <v xml:space="preserve"> </v>
          </cell>
          <cell r="E1029" t="str">
            <v>un</v>
          </cell>
          <cell r="G1029">
            <v>0</v>
          </cell>
          <cell r="H1029">
            <v>350</v>
          </cell>
        </row>
        <row r="1030">
          <cell r="A1030" t="str">
            <v>R26</v>
          </cell>
          <cell r="B1030" t="str">
            <v>Remanejamento de Poste Metálico 20m c/ 4 pétalas instalado</v>
          </cell>
          <cell r="C1030" t="str">
            <v xml:space="preserve"> </v>
          </cell>
          <cell r="D1030" t="str">
            <v xml:space="preserve"> </v>
          </cell>
          <cell r="E1030" t="str">
            <v>un</v>
          </cell>
          <cell r="G1030">
            <v>0</v>
          </cell>
          <cell r="H1030">
            <v>410</v>
          </cell>
        </row>
        <row r="1031">
          <cell r="A1031" t="str">
            <v>R27</v>
          </cell>
          <cell r="B1031" t="str">
            <v>Remanejamento de Poste de Madeira</v>
          </cell>
          <cell r="C1031" t="str">
            <v xml:space="preserve"> </v>
          </cell>
          <cell r="D1031" t="str">
            <v xml:space="preserve"> </v>
          </cell>
          <cell r="E1031" t="str">
            <v>un</v>
          </cell>
          <cell r="G1031">
            <v>0</v>
          </cell>
          <cell r="H1031">
            <v>70</v>
          </cell>
        </row>
        <row r="1032">
          <cell r="A1032" t="str">
            <v>R28</v>
          </cell>
          <cell r="B1032" t="str">
            <v>Remanejamento de Canalização de água em Ferro Fundido, 100mm</v>
          </cell>
          <cell r="C1032" t="str">
            <v xml:space="preserve"> </v>
          </cell>
          <cell r="D1032" t="str">
            <v xml:space="preserve"> </v>
          </cell>
          <cell r="E1032" t="str">
            <v>m</v>
          </cell>
          <cell r="G1032">
            <v>0</v>
          </cell>
          <cell r="H1032">
            <v>234.18</v>
          </cell>
        </row>
        <row r="1033">
          <cell r="A1033" t="str">
            <v>R29</v>
          </cell>
          <cell r="B1033" t="str">
            <v>Remanejamento de Canalização de água em PVC, 40mm</v>
          </cell>
          <cell r="C1033" t="str">
            <v xml:space="preserve"> </v>
          </cell>
          <cell r="D1033" t="str">
            <v xml:space="preserve"> </v>
          </cell>
          <cell r="E1033" t="str">
            <v>m</v>
          </cell>
          <cell r="G1033">
            <v>0</v>
          </cell>
          <cell r="H1033">
            <v>22.79</v>
          </cell>
        </row>
        <row r="1034">
          <cell r="A1034" t="str">
            <v>R30</v>
          </cell>
          <cell r="B1034" t="str">
            <v>Remoção de rede subterrânea em baixa tensão</v>
          </cell>
          <cell r="C1034" t="str">
            <v xml:space="preserve"> </v>
          </cell>
          <cell r="D1034" t="str">
            <v xml:space="preserve"> </v>
          </cell>
          <cell r="E1034" t="str">
            <v>m</v>
          </cell>
          <cell r="G1034">
            <v>0</v>
          </cell>
          <cell r="H1034">
            <v>6.7</v>
          </cell>
        </row>
        <row r="1035">
          <cell r="A1035" t="str">
            <v>R31</v>
          </cell>
          <cell r="B1035" t="str">
            <v>Remoção de poste metálico c/iluminação - 1pétala</v>
          </cell>
          <cell r="E1035" t="str">
            <v>un</v>
          </cell>
          <cell r="G1035">
            <v>0</v>
          </cell>
          <cell r="H1035">
            <v>75</v>
          </cell>
        </row>
        <row r="1036">
          <cell r="A1036" t="str">
            <v>R32</v>
          </cell>
          <cell r="B1036" t="str">
            <v>Remoção de poste metálico c/iluminação - 2pétalas</v>
          </cell>
          <cell r="E1036" t="str">
            <v>un</v>
          </cell>
          <cell r="G1036">
            <v>0</v>
          </cell>
          <cell r="H1036">
            <v>75</v>
          </cell>
        </row>
        <row r="1037">
          <cell r="A1037" t="str">
            <v>5.3</v>
          </cell>
          <cell r="B1037" t="str">
            <v>OBRAS  DE CONTENÇÃO</v>
          </cell>
          <cell r="G1037">
            <v>0</v>
          </cell>
        </row>
        <row r="1038">
          <cell r="A1038" t="str">
            <v>P 10.000.00</v>
          </cell>
          <cell r="B1038" t="str">
            <v>Terra armada tipo greide h&lt;6,00m</v>
          </cell>
          <cell r="C1038" t="str">
            <v xml:space="preserve"> </v>
          </cell>
          <cell r="D1038" t="str">
            <v xml:space="preserve"> </v>
          </cell>
          <cell r="E1038" t="str">
            <v>m2</v>
          </cell>
          <cell r="F1038">
            <v>185.76</v>
          </cell>
          <cell r="G1038">
            <v>66.502079999999992</v>
          </cell>
          <cell r="H1038">
            <v>252.26207999999997</v>
          </cell>
        </row>
        <row r="1039">
          <cell r="A1039" t="str">
            <v>P 10.000.01</v>
          </cell>
          <cell r="B1039" t="str">
            <v>Terra armada tipo greide h&gt;6,00m</v>
          </cell>
          <cell r="C1039" t="str">
            <v xml:space="preserve"> </v>
          </cell>
          <cell r="D1039" t="str">
            <v xml:space="preserve"> </v>
          </cell>
          <cell r="E1039" t="str">
            <v>m2</v>
          </cell>
          <cell r="F1039">
            <v>213.36</v>
          </cell>
          <cell r="G1039">
            <v>76.38288</v>
          </cell>
          <cell r="H1039">
            <v>289.74288000000001</v>
          </cell>
        </row>
        <row r="1040">
          <cell r="A1040" t="str">
            <v>P 10.000.02</v>
          </cell>
          <cell r="B1040" t="str">
            <v>Terra armada tipo pé de talude h&lt;6,00</v>
          </cell>
          <cell r="C1040" t="str">
            <v xml:space="preserve"> </v>
          </cell>
          <cell r="D1040" t="str">
            <v xml:space="preserve"> </v>
          </cell>
          <cell r="E1040" t="str">
            <v>m2</v>
          </cell>
          <cell r="F1040">
            <v>205.76</v>
          </cell>
          <cell r="G1040">
            <v>73.662079999999989</v>
          </cell>
          <cell r="H1040">
            <v>279.42207999999999</v>
          </cell>
        </row>
        <row r="1041">
          <cell r="A1041" t="str">
            <v>P 10.000.03</v>
          </cell>
          <cell r="B1041" t="str">
            <v>Terra armada tipo encontro portante h&lt;6,00m</v>
          </cell>
          <cell r="C1041" t="str">
            <v xml:space="preserve"> </v>
          </cell>
          <cell r="D1041" t="str">
            <v xml:space="preserve"> </v>
          </cell>
          <cell r="E1041" t="str">
            <v>m2</v>
          </cell>
          <cell r="F1041">
            <v>243.36</v>
          </cell>
          <cell r="G1041">
            <v>87.122879999999995</v>
          </cell>
          <cell r="H1041">
            <v>330.48288000000002</v>
          </cell>
        </row>
        <row r="1042">
          <cell r="A1042" t="str">
            <v>P 10.000.04</v>
          </cell>
          <cell r="B1042" t="str">
            <v>Terra armada tipo encontro portante h&gt;6,00m</v>
          </cell>
          <cell r="C1042" t="str">
            <v xml:space="preserve"> </v>
          </cell>
          <cell r="D1042" t="str">
            <v xml:space="preserve"> </v>
          </cell>
          <cell r="E1042" t="str">
            <v>m2</v>
          </cell>
          <cell r="F1042">
            <v>265.76</v>
          </cell>
          <cell r="G1042">
            <v>95.142079999999993</v>
          </cell>
          <cell r="H1042">
            <v>360.90207999999996</v>
          </cell>
        </row>
        <row r="1043">
          <cell r="A1043" t="str">
            <v>P 10.000.05</v>
          </cell>
          <cell r="B1043" t="str">
            <v>Aterro reforçado c/ elementos Terramesh (1,00x1,00x4,00m)(malha 8x10) ou similar</v>
          </cell>
          <cell r="C1043" t="str">
            <v xml:space="preserve"> </v>
          </cell>
          <cell r="D1043" t="str">
            <v xml:space="preserve"> </v>
          </cell>
          <cell r="E1043" t="str">
            <v>un</v>
          </cell>
          <cell r="F1043">
            <v>305.47000000000003</v>
          </cell>
          <cell r="G1043">
            <v>109.35826</v>
          </cell>
          <cell r="H1043">
            <v>414.82826</v>
          </cell>
        </row>
        <row r="1044">
          <cell r="A1044" t="str">
            <v>P 10.000.06</v>
          </cell>
          <cell r="B1044" t="str">
            <v>Aterro reforçado c/ elementos Terramesh (0,50x1,00x4,00m)(malha 8x10) ou similar</v>
          </cell>
          <cell r="C1044" t="str">
            <v xml:space="preserve"> </v>
          </cell>
          <cell r="D1044" t="str">
            <v xml:space="preserve"> </v>
          </cell>
          <cell r="E1044" t="str">
            <v>un</v>
          </cell>
          <cell r="F1044">
            <v>236.87</v>
          </cell>
          <cell r="G1044">
            <v>84.799459999999996</v>
          </cell>
          <cell r="H1044">
            <v>321.66946000000002</v>
          </cell>
        </row>
        <row r="1045">
          <cell r="A1045" t="str">
            <v>P 10.000.07</v>
          </cell>
          <cell r="B1045" t="str">
            <v>Geogrelha Paralink 400m ou similar</v>
          </cell>
          <cell r="C1045" t="str">
            <v xml:space="preserve"> </v>
          </cell>
          <cell r="D1045" t="str">
            <v xml:space="preserve"> </v>
          </cell>
          <cell r="E1045" t="str">
            <v>m2</v>
          </cell>
          <cell r="F1045">
            <v>38.36</v>
          </cell>
          <cell r="G1045">
            <v>13.73288</v>
          </cell>
          <cell r="H1045">
            <v>52.092880000000001</v>
          </cell>
        </row>
        <row r="1046">
          <cell r="A1046" t="str">
            <v>P 10.000.08</v>
          </cell>
          <cell r="B1046" t="str">
            <v>Geogrelha Paralink 800m ou similar</v>
          </cell>
          <cell r="C1046" t="str">
            <v xml:space="preserve"> </v>
          </cell>
          <cell r="D1046" t="str">
            <v xml:space="preserve"> </v>
          </cell>
          <cell r="E1046" t="str">
            <v>m2</v>
          </cell>
          <cell r="F1046">
            <v>67.599999999999994</v>
          </cell>
          <cell r="G1046">
            <v>24.200799999999997</v>
          </cell>
          <cell r="H1046">
            <v>91.800799999999995</v>
          </cell>
        </row>
        <row r="1048">
          <cell r="A1048">
            <v>7</v>
          </cell>
          <cell r="B1048" t="str">
            <v>OBRAS DE SINALIZAÇÃO - RODOVIAS EM OPERAÇÃO</v>
          </cell>
        </row>
        <row r="1049">
          <cell r="A1049" t="str">
            <v>06.000.01</v>
          </cell>
          <cell r="B1049" t="str">
            <v>Defensa maleável simples (forn / impl)</v>
          </cell>
          <cell r="C1049" t="str">
            <v xml:space="preserve"> </v>
          </cell>
          <cell r="D1049" t="str">
            <v xml:space="preserve"> </v>
          </cell>
          <cell r="E1049" t="str">
            <v>m</v>
          </cell>
          <cell r="G1049">
            <v>0</v>
          </cell>
          <cell r="H1049">
            <v>0</v>
          </cell>
        </row>
        <row r="1050">
          <cell r="A1050" t="str">
            <v>06.000.02</v>
          </cell>
          <cell r="B1050" t="str">
            <v>Ancoragem de defensa maleável simples (forn / impl)</v>
          </cell>
          <cell r="C1050" t="str">
            <v xml:space="preserve"> </v>
          </cell>
          <cell r="D1050" t="str">
            <v xml:space="preserve"> </v>
          </cell>
          <cell r="E1050" t="str">
            <v>m</v>
          </cell>
          <cell r="G1050">
            <v>0</v>
          </cell>
          <cell r="H1050">
            <v>0</v>
          </cell>
        </row>
        <row r="1051">
          <cell r="A1051" t="str">
            <v>06.000.11</v>
          </cell>
          <cell r="B1051" t="str">
            <v>Defensa maleável dupla (forn / impl)</v>
          </cell>
          <cell r="C1051" t="str">
            <v xml:space="preserve"> </v>
          </cell>
          <cell r="D1051" t="str">
            <v xml:space="preserve"> </v>
          </cell>
          <cell r="E1051" t="str">
            <v>m</v>
          </cell>
          <cell r="F1051">
            <v>103.69</v>
          </cell>
          <cell r="G1051">
            <v>37.121019999999994</v>
          </cell>
          <cell r="H1051">
            <v>140.81101999999998</v>
          </cell>
        </row>
        <row r="1052">
          <cell r="A1052" t="str">
            <v>06.000.12</v>
          </cell>
          <cell r="B1052" t="str">
            <v>Ancoragem de defensa maleável dupla (forn / impl)</v>
          </cell>
          <cell r="C1052" t="str">
            <v xml:space="preserve"> </v>
          </cell>
          <cell r="D1052" t="str">
            <v xml:space="preserve"> </v>
          </cell>
          <cell r="E1052" t="str">
            <v>m</v>
          </cell>
          <cell r="F1052">
            <v>4.82</v>
          </cell>
          <cell r="G1052">
            <v>1.72556</v>
          </cell>
          <cell r="H1052">
            <v>6.54556</v>
          </cell>
        </row>
        <row r="1053">
          <cell r="A1053" t="str">
            <v>06.010.01</v>
          </cell>
          <cell r="B1053" t="str">
            <v>Defensa semi-maleável simples (forn / impl)</v>
          </cell>
          <cell r="C1053" t="str">
            <v xml:space="preserve"> </v>
          </cell>
          <cell r="D1053" t="str">
            <v xml:space="preserve"> </v>
          </cell>
          <cell r="E1053" t="str">
            <v>m</v>
          </cell>
          <cell r="F1053">
            <v>54.6</v>
          </cell>
          <cell r="G1053">
            <v>19.546800000000001</v>
          </cell>
          <cell r="H1053">
            <v>74.146799999999999</v>
          </cell>
        </row>
        <row r="1054">
          <cell r="A1054" t="str">
            <v>06.010.02</v>
          </cell>
          <cell r="B1054" t="str">
            <v>Ancoragem defensa semi-maleável simples (forn / impl)</v>
          </cell>
          <cell r="C1054" t="str">
            <v xml:space="preserve"> </v>
          </cell>
          <cell r="D1054" t="str">
            <v xml:space="preserve"> </v>
          </cell>
          <cell r="E1054" t="str">
            <v>m</v>
          </cell>
          <cell r="G1054">
            <v>0</v>
          </cell>
          <cell r="H1054">
            <v>0</v>
          </cell>
        </row>
        <row r="1055">
          <cell r="A1055" t="str">
            <v>06.010.11</v>
          </cell>
          <cell r="B1055" t="str">
            <v>Defensa semi-maleável dupla (forn / impl)</v>
          </cell>
          <cell r="C1055" t="str">
            <v xml:space="preserve"> </v>
          </cell>
          <cell r="D1055" t="str">
            <v xml:space="preserve"> </v>
          </cell>
          <cell r="E1055" t="str">
            <v>m</v>
          </cell>
          <cell r="F1055">
            <v>92.47</v>
          </cell>
          <cell r="G1055">
            <v>33.104259999999996</v>
          </cell>
          <cell r="H1055">
            <v>125.57426</v>
          </cell>
        </row>
        <row r="1056">
          <cell r="A1056" t="str">
            <v>06.010.12</v>
          </cell>
          <cell r="B1056" t="str">
            <v>Ancoragem defensa semi-maleável dupla (forn / impl)</v>
          </cell>
          <cell r="C1056" t="str">
            <v xml:space="preserve"> </v>
          </cell>
          <cell r="D1056" t="str">
            <v xml:space="preserve"> </v>
          </cell>
          <cell r="E1056" t="str">
            <v>m</v>
          </cell>
          <cell r="G1056">
            <v>0</v>
          </cell>
          <cell r="H1056">
            <v>0</v>
          </cell>
        </row>
        <row r="1057">
          <cell r="A1057" t="str">
            <v>06.030.01</v>
          </cell>
          <cell r="B1057" t="str">
            <v>Barreira de segurança dupla - DNER PRO 176/86</v>
          </cell>
          <cell r="C1057" t="str">
            <v xml:space="preserve"> </v>
          </cell>
          <cell r="D1057" t="str">
            <v xml:space="preserve"> </v>
          </cell>
          <cell r="E1057" t="str">
            <v>m</v>
          </cell>
          <cell r="F1057">
            <v>58.53</v>
          </cell>
          <cell r="G1057">
            <v>20.95374</v>
          </cell>
          <cell r="H1057">
            <v>79.483739999999997</v>
          </cell>
        </row>
        <row r="1058">
          <cell r="A1058" t="str">
            <v>06.100.11</v>
          </cell>
          <cell r="B1058" t="str">
            <v>Pintura de faixa - tinta alquidica - 1 ano</v>
          </cell>
          <cell r="C1058" t="str">
            <v xml:space="preserve"> </v>
          </cell>
          <cell r="D1058" t="str">
            <v xml:space="preserve"> </v>
          </cell>
          <cell r="E1058" t="str">
            <v>m2</v>
          </cell>
          <cell r="F1058">
            <v>2.97</v>
          </cell>
          <cell r="G1058">
            <v>1.0632600000000001</v>
          </cell>
          <cell r="H1058">
            <v>4.0332600000000003</v>
          </cell>
        </row>
        <row r="1059">
          <cell r="A1059" t="str">
            <v>06.100.12</v>
          </cell>
          <cell r="B1059" t="str">
            <v>Pintura setas e zebrado - tinta alquidica - 1 ano</v>
          </cell>
          <cell r="C1059" t="str">
            <v xml:space="preserve"> </v>
          </cell>
          <cell r="D1059" t="str">
            <v xml:space="preserve"> </v>
          </cell>
          <cell r="E1059" t="str">
            <v>m2</v>
          </cell>
          <cell r="F1059">
            <v>4.82</v>
          </cell>
          <cell r="G1059">
            <v>1.72556</v>
          </cell>
          <cell r="H1059">
            <v>6.54556</v>
          </cell>
        </row>
        <row r="1060">
          <cell r="A1060" t="str">
            <v>06.100.21</v>
          </cell>
          <cell r="B1060" t="str">
            <v>Pintura de faixa - tinta acrílica - 2 anos</v>
          </cell>
          <cell r="C1060" t="str">
            <v xml:space="preserve"> </v>
          </cell>
          <cell r="D1060" t="str">
            <v xml:space="preserve"> </v>
          </cell>
          <cell r="E1060" t="str">
            <v>m2</v>
          </cell>
          <cell r="F1060">
            <v>5.21</v>
          </cell>
          <cell r="G1060">
            <v>1.8651799999999998</v>
          </cell>
          <cell r="H1060">
            <v>7.0751799999999996</v>
          </cell>
        </row>
        <row r="1061">
          <cell r="A1061" t="str">
            <v>06.100.22</v>
          </cell>
          <cell r="B1061" t="str">
            <v>Pintura setas e zebrado- tinta acrílica - 2 anos</v>
          </cell>
          <cell r="C1061" t="str">
            <v xml:space="preserve"> </v>
          </cell>
          <cell r="D1061" t="str">
            <v xml:space="preserve"> </v>
          </cell>
          <cell r="E1061" t="str">
            <v>m2</v>
          </cell>
          <cell r="F1061">
            <v>6.97</v>
          </cell>
          <cell r="G1061">
            <v>2.4952599999999996</v>
          </cell>
          <cell r="H1061">
            <v>9.4652599999999989</v>
          </cell>
        </row>
        <row r="1062">
          <cell r="A1062" t="str">
            <v>06.110.01</v>
          </cell>
          <cell r="B1062" t="str">
            <v>Pint. faixa c/ termoplástico - 3 anos</v>
          </cell>
          <cell r="C1062" t="str">
            <v xml:space="preserve"> </v>
          </cell>
          <cell r="D1062" t="str">
            <v xml:space="preserve"> </v>
          </cell>
          <cell r="E1062" t="str">
            <v>m2</v>
          </cell>
          <cell r="F1062">
            <v>20.059999999999999</v>
          </cell>
          <cell r="G1062">
            <v>7.1814799999999996</v>
          </cell>
          <cell r="H1062">
            <v>27.241479999999999</v>
          </cell>
        </row>
        <row r="1063">
          <cell r="A1063" t="str">
            <v>06.110.02</v>
          </cell>
          <cell r="B1063" t="str">
            <v>Pint. setas e zebrados - termopl. - 3 anos</v>
          </cell>
          <cell r="C1063" t="str">
            <v xml:space="preserve"> </v>
          </cell>
          <cell r="D1063" t="str">
            <v xml:space="preserve"> </v>
          </cell>
          <cell r="E1063" t="str">
            <v>m2</v>
          </cell>
          <cell r="F1063">
            <v>23.21</v>
          </cell>
          <cell r="G1063">
            <v>8.3091799999999996</v>
          </cell>
          <cell r="H1063">
            <v>31.519179999999999</v>
          </cell>
        </row>
        <row r="1064">
          <cell r="A1064" t="str">
            <v>06.120.01</v>
          </cell>
          <cell r="B1064" t="str">
            <v>Tacha refletiva monodirecional (forn/coloc)</v>
          </cell>
          <cell r="C1064" t="str">
            <v xml:space="preserve"> </v>
          </cell>
          <cell r="D1064" t="str">
            <v xml:space="preserve"> </v>
          </cell>
          <cell r="E1064" t="str">
            <v>und</v>
          </cell>
          <cell r="F1064">
            <v>6.9</v>
          </cell>
          <cell r="G1064">
            <v>2.4702000000000002</v>
          </cell>
          <cell r="H1064">
            <v>9.3702000000000005</v>
          </cell>
        </row>
        <row r="1065">
          <cell r="A1065" t="str">
            <v>06.120.11</v>
          </cell>
          <cell r="B1065" t="str">
            <v>Tachão refletivo monodirecional (forn/coloc)</v>
          </cell>
          <cell r="C1065" t="str">
            <v xml:space="preserve"> </v>
          </cell>
          <cell r="D1065" t="str">
            <v xml:space="preserve"> </v>
          </cell>
          <cell r="E1065" t="str">
            <v>und</v>
          </cell>
          <cell r="F1065">
            <v>19.07</v>
          </cell>
          <cell r="G1065">
            <v>6.8270599999999995</v>
          </cell>
          <cell r="H1065">
            <v>25.89706</v>
          </cell>
        </row>
        <row r="1066">
          <cell r="A1066" t="str">
            <v>06.121.01</v>
          </cell>
          <cell r="B1066" t="str">
            <v>Tacha refletiva bidirecional (forn/coloc)</v>
          </cell>
          <cell r="C1066" t="str">
            <v xml:space="preserve"> </v>
          </cell>
          <cell r="D1066" t="str">
            <v xml:space="preserve"> </v>
          </cell>
          <cell r="E1066" t="str">
            <v>und</v>
          </cell>
          <cell r="F1066">
            <v>7.71</v>
          </cell>
          <cell r="G1066">
            <v>2.7601800000000001</v>
          </cell>
          <cell r="H1066">
            <v>10.470179999999999</v>
          </cell>
        </row>
        <row r="1067">
          <cell r="A1067" t="str">
            <v>06.121.11</v>
          </cell>
          <cell r="B1067" t="str">
            <v>Tachão refletivo bidirecional (forn/coloc)</v>
          </cell>
          <cell r="C1067" t="str">
            <v xml:space="preserve"> </v>
          </cell>
          <cell r="D1067" t="str">
            <v xml:space="preserve"> </v>
          </cell>
          <cell r="E1067" t="str">
            <v>und</v>
          </cell>
          <cell r="F1067">
            <v>22.92</v>
          </cell>
          <cell r="G1067">
            <v>8.2053600000000007</v>
          </cell>
          <cell r="H1067">
            <v>31.125360000000001</v>
          </cell>
        </row>
        <row r="1068">
          <cell r="A1068" t="str">
            <v>06.200.01</v>
          </cell>
          <cell r="B1068" t="str">
            <v>Placa de sinalização semi-refletiva (forn/impl)</v>
          </cell>
          <cell r="C1068" t="str">
            <v xml:space="preserve"> </v>
          </cell>
          <cell r="D1068" t="str">
            <v xml:space="preserve"> </v>
          </cell>
          <cell r="E1068" t="str">
            <v>m2</v>
          </cell>
          <cell r="F1068">
            <v>97.99</v>
          </cell>
          <cell r="G1068">
            <v>35.080419999999997</v>
          </cell>
          <cell r="H1068">
            <v>133.07041999999998</v>
          </cell>
        </row>
        <row r="1069">
          <cell r="A1069" t="str">
            <v>06.200.02</v>
          </cell>
          <cell r="B1069" t="str">
            <v>Placa de sinalização tot. refletiva (forn/impl)</v>
          </cell>
          <cell r="C1069" t="str">
            <v xml:space="preserve"> </v>
          </cell>
          <cell r="D1069" t="str">
            <v xml:space="preserve"> </v>
          </cell>
          <cell r="E1069" t="str">
            <v>m2</v>
          </cell>
          <cell r="F1069">
            <v>156.05000000000001</v>
          </cell>
          <cell r="G1069">
            <v>55.865900000000003</v>
          </cell>
          <cell r="H1069">
            <v>211.91590000000002</v>
          </cell>
        </row>
        <row r="1070">
          <cell r="A1070" t="str">
            <v>06.200.91</v>
          </cell>
          <cell r="B1070" t="str">
            <v>Remoção de placa de sinalização</v>
          </cell>
          <cell r="C1070" t="str">
            <v xml:space="preserve"> </v>
          </cell>
          <cell r="D1070" t="str">
            <v xml:space="preserve"> </v>
          </cell>
          <cell r="E1070" t="str">
            <v>m2</v>
          </cell>
          <cell r="F1070">
            <v>4.87</v>
          </cell>
          <cell r="G1070">
            <v>1.74346</v>
          </cell>
          <cell r="H1070">
            <v>6.6134599999999999</v>
          </cell>
        </row>
        <row r="1071">
          <cell r="A1071" t="str">
            <v>06.200.92</v>
          </cell>
          <cell r="B1071" t="str">
            <v>Recuperação de chapa p/ placa de sinalização</v>
          </cell>
          <cell r="C1071" t="str">
            <v xml:space="preserve"> </v>
          </cell>
          <cell r="D1071" t="str">
            <v xml:space="preserve"> </v>
          </cell>
          <cell r="E1071" t="str">
            <v>m2</v>
          </cell>
          <cell r="G1071">
            <v>0</v>
          </cell>
          <cell r="H1071">
            <v>0</v>
          </cell>
        </row>
        <row r="1072">
          <cell r="A1072" t="str">
            <v>06.202.01</v>
          </cell>
          <cell r="B1072" t="str">
            <v>Confecção de placa de sinalização semi-refletiva</v>
          </cell>
          <cell r="C1072" t="str">
            <v xml:space="preserve"> </v>
          </cell>
          <cell r="D1072" t="str">
            <v xml:space="preserve"> </v>
          </cell>
          <cell r="E1072" t="str">
            <v>m2</v>
          </cell>
          <cell r="F1072">
            <v>72.510000000000005</v>
          </cell>
          <cell r="G1072">
            <v>25.958580000000001</v>
          </cell>
          <cell r="H1072">
            <v>98.468580000000003</v>
          </cell>
        </row>
        <row r="1073">
          <cell r="A1073" t="str">
            <v>06.202.11</v>
          </cell>
          <cell r="B1073" t="str">
            <v>Confecção de placa de sinalização tot. refletiva</v>
          </cell>
          <cell r="C1073" t="str">
            <v xml:space="preserve"> </v>
          </cell>
          <cell r="D1073" t="str">
            <v xml:space="preserve"> </v>
          </cell>
          <cell r="E1073" t="str">
            <v>m2</v>
          </cell>
          <cell r="F1073">
            <v>130.57</v>
          </cell>
          <cell r="G1073">
            <v>46.744059999999998</v>
          </cell>
          <cell r="H1073">
            <v>177.31405999999998</v>
          </cell>
        </row>
        <row r="1074">
          <cell r="A1074" t="str">
            <v>06.202.21</v>
          </cell>
          <cell r="B1074" t="str">
            <v>Conf. placa sinal. semi-refletiva - chapa recuperada</v>
          </cell>
          <cell r="C1074" t="str">
            <v xml:space="preserve"> </v>
          </cell>
          <cell r="D1074" t="str">
            <v xml:space="preserve"> </v>
          </cell>
          <cell r="E1074" t="str">
            <v>m2</v>
          </cell>
          <cell r="F1074">
            <v>46.13</v>
          </cell>
          <cell r="G1074">
            <v>16.51454</v>
          </cell>
          <cell r="H1074">
            <v>62.644540000000006</v>
          </cell>
        </row>
        <row r="1075">
          <cell r="A1075" t="str">
            <v>06.202.31</v>
          </cell>
          <cell r="B1075" t="str">
            <v>Conf. placa sinal. tot. refletiva  - chapa recuperada</v>
          </cell>
          <cell r="C1075" t="str">
            <v xml:space="preserve"> </v>
          </cell>
          <cell r="D1075" t="str">
            <v xml:space="preserve"> </v>
          </cell>
          <cell r="E1075" t="str">
            <v>m2</v>
          </cell>
          <cell r="F1075">
            <v>103.17</v>
          </cell>
          <cell r="G1075">
            <v>36.93486</v>
          </cell>
          <cell r="H1075">
            <v>140.10486</v>
          </cell>
        </row>
        <row r="1076">
          <cell r="A1076" t="str">
            <v>06.203.01</v>
          </cell>
          <cell r="B1076" t="str">
            <v>Confecção de suporte e travessa p/ placa sinalização</v>
          </cell>
          <cell r="C1076" t="str">
            <v xml:space="preserve"> </v>
          </cell>
          <cell r="D1076" t="str">
            <v xml:space="preserve"> </v>
          </cell>
          <cell r="E1076" t="str">
            <v>und</v>
          </cell>
          <cell r="F1076">
            <v>18.73</v>
          </cell>
          <cell r="G1076">
            <v>6.7053399999999996</v>
          </cell>
          <cell r="H1076">
            <v>25.43534</v>
          </cell>
        </row>
        <row r="1077">
          <cell r="A1077" t="str">
            <v>06.230.01</v>
          </cell>
          <cell r="B1077" t="str">
            <v>Balizador de concreto (forn/impl)</v>
          </cell>
          <cell r="C1077" t="str">
            <v xml:space="preserve"> </v>
          </cell>
          <cell r="D1077" t="str">
            <v xml:space="preserve"> </v>
          </cell>
          <cell r="E1077" t="str">
            <v>und</v>
          </cell>
          <cell r="F1077">
            <v>7.63</v>
          </cell>
          <cell r="G1077">
            <v>2.7315399999999999</v>
          </cell>
          <cell r="H1077">
            <v>10.36154</v>
          </cell>
        </row>
        <row r="1078">
          <cell r="A1078" t="str">
            <v>06.230.11</v>
          </cell>
          <cell r="B1078" t="str">
            <v>Fabricação balizador circular de concreto D=10cm</v>
          </cell>
          <cell r="C1078" t="str">
            <v xml:space="preserve"> </v>
          </cell>
          <cell r="D1078" t="str">
            <v xml:space="preserve"> </v>
          </cell>
          <cell r="E1078" t="str">
            <v>und</v>
          </cell>
          <cell r="G1078">
            <v>0</v>
          </cell>
          <cell r="H1078">
            <v>0</v>
          </cell>
        </row>
        <row r="1079">
          <cell r="A1079" t="str">
            <v>09.002.00</v>
          </cell>
          <cell r="B1079" t="str">
            <v>Transporte em caminhão basculante de 5 m3 (8,8T )</v>
          </cell>
          <cell r="C1079" t="str">
            <v xml:space="preserve"> </v>
          </cell>
          <cell r="D1079" t="str">
            <v xml:space="preserve"> </v>
          </cell>
          <cell r="E1079" t="str">
            <v>TKm</v>
          </cell>
          <cell r="F1079">
            <v>0.13</v>
          </cell>
          <cell r="G1079">
            <v>4.6539999999999998E-2</v>
          </cell>
          <cell r="H1079">
            <v>0.17654</v>
          </cell>
        </row>
        <row r="1080">
          <cell r="A1080" t="str">
            <v>09.002.01</v>
          </cell>
          <cell r="B1080" t="str">
            <v>Transporte em caminhão de carroceria de 4T</v>
          </cell>
          <cell r="C1080" t="str">
            <v xml:space="preserve"> </v>
          </cell>
          <cell r="D1080" t="str">
            <v xml:space="preserve"> </v>
          </cell>
          <cell r="E1080" t="str">
            <v>TKm</v>
          </cell>
          <cell r="F1080">
            <v>0.28000000000000003</v>
          </cell>
          <cell r="G1080">
            <v>0.10024000000000001</v>
          </cell>
          <cell r="H1080">
            <v>0.38024000000000002</v>
          </cell>
        </row>
        <row r="1081">
          <cell r="A1081" t="str">
            <v>09.202.00</v>
          </cell>
          <cell r="B1081" t="str">
            <v>Transporte de água</v>
          </cell>
          <cell r="C1081" t="str">
            <v xml:space="preserve"> </v>
          </cell>
          <cell r="D1081" t="str">
            <v xml:space="preserve"> </v>
          </cell>
          <cell r="E1081" t="str">
            <v>m3</v>
          </cell>
          <cell r="F1081">
            <v>0.33</v>
          </cell>
          <cell r="G1081">
            <v>0.11814</v>
          </cell>
          <cell r="H1081">
            <v>0.44813999999999998</v>
          </cell>
        </row>
      </sheetData>
      <sheetData sheetId="1"/>
      <sheetData sheetId="2"/>
      <sheetData sheetId="3"/>
      <sheetData sheetId="4" refreshError="1"/>
      <sheetData sheetId="5"/>
      <sheetData sheetId="6"/>
      <sheetData sheetId="7">
        <row r="14">
          <cell r="A14" t="str">
            <v>01.000.00</v>
          </cell>
          <cell r="B14" t="str">
            <v>Desmatamento,destocamento e limpeza de área com árvore até 0,15m</v>
          </cell>
          <cell r="C14" t="str">
            <v>DNER-ES278/97</v>
          </cell>
          <cell r="D14" t="str">
            <v xml:space="preserve"> </v>
          </cell>
          <cell r="E14" t="str">
            <v>m2</v>
          </cell>
          <cell r="F14">
            <v>801280</v>
          </cell>
          <cell r="G14">
            <v>7.0000000000000007E-2</v>
          </cell>
        </row>
        <row r="15">
          <cell r="A15" t="str">
            <v>01.010.00</v>
          </cell>
          <cell r="B15" t="str">
            <v>Desmatamento e destocamento árvores de 0,15m a 0,30m</v>
          </cell>
          <cell r="C15" t="str">
            <v>DNER-ES278/97</v>
          </cell>
          <cell r="D15" t="str">
            <v xml:space="preserve"> </v>
          </cell>
          <cell r="E15" t="str">
            <v>un</v>
          </cell>
          <cell r="F15">
            <v>7813</v>
          </cell>
          <cell r="G15">
            <v>8.92</v>
          </cell>
        </row>
        <row r="16">
          <cell r="A16" t="str">
            <v>01.011.00</v>
          </cell>
          <cell r="B16" t="str">
            <v>Desmatamento e destocamento árvores superior a 0,30m</v>
          </cell>
          <cell r="C16" t="str">
            <v>DNER-ES278/97</v>
          </cell>
          <cell r="D16" t="str">
            <v xml:space="preserve"> </v>
          </cell>
          <cell r="E16" t="str">
            <v>un</v>
          </cell>
          <cell r="F16">
            <v>2100</v>
          </cell>
          <cell r="G16">
            <v>26.75</v>
          </cell>
        </row>
        <row r="17">
          <cell r="A17" t="str">
            <v>01.100.01</v>
          </cell>
          <cell r="B17" t="str">
            <v>Escavação,carga e transportes de material de 1a  categoria DMT &lt;= 50m</v>
          </cell>
          <cell r="C17" t="str">
            <v>DNER-ES280/97</v>
          </cell>
          <cell r="D17" t="str">
            <v xml:space="preserve"> </v>
          </cell>
          <cell r="E17" t="str">
            <v>m3</v>
          </cell>
          <cell r="F17">
            <v>1000</v>
          </cell>
          <cell r="G17">
            <v>0.62</v>
          </cell>
        </row>
        <row r="18">
          <cell r="A18" t="str">
            <v>01.100.09</v>
          </cell>
          <cell r="B18" t="str">
            <v>Escavação,carga e transportes de material de 1a categoria DMT= 50 a 200m</v>
          </cell>
          <cell r="C18" t="str">
            <v>DNER-ES280/97</v>
          </cell>
          <cell r="D18" t="str">
            <v xml:space="preserve"> </v>
          </cell>
          <cell r="E18" t="str">
            <v>m3</v>
          </cell>
          <cell r="F18">
            <v>56170</v>
          </cell>
          <cell r="G18">
            <v>1.89</v>
          </cell>
        </row>
        <row r="19">
          <cell r="A19" t="str">
            <v>01.100.10</v>
          </cell>
          <cell r="B19" t="str">
            <v>Escavação,carga e transportes de material de 1a categoria DMT= 200 a 400m</v>
          </cell>
          <cell r="C19" t="str">
            <v>DNER-ES280/97</v>
          </cell>
          <cell r="D19" t="str">
            <v xml:space="preserve"> </v>
          </cell>
          <cell r="E19" t="str">
            <v>m3</v>
          </cell>
          <cell r="F19">
            <v>20948</v>
          </cell>
          <cell r="G19">
            <v>1.98</v>
          </cell>
        </row>
        <row r="20">
          <cell r="A20" t="str">
            <v>01.100.11</v>
          </cell>
          <cell r="B20" t="str">
            <v>Escavação,carga e transportes de material de 1a categoria DMT= 400 a 600m</v>
          </cell>
          <cell r="C20" t="str">
            <v>DNER-ES280/97</v>
          </cell>
          <cell r="D20" t="str">
            <v xml:space="preserve"> </v>
          </cell>
          <cell r="E20" t="str">
            <v>m3</v>
          </cell>
          <cell r="F20">
            <v>5757</v>
          </cell>
          <cell r="G20">
            <v>2.12</v>
          </cell>
        </row>
        <row r="21">
          <cell r="A21" t="str">
            <v>01.100.12</v>
          </cell>
          <cell r="B21" t="str">
            <v>Escavação,carga e transportes de material de 1a categoria DMT= 600 a 800m</v>
          </cell>
          <cell r="C21" t="str">
            <v>DNER-ES280/97</v>
          </cell>
          <cell r="D21" t="str">
            <v xml:space="preserve"> </v>
          </cell>
          <cell r="E21" t="str">
            <v>m3</v>
          </cell>
          <cell r="F21">
            <v>40210</v>
          </cell>
          <cell r="G21">
            <v>2.19</v>
          </cell>
        </row>
        <row r="22">
          <cell r="A22" t="str">
            <v>01.100.13</v>
          </cell>
          <cell r="B22" t="str">
            <v>Escavação,carga e transportes de material de 1a categoria DMT= 800 a 1000m</v>
          </cell>
          <cell r="C22" t="str">
            <v>DNER-ES280/97</v>
          </cell>
          <cell r="D22" t="str">
            <v xml:space="preserve"> </v>
          </cell>
          <cell r="E22" t="str">
            <v>m3</v>
          </cell>
          <cell r="F22">
            <v>12107</v>
          </cell>
          <cell r="G22">
            <v>2.36</v>
          </cell>
        </row>
        <row r="23">
          <cell r="A23" t="str">
            <v>01.100.14</v>
          </cell>
          <cell r="B23" t="str">
            <v>Escavação,carga e transportes de material de 1a categoria DMT= 1000 a 1200m</v>
          </cell>
          <cell r="C23" t="str">
            <v>DNER-ES280/97</v>
          </cell>
          <cell r="D23" t="str">
            <v xml:space="preserve"> </v>
          </cell>
          <cell r="E23" t="str">
            <v>m3</v>
          </cell>
          <cell r="F23">
            <v>60453</v>
          </cell>
          <cell r="G23">
            <v>2.4</v>
          </cell>
        </row>
        <row r="24">
          <cell r="A24" t="str">
            <v>01.100.15</v>
          </cell>
          <cell r="B24" t="str">
            <v>Escavação,carga e transportes de material de 1a categoria DMT= 1200 a 1400m</v>
          </cell>
          <cell r="C24" t="str">
            <v>DNER-ES280/97</v>
          </cell>
          <cell r="D24" t="str">
            <v xml:space="preserve"> </v>
          </cell>
          <cell r="E24" t="str">
            <v>m3</v>
          </cell>
          <cell r="F24">
            <v>1000</v>
          </cell>
          <cell r="G24">
            <v>2.62</v>
          </cell>
        </row>
        <row r="25">
          <cell r="A25" t="str">
            <v>01.100.16</v>
          </cell>
          <cell r="B25" t="str">
            <v>Escavação,carga e transportes de material de 1a  categoria DMT 1400 a 1600m</v>
          </cell>
          <cell r="C25" t="str">
            <v>DNER-ES280/97</v>
          </cell>
          <cell r="D25" t="str">
            <v xml:space="preserve"> </v>
          </cell>
          <cell r="E25" t="str">
            <v>m3</v>
          </cell>
          <cell r="F25">
            <v>1000</v>
          </cell>
          <cell r="G25">
            <v>2.73</v>
          </cell>
        </row>
        <row r="26">
          <cell r="A26" t="str">
            <v>01.100.17</v>
          </cell>
          <cell r="B26" t="str">
            <v>Escavação,carga e transportes de material de 1a categoria DMT= 1600 a 1800m</v>
          </cell>
          <cell r="C26" t="str">
            <v>DNER-ES280/97</v>
          </cell>
          <cell r="D26" t="str">
            <v xml:space="preserve"> </v>
          </cell>
          <cell r="E26" t="str">
            <v>m3</v>
          </cell>
          <cell r="F26">
            <v>1000</v>
          </cell>
          <cell r="G26">
            <v>2.84</v>
          </cell>
        </row>
        <row r="27">
          <cell r="A27" t="str">
            <v>01.100.18</v>
          </cell>
          <cell r="B27" t="str">
            <v>Escavação,carga e transportes de material de 1a categoria DMT= 1800 a 2000m</v>
          </cell>
          <cell r="C27" t="str">
            <v>DNER-ES280/97</v>
          </cell>
          <cell r="D27" t="str">
            <v xml:space="preserve"> </v>
          </cell>
          <cell r="E27" t="str">
            <v>m3</v>
          </cell>
          <cell r="F27">
            <v>1000</v>
          </cell>
          <cell r="G27">
            <v>2.92</v>
          </cell>
        </row>
        <row r="28">
          <cell r="A28" t="str">
            <v>01.100.19</v>
          </cell>
          <cell r="B28" t="str">
            <v>Escavação,carga e transportes de material de 1a categoria DMT= 2000 a 3000m</v>
          </cell>
          <cell r="C28" t="str">
            <v>DNER-ES280/97</v>
          </cell>
          <cell r="D28" t="str">
            <v xml:space="preserve"> </v>
          </cell>
          <cell r="E28" t="str">
            <v>m3</v>
          </cell>
          <cell r="F28">
            <v>53491</v>
          </cell>
          <cell r="G28">
            <v>3.26</v>
          </cell>
        </row>
        <row r="29">
          <cell r="A29" t="str">
            <v>DER50255</v>
          </cell>
          <cell r="B29" t="str">
            <v>Esc.  Carga e Transp. de mat. 1a cat. c/ CB 3000&lt;DMT&lt;4000m</v>
          </cell>
          <cell r="C29" t="str">
            <v xml:space="preserve"> </v>
          </cell>
          <cell r="D29" t="str">
            <v xml:space="preserve"> </v>
          </cell>
          <cell r="E29" t="str">
            <v>m3</v>
          </cell>
          <cell r="F29">
            <v>323342</v>
          </cell>
          <cell r="G29">
            <v>3.3</v>
          </cell>
        </row>
        <row r="30">
          <cell r="A30" t="str">
            <v>DER50265</v>
          </cell>
          <cell r="B30" t="str">
            <v>Esc.  Carga e Transp. de mat. 1a cat. c/ CB 4000&lt;DMT&lt;5000m</v>
          </cell>
          <cell r="C30" t="str">
            <v xml:space="preserve"> </v>
          </cell>
          <cell r="D30" t="str">
            <v xml:space="preserve"> </v>
          </cell>
          <cell r="E30" t="str">
            <v>m3</v>
          </cell>
          <cell r="F30">
            <v>236048</v>
          </cell>
          <cell r="G30">
            <v>3.76</v>
          </cell>
        </row>
        <row r="31">
          <cell r="A31" t="str">
            <v>DER50260</v>
          </cell>
          <cell r="B31" t="str">
            <v>Esc.  Carga e Transp. de mat. 1a cat. c/ CB 5000&lt;DMT&lt;6000m</v>
          </cell>
          <cell r="C31" t="str">
            <v xml:space="preserve"> </v>
          </cell>
          <cell r="D31" t="str">
            <v xml:space="preserve"> </v>
          </cell>
          <cell r="E31" t="str">
            <v>m3</v>
          </cell>
          <cell r="F31">
            <v>52752</v>
          </cell>
          <cell r="G31">
            <v>4.29</v>
          </cell>
        </row>
        <row r="32">
          <cell r="A32" t="str">
            <v>DER50270</v>
          </cell>
          <cell r="B32" t="str">
            <v>Esc.  Carga e Transp. de mat. 1a cat. c/ CB 6000&lt;DMT&lt;7000m</v>
          </cell>
          <cell r="C32" t="str">
            <v xml:space="preserve"> </v>
          </cell>
          <cell r="D32" t="str">
            <v xml:space="preserve"> </v>
          </cell>
          <cell r="E32" t="str">
            <v>m3</v>
          </cell>
          <cell r="F32">
            <v>247920</v>
          </cell>
          <cell r="G32">
            <v>4.79</v>
          </cell>
        </row>
        <row r="33">
          <cell r="A33" t="str">
            <v>DER50280</v>
          </cell>
          <cell r="B33" t="str">
            <v>Esc.  Carga e Transp. de mat. 1a cat. c/ CB 7000&lt;DMT&lt;8000m</v>
          </cell>
          <cell r="C33" t="str">
            <v xml:space="preserve"> </v>
          </cell>
          <cell r="D33" t="str">
            <v xml:space="preserve"> </v>
          </cell>
          <cell r="E33" t="str">
            <v>m3</v>
          </cell>
          <cell r="F33">
            <v>235005</v>
          </cell>
          <cell r="G33">
            <v>5.27</v>
          </cell>
        </row>
        <row r="34">
          <cell r="A34" t="str">
            <v>DER50290</v>
          </cell>
          <cell r="B34" t="str">
            <v>Esc.  Carga e Transp. de mat. 1a cat. c/ CB 8000&lt;DMT&lt;9000m</v>
          </cell>
          <cell r="C34" t="str">
            <v xml:space="preserve"> </v>
          </cell>
          <cell r="D34" t="str">
            <v xml:space="preserve"> </v>
          </cell>
          <cell r="E34" t="str">
            <v>m3</v>
          </cell>
          <cell r="F34">
            <v>188851</v>
          </cell>
          <cell r="G34">
            <v>5.79</v>
          </cell>
        </row>
        <row r="35">
          <cell r="A35" t="str">
            <v>DER50300</v>
          </cell>
          <cell r="B35" t="str">
            <v>Esc.  Carga e Transp. de mat. 1a cat. c/ CB 9000&lt;DMT&lt;10000m</v>
          </cell>
          <cell r="C35" t="str">
            <v xml:space="preserve"> </v>
          </cell>
          <cell r="D35" t="str">
            <v xml:space="preserve"> </v>
          </cell>
          <cell r="E35" t="str">
            <v>m3</v>
          </cell>
          <cell r="F35">
            <v>90081</v>
          </cell>
          <cell r="G35">
            <v>6.3</v>
          </cell>
        </row>
        <row r="36">
          <cell r="A36" t="str">
            <v>DER50305</v>
          </cell>
          <cell r="B36" t="str">
            <v>Esc.  Carga e Transp. de mat. 1a cat. c/ CB 10000&lt;DMT&lt;12000m</v>
          </cell>
          <cell r="C36" t="str">
            <v xml:space="preserve"> </v>
          </cell>
          <cell r="D36" t="str">
            <v xml:space="preserve"> </v>
          </cell>
          <cell r="E36" t="str">
            <v>m3</v>
          </cell>
          <cell r="F36">
            <v>1000</v>
          </cell>
          <cell r="G36">
            <v>7.05</v>
          </cell>
        </row>
        <row r="37">
          <cell r="A37" t="str">
            <v>DER50315</v>
          </cell>
          <cell r="B37" t="str">
            <v>Esc.  Carga e Transp. de mat. 1a cat. c/ CB 12000&lt;DMT&lt;14000m</v>
          </cell>
          <cell r="C37" t="str">
            <v xml:space="preserve"> </v>
          </cell>
          <cell r="D37" t="str">
            <v xml:space="preserve"> </v>
          </cell>
          <cell r="E37" t="str">
            <v>m3</v>
          </cell>
          <cell r="F37">
            <v>99667</v>
          </cell>
          <cell r="G37">
            <v>8.0299999999999994</v>
          </cell>
        </row>
        <row r="38">
          <cell r="A38" t="str">
            <v>DER50325</v>
          </cell>
          <cell r="B38" t="str">
            <v>Esc.  Carga e Transp. de mat. 1a cat. c/ CB 14000&lt;DMT&lt;16000m</v>
          </cell>
          <cell r="C38" t="str">
            <v xml:space="preserve"> </v>
          </cell>
          <cell r="D38" t="str">
            <v xml:space="preserve"> </v>
          </cell>
          <cell r="E38" t="str">
            <v>m3</v>
          </cell>
          <cell r="F38">
            <v>1000</v>
          </cell>
          <cell r="G38">
            <v>9</v>
          </cell>
        </row>
        <row r="39">
          <cell r="A39" t="str">
            <v>DER50335</v>
          </cell>
          <cell r="B39" t="str">
            <v>Esc.  Carga e Transp. de mat. 1a cat. c/ CB 16000&lt;DMT&lt;18000m</v>
          </cell>
          <cell r="C39" t="str">
            <v xml:space="preserve"> </v>
          </cell>
          <cell r="D39" t="str">
            <v xml:space="preserve"> </v>
          </cell>
          <cell r="E39" t="str">
            <v>m3</v>
          </cell>
          <cell r="F39">
            <v>1000</v>
          </cell>
          <cell r="G39">
            <v>10.08</v>
          </cell>
        </row>
        <row r="40">
          <cell r="A40" t="str">
            <v>DER50345</v>
          </cell>
          <cell r="B40" t="str">
            <v>Esc.  Carga e Transp. de mat. 1a cat. c/ CB 18000&lt;DMT&lt;20000m</v>
          </cell>
          <cell r="C40" t="str">
            <v xml:space="preserve"> </v>
          </cell>
          <cell r="D40" t="str">
            <v xml:space="preserve"> </v>
          </cell>
          <cell r="E40" t="str">
            <v>m3</v>
          </cell>
          <cell r="F40">
            <v>17045</v>
          </cell>
          <cell r="G40">
            <v>11.07</v>
          </cell>
        </row>
        <row r="41">
          <cell r="A41" t="str">
            <v>DER50355</v>
          </cell>
          <cell r="B41" t="str">
            <v>Esc.  Carga e Transp. de mat. 1a cat. c/ CB 20000&lt;DMT&lt;22000m</v>
          </cell>
          <cell r="C41" t="str">
            <v xml:space="preserve"> </v>
          </cell>
          <cell r="D41" t="str">
            <v xml:space="preserve"> </v>
          </cell>
          <cell r="E41" t="str">
            <v>m3</v>
          </cell>
          <cell r="F41">
            <v>10490</v>
          </cell>
          <cell r="G41">
            <v>12.02</v>
          </cell>
        </row>
        <row r="42">
          <cell r="A42" t="str">
            <v>DER50365</v>
          </cell>
          <cell r="B42" t="str">
            <v>Esc.  Carga e Transp. de mat. 1a cat. c/ CB 22000&lt;DMT&lt;24000m</v>
          </cell>
          <cell r="C42" t="str">
            <v xml:space="preserve"> </v>
          </cell>
          <cell r="D42" t="str">
            <v xml:space="preserve"> </v>
          </cell>
          <cell r="E42" t="str">
            <v>m3</v>
          </cell>
          <cell r="F42">
            <v>11970</v>
          </cell>
          <cell r="G42">
            <v>13.06</v>
          </cell>
        </row>
        <row r="43">
          <cell r="A43" t="str">
            <v>DER50375</v>
          </cell>
          <cell r="B43" t="str">
            <v>Esc.  Carga e Transp. de mat. 1a cat. c/ CB 24000&lt;DMT&lt;26000m</v>
          </cell>
          <cell r="C43" t="str">
            <v xml:space="preserve"> </v>
          </cell>
          <cell r="D43" t="str">
            <v xml:space="preserve"> </v>
          </cell>
          <cell r="E43" t="str">
            <v>m3</v>
          </cell>
          <cell r="F43">
            <v>22879</v>
          </cell>
          <cell r="G43">
            <v>14.08</v>
          </cell>
        </row>
        <row r="44">
          <cell r="A44" t="str">
            <v>DER50385</v>
          </cell>
          <cell r="B44" t="str">
            <v>Esc.  Carga e Transp. de mat. 1a cat. c/ CB 26000&lt;DMT&lt;28000m</v>
          </cell>
          <cell r="C44" t="str">
            <v xml:space="preserve"> </v>
          </cell>
          <cell r="D44" t="str">
            <v xml:space="preserve"> </v>
          </cell>
          <cell r="E44" t="str">
            <v>m3</v>
          </cell>
          <cell r="F44">
            <v>11616</v>
          </cell>
          <cell r="G44">
            <v>15.02</v>
          </cell>
        </row>
        <row r="45">
          <cell r="A45" t="str">
            <v>DER50395</v>
          </cell>
          <cell r="B45" t="str">
            <v>Esc.  Carga e Transp. de mat. 1a cat. c/ CB 28000&lt;DMT&lt;30000m</v>
          </cell>
          <cell r="C45" t="str">
            <v xml:space="preserve"> </v>
          </cell>
          <cell r="D45" t="str">
            <v xml:space="preserve"> </v>
          </cell>
          <cell r="E45" t="str">
            <v>m3</v>
          </cell>
          <cell r="F45">
            <v>2182</v>
          </cell>
          <cell r="G45">
            <v>16.05</v>
          </cell>
        </row>
        <row r="46">
          <cell r="A46" t="str">
            <v>01.101.01</v>
          </cell>
          <cell r="B46" t="str">
            <v>Escavação,carga e transportes de material de 2a  categoria DMT até 50m</v>
          </cell>
          <cell r="C46" t="str">
            <v>DNER-ES280/97</v>
          </cell>
          <cell r="D46" t="str">
            <v xml:space="preserve"> </v>
          </cell>
          <cell r="E46" t="str">
            <v>m3</v>
          </cell>
          <cell r="F46">
            <v>200</v>
          </cell>
          <cell r="G46">
            <v>1.28</v>
          </cell>
        </row>
        <row r="47">
          <cell r="A47" t="str">
            <v>01.101.09</v>
          </cell>
          <cell r="B47" t="str">
            <v>Escavação,carga e transportes de material de 2a categoria,c/CB, DMT 50 a 200m</v>
          </cell>
          <cell r="C47" t="str">
            <v>DNER-ES280/97</v>
          </cell>
          <cell r="D47" t="str">
            <v xml:space="preserve"> </v>
          </cell>
          <cell r="E47" t="str">
            <v>m3</v>
          </cell>
          <cell r="F47">
            <v>200</v>
          </cell>
          <cell r="G47">
            <v>2.85</v>
          </cell>
        </row>
        <row r="48">
          <cell r="A48" t="str">
            <v>01.101.10</v>
          </cell>
          <cell r="B48" t="str">
            <v>Escavação,carga e transportes de material de 2a categoria,c/CB,  DMT 200 a 400m</v>
          </cell>
          <cell r="C48" t="str">
            <v>DNER-ES280/97</v>
          </cell>
          <cell r="D48" t="str">
            <v xml:space="preserve"> </v>
          </cell>
          <cell r="E48" t="str">
            <v>m3</v>
          </cell>
          <cell r="F48">
            <v>200</v>
          </cell>
          <cell r="G48">
            <v>2.97</v>
          </cell>
        </row>
        <row r="49">
          <cell r="A49" t="str">
            <v>01.101.11</v>
          </cell>
          <cell r="B49" t="str">
            <v>Escavação,carga e transportes de material de 2a categoria,c/CB,  DMT 400 a 600m</v>
          </cell>
          <cell r="C49" t="str">
            <v>DNER-ES280/97</v>
          </cell>
          <cell r="D49" t="str">
            <v xml:space="preserve"> </v>
          </cell>
          <cell r="E49" t="str">
            <v>m3</v>
          </cell>
          <cell r="F49">
            <v>200</v>
          </cell>
          <cell r="G49">
            <v>3.15</v>
          </cell>
        </row>
        <row r="50">
          <cell r="A50" t="str">
            <v>01.101.12</v>
          </cell>
          <cell r="B50" t="str">
            <v>Escavação,carga e transportes de material de 2a categoria,c/CB,  DMT 600 a 800m</v>
          </cell>
          <cell r="C50" t="str">
            <v>DNER-ES280/97</v>
          </cell>
          <cell r="D50" t="str">
            <v xml:space="preserve"> </v>
          </cell>
          <cell r="E50" t="str">
            <v>m3</v>
          </cell>
          <cell r="F50">
            <v>200</v>
          </cell>
          <cell r="G50">
            <v>3.23</v>
          </cell>
        </row>
        <row r="51">
          <cell r="A51" t="str">
            <v>01.101.13</v>
          </cell>
          <cell r="B51" t="str">
            <v>Escavação,carga e transportes de material de 2a categoria,c/CB,  DMT 800 a 1 000m</v>
          </cell>
          <cell r="C51" t="str">
            <v>DNER-ES280/97</v>
          </cell>
          <cell r="D51" t="str">
            <v xml:space="preserve"> </v>
          </cell>
          <cell r="E51" t="str">
            <v>m3</v>
          </cell>
          <cell r="F51">
            <v>200</v>
          </cell>
          <cell r="G51">
            <v>3.42</v>
          </cell>
        </row>
        <row r="52">
          <cell r="A52" t="str">
            <v>01.101.14</v>
          </cell>
          <cell r="B52" t="str">
            <v>Escavação,carga e transportes de material de 2a categoria,c/CB,  DMT 1000 a 1200m</v>
          </cell>
          <cell r="C52" t="str">
            <v>DNER-ES280/97</v>
          </cell>
          <cell r="D52" t="str">
            <v xml:space="preserve"> </v>
          </cell>
          <cell r="E52" t="str">
            <v>m3</v>
          </cell>
          <cell r="F52">
            <v>13466</v>
          </cell>
          <cell r="G52">
            <v>3.49</v>
          </cell>
        </row>
        <row r="53">
          <cell r="A53" t="str">
            <v>01.101.15</v>
          </cell>
          <cell r="B53" t="str">
            <v>Escavação,carga e transportes de material de 2a categoria,c/CB,  DMT 1200 a 1400m</v>
          </cell>
          <cell r="C53" t="str">
            <v>DNER-ES280/97</v>
          </cell>
          <cell r="D53" t="str">
            <v xml:space="preserve"> </v>
          </cell>
          <cell r="E53" t="str">
            <v>m3</v>
          </cell>
          <cell r="F53">
            <v>200</v>
          </cell>
          <cell r="G53">
            <v>3.73</v>
          </cell>
        </row>
        <row r="54">
          <cell r="A54" t="str">
            <v>01.101.16</v>
          </cell>
          <cell r="B54" t="str">
            <v>Escavação,carga e transportes de material de 2a categoria,c/CB,  DMT 1400 a 1600m</v>
          </cell>
          <cell r="C54" t="str">
            <v>DNER-ES280/97</v>
          </cell>
          <cell r="D54" t="str">
            <v xml:space="preserve"> </v>
          </cell>
          <cell r="E54" t="str">
            <v>m3</v>
          </cell>
          <cell r="F54">
            <v>200</v>
          </cell>
          <cell r="G54">
            <v>3.87</v>
          </cell>
        </row>
        <row r="55">
          <cell r="A55" t="str">
            <v>01.101.17</v>
          </cell>
          <cell r="B55" t="str">
            <v>Escavação,carga e transportes de material de 2a categoria,c/CB,  DMT 1600 a 1800m</v>
          </cell>
          <cell r="C55" t="str">
            <v>DNER-ES280/97</v>
          </cell>
          <cell r="D55" t="str">
            <v xml:space="preserve"> </v>
          </cell>
          <cell r="E55" t="str">
            <v>m3</v>
          </cell>
          <cell r="F55">
            <v>200</v>
          </cell>
          <cell r="G55">
            <v>3.99</v>
          </cell>
        </row>
        <row r="56">
          <cell r="A56" t="str">
            <v>01.101.18</v>
          </cell>
          <cell r="B56" t="str">
            <v>Escavação,carga e transportes de material de 2a categoria,c/CB,  DMT 1800 a 2000m</v>
          </cell>
          <cell r="C56" t="str">
            <v>DNER-ES280/97</v>
          </cell>
          <cell r="D56" t="str">
            <v xml:space="preserve"> </v>
          </cell>
          <cell r="E56" t="str">
            <v>m3</v>
          </cell>
          <cell r="F56">
            <v>200</v>
          </cell>
          <cell r="G56">
            <v>4.1399999999999997</v>
          </cell>
        </row>
        <row r="57">
          <cell r="A57" t="str">
            <v>01.101.19</v>
          </cell>
          <cell r="B57" t="str">
            <v>Escavação,carga e transportes de material de 2a categoria,c/CB,  DMT 2000 a 3000m</v>
          </cell>
          <cell r="C57" t="str">
            <v>DNER-ES280/97</v>
          </cell>
          <cell r="D57" t="str">
            <v xml:space="preserve"> </v>
          </cell>
          <cell r="E57" t="str">
            <v>m3</v>
          </cell>
          <cell r="F57">
            <v>32094</v>
          </cell>
          <cell r="G57">
            <v>4.51</v>
          </cell>
        </row>
        <row r="58">
          <cell r="A58" t="str">
            <v>DER51225</v>
          </cell>
          <cell r="B58" t="str">
            <v>Escavação,carga e transportes de material de 2a categoria DMT 3000 a 4000m</v>
          </cell>
          <cell r="C58" t="str">
            <v xml:space="preserve"> </v>
          </cell>
          <cell r="D58" t="str">
            <v xml:space="preserve"> </v>
          </cell>
          <cell r="E58" t="str">
            <v>m3</v>
          </cell>
          <cell r="F58">
            <v>24102</v>
          </cell>
          <cell r="G58">
            <v>4.5599999999999996</v>
          </cell>
        </row>
        <row r="59">
          <cell r="A59" t="str">
            <v>DER51235</v>
          </cell>
          <cell r="B59" t="str">
            <v>Escavação,carga e transportes de material de 2a categoria DMT 4000 a 5000m</v>
          </cell>
          <cell r="C59" t="str">
            <v xml:space="preserve"> </v>
          </cell>
          <cell r="D59" t="str">
            <v xml:space="preserve"> </v>
          </cell>
          <cell r="E59" t="str">
            <v>m3</v>
          </cell>
          <cell r="F59">
            <v>48553</v>
          </cell>
          <cell r="G59">
            <v>5.15</v>
          </cell>
        </row>
        <row r="60">
          <cell r="A60" t="str">
            <v>DER51250</v>
          </cell>
          <cell r="B60" t="str">
            <v>Escavação,carga e transportes de material de 2a categoria DMT 5000 a 6000m</v>
          </cell>
          <cell r="C60" t="str">
            <v xml:space="preserve"> </v>
          </cell>
          <cell r="D60" t="str">
            <v xml:space="preserve"> </v>
          </cell>
          <cell r="E60" t="str">
            <v>m3</v>
          </cell>
          <cell r="F60">
            <v>13189</v>
          </cell>
          <cell r="G60">
            <v>5.7</v>
          </cell>
        </row>
        <row r="61">
          <cell r="A61" t="str">
            <v>DER51260</v>
          </cell>
          <cell r="B61" t="str">
            <v>Escavação,carga e transportes de material de 2a categoria DMT 6000 a 7000m</v>
          </cell>
          <cell r="C61" t="str">
            <v xml:space="preserve"> </v>
          </cell>
          <cell r="D61" t="str">
            <v xml:space="preserve"> </v>
          </cell>
          <cell r="E61" t="str">
            <v>m3</v>
          </cell>
          <cell r="F61">
            <v>200</v>
          </cell>
          <cell r="G61">
            <v>6.34</v>
          </cell>
        </row>
        <row r="62">
          <cell r="A62" t="str">
            <v>DER51270</v>
          </cell>
          <cell r="B62" t="str">
            <v>Escavação,carga e transportes de material de 2a categoria DMT 7000 a 8000m</v>
          </cell>
          <cell r="C62" t="str">
            <v xml:space="preserve"> </v>
          </cell>
          <cell r="D62" t="str">
            <v xml:space="preserve"> </v>
          </cell>
          <cell r="E62" t="str">
            <v>m3</v>
          </cell>
          <cell r="F62">
            <v>229920</v>
          </cell>
          <cell r="G62">
            <v>6.93</v>
          </cell>
        </row>
        <row r="63">
          <cell r="A63" t="str">
            <v>DER51280</v>
          </cell>
          <cell r="B63" t="str">
            <v>Escavação,carga e transportes de material de 2a categoria DMT 8000 a 9000m</v>
          </cell>
          <cell r="C63" t="str">
            <v xml:space="preserve"> </v>
          </cell>
          <cell r="D63" t="str">
            <v xml:space="preserve"> </v>
          </cell>
          <cell r="E63" t="str">
            <v>m3</v>
          </cell>
          <cell r="F63">
            <v>96000</v>
          </cell>
          <cell r="G63">
            <v>7.48</v>
          </cell>
        </row>
        <row r="64">
          <cell r="A64" t="str">
            <v>DER51290</v>
          </cell>
          <cell r="B64" t="str">
            <v>Escavação,carga e transportes de material de 2a categoria DMT 9000 a 10000m</v>
          </cell>
          <cell r="C64" t="str">
            <v xml:space="preserve"> </v>
          </cell>
          <cell r="D64" t="str">
            <v xml:space="preserve"> </v>
          </cell>
          <cell r="E64" t="str">
            <v>m3</v>
          </cell>
          <cell r="F64">
            <v>12840</v>
          </cell>
          <cell r="G64">
            <v>8.11</v>
          </cell>
        </row>
        <row r="65">
          <cell r="A65" t="str">
            <v>DER51300</v>
          </cell>
          <cell r="B65" t="str">
            <v>Escavação,carga e transportes de material de 2a categoria DMT 10000 a 12000m</v>
          </cell>
          <cell r="C65" t="str">
            <v xml:space="preserve"> </v>
          </cell>
          <cell r="D65" t="str">
            <v xml:space="preserve"> </v>
          </cell>
          <cell r="E65" t="str">
            <v>m3</v>
          </cell>
          <cell r="F65">
            <v>200</v>
          </cell>
          <cell r="G65">
            <v>8.92</v>
          </cell>
        </row>
        <row r="66">
          <cell r="A66" t="str">
            <v>DER51310</v>
          </cell>
          <cell r="B66" t="str">
            <v>Escavação,carga e transportes de material de 2a categoria DMT 12000 a 14000m</v>
          </cell>
          <cell r="C66" t="str">
            <v xml:space="preserve"> </v>
          </cell>
          <cell r="D66" t="str">
            <v xml:space="preserve"> </v>
          </cell>
          <cell r="E66" t="str">
            <v>m3</v>
          </cell>
          <cell r="F66">
            <v>200</v>
          </cell>
          <cell r="G66">
            <v>10.14</v>
          </cell>
        </row>
        <row r="67">
          <cell r="A67" t="str">
            <v>DER51320</v>
          </cell>
          <cell r="B67" t="str">
            <v>Escavação,carga e transportes de material de 2a categoria DMT 14000 a 16000m</v>
          </cell>
          <cell r="C67" t="str">
            <v xml:space="preserve"> </v>
          </cell>
          <cell r="D67" t="str">
            <v xml:space="preserve"> </v>
          </cell>
          <cell r="E67" t="str">
            <v>m3</v>
          </cell>
          <cell r="F67">
            <v>200</v>
          </cell>
          <cell r="G67">
            <v>11.31</v>
          </cell>
        </row>
        <row r="68">
          <cell r="A68" t="str">
            <v>DER51330</v>
          </cell>
          <cell r="B68" t="str">
            <v>Escavação,carga e transportes de material de 2a categoria DMT 16000 a 18000m</v>
          </cell>
          <cell r="C68" t="str">
            <v xml:space="preserve"> </v>
          </cell>
          <cell r="D68" t="str">
            <v xml:space="preserve"> </v>
          </cell>
          <cell r="E68" t="str">
            <v>m3</v>
          </cell>
          <cell r="F68">
            <v>200</v>
          </cell>
          <cell r="G68">
            <v>12.53</v>
          </cell>
        </row>
        <row r="69">
          <cell r="A69" t="str">
            <v>01.102.07</v>
          </cell>
          <cell r="B69" t="str">
            <v xml:space="preserve">Escavação,carga e transportes de material de 3a categoria DMT 1000 a 1200m </v>
          </cell>
          <cell r="C69" t="str">
            <v>DNER-ES280/97</v>
          </cell>
          <cell r="D69" t="str">
            <v xml:space="preserve"> </v>
          </cell>
          <cell r="E69" t="str">
            <v>m3</v>
          </cell>
          <cell r="F69">
            <v>200</v>
          </cell>
          <cell r="G69">
            <v>14.18</v>
          </cell>
        </row>
        <row r="70">
          <cell r="A70" t="str">
            <v>DER52050</v>
          </cell>
          <cell r="B70" t="str">
            <v>Esc. Carga e Transp. de solos moles DMT&lt;=50m</v>
          </cell>
          <cell r="C70" t="str">
            <v xml:space="preserve"> </v>
          </cell>
          <cell r="D70" t="str">
            <v xml:space="preserve"> </v>
          </cell>
          <cell r="E70" t="str">
            <v>m3</v>
          </cell>
          <cell r="F70">
            <v>100</v>
          </cell>
          <cell r="G70">
            <v>3.54</v>
          </cell>
        </row>
        <row r="71">
          <cell r="A71" t="str">
            <v>DER52060</v>
          </cell>
          <cell r="B71" t="str">
            <v>Esc. Carga e Transp. de solos moles 50&lt;DMT&lt;=100m</v>
          </cell>
          <cell r="C71" t="str">
            <v xml:space="preserve"> </v>
          </cell>
          <cell r="D71" t="str">
            <v xml:space="preserve"> </v>
          </cell>
          <cell r="E71" t="str">
            <v>m3</v>
          </cell>
          <cell r="F71">
            <v>100</v>
          </cell>
          <cell r="G71">
            <v>3.69</v>
          </cell>
        </row>
        <row r="72">
          <cell r="A72" t="str">
            <v>DER52070</v>
          </cell>
          <cell r="B72" t="str">
            <v>Esc. Carga e Transp. de solos moles 100&lt;DMT&lt;=200m</v>
          </cell>
          <cell r="C72" t="str">
            <v xml:space="preserve"> </v>
          </cell>
          <cell r="D72" t="str">
            <v xml:space="preserve"> </v>
          </cell>
          <cell r="E72" t="str">
            <v>m3</v>
          </cell>
          <cell r="F72">
            <v>100</v>
          </cell>
          <cell r="G72">
            <v>3.95</v>
          </cell>
        </row>
        <row r="73">
          <cell r="A73" t="str">
            <v>DER52082</v>
          </cell>
          <cell r="B73" t="str">
            <v>Esc. Carga e Transp. de solos moles 200&lt;DMT&lt;=400m</v>
          </cell>
          <cell r="C73" t="str">
            <v xml:space="preserve"> </v>
          </cell>
          <cell r="D73" t="str">
            <v xml:space="preserve"> </v>
          </cell>
          <cell r="E73" t="str">
            <v>m3</v>
          </cell>
          <cell r="F73">
            <v>2800</v>
          </cell>
          <cell r="G73">
            <v>4.03</v>
          </cell>
        </row>
        <row r="74">
          <cell r="A74" t="str">
            <v>DER52087</v>
          </cell>
          <cell r="B74" t="str">
            <v>Esc. Carga e Transp. de solos moles 400&lt;DMT&lt;=600m</v>
          </cell>
          <cell r="C74" t="str">
            <v xml:space="preserve"> </v>
          </cell>
          <cell r="D74" t="str">
            <v xml:space="preserve"> </v>
          </cell>
          <cell r="E74" t="str">
            <v>m3</v>
          </cell>
          <cell r="F74">
            <v>13028</v>
          </cell>
          <cell r="G74">
            <v>4.5999999999999996</v>
          </cell>
        </row>
        <row r="75">
          <cell r="A75" t="str">
            <v>DER52090</v>
          </cell>
          <cell r="B75" t="str">
            <v>Esc. Carga e Transp. de solos moles 600&lt;DMT&lt;=800m</v>
          </cell>
          <cell r="C75" t="str">
            <v xml:space="preserve"> </v>
          </cell>
          <cell r="D75" t="str">
            <v xml:space="preserve"> </v>
          </cell>
          <cell r="E75" t="str">
            <v>m3</v>
          </cell>
          <cell r="F75">
            <v>25992</v>
          </cell>
          <cell r="G75">
            <v>4.6399999999999997</v>
          </cell>
        </row>
        <row r="76">
          <cell r="A76" t="str">
            <v>DER52095</v>
          </cell>
          <cell r="B76" t="str">
            <v>Esc. Carga e Transp. de solos moles 800&lt;DMT&lt;=1000m</v>
          </cell>
          <cell r="C76" t="str">
            <v xml:space="preserve"> </v>
          </cell>
          <cell r="D76" t="str">
            <v xml:space="preserve"> </v>
          </cell>
          <cell r="E76" t="str">
            <v>m3</v>
          </cell>
          <cell r="F76">
            <v>17948</v>
          </cell>
          <cell r="G76">
            <v>4.7</v>
          </cell>
        </row>
        <row r="77">
          <cell r="A77" t="str">
            <v>DER52100</v>
          </cell>
          <cell r="B77" t="str">
            <v>Esc. Carga e Transp. de solos moles 1000&lt;DMT&lt;=1200m</v>
          </cell>
          <cell r="C77" t="str">
            <v xml:space="preserve"> </v>
          </cell>
          <cell r="D77" t="str">
            <v xml:space="preserve"> </v>
          </cell>
          <cell r="E77" t="str">
            <v>m3</v>
          </cell>
          <cell r="F77">
            <v>10990</v>
          </cell>
          <cell r="G77">
            <v>4.71</v>
          </cell>
        </row>
        <row r="78">
          <cell r="A78" t="str">
            <v>DER52101</v>
          </cell>
          <cell r="B78" t="str">
            <v>Esc. Carga e Transp. de solos moles 1200&lt;DMT&lt;=1400m</v>
          </cell>
          <cell r="C78" t="str">
            <v xml:space="preserve"> </v>
          </cell>
          <cell r="D78" t="str">
            <v xml:space="preserve"> </v>
          </cell>
          <cell r="E78" t="str">
            <v>m3</v>
          </cell>
          <cell r="F78">
            <v>5965</v>
          </cell>
          <cell r="G78">
            <v>4.74</v>
          </cell>
        </row>
        <row r="79">
          <cell r="A79" t="str">
            <v>DER52102</v>
          </cell>
          <cell r="B79" t="str">
            <v>Esc. Carga e Transp. de solos moles 1400&lt;DMT&lt;=1600m</v>
          </cell>
          <cell r="C79" t="str">
            <v xml:space="preserve"> </v>
          </cell>
          <cell r="D79" t="str">
            <v xml:space="preserve"> </v>
          </cell>
          <cell r="E79" t="str">
            <v>m3</v>
          </cell>
          <cell r="F79">
            <v>6497</v>
          </cell>
          <cell r="G79">
            <v>4.8099999999999996</v>
          </cell>
        </row>
        <row r="80">
          <cell r="A80" t="str">
            <v>DER52103</v>
          </cell>
          <cell r="B80" t="str">
            <v>Esc. Carga e Transp. de solos moles 1600&lt;DMT&lt;=1800m</v>
          </cell>
          <cell r="C80" t="str">
            <v xml:space="preserve"> </v>
          </cell>
          <cell r="D80" t="str">
            <v xml:space="preserve"> </v>
          </cell>
          <cell r="E80" t="str">
            <v>m3</v>
          </cell>
          <cell r="F80">
            <v>1853</v>
          </cell>
          <cell r="G80">
            <v>4.8600000000000003</v>
          </cell>
        </row>
        <row r="81">
          <cell r="A81" t="str">
            <v>DER52104</v>
          </cell>
          <cell r="B81" t="str">
            <v>Esc. Carga e Transp. de solos moles 1800&lt;DMT&lt;=2000m</v>
          </cell>
          <cell r="C81" t="str">
            <v xml:space="preserve"> </v>
          </cell>
          <cell r="D81" t="str">
            <v xml:space="preserve"> </v>
          </cell>
          <cell r="E81" t="str">
            <v>m3</v>
          </cell>
          <cell r="F81">
            <v>12026</v>
          </cell>
          <cell r="G81">
            <v>4.9800000000000004</v>
          </cell>
        </row>
        <row r="82">
          <cell r="A82" t="str">
            <v>DER52105</v>
          </cell>
          <cell r="B82" t="str">
            <v>Esc. Carga e Transp. de solos moles 2000&lt;DMT&lt;=3000m</v>
          </cell>
          <cell r="C82" t="str">
            <v xml:space="preserve"> </v>
          </cell>
          <cell r="D82" t="str">
            <v xml:space="preserve"> </v>
          </cell>
          <cell r="E82" t="str">
            <v>m3</v>
          </cell>
          <cell r="F82">
            <v>21899</v>
          </cell>
          <cell r="G82">
            <v>5.77</v>
          </cell>
        </row>
        <row r="83">
          <cell r="A83" t="str">
            <v>DER52106</v>
          </cell>
          <cell r="B83" t="str">
            <v>Esc. Carga e Transp. de solos moles 3000&lt;DMT&lt;=4000m</v>
          </cell>
          <cell r="C83" t="str">
            <v xml:space="preserve"> </v>
          </cell>
          <cell r="D83" t="str">
            <v xml:space="preserve"> </v>
          </cell>
          <cell r="E83" t="str">
            <v>m3</v>
          </cell>
          <cell r="F83">
            <v>5075</v>
          </cell>
          <cell r="G83">
            <v>6.37</v>
          </cell>
        </row>
        <row r="84">
          <cell r="A84" t="str">
            <v>DER52106a</v>
          </cell>
          <cell r="B84" t="str">
            <v>Esc. Carga e Transp. de solos moles 4000&lt;DMT&lt;=5000m</v>
          </cell>
          <cell r="C84" t="str">
            <v xml:space="preserve"> </v>
          </cell>
          <cell r="D84" t="str">
            <v xml:space="preserve"> </v>
          </cell>
          <cell r="E84" t="str">
            <v>m3</v>
          </cell>
          <cell r="F84">
            <v>17928</v>
          </cell>
          <cell r="G84">
            <v>7.36</v>
          </cell>
        </row>
        <row r="85">
          <cell r="A85" t="str">
            <v>DER52106c</v>
          </cell>
          <cell r="B85" t="str">
            <v>Esc. Carga e Transp. de solos moles 6000&lt;DMT&lt;=7000m</v>
          </cell>
          <cell r="C85" t="str">
            <v xml:space="preserve"> </v>
          </cell>
          <cell r="D85" t="str">
            <v xml:space="preserve"> </v>
          </cell>
          <cell r="E85" t="str">
            <v>m3</v>
          </cell>
          <cell r="F85">
            <v>281785</v>
          </cell>
          <cell r="G85">
            <v>9.41</v>
          </cell>
        </row>
        <row r="86">
          <cell r="A86" t="str">
            <v>DER52120</v>
          </cell>
          <cell r="B86" t="str">
            <v>Extr.,Carga, Transp.e espalh.de areia ext.p/colchão dren.(banh.Maracajá)e subst.solos moles DMT=49km</v>
          </cell>
          <cell r="E86" t="str">
            <v>m3</v>
          </cell>
          <cell r="F86">
            <v>37031</v>
          </cell>
          <cell r="G86">
            <v>16.36</v>
          </cell>
        </row>
        <row r="87">
          <cell r="A87" t="str">
            <v>DER52120e</v>
          </cell>
          <cell r="B87" t="str">
            <v>Escav.,Carga, Transp.e espalh.de areia comerc.p/colchão dren.(banh.Maracajá)e subst.solos moles DMT=49km</v>
          </cell>
          <cell r="E87" t="str">
            <v>m3</v>
          </cell>
          <cell r="F87">
            <v>240702</v>
          </cell>
          <cell r="G87">
            <v>21.01</v>
          </cell>
        </row>
        <row r="88">
          <cell r="A88" t="str">
            <v>DER52120c</v>
          </cell>
          <cell r="B88" t="str">
            <v>Extr.,Carga, Transp.e Espalh.areia comerc.p/colchão dren.(banh.Maracajá)e subst.solos moles DMT=95,2km</v>
          </cell>
          <cell r="E88" t="str">
            <v>m3</v>
          </cell>
          <cell r="F88">
            <v>92578</v>
          </cell>
          <cell r="G88">
            <v>33.19</v>
          </cell>
        </row>
        <row r="89">
          <cell r="A89" t="str">
            <v>DER52120d</v>
          </cell>
          <cell r="B89" t="str">
            <v>Extração, Carga e Transp.e Espalh.de seixo p/colchão drenante(banhado do Maracajá) DMT=23,7km</v>
          </cell>
          <cell r="E89" t="str">
            <v>m3</v>
          </cell>
          <cell r="F89">
            <v>108722</v>
          </cell>
          <cell r="G89">
            <v>15.7</v>
          </cell>
        </row>
        <row r="90">
          <cell r="A90" t="str">
            <v>DER52020a</v>
          </cell>
          <cell r="B90" t="str">
            <v>Carga, transp.e espalhamento de camada vegetal 50&lt;DMT&lt;=200m</v>
          </cell>
          <cell r="E90" t="str">
            <v>m3</v>
          </cell>
          <cell r="F90">
            <v>27990</v>
          </cell>
          <cell r="G90">
            <v>2.2400000000000002</v>
          </cell>
        </row>
        <row r="91">
          <cell r="A91" t="str">
            <v>DER52020b</v>
          </cell>
          <cell r="B91" t="str">
            <v>Escarificação de acessos, desvios e áreas de jazidas e do canteiro de obra</v>
          </cell>
          <cell r="E91" t="str">
            <v>m2</v>
          </cell>
          <cell r="F91">
            <v>345000</v>
          </cell>
          <cell r="G91">
            <v>0.42</v>
          </cell>
        </row>
        <row r="92">
          <cell r="A92" t="str">
            <v>P 52050</v>
          </cell>
          <cell r="B92" t="str">
            <v>Espalhamento de solos moles</v>
          </cell>
          <cell r="E92" t="str">
            <v>m3</v>
          </cell>
          <cell r="F92">
            <v>424086</v>
          </cell>
          <cell r="G92">
            <v>0.35</v>
          </cell>
        </row>
        <row r="93">
          <cell r="A93" t="str">
            <v>01.510.00</v>
          </cell>
          <cell r="B93" t="str">
            <v>Compactação de aterros a 95% Proctor Normal</v>
          </cell>
          <cell r="C93" t="str">
            <v>DNER-ES282/97</v>
          </cell>
          <cell r="D93" t="str">
            <v xml:space="preserve"> </v>
          </cell>
          <cell r="E93" t="str">
            <v>m3</v>
          </cell>
          <cell r="F93">
            <v>1932295</v>
          </cell>
          <cell r="G93">
            <v>0.79</v>
          </cell>
        </row>
        <row r="94">
          <cell r="A94" t="str">
            <v>01.511.00</v>
          </cell>
          <cell r="B94" t="str">
            <v>Compactação de aterros a 100% Proctor Normal</v>
          </cell>
          <cell r="C94" t="str">
            <v>DNER-ES282/97</v>
          </cell>
          <cell r="D94" t="str">
            <v xml:space="preserve"> </v>
          </cell>
          <cell r="E94" t="str">
            <v>m3</v>
          </cell>
          <cell r="F94">
            <v>362006</v>
          </cell>
          <cell r="G94">
            <v>1.36</v>
          </cell>
        </row>
        <row r="95">
          <cell r="A95" t="str">
            <v>P 03.993.02a</v>
          </cell>
          <cell r="B95" t="str">
            <v>Estacas pré-mold. de concreto 700 KN, fornec., transp.e cravação</v>
          </cell>
          <cell r="C95" t="str">
            <v xml:space="preserve"> </v>
          </cell>
          <cell r="D95" t="str">
            <v xml:space="preserve"> </v>
          </cell>
          <cell r="E95" t="str">
            <v>m</v>
          </cell>
          <cell r="F95">
            <v>277153</v>
          </cell>
          <cell r="G95">
            <v>48.07</v>
          </cell>
        </row>
        <row r="96">
          <cell r="A96" t="str">
            <v>P 03.993.02c</v>
          </cell>
          <cell r="B96" t="str">
            <v>Emendas para estacas pré-moldadas</v>
          </cell>
          <cell r="C96" t="str">
            <v xml:space="preserve"> </v>
          </cell>
          <cell r="D96" t="str">
            <v xml:space="preserve"> </v>
          </cell>
          <cell r="E96" t="str">
            <v>un</v>
          </cell>
          <cell r="F96">
            <v>8931</v>
          </cell>
          <cell r="G96">
            <v>95.06</v>
          </cell>
        </row>
        <row r="97">
          <cell r="A97" t="str">
            <v>03.300.01</v>
          </cell>
          <cell r="B97" t="str">
            <v>Concreto magro</v>
          </cell>
          <cell r="C97" t="str">
            <v xml:space="preserve"> </v>
          </cell>
          <cell r="D97" t="str">
            <v xml:space="preserve"> </v>
          </cell>
          <cell r="E97" t="str">
            <v>m3</v>
          </cell>
          <cell r="F97">
            <v>2188</v>
          </cell>
          <cell r="G97">
            <v>105.69</v>
          </cell>
        </row>
        <row r="98">
          <cell r="A98" t="str">
            <v>03.325.00</v>
          </cell>
          <cell r="B98" t="str">
            <v xml:space="preserve">Concreto fck= 18 MPa-contr. raz. uso ger. </v>
          </cell>
          <cell r="C98" t="str">
            <v xml:space="preserve"> </v>
          </cell>
          <cell r="D98" t="str">
            <v xml:space="preserve"> </v>
          </cell>
          <cell r="E98" t="str">
            <v>m3</v>
          </cell>
          <cell r="F98">
            <v>18011</v>
          </cell>
          <cell r="G98">
            <v>144.27000000000001</v>
          </cell>
        </row>
        <row r="99">
          <cell r="A99" t="str">
            <v>03.353.00</v>
          </cell>
          <cell r="B99" t="str">
            <v>Forn., preparo e colocação nas formas, de aço CA-50</v>
          </cell>
          <cell r="C99" t="str">
            <v xml:space="preserve"> </v>
          </cell>
          <cell r="D99" t="str">
            <v xml:space="preserve"> </v>
          </cell>
          <cell r="E99" t="str">
            <v>kg</v>
          </cell>
          <cell r="F99">
            <v>2046258</v>
          </cell>
          <cell r="G99">
            <v>2.59</v>
          </cell>
        </row>
        <row r="100">
          <cell r="A100" t="str">
            <v>03.371.01</v>
          </cell>
          <cell r="B100" t="str">
            <v>Formas de placa compensada resinada</v>
          </cell>
          <cell r="C100" t="str">
            <v xml:space="preserve"> </v>
          </cell>
          <cell r="D100" t="str">
            <v xml:space="preserve"> </v>
          </cell>
          <cell r="E100" t="str">
            <v>m2</v>
          </cell>
          <cell r="F100">
            <v>3180</v>
          </cell>
          <cell r="G100">
            <v>21.86</v>
          </cell>
        </row>
        <row r="101">
          <cell r="F101" t="str">
            <v>SUB-TOTAL</v>
          </cell>
        </row>
        <row r="103">
          <cell r="B103" t="str">
            <v>PAVIMENTAÇÃO</v>
          </cell>
        </row>
        <row r="104">
          <cell r="A104" t="str">
            <v>02.000.00</v>
          </cell>
          <cell r="B104" t="str">
            <v>Regularização do subleito</v>
          </cell>
          <cell r="C104" t="str">
            <v xml:space="preserve"> </v>
          </cell>
          <cell r="D104" t="str">
            <v xml:space="preserve"> </v>
          </cell>
          <cell r="E104" t="str">
            <v>m2</v>
          </cell>
          <cell r="F104">
            <v>286192</v>
          </cell>
          <cell r="G104">
            <v>0.3</v>
          </cell>
        </row>
        <row r="105">
          <cell r="A105" t="str">
            <v>DER53130</v>
          </cell>
          <cell r="B105" t="str">
            <v>Camada de macadame seco</v>
          </cell>
          <cell r="C105" t="str">
            <v xml:space="preserve"> </v>
          </cell>
          <cell r="D105" t="str">
            <v xml:space="preserve"> </v>
          </cell>
          <cell r="E105" t="str">
            <v>m3</v>
          </cell>
          <cell r="F105">
            <v>56007</v>
          </cell>
          <cell r="G105">
            <v>21.86</v>
          </cell>
        </row>
        <row r="106">
          <cell r="A106" t="str">
            <v>02.230.00</v>
          </cell>
          <cell r="B106" t="str">
            <v>Base brita graduada</v>
          </cell>
          <cell r="C106" t="str">
            <v>DNER-ES303/97</v>
          </cell>
          <cell r="D106" t="str">
            <v xml:space="preserve"> </v>
          </cell>
          <cell r="E106" t="str">
            <v>m3</v>
          </cell>
          <cell r="F106">
            <v>40388</v>
          </cell>
          <cell r="G106">
            <v>28.06</v>
          </cell>
        </row>
        <row r="107">
          <cell r="A107" t="str">
            <v>02.300.00</v>
          </cell>
          <cell r="B107" t="str">
            <v>Imprimação - Fornecimento, transporte e execução</v>
          </cell>
          <cell r="C107" t="str">
            <v>DNER-ES306/97</v>
          </cell>
          <cell r="D107" t="str">
            <v xml:space="preserve"> </v>
          </cell>
          <cell r="E107" t="str">
            <v>m2</v>
          </cell>
          <cell r="F107">
            <v>264571</v>
          </cell>
          <cell r="G107">
            <v>1.1100000000000001</v>
          </cell>
        </row>
        <row r="108">
          <cell r="A108" t="str">
            <v>02.400.00</v>
          </cell>
          <cell r="B108" t="str">
            <v>Pintura de ligação - Fornec., transporte e execução</v>
          </cell>
          <cell r="C108" t="str">
            <v>DNER-ES307/97</v>
          </cell>
          <cell r="D108" t="str">
            <v xml:space="preserve"> </v>
          </cell>
          <cell r="E108" t="str">
            <v>m2</v>
          </cell>
          <cell r="F108">
            <v>804691.72</v>
          </cell>
          <cell r="G108">
            <v>0.41</v>
          </cell>
        </row>
        <row r="109">
          <cell r="A109" t="str">
            <v>02.540.01</v>
          </cell>
          <cell r="B109" t="str">
            <v>Concreto betuminoso usinado a quente - usina 100/140 t/h</v>
          </cell>
          <cell r="C109" t="str">
            <v>DNER-ES313/97</v>
          </cell>
          <cell r="D109" t="str">
            <v xml:space="preserve"> </v>
          </cell>
          <cell r="E109" t="str">
            <v>t</v>
          </cell>
          <cell r="F109">
            <v>99087</v>
          </cell>
          <cell r="G109">
            <v>67.64</v>
          </cell>
        </row>
        <row r="110">
          <cell r="A110" t="str">
            <v>DER82200a</v>
          </cell>
          <cell r="B110" t="str">
            <v>Remoção de camada granular</v>
          </cell>
          <cell r="C110" t="str">
            <v xml:space="preserve"> </v>
          </cell>
          <cell r="D110" t="str">
            <v xml:space="preserve"> </v>
          </cell>
          <cell r="E110" t="str">
            <v>m3</v>
          </cell>
          <cell r="F110">
            <v>6475</v>
          </cell>
          <cell r="G110">
            <v>4.67</v>
          </cell>
        </row>
        <row r="111">
          <cell r="A111" t="str">
            <v>DER82200</v>
          </cell>
          <cell r="B111" t="str">
            <v>Remoção de revestimento de CBUQ</v>
          </cell>
          <cell r="C111" t="str">
            <v xml:space="preserve"> </v>
          </cell>
          <cell r="D111" t="str">
            <v xml:space="preserve"> </v>
          </cell>
          <cell r="E111" t="str">
            <v>m3</v>
          </cell>
          <cell r="F111">
            <v>6474</v>
          </cell>
          <cell r="G111">
            <v>5.73</v>
          </cell>
        </row>
        <row r="112">
          <cell r="F112" t="str">
            <v>SUB-TOTAL</v>
          </cell>
        </row>
        <row r="114">
          <cell r="B114" t="str">
            <v>DRENAGEM</v>
          </cell>
        </row>
        <row r="115">
          <cell r="A115" t="str">
            <v>04.000.00</v>
          </cell>
          <cell r="B115" t="str">
            <v>Escavação manual em material de 1a categoria</v>
          </cell>
          <cell r="C115" t="str">
            <v xml:space="preserve"> </v>
          </cell>
          <cell r="D115" t="str">
            <v xml:space="preserve"> </v>
          </cell>
          <cell r="E115" t="str">
            <v>m3</v>
          </cell>
          <cell r="F115">
            <v>544</v>
          </cell>
          <cell r="G115">
            <v>17.57</v>
          </cell>
        </row>
        <row r="116">
          <cell r="A116" t="str">
            <v>04.001.00</v>
          </cell>
          <cell r="B116" t="str">
            <v>Escavação mecânica em material de 1a categoria</v>
          </cell>
          <cell r="C116" t="str">
            <v xml:space="preserve"> </v>
          </cell>
          <cell r="D116" t="str">
            <v xml:space="preserve"> </v>
          </cell>
          <cell r="E116" t="str">
            <v>m3</v>
          </cell>
          <cell r="F116">
            <v>14374</v>
          </cell>
          <cell r="G116">
            <v>2.09</v>
          </cell>
        </row>
        <row r="117">
          <cell r="A117" t="str">
            <v>04.011.00</v>
          </cell>
          <cell r="B117" t="str">
            <v>Escavação mecânica em material de 2a categoria</v>
          </cell>
          <cell r="C117" t="str">
            <v xml:space="preserve"> </v>
          </cell>
          <cell r="D117" t="str">
            <v xml:space="preserve"> </v>
          </cell>
          <cell r="E117" t="str">
            <v>m3</v>
          </cell>
          <cell r="F117">
            <v>20</v>
          </cell>
          <cell r="G117">
            <v>0.9</v>
          </cell>
        </row>
        <row r="118">
          <cell r="A118" t="str">
            <v>04.001.01</v>
          </cell>
          <cell r="B118" t="str">
            <v>Escavação mecânica,reaterro e compactação (material de 1a categoria)</v>
          </cell>
          <cell r="C118" t="str">
            <v xml:space="preserve"> </v>
          </cell>
          <cell r="D118" t="str">
            <v xml:space="preserve"> </v>
          </cell>
          <cell r="E118" t="str">
            <v>m3</v>
          </cell>
          <cell r="F118">
            <v>3037</v>
          </cell>
          <cell r="G118">
            <v>3.03</v>
          </cell>
        </row>
        <row r="119">
          <cell r="A119" t="str">
            <v>04.400.02</v>
          </cell>
          <cell r="B119" t="str">
            <v>Valeta de prot. de cortes c/ revest. vegetal VPC 02</v>
          </cell>
          <cell r="C119" t="str">
            <v xml:space="preserve"> </v>
          </cell>
          <cell r="D119" t="str">
            <v xml:space="preserve"> </v>
          </cell>
          <cell r="E119" t="str">
            <v>m</v>
          </cell>
          <cell r="F119">
            <v>7610</v>
          </cell>
          <cell r="G119">
            <v>23.24</v>
          </cell>
        </row>
        <row r="120">
          <cell r="A120" t="str">
            <v>04.401.01</v>
          </cell>
          <cell r="B120" t="str">
            <v>Valeta de prot. de aterro c/ revest. vegetal VPA 01</v>
          </cell>
          <cell r="C120" t="str">
            <v xml:space="preserve"> </v>
          </cell>
          <cell r="D120" t="str">
            <v xml:space="preserve"> </v>
          </cell>
          <cell r="E120" t="str">
            <v>m</v>
          </cell>
          <cell r="F120">
            <v>6358</v>
          </cell>
          <cell r="G120">
            <v>31.98</v>
          </cell>
        </row>
        <row r="121">
          <cell r="A121" t="str">
            <v>04.401.02</v>
          </cell>
          <cell r="B121" t="str">
            <v>Valeta de prot. de aterro c/ revest. vegetal VPA 02</v>
          </cell>
          <cell r="C121" t="str">
            <v xml:space="preserve"> </v>
          </cell>
          <cell r="D121" t="str">
            <v xml:space="preserve"> </v>
          </cell>
          <cell r="E121" t="str">
            <v>m</v>
          </cell>
          <cell r="F121">
            <v>19035</v>
          </cell>
          <cell r="G121">
            <v>24.32</v>
          </cell>
        </row>
        <row r="122">
          <cell r="A122" t="str">
            <v>04.500.06</v>
          </cell>
          <cell r="B122" t="str">
            <v>Dreno longit. profundo p/cortes em solo- DPS 06</v>
          </cell>
          <cell r="C122" t="str">
            <v>DNER-ES292/97</v>
          </cell>
          <cell r="D122" t="str">
            <v xml:space="preserve"> </v>
          </cell>
          <cell r="E122" t="str">
            <v>m</v>
          </cell>
          <cell r="F122">
            <v>3836</v>
          </cell>
          <cell r="G122">
            <v>34.94</v>
          </cell>
        </row>
        <row r="123">
          <cell r="A123" t="str">
            <v>04.502.02</v>
          </cell>
          <cell r="B123" t="str">
            <v>Boca de saída p/ dreno longit. profundo- BSD 02</v>
          </cell>
          <cell r="C123" t="str">
            <v xml:space="preserve"> </v>
          </cell>
          <cell r="D123" t="str">
            <v xml:space="preserve"> </v>
          </cell>
          <cell r="E123" t="str">
            <v>un</v>
          </cell>
          <cell r="F123">
            <v>24</v>
          </cell>
          <cell r="G123">
            <v>49.08</v>
          </cell>
        </row>
        <row r="124">
          <cell r="A124" t="str">
            <v>04.510.03</v>
          </cell>
          <cell r="B124" t="str">
            <v>Dreno sub- superficial- DSS 03</v>
          </cell>
          <cell r="C124" t="str">
            <v>DNER-ES294/97</v>
          </cell>
          <cell r="D124" t="str">
            <v xml:space="preserve"> </v>
          </cell>
          <cell r="E124" t="str">
            <v>m</v>
          </cell>
          <cell r="F124">
            <v>13990</v>
          </cell>
          <cell r="G124">
            <v>3.71</v>
          </cell>
        </row>
        <row r="125">
          <cell r="A125" t="str">
            <v>04.511.01</v>
          </cell>
          <cell r="B125" t="str">
            <v>Boca de saída p/ dreno sub-superficial-BSD 03</v>
          </cell>
          <cell r="C125" t="str">
            <v xml:space="preserve"> </v>
          </cell>
          <cell r="D125" t="str">
            <v xml:space="preserve"> </v>
          </cell>
          <cell r="E125" t="str">
            <v>un</v>
          </cell>
          <cell r="F125">
            <v>50</v>
          </cell>
          <cell r="G125">
            <v>20.86</v>
          </cell>
        </row>
        <row r="126">
          <cell r="A126" t="str">
            <v>04.900.03</v>
          </cell>
          <cell r="B126" t="str">
            <v>Sarjeta triangular de concreto-STC 03</v>
          </cell>
          <cell r="C126" t="str">
            <v>DNER-ES288/97</v>
          </cell>
          <cell r="D126" t="str">
            <v xml:space="preserve"> </v>
          </cell>
          <cell r="E126" t="str">
            <v>m</v>
          </cell>
          <cell r="F126">
            <v>440</v>
          </cell>
          <cell r="G126">
            <v>16.02</v>
          </cell>
        </row>
        <row r="127">
          <cell r="A127" t="str">
            <v>04.900.04</v>
          </cell>
          <cell r="B127" t="str">
            <v>Sarjeta triangular de concreto-STC 04</v>
          </cell>
          <cell r="C127" t="str">
            <v>DNER-ES288/97</v>
          </cell>
          <cell r="D127" t="str">
            <v xml:space="preserve"> </v>
          </cell>
          <cell r="E127" t="str">
            <v>m</v>
          </cell>
          <cell r="F127">
            <v>847</v>
          </cell>
          <cell r="G127">
            <v>12.93</v>
          </cell>
        </row>
        <row r="128">
          <cell r="A128" t="str">
            <v>04.900.21</v>
          </cell>
          <cell r="B128" t="str">
            <v>Sarjeta de cant. central de concreto-SCC 01</v>
          </cell>
          <cell r="C128" t="str">
            <v>DNER-ES288/97</v>
          </cell>
          <cell r="D128" t="str">
            <v xml:space="preserve"> </v>
          </cell>
          <cell r="E128" t="str">
            <v>m</v>
          </cell>
          <cell r="F128">
            <v>13109</v>
          </cell>
          <cell r="G128">
            <v>13.85</v>
          </cell>
        </row>
        <row r="129">
          <cell r="A129" t="str">
            <v>04.900.22</v>
          </cell>
          <cell r="B129" t="str">
            <v>Sarjeta de cant. central de concreto-SCC 02</v>
          </cell>
          <cell r="C129" t="str">
            <v>DNER-ES288/97</v>
          </cell>
          <cell r="D129" t="str">
            <v xml:space="preserve"> </v>
          </cell>
          <cell r="E129" t="str">
            <v>m</v>
          </cell>
          <cell r="F129">
            <v>3154</v>
          </cell>
          <cell r="G129">
            <v>19.170000000000002</v>
          </cell>
        </row>
        <row r="130">
          <cell r="A130" t="str">
            <v>DER78150b</v>
          </cell>
          <cell r="B130" t="str">
            <v>Caixa coletora de sarjeta - CCS, D=40cm E H=1,00m</v>
          </cell>
          <cell r="C130" t="str">
            <v xml:space="preserve"> </v>
          </cell>
          <cell r="D130" t="str">
            <v xml:space="preserve"> </v>
          </cell>
          <cell r="E130" t="str">
            <v>un</v>
          </cell>
          <cell r="F130">
            <v>3</v>
          </cell>
          <cell r="G130">
            <v>382.07</v>
          </cell>
        </row>
        <row r="131">
          <cell r="A131" t="str">
            <v>DER78150c</v>
          </cell>
          <cell r="B131" t="str">
            <v>Caixa coletora de sarjeta - CCS, D=40cm E H=1,50m</v>
          </cell>
          <cell r="C131" t="str">
            <v xml:space="preserve"> </v>
          </cell>
          <cell r="D131" t="str">
            <v xml:space="preserve"> </v>
          </cell>
          <cell r="E131" t="str">
            <v>un</v>
          </cell>
          <cell r="F131">
            <v>8</v>
          </cell>
          <cell r="G131">
            <v>503.68</v>
          </cell>
        </row>
        <row r="132">
          <cell r="A132" t="str">
            <v>DER78150d</v>
          </cell>
          <cell r="B132" t="str">
            <v>Caixa coletora de sarjeta - CCS, D=40cm E H=2,00m</v>
          </cell>
          <cell r="C132" t="str">
            <v xml:space="preserve"> </v>
          </cell>
          <cell r="D132" t="str">
            <v xml:space="preserve"> </v>
          </cell>
          <cell r="E132" t="str">
            <v>un</v>
          </cell>
          <cell r="F132">
            <v>1</v>
          </cell>
          <cell r="G132">
            <v>625.26</v>
          </cell>
        </row>
        <row r="133">
          <cell r="A133" t="str">
            <v>DER78150a</v>
          </cell>
          <cell r="B133" t="str">
            <v>Caixa coletora de sarjeta - CCS, D=60cm E H=1,5m</v>
          </cell>
          <cell r="C133" t="str">
            <v xml:space="preserve"> </v>
          </cell>
          <cell r="D133" t="str">
            <v xml:space="preserve"> </v>
          </cell>
          <cell r="E133" t="str">
            <v>un</v>
          </cell>
          <cell r="F133">
            <v>7</v>
          </cell>
          <cell r="G133">
            <v>500.45</v>
          </cell>
        </row>
        <row r="134">
          <cell r="A134" t="str">
            <v>04.101.01</v>
          </cell>
          <cell r="B134" t="str">
            <v>Boca de BSTC D=0.60m-normal</v>
          </cell>
          <cell r="C134" t="str">
            <v>DNER-ES284/97</v>
          </cell>
          <cell r="D134" t="str">
            <v xml:space="preserve"> </v>
          </cell>
          <cell r="E134" t="str">
            <v>un</v>
          </cell>
          <cell r="F134">
            <v>23</v>
          </cell>
          <cell r="G134">
            <v>299.62</v>
          </cell>
        </row>
        <row r="135">
          <cell r="A135" t="str">
            <v>04.930.01</v>
          </cell>
          <cell r="B135" t="str">
            <v>Caixa coletora de sarjeta-CCS 01</v>
          </cell>
          <cell r="C135" t="str">
            <v>DNER-ES287/97</v>
          </cell>
          <cell r="D135" t="str">
            <v xml:space="preserve"> </v>
          </cell>
          <cell r="E135" t="str">
            <v>un</v>
          </cell>
          <cell r="F135">
            <v>13</v>
          </cell>
          <cell r="G135">
            <v>568.85</v>
          </cell>
        </row>
        <row r="136">
          <cell r="A136" t="str">
            <v>04.930.02</v>
          </cell>
          <cell r="B136" t="str">
            <v>Caixa coletora de sarjeta-CCS 02</v>
          </cell>
          <cell r="C136" t="str">
            <v>DNER-ES287/97</v>
          </cell>
          <cell r="D136" t="str">
            <v xml:space="preserve"> </v>
          </cell>
          <cell r="E136" t="str">
            <v>un</v>
          </cell>
          <cell r="F136">
            <v>2</v>
          </cell>
          <cell r="G136">
            <v>555.63</v>
          </cell>
        </row>
        <row r="137">
          <cell r="A137" t="str">
            <v>04.930.03</v>
          </cell>
          <cell r="B137" t="str">
            <v>Caixa coletora de sarjeta-CCS 03</v>
          </cell>
          <cell r="C137" t="str">
            <v>DNER-ES287/97</v>
          </cell>
          <cell r="D137" t="str">
            <v xml:space="preserve"> </v>
          </cell>
          <cell r="E137" t="str">
            <v>un</v>
          </cell>
          <cell r="F137">
            <v>4</v>
          </cell>
          <cell r="G137">
            <v>542.39</v>
          </cell>
        </row>
        <row r="138">
          <cell r="A138" t="str">
            <v>04.930.05</v>
          </cell>
          <cell r="B138" t="str">
            <v>Caixa coletora de sarjeta-CCS 05</v>
          </cell>
          <cell r="C138" t="str">
            <v>DNER-ES287/97</v>
          </cell>
          <cell r="D138" t="str">
            <v xml:space="preserve"> </v>
          </cell>
          <cell r="E138" t="str">
            <v>un</v>
          </cell>
          <cell r="F138">
            <v>5</v>
          </cell>
          <cell r="G138">
            <v>715.16</v>
          </cell>
        </row>
        <row r="139">
          <cell r="A139" t="str">
            <v>04.930.09</v>
          </cell>
          <cell r="B139" t="str">
            <v>Caixa coletora de sarjeta-CCS 09</v>
          </cell>
          <cell r="C139" t="str">
            <v>DNER-ES287/97</v>
          </cell>
          <cell r="D139" t="str">
            <v xml:space="preserve"> </v>
          </cell>
          <cell r="E139" t="str">
            <v>un</v>
          </cell>
          <cell r="F139">
            <v>2</v>
          </cell>
          <cell r="G139">
            <v>860.7</v>
          </cell>
        </row>
        <row r="140">
          <cell r="A140" t="str">
            <v>04.930.10</v>
          </cell>
          <cell r="B140" t="str">
            <v>Caixa coletora de sarjeta-CCS 10</v>
          </cell>
          <cell r="C140" t="str">
            <v>DNER-ES287/97</v>
          </cell>
          <cell r="D140" t="str">
            <v xml:space="preserve"> </v>
          </cell>
          <cell r="E140" t="str">
            <v>un</v>
          </cell>
          <cell r="F140">
            <v>1</v>
          </cell>
          <cell r="G140">
            <v>846.69</v>
          </cell>
        </row>
        <row r="141">
          <cell r="A141" t="str">
            <v>04.930.11</v>
          </cell>
          <cell r="B141" t="str">
            <v>Caixa coletora de sarjeta-CCS 11</v>
          </cell>
          <cell r="C141" t="str">
            <v>DNER-ES287/97</v>
          </cell>
          <cell r="D141" t="str">
            <v xml:space="preserve"> </v>
          </cell>
          <cell r="E141" t="str">
            <v>un</v>
          </cell>
          <cell r="F141">
            <v>2</v>
          </cell>
          <cell r="G141">
            <v>832.67</v>
          </cell>
        </row>
        <row r="142">
          <cell r="A142" t="str">
            <v>DER78300</v>
          </cell>
          <cell r="B142" t="str">
            <v>Caixa coletora de sarjeta - CCS, D=100cm E H=1,50m</v>
          </cell>
          <cell r="C142" t="str">
            <v xml:space="preserve"> </v>
          </cell>
          <cell r="D142" t="str">
            <v xml:space="preserve"> </v>
          </cell>
          <cell r="E142" t="str">
            <v>un</v>
          </cell>
          <cell r="F142">
            <v>4</v>
          </cell>
          <cell r="G142">
            <v>449.54</v>
          </cell>
        </row>
        <row r="143">
          <cell r="A143" t="str">
            <v>DER77150a</v>
          </cell>
          <cell r="B143" t="str">
            <v>Caixa coletora de talvegue - CCT, D=40cm E H=1,00m</v>
          </cell>
          <cell r="C143" t="str">
            <v xml:space="preserve"> </v>
          </cell>
          <cell r="D143" t="str">
            <v xml:space="preserve"> </v>
          </cell>
          <cell r="E143" t="str">
            <v>un</v>
          </cell>
          <cell r="F143">
            <v>2</v>
          </cell>
          <cell r="G143">
            <v>388.24</v>
          </cell>
        </row>
        <row r="144">
          <cell r="A144" t="str">
            <v>DER77150b</v>
          </cell>
          <cell r="B144" t="str">
            <v>Caixa coletora de talvegue - CCT, D=40cm E H=1,50m</v>
          </cell>
          <cell r="C144" t="str">
            <v xml:space="preserve"> </v>
          </cell>
          <cell r="D144" t="str">
            <v xml:space="preserve"> </v>
          </cell>
          <cell r="E144" t="str">
            <v>un</v>
          </cell>
          <cell r="F144">
            <v>1</v>
          </cell>
          <cell r="G144">
            <v>510.91</v>
          </cell>
        </row>
        <row r="145">
          <cell r="A145" t="str">
            <v>DER77150c</v>
          </cell>
          <cell r="B145" t="str">
            <v>Caixa coletora de talvegue - CCT, D=60cm E H=1,00m</v>
          </cell>
          <cell r="C145" t="str">
            <v xml:space="preserve"> </v>
          </cell>
          <cell r="D145" t="str">
            <v xml:space="preserve"> </v>
          </cell>
          <cell r="E145" t="str">
            <v>un</v>
          </cell>
          <cell r="F145">
            <v>1</v>
          </cell>
          <cell r="G145">
            <v>320.83</v>
          </cell>
        </row>
        <row r="146">
          <cell r="A146" t="str">
            <v>DER77150</v>
          </cell>
          <cell r="B146" t="str">
            <v>Caixa coletora de talvegue - CCT, D=100cm E H=1,50m</v>
          </cell>
          <cell r="C146" t="str">
            <v xml:space="preserve"> </v>
          </cell>
          <cell r="D146" t="str">
            <v xml:space="preserve"> </v>
          </cell>
          <cell r="E146" t="str">
            <v>un</v>
          </cell>
          <cell r="F146">
            <v>3</v>
          </cell>
          <cell r="G146">
            <v>410.6</v>
          </cell>
        </row>
        <row r="147">
          <cell r="A147" t="str">
            <v>04.960.01</v>
          </cell>
          <cell r="B147" t="str">
            <v>Boca de lobo simples c/ grelha de concreto-BLS 01</v>
          </cell>
          <cell r="C147" t="str">
            <v xml:space="preserve"> </v>
          </cell>
          <cell r="D147" t="str">
            <v xml:space="preserve"> </v>
          </cell>
          <cell r="E147" t="str">
            <v>un</v>
          </cell>
          <cell r="F147">
            <v>2</v>
          </cell>
          <cell r="G147">
            <v>203.51</v>
          </cell>
        </row>
        <row r="148">
          <cell r="A148" t="str">
            <v>04.960.02</v>
          </cell>
          <cell r="B148" t="str">
            <v>Boca de lobo simples c/ grelha de concreto-BLS 02</v>
          </cell>
          <cell r="C148" t="str">
            <v xml:space="preserve"> </v>
          </cell>
          <cell r="D148" t="str">
            <v xml:space="preserve"> </v>
          </cell>
          <cell r="E148" t="str">
            <v>un</v>
          </cell>
          <cell r="F148">
            <v>8</v>
          </cell>
          <cell r="G148">
            <v>257.83999999999997</v>
          </cell>
        </row>
        <row r="149">
          <cell r="A149" t="str">
            <v>P 04.100.07</v>
          </cell>
          <cell r="B149" t="str">
            <v>Execução de galerias D=0,40 c/ lastro de brita</v>
          </cell>
          <cell r="C149" t="str">
            <v xml:space="preserve"> </v>
          </cell>
          <cell r="D149" t="str">
            <v xml:space="preserve"> </v>
          </cell>
          <cell r="E149" t="str">
            <v>m</v>
          </cell>
          <cell r="F149">
            <v>420</v>
          </cell>
          <cell r="G149">
            <v>41.68</v>
          </cell>
        </row>
        <row r="150">
          <cell r="A150" t="str">
            <v>P 04.100.09</v>
          </cell>
          <cell r="B150" t="str">
            <v>Execução de galerias D=0,60 c/ lastro de brita</v>
          </cell>
          <cell r="C150" t="str">
            <v xml:space="preserve"> </v>
          </cell>
          <cell r="D150" t="str">
            <v xml:space="preserve"> </v>
          </cell>
          <cell r="E150" t="str">
            <v>m</v>
          </cell>
          <cell r="F150">
            <v>110</v>
          </cell>
          <cell r="G150">
            <v>100.67</v>
          </cell>
        </row>
        <row r="151">
          <cell r="A151" t="str">
            <v>P 04.100.13</v>
          </cell>
          <cell r="B151" t="str">
            <v>Execução de galerias D=0,80 c/ lastro de brita</v>
          </cell>
          <cell r="C151" t="str">
            <v xml:space="preserve"> </v>
          </cell>
          <cell r="D151" t="str">
            <v xml:space="preserve"> </v>
          </cell>
          <cell r="E151" t="str">
            <v>m</v>
          </cell>
          <cell r="F151">
            <v>24</v>
          </cell>
          <cell r="G151">
            <v>53.83</v>
          </cell>
        </row>
        <row r="152">
          <cell r="A152" t="str">
            <v>P 04.100.08</v>
          </cell>
          <cell r="B152" t="str">
            <v>Execução de galerias D=0,40 c/ lastro de concreto</v>
          </cell>
          <cell r="C152" t="str">
            <v xml:space="preserve"> </v>
          </cell>
          <cell r="D152" t="str">
            <v xml:space="preserve"> </v>
          </cell>
          <cell r="E152" t="str">
            <v>m</v>
          </cell>
          <cell r="F152">
            <v>535</v>
          </cell>
          <cell r="G152">
            <v>58.65</v>
          </cell>
        </row>
        <row r="153">
          <cell r="A153" t="str">
            <v>P 04.100.10</v>
          </cell>
          <cell r="B153" t="str">
            <v>Execução de galerias D=0,60 c/ lastro de concreto</v>
          </cell>
          <cell r="C153" t="str">
            <v xml:space="preserve"> </v>
          </cell>
          <cell r="D153" t="str">
            <v xml:space="preserve"> </v>
          </cell>
          <cell r="E153" t="str">
            <v>m</v>
          </cell>
          <cell r="F153">
            <v>363</v>
          </cell>
          <cell r="G153">
            <v>131.66</v>
          </cell>
        </row>
        <row r="154">
          <cell r="A154" t="str">
            <v>DER72350b</v>
          </cell>
          <cell r="B154" t="str">
            <v>Boca para BSTC D=40cm - Normal</v>
          </cell>
          <cell r="C154" t="str">
            <v xml:space="preserve"> </v>
          </cell>
          <cell r="D154" t="str">
            <v xml:space="preserve"> </v>
          </cell>
          <cell r="E154" t="str">
            <v>un</v>
          </cell>
          <cell r="F154">
            <v>12</v>
          </cell>
          <cell r="G154">
            <v>147.57</v>
          </cell>
        </row>
        <row r="155">
          <cell r="A155" t="str">
            <v>04.100.01</v>
          </cell>
          <cell r="B155" t="str">
            <v>Corpo de BSTC D=0.60m</v>
          </cell>
          <cell r="C155" t="str">
            <v>DNER-ES284/97</v>
          </cell>
          <cell r="D155" t="str">
            <v xml:space="preserve"> </v>
          </cell>
          <cell r="E155" t="str">
            <v xml:space="preserve">m </v>
          </cell>
          <cell r="F155">
            <v>35</v>
          </cell>
          <cell r="G155">
            <v>139.21</v>
          </cell>
        </row>
        <row r="156">
          <cell r="A156" t="str">
            <v>DER72450</v>
          </cell>
          <cell r="B156" t="str">
            <v>Boca para BSTC D=80cm - Normal</v>
          </cell>
          <cell r="C156" t="str">
            <v xml:space="preserve"> </v>
          </cell>
          <cell r="D156" t="str">
            <v xml:space="preserve"> </v>
          </cell>
          <cell r="E156" t="str">
            <v>un</v>
          </cell>
          <cell r="F156">
            <v>2</v>
          </cell>
          <cell r="G156">
            <v>401.45</v>
          </cell>
        </row>
        <row r="157">
          <cell r="A157" t="str">
            <v>P 04.100.06</v>
          </cell>
          <cell r="B157" t="str">
            <v>Galeria D=0,40m envelopada</v>
          </cell>
          <cell r="C157" t="str">
            <v xml:space="preserve"> </v>
          </cell>
          <cell r="D157" t="str">
            <v xml:space="preserve"> </v>
          </cell>
          <cell r="E157" t="str">
            <v>m</v>
          </cell>
          <cell r="F157">
            <v>15</v>
          </cell>
          <cell r="G157">
            <v>103.37</v>
          </cell>
        </row>
        <row r="158">
          <cell r="A158" t="str">
            <v>04.963.01</v>
          </cell>
          <cell r="B158" t="str">
            <v>Poço de visita- PVI 01</v>
          </cell>
          <cell r="C158" t="str">
            <v xml:space="preserve"> </v>
          </cell>
          <cell r="D158" t="str">
            <v xml:space="preserve"> </v>
          </cell>
          <cell r="E158" t="str">
            <v>un</v>
          </cell>
          <cell r="F158">
            <v>1</v>
          </cell>
          <cell r="G158">
            <v>493.1</v>
          </cell>
        </row>
        <row r="159">
          <cell r="A159" t="str">
            <v>04.940.02</v>
          </cell>
          <cell r="B159" t="str">
            <v>Descida d’água tipo rápido- canal retangular-DAR 02</v>
          </cell>
          <cell r="C159" t="str">
            <v>DNER-ES291/97</v>
          </cell>
          <cell r="D159" t="str">
            <v xml:space="preserve"> </v>
          </cell>
          <cell r="E159" t="str">
            <v>m</v>
          </cell>
          <cell r="F159">
            <v>4</v>
          </cell>
          <cell r="G159">
            <v>57.28</v>
          </cell>
        </row>
        <row r="160">
          <cell r="A160" t="str">
            <v>P 04.100.08a</v>
          </cell>
          <cell r="B160" t="str">
            <v>Execução de travessia D=0,40 c/ lastro de concreto p/execução de desvio durante a obra</v>
          </cell>
          <cell r="C160" t="str">
            <v xml:space="preserve"> </v>
          </cell>
          <cell r="D160" t="str">
            <v xml:space="preserve"> </v>
          </cell>
          <cell r="E160" t="str">
            <v>m</v>
          </cell>
          <cell r="F160">
            <v>1055</v>
          </cell>
          <cell r="G160">
            <v>58.65</v>
          </cell>
        </row>
        <row r="161">
          <cell r="A161" t="str">
            <v>04.990.06</v>
          </cell>
          <cell r="B161" t="str">
            <v>Transposição de segmentos de sarjetas- TSS 06</v>
          </cell>
          <cell r="C161" t="str">
            <v>DNER-ES289/97</v>
          </cell>
          <cell r="D161" t="str">
            <v xml:space="preserve"> </v>
          </cell>
          <cell r="E161" t="str">
            <v>m</v>
          </cell>
          <cell r="F161">
            <v>12</v>
          </cell>
          <cell r="G161">
            <v>79.02</v>
          </cell>
        </row>
        <row r="162">
          <cell r="F162" t="str">
            <v>SUB-TOTAL</v>
          </cell>
        </row>
        <row r="164">
          <cell r="B164" t="str">
            <v>OBRAS DE ARTE CORRENTES</v>
          </cell>
        </row>
        <row r="165">
          <cell r="A165" t="str">
            <v>04.001.01</v>
          </cell>
          <cell r="B165" t="str">
            <v>Escavação mecânica,reaterro e compactação (material de 1a categoria)</v>
          </cell>
          <cell r="C165" t="str">
            <v xml:space="preserve"> </v>
          </cell>
          <cell r="D165" t="str">
            <v xml:space="preserve"> </v>
          </cell>
          <cell r="E165" t="str">
            <v>m3</v>
          </cell>
          <cell r="F165">
            <v>12147</v>
          </cell>
          <cell r="G165">
            <v>3.03</v>
          </cell>
        </row>
        <row r="166">
          <cell r="A166" t="str">
            <v>04.100.01</v>
          </cell>
          <cell r="B166" t="str">
            <v>Corpo de BSTC D=0.60m</v>
          </cell>
          <cell r="C166" t="str">
            <v>DNER-ES284/97</v>
          </cell>
          <cell r="D166" t="str">
            <v xml:space="preserve"> </v>
          </cell>
          <cell r="E166" t="str">
            <v xml:space="preserve">m </v>
          </cell>
          <cell r="F166">
            <v>17</v>
          </cell>
          <cell r="G166">
            <v>139.21</v>
          </cell>
        </row>
        <row r="167">
          <cell r="A167" t="str">
            <v>04.100.02</v>
          </cell>
          <cell r="B167" t="str">
            <v>Corpo de BSTC D=0.80m</v>
          </cell>
          <cell r="C167" t="str">
            <v>DNER-ES284/97</v>
          </cell>
          <cell r="D167" t="str">
            <v xml:space="preserve"> </v>
          </cell>
          <cell r="E167" t="str">
            <v xml:space="preserve">m </v>
          </cell>
          <cell r="F167">
            <v>347</v>
          </cell>
          <cell r="G167">
            <v>201.98</v>
          </cell>
        </row>
        <row r="168">
          <cell r="A168" t="str">
            <v>P 04.100.11</v>
          </cell>
          <cell r="B168" t="str">
            <v>Galeria D=0,80m envelopada</v>
          </cell>
          <cell r="C168" t="str">
            <v xml:space="preserve"> </v>
          </cell>
          <cell r="D168" t="str">
            <v xml:space="preserve"> </v>
          </cell>
          <cell r="E168" t="str">
            <v>m</v>
          </cell>
          <cell r="F168">
            <v>10</v>
          </cell>
          <cell r="G168">
            <v>263.04000000000002</v>
          </cell>
        </row>
        <row r="169">
          <cell r="A169" t="str">
            <v>04.100.03</v>
          </cell>
          <cell r="B169" t="str">
            <v>Corpo de BSTC D=1.00m</v>
          </cell>
          <cell r="C169" t="str">
            <v>DNER-ES284/97</v>
          </cell>
          <cell r="D169" t="str">
            <v xml:space="preserve"> </v>
          </cell>
          <cell r="E169" t="str">
            <v xml:space="preserve">m </v>
          </cell>
          <cell r="F169">
            <v>262</v>
          </cell>
          <cell r="G169">
            <v>280.33</v>
          </cell>
        </row>
        <row r="170">
          <cell r="A170" t="str">
            <v>04.100.04</v>
          </cell>
          <cell r="B170" t="str">
            <v>Corpo de BSTC D=1.20m</v>
          </cell>
          <cell r="C170" t="str">
            <v>DNER-ES284/97</v>
          </cell>
          <cell r="D170" t="str">
            <v xml:space="preserve"> </v>
          </cell>
          <cell r="E170" t="str">
            <v xml:space="preserve">m </v>
          </cell>
          <cell r="F170">
            <v>25</v>
          </cell>
          <cell r="G170">
            <v>381.37</v>
          </cell>
        </row>
        <row r="171">
          <cell r="A171" t="str">
            <v>04.101.01</v>
          </cell>
          <cell r="B171" t="str">
            <v>Boca de BSTC D=0.60m-normal</v>
          </cell>
          <cell r="C171" t="str">
            <v>DNER-ES284/97</v>
          </cell>
          <cell r="D171" t="str">
            <v xml:space="preserve"> </v>
          </cell>
          <cell r="E171" t="str">
            <v>un</v>
          </cell>
          <cell r="F171">
            <v>2</v>
          </cell>
          <cell r="G171">
            <v>299.62</v>
          </cell>
        </row>
        <row r="172">
          <cell r="A172" t="str">
            <v>04.101.02</v>
          </cell>
          <cell r="B172" t="str">
            <v>Boca de BSTC D=0.80m-normal</v>
          </cell>
          <cell r="C172" t="str">
            <v>DNER-ES284/97</v>
          </cell>
          <cell r="D172" t="str">
            <v xml:space="preserve"> </v>
          </cell>
          <cell r="E172" t="str">
            <v>un</v>
          </cell>
          <cell r="F172">
            <v>16</v>
          </cell>
          <cell r="G172">
            <v>494.05</v>
          </cell>
        </row>
        <row r="173">
          <cell r="A173" t="str">
            <v>04.101.03</v>
          </cell>
          <cell r="B173" t="str">
            <v>Boca de BSTC D=1.00m-normal</v>
          </cell>
          <cell r="C173" t="str">
            <v>DNER-ES284/97</v>
          </cell>
          <cell r="D173" t="str">
            <v xml:space="preserve"> </v>
          </cell>
          <cell r="E173" t="str">
            <v>un</v>
          </cell>
          <cell r="F173">
            <v>9</v>
          </cell>
          <cell r="G173">
            <v>757.56</v>
          </cell>
        </row>
        <row r="174">
          <cell r="A174" t="str">
            <v>04.101.04</v>
          </cell>
          <cell r="B174" t="str">
            <v>Boca de BSTC D=1.20m-normal</v>
          </cell>
          <cell r="C174" t="str">
            <v>DNER-ES284/97</v>
          </cell>
          <cell r="D174" t="str">
            <v xml:space="preserve"> </v>
          </cell>
          <cell r="E174" t="str">
            <v>un</v>
          </cell>
          <cell r="F174">
            <v>5</v>
          </cell>
          <cell r="G174">
            <v>1087.17</v>
          </cell>
        </row>
        <row r="175">
          <cell r="A175" t="str">
            <v>04.101.05</v>
          </cell>
          <cell r="B175" t="str">
            <v>Boca de BSTC D=1.50m-normal</v>
          </cell>
          <cell r="C175" t="str">
            <v>DNER-ES284/97</v>
          </cell>
          <cell r="D175" t="str">
            <v xml:space="preserve"> </v>
          </cell>
          <cell r="E175" t="str">
            <v>un</v>
          </cell>
          <cell r="F175">
            <v>2</v>
          </cell>
          <cell r="G175">
            <v>1942.12</v>
          </cell>
        </row>
        <row r="176">
          <cell r="A176" t="str">
            <v>04.110.01</v>
          </cell>
          <cell r="B176" t="str">
            <v>Corpo de BDTC D=1.00m</v>
          </cell>
          <cell r="C176" t="str">
            <v>DNER-ES284/97</v>
          </cell>
          <cell r="D176" t="str">
            <v xml:space="preserve"> </v>
          </cell>
          <cell r="E176" t="str">
            <v>m</v>
          </cell>
          <cell r="F176">
            <v>428</v>
          </cell>
          <cell r="G176">
            <v>572.14</v>
          </cell>
        </row>
        <row r="177">
          <cell r="A177" t="str">
            <v>04.110.02</v>
          </cell>
          <cell r="B177" t="str">
            <v>Corpo de BDTC D=1.20m</v>
          </cell>
          <cell r="C177" t="str">
            <v>DNER-ES284/97</v>
          </cell>
          <cell r="D177" t="str">
            <v xml:space="preserve"> </v>
          </cell>
          <cell r="E177" t="str">
            <v>m</v>
          </cell>
          <cell r="F177">
            <v>60</v>
          </cell>
          <cell r="G177">
            <v>745.38</v>
          </cell>
        </row>
        <row r="178">
          <cell r="A178" t="str">
            <v>P04.110.00</v>
          </cell>
          <cell r="B178" t="str">
            <v>Corpo de BDTC D=0.80m c/ laje de concreto</v>
          </cell>
          <cell r="C178" t="str">
            <v xml:space="preserve"> </v>
          </cell>
          <cell r="D178" t="str">
            <v xml:space="preserve"> </v>
          </cell>
          <cell r="E178" t="str">
            <v>m</v>
          </cell>
          <cell r="F178">
            <v>15</v>
          </cell>
          <cell r="G178">
            <v>335.3</v>
          </cell>
        </row>
        <row r="179">
          <cell r="A179" t="str">
            <v>04.111.01</v>
          </cell>
          <cell r="B179" t="str">
            <v>Boca de BDTC D=1.00m-normal</v>
          </cell>
          <cell r="C179" t="str">
            <v>DNER-ES284/97</v>
          </cell>
          <cell r="D179" t="str">
            <v xml:space="preserve"> </v>
          </cell>
          <cell r="E179" t="str">
            <v>un</v>
          </cell>
          <cell r="F179">
            <v>22</v>
          </cell>
          <cell r="G179">
            <v>1056.6199999999999</v>
          </cell>
        </row>
        <row r="180">
          <cell r="A180" t="str">
            <v>04.111.02</v>
          </cell>
          <cell r="B180" t="str">
            <v>Boca de BDTC D=1.20m-normal</v>
          </cell>
          <cell r="C180" t="str">
            <v>DNER-ES284/97</v>
          </cell>
          <cell r="D180" t="str">
            <v xml:space="preserve"> </v>
          </cell>
          <cell r="E180" t="str">
            <v>un</v>
          </cell>
          <cell r="F180">
            <v>2</v>
          </cell>
          <cell r="G180">
            <v>1521.54</v>
          </cell>
        </row>
        <row r="181">
          <cell r="A181" t="str">
            <v>P04.111.01</v>
          </cell>
          <cell r="B181" t="str">
            <v>Boca de BDTC D=0.80m</v>
          </cell>
          <cell r="C181" t="str">
            <v xml:space="preserve"> </v>
          </cell>
          <cell r="D181" t="str">
            <v xml:space="preserve"> </v>
          </cell>
          <cell r="E181" t="str">
            <v>un</v>
          </cell>
          <cell r="F181">
            <v>1</v>
          </cell>
          <cell r="G181">
            <v>560.76</v>
          </cell>
        </row>
        <row r="182">
          <cell r="A182" t="str">
            <v>04.120.01</v>
          </cell>
          <cell r="B182" t="str">
            <v>Corpo de BTTC D=1.00m</v>
          </cell>
          <cell r="C182" t="str">
            <v>DNER-ES284/97</v>
          </cell>
          <cell r="D182" t="str">
            <v xml:space="preserve"> </v>
          </cell>
          <cell r="E182" t="str">
            <v>m</v>
          </cell>
          <cell r="F182">
            <v>131</v>
          </cell>
          <cell r="G182">
            <v>808.8</v>
          </cell>
        </row>
        <row r="183">
          <cell r="A183" t="str">
            <v>04.120.02</v>
          </cell>
          <cell r="B183" t="str">
            <v>Corpo de BTTC D=1.20m</v>
          </cell>
          <cell r="C183" t="str">
            <v>DNER-ES284/97</v>
          </cell>
          <cell r="D183" t="str">
            <v xml:space="preserve"> </v>
          </cell>
          <cell r="E183" t="str">
            <v>m</v>
          </cell>
          <cell r="F183">
            <v>97</v>
          </cell>
          <cell r="G183">
            <v>1110.23</v>
          </cell>
        </row>
        <row r="184">
          <cell r="A184" t="str">
            <v>04.121.01</v>
          </cell>
          <cell r="B184" t="str">
            <v>Boca de BTTC D=1.00m-normal</v>
          </cell>
          <cell r="C184" t="str">
            <v xml:space="preserve"> </v>
          </cell>
          <cell r="D184" t="str">
            <v xml:space="preserve"> </v>
          </cell>
          <cell r="E184" t="str">
            <v>un</v>
          </cell>
          <cell r="F184">
            <v>6</v>
          </cell>
          <cell r="G184">
            <v>1356.87</v>
          </cell>
        </row>
        <row r="185">
          <cell r="A185" t="str">
            <v>04.121.02</v>
          </cell>
          <cell r="B185" t="str">
            <v>Boca de BTTC D=1.20m-normal</v>
          </cell>
          <cell r="C185" t="str">
            <v xml:space="preserve"> </v>
          </cell>
          <cell r="D185" t="str">
            <v xml:space="preserve"> </v>
          </cell>
          <cell r="E185" t="str">
            <v>un</v>
          </cell>
          <cell r="F185">
            <v>2</v>
          </cell>
          <cell r="G185">
            <v>1955.59</v>
          </cell>
        </row>
        <row r="186">
          <cell r="A186" t="str">
            <v>04.200.06</v>
          </cell>
          <cell r="B186" t="str">
            <v>Corpo de BSCC 2.00x2.00m-H=1.00 a 2.50m</v>
          </cell>
          <cell r="C186" t="str">
            <v>DNER-ES286/97</v>
          </cell>
          <cell r="D186" t="str">
            <v xml:space="preserve"> </v>
          </cell>
          <cell r="E186" t="str">
            <v>m</v>
          </cell>
          <cell r="F186">
            <v>21</v>
          </cell>
          <cell r="G186">
            <v>661.97</v>
          </cell>
        </row>
        <row r="187">
          <cell r="A187" t="str">
            <v>04.200.07</v>
          </cell>
          <cell r="B187" t="str">
            <v>Corpo de BSCC 2.50x2.50m-H=1.00 a 2.50m</v>
          </cell>
          <cell r="C187" t="str">
            <v>DNER-ES286/97</v>
          </cell>
          <cell r="D187" t="str">
            <v xml:space="preserve"> </v>
          </cell>
          <cell r="E187" t="str">
            <v>m</v>
          </cell>
          <cell r="F187">
            <v>52</v>
          </cell>
          <cell r="G187">
            <v>975.93</v>
          </cell>
        </row>
        <row r="188">
          <cell r="A188" t="str">
            <v>04.201.02</v>
          </cell>
          <cell r="B188" t="str">
            <v>Boca de BSCC 2.00x2.00m - normal</v>
          </cell>
          <cell r="C188" t="str">
            <v xml:space="preserve"> </v>
          </cell>
          <cell r="D188" t="str">
            <v xml:space="preserve"> </v>
          </cell>
          <cell r="E188" t="str">
            <v>un</v>
          </cell>
          <cell r="F188">
            <v>2</v>
          </cell>
          <cell r="G188">
            <v>4874.24</v>
          </cell>
        </row>
        <row r="189">
          <cell r="A189" t="str">
            <v>04.201.03</v>
          </cell>
          <cell r="B189" t="str">
            <v>Boca de BSCC 2.50x2.50m - normal</v>
          </cell>
          <cell r="C189" t="str">
            <v xml:space="preserve"> </v>
          </cell>
          <cell r="D189" t="str">
            <v xml:space="preserve"> </v>
          </cell>
          <cell r="E189" t="str">
            <v>un</v>
          </cell>
          <cell r="F189">
            <v>3</v>
          </cell>
          <cell r="G189">
            <v>6579.56</v>
          </cell>
        </row>
        <row r="190">
          <cell r="A190" t="str">
            <v>04.210.01</v>
          </cell>
          <cell r="B190" t="str">
            <v>Corpo de BDCC 1.50x1.50m-H=0 a 1.00m</v>
          </cell>
          <cell r="C190" t="str">
            <v>DNER-ES286/97</v>
          </cell>
          <cell r="D190" t="str">
            <v xml:space="preserve"> </v>
          </cell>
          <cell r="E190" t="str">
            <v>m</v>
          </cell>
          <cell r="F190">
            <v>40</v>
          </cell>
          <cell r="G190">
            <v>864.14</v>
          </cell>
        </row>
        <row r="191">
          <cell r="A191" t="str">
            <v>04.211.01</v>
          </cell>
          <cell r="B191" t="str">
            <v>Boca de BDCC 1.50x1.50m - normal</v>
          </cell>
          <cell r="C191" t="str">
            <v xml:space="preserve"> </v>
          </cell>
          <cell r="D191" t="str">
            <v xml:space="preserve"> </v>
          </cell>
          <cell r="E191" t="str">
            <v>un</v>
          </cell>
          <cell r="F191">
            <v>2</v>
          </cell>
          <cell r="G191">
            <v>3642.66</v>
          </cell>
        </row>
        <row r="192">
          <cell r="A192" t="str">
            <v>04.220.09</v>
          </cell>
          <cell r="B192" t="str">
            <v>Corpo de BTCC 1.50x1.50m-H=2.50 a 5.00m</v>
          </cell>
          <cell r="C192" t="str">
            <v>DNER-ES286/97</v>
          </cell>
          <cell r="D192" t="str">
            <v xml:space="preserve"> </v>
          </cell>
          <cell r="E192" t="str">
            <v>m</v>
          </cell>
          <cell r="F192">
            <v>17</v>
          </cell>
          <cell r="G192">
            <v>1221.79</v>
          </cell>
        </row>
        <row r="193">
          <cell r="A193" t="str">
            <v>04.221.01</v>
          </cell>
          <cell r="B193" t="str">
            <v>Boca de BTCC 1.50x1.50m - normal</v>
          </cell>
          <cell r="C193" t="str">
            <v xml:space="preserve"> </v>
          </cell>
          <cell r="D193" t="str">
            <v xml:space="preserve"> </v>
          </cell>
          <cell r="E193" t="str">
            <v>un</v>
          </cell>
          <cell r="F193">
            <v>2</v>
          </cell>
          <cell r="G193">
            <v>4561.4799999999996</v>
          </cell>
        </row>
        <row r="194">
          <cell r="A194" t="str">
            <v>04.999.01</v>
          </cell>
          <cell r="B194" t="str">
            <v>Remoção de bueiros existentes</v>
          </cell>
          <cell r="C194" t="str">
            <v xml:space="preserve"> </v>
          </cell>
          <cell r="D194" t="str">
            <v xml:space="preserve"> </v>
          </cell>
          <cell r="E194" t="str">
            <v>m</v>
          </cell>
          <cell r="F194">
            <v>717</v>
          </cell>
          <cell r="G194">
            <v>13.06</v>
          </cell>
        </row>
        <row r="195">
          <cell r="A195" t="str">
            <v>04.999.01a</v>
          </cell>
          <cell r="B195" t="str">
            <v>Limpeza de bueiro e revestimento com tela galvanizada e concreto</v>
          </cell>
          <cell r="C195" t="str">
            <v xml:space="preserve"> </v>
          </cell>
          <cell r="D195" t="str">
            <v xml:space="preserve"> </v>
          </cell>
          <cell r="E195" t="str">
            <v>m</v>
          </cell>
          <cell r="F195">
            <v>92.84</v>
          </cell>
          <cell r="G195">
            <v>44.18</v>
          </cell>
        </row>
        <row r="196">
          <cell r="A196" t="str">
            <v>04.999.02</v>
          </cell>
          <cell r="B196" t="str">
            <v>Demolição de dispositivos de concreto</v>
          </cell>
          <cell r="C196" t="str">
            <v>DNER-ES296/97</v>
          </cell>
          <cell r="D196" t="str">
            <v xml:space="preserve"> </v>
          </cell>
          <cell r="E196" t="str">
            <v>m3</v>
          </cell>
          <cell r="F196">
            <v>238</v>
          </cell>
          <cell r="G196">
            <v>12.58</v>
          </cell>
        </row>
        <row r="197">
          <cell r="A197" t="str">
            <v>P 04.100.23</v>
          </cell>
          <cell r="B197" t="str">
            <v>Bueiro Met.Corrug.circular, T.Armco,  c/Epoxy-bonded, MP-100, D=1,50 m, E=2,0mm</v>
          </cell>
          <cell r="C197" t="str">
            <v xml:space="preserve"> </v>
          </cell>
          <cell r="D197" t="str">
            <v xml:space="preserve"> </v>
          </cell>
          <cell r="E197" t="str">
            <v>m</v>
          </cell>
          <cell r="F197">
            <v>35</v>
          </cell>
          <cell r="G197">
            <v>510.8</v>
          </cell>
        </row>
        <row r="198">
          <cell r="A198" t="str">
            <v>P 04.100.19</v>
          </cell>
          <cell r="B198" t="str">
            <v>Tunnel liner plate, c/Epoxy-bonded, D=1,20m, E=2,70mm</v>
          </cell>
          <cell r="C198" t="str">
            <v xml:space="preserve"> </v>
          </cell>
          <cell r="D198" t="str">
            <v xml:space="preserve"> </v>
          </cell>
          <cell r="E198" t="str">
            <v>m</v>
          </cell>
          <cell r="F198">
            <v>45</v>
          </cell>
          <cell r="G198">
            <v>923.09</v>
          </cell>
        </row>
        <row r="199">
          <cell r="A199" t="str">
            <v>P 04.100.20</v>
          </cell>
          <cell r="B199" t="str">
            <v>Tunnel liner plate, c/Epoxy-bonded, D=1,40m, E=2,70mm</v>
          </cell>
          <cell r="C199" t="str">
            <v xml:space="preserve"> </v>
          </cell>
          <cell r="D199" t="str">
            <v xml:space="preserve"> </v>
          </cell>
          <cell r="E199" t="str">
            <v>m</v>
          </cell>
          <cell r="F199">
            <v>49</v>
          </cell>
          <cell r="G199">
            <v>1029.42</v>
          </cell>
        </row>
        <row r="200">
          <cell r="A200" t="str">
            <v>DER72450a</v>
          </cell>
          <cell r="B200" t="str">
            <v>Boca para BSTM D=140cm - Normal</v>
          </cell>
          <cell r="C200" t="str">
            <v xml:space="preserve"> </v>
          </cell>
          <cell r="D200" t="str">
            <v xml:space="preserve"> </v>
          </cell>
          <cell r="E200" t="str">
            <v>un</v>
          </cell>
          <cell r="F200">
            <v>2</v>
          </cell>
          <cell r="G200">
            <v>690.23</v>
          </cell>
        </row>
        <row r="202">
          <cell r="F202" t="str">
            <v>SUB-TOTAL</v>
          </cell>
        </row>
        <row r="204">
          <cell r="B204" t="str">
            <v>OBRAS COMPLEMENTARES</v>
          </cell>
        </row>
        <row r="205">
          <cell r="A205" t="str">
            <v>05.100.00</v>
          </cell>
          <cell r="B205" t="str">
            <v>Enleivamento</v>
          </cell>
          <cell r="C205" t="str">
            <v>DNER-ES341/97</v>
          </cell>
          <cell r="D205" t="str">
            <v xml:space="preserve"> </v>
          </cell>
          <cell r="E205" t="str">
            <v>m2</v>
          </cell>
          <cell r="F205">
            <v>144229</v>
          </cell>
          <cell r="G205">
            <v>2.06</v>
          </cell>
        </row>
        <row r="206">
          <cell r="A206" t="str">
            <v>05.102.00</v>
          </cell>
          <cell r="B206" t="str">
            <v>Hidrossemeadura</v>
          </cell>
          <cell r="C206" t="str">
            <v>DNER-ES341/97</v>
          </cell>
          <cell r="D206" t="str">
            <v xml:space="preserve"> </v>
          </cell>
          <cell r="E206" t="str">
            <v>m2</v>
          </cell>
          <cell r="F206">
            <v>656277</v>
          </cell>
          <cell r="G206">
            <v>0.49</v>
          </cell>
        </row>
        <row r="207">
          <cell r="A207" t="str">
            <v>P 05.100.02</v>
          </cell>
          <cell r="B207" t="str">
            <v>Fornecimento e plantio de árvore selecionada</v>
          </cell>
          <cell r="C207" t="str">
            <v xml:space="preserve"> </v>
          </cell>
          <cell r="D207" t="str">
            <v xml:space="preserve"> </v>
          </cell>
          <cell r="E207" t="str">
            <v>un</v>
          </cell>
          <cell r="F207">
            <v>4122</v>
          </cell>
          <cell r="G207">
            <v>6.02</v>
          </cell>
        </row>
        <row r="208">
          <cell r="A208" t="str">
            <v>DER80050</v>
          </cell>
          <cell r="B208" t="str">
            <v>Remoção e recolocação de cercas de arame farpado</v>
          </cell>
          <cell r="C208" t="str">
            <v xml:space="preserve"> </v>
          </cell>
          <cell r="D208" t="str">
            <v xml:space="preserve"> </v>
          </cell>
          <cell r="E208" t="str">
            <v>m</v>
          </cell>
          <cell r="F208">
            <v>7200</v>
          </cell>
          <cell r="G208">
            <v>3.23</v>
          </cell>
        </row>
        <row r="209">
          <cell r="A209" t="str">
            <v>06.400.01</v>
          </cell>
          <cell r="B209" t="str">
            <v>Cercas de arame farpado c/ mourao de concreto</v>
          </cell>
          <cell r="C209" t="str">
            <v xml:space="preserve"> </v>
          </cell>
          <cell r="D209" t="str">
            <v xml:space="preserve"> </v>
          </cell>
          <cell r="E209" t="str">
            <v>m</v>
          </cell>
          <cell r="F209">
            <v>19200</v>
          </cell>
          <cell r="G209">
            <v>8.76</v>
          </cell>
        </row>
        <row r="210">
          <cell r="A210" t="str">
            <v>P 05.100.04</v>
          </cell>
          <cell r="B210" t="str">
            <v>Alambrado c/tela galvanizada c/mourões de concreto h=2,00m</v>
          </cell>
          <cell r="C210" t="str">
            <v xml:space="preserve"> </v>
          </cell>
          <cell r="D210" t="str">
            <v xml:space="preserve"> </v>
          </cell>
          <cell r="E210" t="str">
            <v>m</v>
          </cell>
          <cell r="F210">
            <v>810</v>
          </cell>
          <cell r="G210">
            <v>38.340000000000003</v>
          </cell>
        </row>
        <row r="211">
          <cell r="A211" t="str">
            <v>P 05.100.05</v>
          </cell>
          <cell r="B211" t="str">
            <v xml:space="preserve">Portão duas folhas 4,20 x 2,00m, c/tela de aço galvanizado </v>
          </cell>
          <cell r="C211" t="str">
            <v xml:space="preserve"> </v>
          </cell>
          <cell r="D211" t="str">
            <v xml:space="preserve"> </v>
          </cell>
          <cell r="E211" t="str">
            <v>un</v>
          </cell>
          <cell r="F211">
            <v>1</v>
          </cell>
          <cell r="G211">
            <v>2020.74</v>
          </cell>
        </row>
        <row r="212">
          <cell r="A212" t="str">
            <v>P 05.300.00</v>
          </cell>
          <cell r="B212" t="str">
            <v>Abrigos para passageiros</v>
          </cell>
          <cell r="C212" t="str">
            <v xml:space="preserve"> </v>
          </cell>
          <cell r="D212" t="str">
            <v xml:space="preserve"> </v>
          </cell>
          <cell r="E212" t="str">
            <v>un</v>
          </cell>
          <cell r="F212">
            <v>7</v>
          </cell>
          <cell r="G212">
            <v>832.7</v>
          </cell>
        </row>
        <row r="213">
          <cell r="A213" t="str">
            <v>R1</v>
          </cell>
          <cell r="B213" t="str">
            <v>Remanejamento de Rede de Baixa Tensão (220/380V)</v>
          </cell>
          <cell r="C213" t="str">
            <v xml:space="preserve"> </v>
          </cell>
          <cell r="D213" t="str">
            <v xml:space="preserve"> </v>
          </cell>
          <cell r="E213" t="str">
            <v>m</v>
          </cell>
          <cell r="F213">
            <v>650</v>
          </cell>
          <cell r="G213">
            <v>4.7</v>
          </cell>
        </row>
        <row r="214">
          <cell r="A214" t="str">
            <v>R2</v>
          </cell>
          <cell r="B214" t="str">
            <v>Remanejamento de Rede de Alta Tensão (138kV)</v>
          </cell>
          <cell r="C214" t="str">
            <v xml:space="preserve"> </v>
          </cell>
          <cell r="D214" t="str">
            <v xml:space="preserve"> </v>
          </cell>
          <cell r="E214" t="str">
            <v>m</v>
          </cell>
          <cell r="F214">
            <v>930</v>
          </cell>
          <cell r="G214">
            <v>6.2</v>
          </cell>
        </row>
        <row r="215">
          <cell r="A215" t="str">
            <v>R8</v>
          </cell>
          <cell r="B215" t="str">
            <v>Remanejamento de Poste de Concreto 9/150</v>
          </cell>
          <cell r="C215" t="str">
            <v xml:space="preserve"> </v>
          </cell>
          <cell r="D215" t="str">
            <v xml:space="preserve"> </v>
          </cell>
          <cell r="E215" t="str">
            <v>un</v>
          </cell>
          <cell r="F215">
            <v>7</v>
          </cell>
          <cell r="G215">
            <v>75</v>
          </cell>
        </row>
        <row r="216">
          <cell r="A216" t="str">
            <v>R9</v>
          </cell>
          <cell r="B216" t="str">
            <v>Remanejamento de Poste de Concreto 9/300</v>
          </cell>
          <cell r="C216" t="str">
            <v xml:space="preserve"> </v>
          </cell>
          <cell r="D216" t="str">
            <v xml:space="preserve"> </v>
          </cell>
          <cell r="E216" t="str">
            <v>un</v>
          </cell>
          <cell r="F216">
            <v>2</v>
          </cell>
          <cell r="G216">
            <v>75</v>
          </cell>
        </row>
        <row r="217">
          <cell r="A217" t="str">
            <v>R22</v>
          </cell>
          <cell r="B217" t="str">
            <v>Remanejamento de Poste de Concreto 09/300 c/ transformador</v>
          </cell>
          <cell r="C217" t="str">
            <v xml:space="preserve"> </v>
          </cell>
          <cell r="D217" t="str">
            <v xml:space="preserve"> </v>
          </cell>
          <cell r="E217" t="str">
            <v>un</v>
          </cell>
          <cell r="F217">
            <v>1</v>
          </cell>
          <cell r="G217">
            <v>290</v>
          </cell>
        </row>
        <row r="218">
          <cell r="A218" t="str">
            <v>R10</v>
          </cell>
          <cell r="B218" t="str">
            <v>Remanejamento de Poste de Concreto 10/150</v>
          </cell>
          <cell r="C218" t="str">
            <v xml:space="preserve"> </v>
          </cell>
          <cell r="D218" t="str">
            <v xml:space="preserve"> </v>
          </cell>
          <cell r="E218" t="str">
            <v>un</v>
          </cell>
          <cell r="F218">
            <v>17</v>
          </cell>
          <cell r="G218">
            <v>75</v>
          </cell>
        </row>
        <row r="219">
          <cell r="A219" t="str">
            <v>R11</v>
          </cell>
          <cell r="B219" t="str">
            <v>Remanejamento de Poste de Concreto 10/300</v>
          </cell>
          <cell r="C219" t="str">
            <v xml:space="preserve"> </v>
          </cell>
          <cell r="D219" t="str">
            <v xml:space="preserve"> </v>
          </cell>
          <cell r="E219" t="str">
            <v>un</v>
          </cell>
          <cell r="F219">
            <v>16</v>
          </cell>
          <cell r="G219">
            <v>75</v>
          </cell>
        </row>
        <row r="220">
          <cell r="A220" t="str">
            <v>R12</v>
          </cell>
          <cell r="B220" t="str">
            <v>Remanejamento de Poste de Concreto 10/600</v>
          </cell>
          <cell r="C220" t="str">
            <v xml:space="preserve"> </v>
          </cell>
          <cell r="D220" t="str">
            <v xml:space="preserve"> </v>
          </cell>
          <cell r="E220" t="str">
            <v>un</v>
          </cell>
          <cell r="F220">
            <v>2</v>
          </cell>
          <cell r="G220">
            <v>75</v>
          </cell>
        </row>
        <row r="221">
          <cell r="A221" t="str">
            <v>R18</v>
          </cell>
          <cell r="B221" t="str">
            <v>Remanejamento de Poste de Concreto 10/150 c/ 3 pétalas (400W) instalado</v>
          </cell>
          <cell r="C221" t="str">
            <v xml:space="preserve"> </v>
          </cell>
          <cell r="D221" t="str">
            <v xml:space="preserve"> </v>
          </cell>
          <cell r="E221" t="str">
            <v>un</v>
          </cell>
          <cell r="F221">
            <v>2</v>
          </cell>
          <cell r="G221">
            <v>250</v>
          </cell>
        </row>
        <row r="222">
          <cell r="A222" t="str">
            <v>R25</v>
          </cell>
          <cell r="B222" t="str">
            <v>Remanejamento de Poste Metálico 20m c/ 3 pétalas instalado</v>
          </cell>
          <cell r="C222" t="str">
            <v xml:space="preserve"> </v>
          </cell>
          <cell r="D222" t="str">
            <v xml:space="preserve"> </v>
          </cell>
          <cell r="E222" t="str">
            <v>un</v>
          </cell>
          <cell r="F222">
            <v>1</v>
          </cell>
          <cell r="G222">
            <v>350</v>
          </cell>
        </row>
        <row r="223">
          <cell r="A223" t="str">
            <v>R26</v>
          </cell>
          <cell r="B223" t="str">
            <v>Remanejamento de Poste Metálico 20m c/ 4 pétalas instalado</v>
          </cell>
          <cell r="C223" t="str">
            <v xml:space="preserve"> </v>
          </cell>
          <cell r="D223" t="str">
            <v xml:space="preserve"> </v>
          </cell>
          <cell r="E223" t="str">
            <v>un</v>
          </cell>
          <cell r="F223">
            <v>2</v>
          </cell>
          <cell r="G223">
            <v>410</v>
          </cell>
        </row>
        <row r="224">
          <cell r="A224" t="str">
            <v>R3</v>
          </cell>
          <cell r="B224" t="str">
            <v>Remanejamento de Rede de Telefonia</v>
          </cell>
          <cell r="C224" t="str">
            <v xml:space="preserve"> </v>
          </cell>
          <cell r="D224" t="str">
            <v xml:space="preserve"> </v>
          </cell>
          <cell r="E224" t="str">
            <v>m</v>
          </cell>
          <cell r="F224">
            <v>360</v>
          </cell>
          <cell r="G224">
            <v>2</v>
          </cell>
        </row>
        <row r="225">
          <cell r="A225" t="str">
            <v>R28</v>
          </cell>
          <cell r="B225" t="str">
            <v>Remanejamento de Canalização de água em Ferro Fundido, 100mm</v>
          </cell>
          <cell r="C225" t="str">
            <v xml:space="preserve"> </v>
          </cell>
          <cell r="D225" t="str">
            <v xml:space="preserve"> </v>
          </cell>
          <cell r="E225" t="str">
            <v>m</v>
          </cell>
          <cell r="F225">
            <v>800</v>
          </cell>
          <cell r="G225">
            <v>234.18</v>
          </cell>
        </row>
        <row r="226">
          <cell r="B226" t="str">
            <v>Placas de aproximação( 02 unidades)p/Viaduto nº1</v>
          </cell>
        </row>
        <row r="227">
          <cell r="A227" t="str">
            <v>03.371.01</v>
          </cell>
          <cell r="B227" t="str">
            <v>Formas de placa compensada resinada</v>
          </cell>
          <cell r="C227" t="str">
            <v xml:space="preserve"> </v>
          </cell>
          <cell r="D227" t="str">
            <v xml:space="preserve"> </v>
          </cell>
          <cell r="E227" t="str">
            <v>m2</v>
          </cell>
          <cell r="F227">
            <v>16</v>
          </cell>
          <cell r="G227">
            <v>21.86</v>
          </cell>
        </row>
        <row r="228">
          <cell r="A228" t="str">
            <v>03.353.00</v>
          </cell>
          <cell r="B228" t="str">
            <v>Forn., preparo e colocação nas formas, de aço CA-50</v>
          </cell>
          <cell r="C228" t="str">
            <v xml:space="preserve"> </v>
          </cell>
          <cell r="D228" t="str">
            <v xml:space="preserve"> </v>
          </cell>
          <cell r="E228" t="str">
            <v>kg</v>
          </cell>
          <cell r="F228">
            <v>1814</v>
          </cell>
          <cell r="G228">
            <v>2.59</v>
          </cell>
        </row>
        <row r="229">
          <cell r="A229" t="str">
            <v>P 03.327.01</v>
          </cell>
          <cell r="B229" t="str">
            <v xml:space="preserve">Concreto fck= 25 MPa-contr. raz. uso ger. </v>
          </cell>
          <cell r="C229" t="str">
            <v xml:space="preserve"> </v>
          </cell>
          <cell r="D229" t="str">
            <v xml:space="preserve"> </v>
          </cell>
          <cell r="E229" t="str">
            <v>m3</v>
          </cell>
          <cell r="F229">
            <v>22</v>
          </cell>
          <cell r="G229">
            <v>163.22</v>
          </cell>
        </row>
        <row r="230">
          <cell r="B230" t="str">
            <v>Placas de aproximação( 02 unidades)p/Viaduto nº2</v>
          </cell>
        </row>
        <row r="231">
          <cell r="A231" t="str">
            <v>03.371.01</v>
          </cell>
          <cell r="B231" t="str">
            <v>Formas de placa compensada resinada</v>
          </cell>
          <cell r="C231" t="str">
            <v xml:space="preserve"> </v>
          </cell>
          <cell r="D231" t="str">
            <v xml:space="preserve"> </v>
          </cell>
          <cell r="E231" t="str">
            <v>m2</v>
          </cell>
          <cell r="F231">
            <v>16</v>
          </cell>
          <cell r="G231">
            <v>21.86</v>
          </cell>
        </row>
        <row r="232">
          <cell r="A232" t="str">
            <v>03.353.00</v>
          </cell>
          <cell r="B232" t="str">
            <v>Forn., preparo e colocação nas formas, de aço CA-50</v>
          </cell>
          <cell r="C232" t="str">
            <v xml:space="preserve"> </v>
          </cell>
          <cell r="D232" t="str">
            <v xml:space="preserve"> </v>
          </cell>
          <cell r="E232" t="str">
            <v>kg</v>
          </cell>
          <cell r="F232">
            <v>1814</v>
          </cell>
          <cell r="G232">
            <v>2.59</v>
          </cell>
        </row>
        <row r="233">
          <cell r="A233" t="str">
            <v>P 03.327.01</v>
          </cell>
          <cell r="B233" t="str">
            <v xml:space="preserve">Concreto fck= 25 MPa-contr. raz. uso ger. </v>
          </cell>
          <cell r="C233" t="str">
            <v xml:space="preserve"> </v>
          </cell>
          <cell r="D233" t="str">
            <v xml:space="preserve"> </v>
          </cell>
          <cell r="E233" t="str">
            <v>m3</v>
          </cell>
          <cell r="F233">
            <v>22</v>
          </cell>
          <cell r="G233">
            <v>163.22</v>
          </cell>
        </row>
        <row r="235">
          <cell r="G235" t="str">
            <v>SUB-TOTAL</v>
          </cell>
        </row>
        <row r="237">
          <cell r="G237" t="str">
            <v>TOTAL</v>
          </cell>
        </row>
      </sheetData>
      <sheetData sheetId="8">
        <row r="14">
          <cell r="A14" t="str">
            <v>01.000.00</v>
          </cell>
          <cell r="B14" t="str">
            <v>Desmatamento,destocamento e limpeza de área com árvore até 0,15m</v>
          </cell>
          <cell r="C14" t="str">
            <v>DNER-ES278/97</v>
          </cell>
          <cell r="D14" t="str">
            <v xml:space="preserve"> </v>
          </cell>
          <cell r="E14" t="str">
            <v>m2</v>
          </cell>
          <cell r="F14">
            <v>36000</v>
          </cell>
          <cell r="G14">
            <v>7.0000000000000007E-2</v>
          </cell>
        </row>
        <row r="15">
          <cell r="A15" t="str">
            <v>01.010.00</v>
          </cell>
          <cell r="B15" t="str">
            <v>Desmatamento e destocamento árvores de 0,15m a 0,30m</v>
          </cell>
          <cell r="C15" t="str">
            <v>DNER-ES278/97</v>
          </cell>
          <cell r="D15" t="str">
            <v xml:space="preserve"> </v>
          </cell>
          <cell r="E15" t="str">
            <v>un</v>
          </cell>
          <cell r="F15">
            <v>360</v>
          </cell>
          <cell r="G15">
            <v>8.92</v>
          </cell>
        </row>
        <row r="16">
          <cell r="A16" t="str">
            <v>01.011.00</v>
          </cell>
          <cell r="B16" t="str">
            <v>Desmatamento e destocamento árvores superior a 0,30m</v>
          </cell>
          <cell r="C16" t="str">
            <v>DNER-ES278/97</v>
          </cell>
          <cell r="D16" t="str">
            <v xml:space="preserve"> </v>
          </cell>
          <cell r="E16" t="str">
            <v>un</v>
          </cell>
          <cell r="F16">
            <v>180</v>
          </cell>
          <cell r="G16">
            <v>26.75</v>
          </cell>
        </row>
        <row r="17">
          <cell r="A17" t="str">
            <v>01.100.01</v>
          </cell>
          <cell r="B17" t="str">
            <v>Escavação,carga e transportes de material de 1a  categoria DMT &lt;= 50m</v>
          </cell>
          <cell r="C17" t="str">
            <v>DNER-ES280/97</v>
          </cell>
          <cell r="D17" t="str">
            <v xml:space="preserve"> </v>
          </cell>
          <cell r="E17" t="str">
            <v>m3</v>
          </cell>
          <cell r="F17">
            <v>1000</v>
          </cell>
          <cell r="G17">
            <v>0.62</v>
          </cell>
        </row>
        <row r="18">
          <cell r="A18" t="str">
            <v>01.100.12</v>
          </cell>
          <cell r="B18" t="str">
            <v>Escavação,carga e transportes de material de 1a categoria DMT= 600 a 800m</v>
          </cell>
          <cell r="C18" t="str">
            <v>DNER-ES280/97</v>
          </cell>
          <cell r="D18" t="str">
            <v xml:space="preserve"> </v>
          </cell>
          <cell r="E18" t="str">
            <v>m3</v>
          </cell>
          <cell r="F18">
            <v>325</v>
          </cell>
          <cell r="G18">
            <v>2.19</v>
          </cell>
        </row>
        <row r="19">
          <cell r="A19" t="str">
            <v>01.100.18</v>
          </cell>
          <cell r="B19" t="str">
            <v>Escavação,carga e transportes de material de 1a categoria DMT= 1800 a 2000m</v>
          </cell>
          <cell r="C19" t="str">
            <v>DNER-ES280/97</v>
          </cell>
          <cell r="D19" t="str">
            <v xml:space="preserve"> </v>
          </cell>
          <cell r="E19" t="str">
            <v>m3</v>
          </cell>
          <cell r="F19">
            <v>2295</v>
          </cell>
          <cell r="G19">
            <v>2.92</v>
          </cell>
        </row>
        <row r="20">
          <cell r="A20" t="str">
            <v>01.100.19</v>
          </cell>
          <cell r="B20" t="str">
            <v>Escavação,carga e transportes de material de 1a categoria DMT= 2000 a 3000m</v>
          </cell>
          <cell r="C20" t="str">
            <v>DNER-ES280/97</v>
          </cell>
          <cell r="D20" t="str">
            <v xml:space="preserve"> </v>
          </cell>
          <cell r="E20" t="str">
            <v>m3</v>
          </cell>
          <cell r="F20">
            <v>4475</v>
          </cell>
          <cell r="G20">
            <v>3.26</v>
          </cell>
        </row>
        <row r="21">
          <cell r="A21" t="str">
            <v>DER50260</v>
          </cell>
          <cell r="B21" t="str">
            <v>Esc.  Carga e Transp. de mat. 1a cat. c/ CB 5000&lt;DMT&lt;6000m</v>
          </cell>
          <cell r="C21" t="str">
            <v xml:space="preserve"> </v>
          </cell>
          <cell r="D21" t="str">
            <v xml:space="preserve"> </v>
          </cell>
          <cell r="E21" t="str">
            <v>m3</v>
          </cell>
          <cell r="F21">
            <v>1223</v>
          </cell>
          <cell r="G21">
            <v>4.29</v>
          </cell>
        </row>
        <row r="22">
          <cell r="A22" t="str">
            <v>DER50290</v>
          </cell>
          <cell r="B22" t="str">
            <v>Esc.  Carga e Transp. de mat. 1a cat. c/ CB 8000&lt;DMT&lt;9000m</v>
          </cell>
          <cell r="C22" t="str">
            <v xml:space="preserve"> </v>
          </cell>
          <cell r="D22" t="str">
            <v xml:space="preserve"> </v>
          </cell>
          <cell r="E22" t="str">
            <v>m3</v>
          </cell>
          <cell r="F22">
            <v>2097</v>
          </cell>
          <cell r="G22">
            <v>5.79</v>
          </cell>
        </row>
        <row r="23">
          <cell r="A23" t="str">
            <v>01.101.12</v>
          </cell>
          <cell r="B23" t="str">
            <v>Escavação,carga e transportes de material de 2a categoria,c/CB,  DMT 600 a 800m</v>
          </cell>
          <cell r="C23" t="str">
            <v>DNER-ES280/97</v>
          </cell>
          <cell r="D23" t="str">
            <v xml:space="preserve"> </v>
          </cell>
          <cell r="E23" t="str">
            <v>m3</v>
          </cell>
          <cell r="F23">
            <v>2276</v>
          </cell>
          <cell r="G23">
            <v>3.23</v>
          </cell>
        </row>
        <row r="24">
          <cell r="A24" t="str">
            <v>01.101.18</v>
          </cell>
          <cell r="B24" t="str">
            <v>Escavação,carga e transportes de material de 2a categoria,c/CB,  DMT 1800 a 2000m</v>
          </cell>
          <cell r="C24" t="str">
            <v>DNER-ES280/97</v>
          </cell>
          <cell r="D24" t="str">
            <v xml:space="preserve"> </v>
          </cell>
          <cell r="E24" t="str">
            <v>m3</v>
          </cell>
          <cell r="F24">
            <v>2295</v>
          </cell>
          <cell r="G24">
            <v>4.1399999999999997</v>
          </cell>
        </row>
        <row r="25">
          <cell r="A25" t="str">
            <v>01.101.19</v>
          </cell>
          <cell r="B25" t="str">
            <v>Escavação,carga e transportes de material de 2a categoria,c/CB,  DMT 2000 a 3000m</v>
          </cell>
          <cell r="C25" t="str">
            <v>DNER-ES280/97</v>
          </cell>
          <cell r="D25" t="str">
            <v xml:space="preserve"> </v>
          </cell>
          <cell r="E25" t="str">
            <v>m3</v>
          </cell>
          <cell r="F25">
            <v>5527</v>
          </cell>
          <cell r="G25">
            <v>4.51</v>
          </cell>
        </row>
        <row r="26">
          <cell r="A26" t="str">
            <v>DER51250</v>
          </cell>
          <cell r="B26" t="str">
            <v>Escavação,carga e transportes de material de 2a categoria DMT 5000 a 6000m</v>
          </cell>
          <cell r="C26" t="str">
            <v xml:space="preserve"> </v>
          </cell>
          <cell r="D26" t="str">
            <v xml:space="preserve"> </v>
          </cell>
          <cell r="E26" t="str">
            <v>m3</v>
          </cell>
          <cell r="F26">
            <v>1842</v>
          </cell>
          <cell r="G26">
            <v>5.7</v>
          </cell>
        </row>
        <row r="27">
          <cell r="A27" t="str">
            <v>DER51280</v>
          </cell>
          <cell r="B27" t="str">
            <v>Escavação,carga e transportes de material de 2a categoria DMT 8000 a 9000m</v>
          </cell>
          <cell r="C27" t="str">
            <v xml:space="preserve"> </v>
          </cell>
          <cell r="D27" t="str">
            <v xml:space="preserve"> </v>
          </cell>
          <cell r="E27" t="str">
            <v>m3</v>
          </cell>
          <cell r="F27">
            <v>2097</v>
          </cell>
          <cell r="G27">
            <v>7.48</v>
          </cell>
        </row>
        <row r="28">
          <cell r="A28" t="str">
            <v>DER51310</v>
          </cell>
          <cell r="B28" t="str">
            <v>Escavação,carga e transportes de material de 2a categoria DMT 12000 a 14000m</v>
          </cell>
          <cell r="C28" t="str">
            <v xml:space="preserve"> </v>
          </cell>
          <cell r="D28" t="str">
            <v xml:space="preserve"> </v>
          </cell>
          <cell r="E28" t="str">
            <v>m3</v>
          </cell>
          <cell r="F28">
            <v>4665</v>
          </cell>
          <cell r="G28">
            <v>10.14</v>
          </cell>
        </row>
        <row r="29">
          <cell r="A29" t="str">
            <v>DER51320</v>
          </cell>
          <cell r="B29" t="str">
            <v>Escavação,carga e transportes de material de 2a categoria DMT 14000 a 16000m</v>
          </cell>
          <cell r="C29" t="str">
            <v xml:space="preserve"> </v>
          </cell>
          <cell r="D29" t="str">
            <v xml:space="preserve"> </v>
          </cell>
          <cell r="E29" t="str">
            <v>m3</v>
          </cell>
          <cell r="F29">
            <v>8592</v>
          </cell>
          <cell r="G29">
            <v>11.31</v>
          </cell>
        </row>
        <row r="30">
          <cell r="A30" t="str">
            <v>DER51360</v>
          </cell>
          <cell r="B30" t="str">
            <v>Escavação,carga e transportes de material de 2a categoria DMT 22000 a 24000m</v>
          </cell>
          <cell r="C30" t="str">
            <v xml:space="preserve"> </v>
          </cell>
          <cell r="D30" t="str">
            <v xml:space="preserve"> </v>
          </cell>
          <cell r="E30" t="str">
            <v>m3</v>
          </cell>
          <cell r="F30">
            <v>1500</v>
          </cell>
          <cell r="G30">
            <v>16.04</v>
          </cell>
        </row>
        <row r="31">
          <cell r="A31" t="str">
            <v>DER52090</v>
          </cell>
          <cell r="B31" t="str">
            <v>Esc. Carga e Transp. de solos moles 600&lt;DMT&lt;=800m</v>
          </cell>
          <cell r="C31" t="str">
            <v xml:space="preserve"> </v>
          </cell>
          <cell r="D31" t="str">
            <v xml:space="preserve"> </v>
          </cell>
          <cell r="E31" t="str">
            <v>m3</v>
          </cell>
          <cell r="F31">
            <v>8592</v>
          </cell>
          <cell r="G31">
            <v>4.6399999999999997</v>
          </cell>
        </row>
        <row r="32">
          <cell r="A32" t="str">
            <v>DER52095</v>
          </cell>
          <cell r="B32" t="str">
            <v>Esc. Carga e Transp. de solos moles 800&lt;DMT&lt;=1000m</v>
          </cell>
          <cell r="C32" t="str">
            <v xml:space="preserve"> </v>
          </cell>
          <cell r="D32" t="str">
            <v xml:space="preserve"> </v>
          </cell>
          <cell r="E32" t="str">
            <v>m3</v>
          </cell>
          <cell r="F32">
            <v>2097</v>
          </cell>
          <cell r="G32">
            <v>4.7</v>
          </cell>
        </row>
        <row r="33">
          <cell r="A33" t="str">
            <v>DER52105</v>
          </cell>
          <cell r="B33" t="str">
            <v>Esc. Carga e Transp. de solos moles 2000&lt;DMT&lt;=3000m</v>
          </cell>
          <cell r="C33" t="str">
            <v xml:space="preserve"> </v>
          </cell>
          <cell r="D33" t="str">
            <v xml:space="preserve"> </v>
          </cell>
          <cell r="E33" t="str">
            <v>m3</v>
          </cell>
          <cell r="F33">
            <v>1010</v>
          </cell>
          <cell r="G33">
            <v>5.77</v>
          </cell>
        </row>
        <row r="34">
          <cell r="A34" t="str">
            <v>DER52106</v>
          </cell>
          <cell r="B34" t="str">
            <v>Esc. Carga e Transp. de solos moles 3000&lt;DMT&lt;=4000m</v>
          </cell>
          <cell r="C34" t="str">
            <v xml:space="preserve"> </v>
          </cell>
          <cell r="D34" t="str">
            <v xml:space="preserve"> </v>
          </cell>
          <cell r="E34" t="str">
            <v>m3</v>
          </cell>
          <cell r="F34">
            <v>3665</v>
          </cell>
          <cell r="G34">
            <v>6.37</v>
          </cell>
        </row>
        <row r="35">
          <cell r="A35" t="str">
            <v>01.510.00</v>
          </cell>
          <cell r="B35" t="str">
            <v>Compactação de aterros a 95% Proctor Normal</v>
          </cell>
          <cell r="C35" t="str">
            <v>DNER-ES282/97</v>
          </cell>
          <cell r="D35" t="str">
            <v xml:space="preserve"> </v>
          </cell>
          <cell r="E35" t="str">
            <v>m3</v>
          </cell>
          <cell r="F35">
            <v>5906</v>
          </cell>
          <cell r="G35">
            <v>0.79</v>
          </cell>
        </row>
        <row r="36">
          <cell r="A36" t="str">
            <v>01.511.00</v>
          </cell>
          <cell r="B36" t="str">
            <v>Compactação de aterros a 100% Proctor Normal</v>
          </cell>
          <cell r="C36" t="str">
            <v>DNER-ES282/97</v>
          </cell>
          <cell r="D36" t="str">
            <v xml:space="preserve"> </v>
          </cell>
          <cell r="E36" t="str">
            <v>m3</v>
          </cell>
          <cell r="F36">
            <v>3477</v>
          </cell>
          <cell r="G36">
            <v>1.36</v>
          </cell>
        </row>
        <row r="37">
          <cell r="F37" t="str">
            <v>SUB-TOTAL</v>
          </cell>
        </row>
        <row r="39">
          <cell r="B39" t="str">
            <v>PAVIMENTAÇÃO</v>
          </cell>
        </row>
        <row r="40">
          <cell r="A40" t="str">
            <v>02.000.00</v>
          </cell>
          <cell r="B40" t="str">
            <v>Regularização do subleito</v>
          </cell>
          <cell r="C40" t="str">
            <v xml:space="preserve"> </v>
          </cell>
          <cell r="D40" t="str">
            <v xml:space="preserve"> </v>
          </cell>
          <cell r="E40" t="str">
            <v>m2</v>
          </cell>
          <cell r="F40">
            <v>11690</v>
          </cell>
          <cell r="G40">
            <v>0.3</v>
          </cell>
        </row>
        <row r="41">
          <cell r="A41" t="str">
            <v>P01.401.00</v>
          </cell>
          <cell r="B41" t="str">
            <v>Revestimento Primário</v>
          </cell>
          <cell r="C41" t="str">
            <v xml:space="preserve"> </v>
          </cell>
          <cell r="D41" t="str">
            <v xml:space="preserve"> </v>
          </cell>
          <cell r="E41" t="str">
            <v>m3</v>
          </cell>
          <cell r="F41">
            <v>2245</v>
          </cell>
          <cell r="G41">
            <v>11.75</v>
          </cell>
        </row>
        <row r="42">
          <cell r="F42" t="str">
            <v>SUB-TOTAL</v>
          </cell>
        </row>
        <row r="43">
          <cell r="B43" t="str">
            <v>DRENAGEM</v>
          </cell>
        </row>
        <row r="44">
          <cell r="A44" t="str">
            <v>04.000.00</v>
          </cell>
          <cell r="B44" t="str">
            <v>Escavação manual em material de 1a categoria</v>
          </cell>
          <cell r="C44" t="str">
            <v xml:space="preserve"> </v>
          </cell>
          <cell r="D44" t="str">
            <v xml:space="preserve"> </v>
          </cell>
          <cell r="E44" t="str">
            <v>m3</v>
          </cell>
          <cell r="F44">
            <v>52</v>
          </cell>
          <cell r="G44">
            <v>17.57</v>
          </cell>
        </row>
        <row r="45">
          <cell r="A45" t="str">
            <v>04.001.00</v>
          </cell>
          <cell r="B45" t="str">
            <v>Escavação mecânica em material de 1a categoria</v>
          </cell>
          <cell r="C45" t="str">
            <v xml:space="preserve"> </v>
          </cell>
          <cell r="D45" t="str">
            <v xml:space="preserve"> </v>
          </cell>
          <cell r="E45" t="str">
            <v>m3</v>
          </cell>
          <cell r="F45">
            <v>1344</v>
          </cell>
          <cell r="G45">
            <v>2.09</v>
          </cell>
        </row>
        <row r="46">
          <cell r="A46" t="str">
            <v>04.001.01</v>
          </cell>
          <cell r="B46" t="str">
            <v>Escavação mecânica,reaterro e compactação (material de 1a categoria)</v>
          </cell>
          <cell r="C46" t="str">
            <v xml:space="preserve"> </v>
          </cell>
          <cell r="D46" t="str">
            <v xml:space="preserve"> </v>
          </cell>
          <cell r="E46" t="str">
            <v>m3</v>
          </cell>
          <cell r="F46">
            <v>255</v>
          </cell>
          <cell r="G46">
            <v>3.03</v>
          </cell>
        </row>
        <row r="47">
          <cell r="A47" t="str">
            <v>04.401.02</v>
          </cell>
          <cell r="B47" t="str">
            <v>Valeta de prot. de aterro c/ revest. vegetal VPA 02</v>
          </cell>
          <cell r="C47" t="str">
            <v xml:space="preserve"> </v>
          </cell>
          <cell r="D47" t="str">
            <v xml:space="preserve"> </v>
          </cell>
          <cell r="E47" t="str">
            <v>m</v>
          </cell>
          <cell r="F47">
            <v>517</v>
          </cell>
          <cell r="G47">
            <v>24.32</v>
          </cell>
        </row>
        <row r="48">
          <cell r="A48" t="str">
            <v>04.900.21</v>
          </cell>
          <cell r="B48" t="str">
            <v>Sarjeta de cant. central de concreto-SCC 01</v>
          </cell>
          <cell r="C48" t="str">
            <v>DNER-ES288/97</v>
          </cell>
          <cell r="D48" t="str">
            <v xml:space="preserve"> </v>
          </cell>
          <cell r="E48" t="str">
            <v>m</v>
          </cell>
          <cell r="F48">
            <v>627</v>
          </cell>
          <cell r="G48">
            <v>13.85</v>
          </cell>
        </row>
        <row r="49">
          <cell r="A49" t="str">
            <v>04.900.22</v>
          </cell>
          <cell r="B49" t="str">
            <v>Sarjeta de cant. central de concreto-SCC 02</v>
          </cell>
          <cell r="C49" t="str">
            <v>DNER-ES288/97</v>
          </cell>
          <cell r="D49" t="str">
            <v xml:space="preserve"> </v>
          </cell>
          <cell r="E49" t="str">
            <v>m</v>
          </cell>
          <cell r="F49">
            <v>110</v>
          </cell>
          <cell r="G49">
            <v>19.170000000000002</v>
          </cell>
        </row>
        <row r="50">
          <cell r="A50" t="str">
            <v>04.900.33</v>
          </cell>
          <cell r="B50" t="str">
            <v>Sarjeta triangular de grama-STG 03</v>
          </cell>
          <cell r="C50" t="str">
            <v xml:space="preserve"> </v>
          </cell>
          <cell r="D50" t="str">
            <v xml:space="preserve"> </v>
          </cell>
          <cell r="E50" t="str">
            <v>m</v>
          </cell>
          <cell r="F50">
            <v>451</v>
          </cell>
          <cell r="G50">
            <v>10.61</v>
          </cell>
        </row>
        <row r="51">
          <cell r="A51" t="str">
            <v>04.900.34</v>
          </cell>
          <cell r="B51" t="str">
            <v>Sarjeta triangular de grama-STG 04</v>
          </cell>
          <cell r="C51" t="str">
            <v xml:space="preserve"> </v>
          </cell>
          <cell r="D51" t="str">
            <v xml:space="preserve"> </v>
          </cell>
          <cell r="E51" t="str">
            <v>m</v>
          </cell>
          <cell r="F51">
            <v>715</v>
          </cell>
          <cell r="G51">
            <v>8.4700000000000006</v>
          </cell>
        </row>
        <row r="52">
          <cell r="F52" t="str">
            <v>SUB-TOTAL</v>
          </cell>
        </row>
        <row r="54">
          <cell r="B54" t="str">
            <v>OBRAS DE ARTE CORRENTES</v>
          </cell>
        </row>
        <row r="55">
          <cell r="A55" t="str">
            <v>04.001.00</v>
          </cell>
          <cell r="B55" t="str">
            <v>Escavação mecânica em material de 1a categoria</v>
          </cell>
          <cell r="C55" t="str">
            <v xml:space="preserve"> </v>
          </cell>
          <cell r="D55" t="str">
            <v xml:space="preserve"> </v>
          </cell>
          <cell r="E55" t="str">
            <v>m3</v>
          </cell>
          <cell r="F55">
            <v>1075.2</v>
          </cell>
          <cell r="G55">
            <v>2.09</v>
          </cell>
        </row>
        <row r="56">
          <cell r="A56" t="str">
            <v>04.001.01</v>
          </cell>
          <cell r="B56" t="str">
            <v>Escavação mecânica,reaterro e compactação (material de 1a categoria)</v>
          </cell>
          <cell r="C56" t="str">
            <v xml:space="preserve"> </v>
          </cell>
          <cell r="D56" t="str">
            <v xml:space="preserve"> </v>
          </cell>
          <cell r="E56" t="str">
            <v>m3</v>
          </cell>
          <cell r="F56">
            <v>1020</v>
          </cell>
          <cell r="G56">
            <v>3.03</v>
          </cell>
        </row>
        <row r="57">
          <cell r="A57" t="str">
            <v>04.100.02</v>
          </cell>
          <cell r="B57" t="str">
            <v>Corpo de BSTC D=0.80m</v>
          </cell>
          <cell r="C57" t="str">
            <v>DNER-ES284/97</v>
          </cell>
          <cell r="D57" t="str">
            <v xml:space="preserve"> </v>
          </cell>
          <cell r="E57" t="str">
            <v xml:space="preserve">m </v>
          </cell>
          <cell r="F57">
            <v>65</v>
          </cell>
          <cell r="G57">
            <v>201.98</v>
          </cell>
        </row>
        <row r="58">
          <cell r="A58" t="str">
            <v>04.101.02</v>
          </cell>
          <cell r="B58" t="str">
            <v>Boca de BSTC D=0.80m-normal</v>
          </cell>
          <cell r="C58" t="str">
            <v xml:space="preserve"> </v>
          </cell>
          <cell r="D58" t="str">
            <v xml:space="preserve"> </v>
          </cell>
          <cell r="E58" t="str">
            <v>un</v>
          </cell>
          <cell r="F58">
            <v>4</v>
          </cell>
          <cell r="G58">
            <v>494.05</v>
          </cell>
        </row>
        <row r="59">
          <cell r="A59" t="str">
            <v>DER72950</v>
          </cell>
          <cell r="B59" t="str">
            <v>Boca de BSTC D=2,00m-normal</v>
          </cell>
          <cell r="C59" t="str">
            <v xml:space="preserve"> </v>
          </cell>
          <cell r="D59" t="str">
            <v xml:space="preserve"> </v>
          </cell>
          <cell r="E59" t="str">
            <v>un</v>
          </cell>
          <cell r="F59">
            <v>2</v>
          </cell>
          <cell r="G59">
            <v>1469.87</v>
          </cell>
        </row>
        <row r="60">
          <cell r="A60" t="str">
            <v>P04.110.00</v>
          </cell>
          <cell r="B60" t="str">
            <v>Corpo de BDTC D=0.80m c/ laje de concreto</v>
          </cell>
          <cell r="C60" t="str">
            <v xml:space="preserve"> </v>
          </cell>
          <cell r="D60" t="str">
            <v xml:space="preserve"> </v>
          </cell>
          <cell r="E60" t="str">
            <v>m</v>
          </cell>
          <cell r="F60">
            <v>92</v>
          </cell>
          <cell r="G60">
            <v>335.3</v>
          </cell>
        </row>
        <row r="61">
          <cell r="A61" t="str">
            <v>P04.111.01</v>
          </cell>
          <cell r="B61" t="str">
            <v>Boca de BDTC D=0.80m</v>
          </cell>
          <cell r="C61" t="str">
            <v xml:space="preserve"> </v>
          </cell>
          <cell r="D61" t="str">
            <v xml:space="preserve"> </v>
          </cell>
          <cell r="E61" t="str">
            <v>un</v>
          </cell>
          <cell r="F61">
            <v>4</v>
          </cell>
          <cell r="G61">
            <v>560.76</v>
          </cell>
        </row>
        <row r="62">
          <cell r="A62" t="str">
            <v>04.200.02</v>
          </cell>
          <cell r="B62" t="str">
            <v>Corpo de BSCC 2.00x2.00m-H=0 a 1.00m</v>
          </cell>
          <cell r="C62" t="str">
            <v>DNER-ES286/97</v>
          </cell>
          <cell r="D62" t="str">
            <v xml:space="preserve"> </v>
          </cell>
          <cell r="E62" t="str">
            <v>m</v>
          </cell>
          <cell r="F62">
            <v>21</v>
          </cell>
          <cell r="G62">
            <v>737.8</v>
          </cell>
        </row>
        <row r="63">
          <cell r="A63" t="str">
            <v>04.201.02</v>
          </cell>
          <cell r="B63" t="str">
            <v>Boca de BSCC 2.00x2.00m - normal</v>
          </cell>
          <cell r="C63" t="str">
            <v xml:space="preserve"> </v>
          </cell>
          <cell r="D63" t="str">
            <v xml:space="preserve"> </v>
          </cell>
          <cell r="E63" t="str">
            <v>un</v>
          </cell>
          <cell r="F63">
            <v>2</v>
          </cell>
          <cell r="G63">
            <v>4874.24</v>
          </cell>
        </row>
        <row r="64">
          <cell r="A64" t="str">
            <v>P 04.100.21</v>
          </cell>
          <cell r="B64" t="str">
            <v>Tunnel liner plate, c/Epoxy-bonded, D=2,00m, E=2,70mm</v>
          </cell>
          <cell r="C64" t="str">
            <v xml:space="preserve"> </v>
          </cell>
          <cell r="D64" t="str">
            <v xml:space="preserve"> </v>
          </cell>
          <cell r="E64" t="str">
            <v>m</v>
          </cell>
          <cell r="F64">
            <v>44.5</v>
          </cell>
          <cell r="G64">
            <v>1370.71</v>
          </cell>
        </row>
        <row r="65">
          <cell r="A65" t="str">
            <v>04.999.02</v>
          </cell>
          <cell r="B65" t="str">
            <v>Demolição de dispositivos de concreto</v>
          </cell>
          <cell r="C65" t="str">
            <v>DNER-ES296/97</v>
          </cell>
          <cell r="D65" t="str">
            <v xml:space="preserve"> </v>
          </cell>
          <cell r="E65" t="str">
            <v>m3</v>
          </cell>
          <cell r="F65">
            <v>25</v>
          </cell>
          <cell r="G65">
            <v>12.58</v>
          </cell>
        </row>
        <row r="66">
          <cell r="F66" t="str">
            <v>SUB-TOTAL</v>
          </cell>
        </row>
        <row r="67">
          <cell r="B67" t="str">
            <v>OBRAS COMPLEMENTARES</v>
          </cell>
        </row>
        <row r="68">
          <cell r="A68" t="str">
            <v>05.100.00</v>
          </cell>
          <cell r="B68" t="str">
            <v>Enleivamento</v>
          </cell>
          <cell r="C68" t="str">
            <v>DNER-ES341/97</v>
          </cell>
          <cell r="D68" t="str">
            <v xml:space="preserve"> </v>
          </cell>
          <cell r="E68" t="str">
            <v>m2</v>
          </cell>
          <cell r="F68">
            <v>8136</v>
          </cell>
          <cell r="G68">
            <v>2.06</v>
          </cell>
        </row>
        <row r="69">
          <cell r="A69" t="str">
            <v>05.102.00</v>
          </cell>
          <cell r="B69" t="str">
            <v>Hidrossemeadura</v>
          </cell>
          <cell r="C69" t="str">
            <v>DNER-ES341/97</v>
          </cell>
          <cell r="D69" t="str">
            <v xml:space="preserve"> </v>
          </cell>
          <cell r="E69" t="str">
            <v>m2</v>
          </cell>
          <cell r="F69">
            <v>420</v>
          </cell>
          <cell r="G69">
            <v>0.49</v>
          </cell>
        </row>
        <row r="70">
          <cell r="A70" t="str">
            <v>P 05.100.02</v>
          </cell>
          <cell r="B70" t="str">
            <v>Fornecimento e plantio de árvore selecionada</v>
          </cell>
          <cell r="C70" t="str">
            <v xml:space="preserve"> </v>
          </cell>
          <cell r="D70" t="str">
            <v xml:space="preserve"> </v>
          </cell>
          <cell r="E70" t="str">
            <v>un</v>
          </cell>
          <cell r="F70">
            <v>95</v>
          </cell>
          <cell r="G70">
            <v>6.02</v>
          </cell>
        </row>
      </sheetData>
      <sheetData sheetId="9">
        <row r="14">
          <cell r="A14" t="str">
            <v>01.000.00</v>
          </cell>
          <cell r="B14" t="str">
            <v>Desmatamento,destocamento e limpeza de área com árvore até 0,15m</v>
          </cell>
          <cell r="C14" t="str">
            <v>DNER-ES278/97</v>
          </cell>
          <cell r="D14" t="str">
            <v xml:space="preserve"> </v>
          </cell>
          <cell r="E14" t="str">
            <v>m2</v>
          </cell>
          <cell r="F14">
            <v>154200</v>
          </cell>
          <cell r="G14">
            <v>7.0000000000000007E-2</v>
          </cell>
        </row>
        <row r="15">
          <cell r="A15" t="str">
            <v>01.010.00</v>
          </cell>
          <cell r="B15" t="str">
            <v>Desmatamento e destocamento árvores de 0,15m a 0,30m</v>
          </cell>
          <cell r="C15" t="str">
            <v>DNER-ES278/97</v>
          </cell>
          <cell r="D15" t="str">
            <v xml:space="preserve"> </v>
          </cell>
          <cell r="E15" t="str">
            <v>un</v>
          </cell>
          <cell r="F15">
            <v>1542</v>
          </cell>
          <cell r="G15">
            <v>8.92</v>
          </cell>
        </row>
        <row r="16">
          <cell r="A16" t="str">
            <v>01.011.00</v>
          </cell>
          <cell r="B16" t="str">
            <v>Desmatamento e destocamento árvores superior a 0,30m</v>
          </cell>
          <cell r="C16" t="str">
            <v>DNER-ES278/97</v>
          </cell>
          <cell r="D16" t="str">
            <v xml:space="preserve"> </v>
          </cell>
          <cell r="E16" t="str">
            <v>un</v>
          </cell>
          <cell r="F16">
            <v>771</v>
          </cell>
          <cell r="G16">
            <v>26.75</v>
          </cell>
        </row>
        <row r="17">
          <cell r="A17" t="str">
            <v>01.100.01</v>
          </cell>
          <cell r="B17" t="str">
            <v>Escavação,carga e transportes de material de 1a  categoria DMT &lt;= 50m</v>
          </cell>
          <cell r="C17" t="str">
            <v>DNER-ES280/97</v>
          </cell>
          <cell r="D17" t="str">
            <v xml:space="preserve"> </v>
          </cell>
          <cell r="E17" t="str">
            <v>m3</v>
          </cell>
          <cell r="F17">
            <v>1000</v>
          </cell>
          <cell r="G17">
            <v>0.62</v>
          </cell>
        </row>
        <row r="18">
          <cell r="A18" t="str">
            <v>01.100.09</v>
          </cell>
          <cell r="B18" t="str">
            <v>Escavação,carga e transportes de material de 1a categoria DMT= 50 a 200m</v>
          </cell>
          <cell r="C18" t="str">
            <v>DNER-ES280/97</v>
          </cell>
          <cell r="D18" t="str">
            <v xml:space="preserve"> </v>
          </cell>
          <cell r="E18" t="str">
            <v>m3</v>
          </cell>
          <cell r="F18">
            <v>3580</v>
          </cell>
          <cell r="G18">
            <v>1.89</v>
          </cell>
        </row>
        <row r="19">
          <cell r="A19" t="str">
            <v>01.100.10</v>
          </cell>
          <cell r="B19" t="str">
            <v>Escavação,carga e transportes de material de 1a categoria DMT= 200 a 400m</v>
          </cell>
          <cell r="C19" t="str">
            <v>DNER-ES280/97</v>
          </cell>
          <cell r="D19" t="str">
            <v xml:space="preserve"> </v>
          </cell>
          <cell r="E19" t="str">
            <v>m3</v>
          </cell>
          <cell r="F19">
            <v>389</v>
          </cell>
          <cell r="G19">
            <v>1.98</v>
          </cell>
        </row>
        <row r="20">
          <cell r="A20" t="str">
            <v>01.100.11</v>
          </cell>
          <cell r="B20" t="str">
            <v>Escavação,carga e transportes de material de 1a categoria DMT= 400 a 600m</v>
          </cell>
          <cell r="C20" t="str">
            <v>DNER-ES280/97</v>
          </cell>
          <cell r="D20" t="str">
            <v xml:space="preserve"> </v>
          </cell>
          <cell r="E20" t="str">
            <v>m3</v>
          </cell>
          <cell r="F20">
            <v>1207</v>
          </cell>
          <cell r="G20">
            <v>2.12</v>
          </cell>
        </row>
        <row r="21">
          <cell r="A21" t="str">
            <v>01.100.12</v>
          </cell>
          <cell r="B21" t="str">
            <v>Escavação,carga e transportes de material de 1a categoria DMT= 600 a 800m</v>
          </cell>
          <cell r="C21" t="str">
            <v>DNER-ES280/97</v>
          </cell>
          <cell r="D21" t="str">
            <v xml:space="preserve"> </v>
          </cell>
          <cell r="E21" t="str">
            <v>m3</v>
          </cell>
          <cell r="F21">
            <v>2411</v>
          </cell>
          <cell r="G21">
            <v>2.19</v>
          </cell>
        </row>
        <row r="22">
          <cell r="A22" t="str">
            <v>01.100.13</v>
          </cell>
          <cell r="B22" t="str">
            <v>Escavação,carga e transportes de material de 1a categoria DMT= 800 a 1000m</v>
          </cell>
          <cell r="C22" t="str">
            <v>DNER-ES280/97</v>
          </cell>
          <cell r="D22" t="str">
            <v xml:space="preserve"> </v>
          </cell>
          <cell r="E22" t="str">
            <v>m3</v>
          </cell>
          <cell r="F22">
            <v>5249</v>
          </cell>
          <cell r="G22">
            <v>2.36</v>
          </cell>
        </row>
        <row r="23">
          <cell r="A23" t="str">
            <v>01.100.14</v>
          </cell>
          <cell r="B23" t="str">
            <v>Escavação,carga e transportes de material de 1a categoria DMT= 1000 a 1200m</v>
          </cell>
          <cell r="C23" t="str">
            <v>DNER-ES280/97</v>
          </cell>
          <cell r="D23" t="str">
            <v xml:space="preserve"> </v>
          </cell>
          <cell r="E23" t="str">
            <v>m3</v>
          </cell>
          <cell r="F23">
            <v>18027</v>
          </cell>
          <cell r="G23">
            <v>2.4</v>
          </cell>
        </row>
        <row r="24">
          <cell r="A24" t="str">
            <v>01.100.15</v>
          </cell>
          <cell r="B24" t="str">
            <v>Escavação,carga e transportes de material de 1a categoria DMT= 1200 a 1400m</v>
          </cell>
          <cell r="C24" t="str">
            <v>DNER-ES280/97</v>
          </cell>
          <cell r="D24" t="str">
            <v xml:space="preserve"> </v>
          </cell>
          <cell r="E24" t="str">
            <v>m3</v>
          </cell>
          <cell r="F24">
            <v>5127</v>
          </cell>
          <cell r="G24">
            <v>2.62</v>
          </cell>
        </row>
        <row r="25">
          <cell r="A25" t="str">
            <v>01.100.16</v>
          </cell>
          <cell r="B25" t="str">
            <v>Escavação,carga e transportes de material de 1a  categoria DMT 1400 a 1600m</v>
          </cell>
          <cell r="C25" t="str">
            <v>DNER-ES280/97</v>
          </cell>
          <cell r="D25" t="str">
            <v xml:space="preserve"> </v>
          </cell>
          <cell r="E25" t="str">
            <v>m3</v>
          </cell>
          <cell r="F25">
            <v>2145</v>
          </cell>
          <cell r="G25">
            <v>2.73</v>
          </cell>
        </row>
        <row r="26">
          <cell r="A26" t="str">
            <v>01.100.17</v>
          </cell>
          <cell r="B26" t="str">
            <v>Escavação,carga e transportes de material de 1a categoria DMT= 1600 a 1800m</v>
          </cell>
          <cell r="C26" t="str">
            <v>DNER-ES280/97</v>
          </cell>
          <cell r="D26" t="str">
            <v xml:space="preserve"> </v>
          </cell>
          <cell r="E26" t="str">
            <v>m3</v>
          </cell>
          <cell r="F26">
            <v>1313</v>
          </cell>
          <cell r="G26">
            <v>2.84</v>
          </cell>
        </row>
        <row r="27">
          <cell r="A27" t="str">
            <v>01.100.18</v>
          </cell>
          <cell r="B27" t="str">
            <v>Escavação,carga e transportes de material de 1a categoria DMT= 1800 a 2000m</v>
          </cell>
          <cell r="C27" t="str">
            <v>DNER-ES280/97</v>
          </cell>
          <cell r="D27" t="str">
            <v xml:space="preserve"> </v>
          </cell>
          <cell r="E27" t="str">
            <v>m3</v>
          </cell>
          <cell r="F27">
            <v>1078</v>
          </cell>
          <cell r="G27">
            <v>2.92</v>
          </cell>
        </row>
        <row r="28">
          <cell r="A28" t="str">
            <v>01.100.19</v>
          </cell>
          <cell r="B28" t="str">
            <v>Escavação,carga e transportes de material de 1a categoria DMT= 2000 a 3000m</v>
          </cell>
          <cell r="C28" t="str">
            <v>DNER-ES280/97</v>
          </cell>
          <cell r="D28" t="str">
            <v xml:space="preserve"> </v>
          </cell>
          <cell r="E28" t="str">
            <v>m3</v>
          </cell>
          <cell r="F28">
            <v>16291</v>
          </cell>
          <cell r="G28">
            <v>3.26</v>
          </cell>
        </row>
        <row r="29">
          <cell r="A29" t="str">
            <v>DER50260</v>
          </cell>
          <cell r="B29" t="str">
            <v>Esc.  Carga e Transp. de mat. 1a cat. c/ CB 5000&lt;DMT&lt;6000m</v>
          </cell>
          <cell r="C29" t="str">
            <v xml:space="preserve"> </v>
          </cell>
          <cell r="D29" t="str">
            <v xml:space="preserve"> </v>
          </cell>
          <cell r="E29" t="str">
            <v>m3</v>
          </cell>
          <cell r="F29">
            <v>808</v>
          </cell>
          <cell r="G29">
            <v>4.29</v>
          </cell>
        </row>
        <row r="30">
          <cell r="A30" t="str">
            <v>DER50270</v>
          </cell>
          <cell r="B30" t="str">
            <v>Esc.  Carga e Transp. de mat. 1a cat. c/ CB 6000&lt;DMT&lt;7000m</v>
          </cell>
          <cell r="C30" t="str">
            <v xml:space="preserve"> </v>
          </cell>
          <cell r="D30" t="str">
            <v xml:space="preserve"> </v>
          </cell>
          <cell r="E30" t="str">
            <v>m3</v>
          </cell>
          <cell r="F30">
            <v>6239</v>
          </cell>
          <cell r="G30">
            <v>4.79</v>
          </cell>
        </row>
        <row r="31">
          <cell r="A31" t="str">
            <v>DER50315</v>
          </cell>
          <cell r="B31" t="str">
            <v>Esc.  Carga e Transp. de mat. 1a cat. c/ CB 12000&lt;DMT&lt;14000m</v>
          </cell>
          <cell r="C31" t="str">
            <v xml:space="preserve"> </v>
          </cell>
          <cell r="D31" t="str">
            <v xml:space="preserve"> </v>
          </cell>
          <cell r="E31" t="str">
            <v>m3</v>
          </cell>
          <cell r="F31">
            <v>16257</v>
          </cell>
          <cell r="G31">
            <v>8.0299999999999994</v>
          </cell>
        </row>
        <row r="32">
          <cell r="A32" t="str">
            <v>01.101.09</v>
          </cell>
          <cell r="B32" t="str">
            <v>Escavação,carga e transportes de material de 2a categoria,c/CB, DMT 50 a 200m</v>
          </cell>
          <cell r="C32" t="str">
            <v>DNER-ES280/97</v>
          </cell>
          <cell r="D32" t="str">
            <v xml:space="preserve"> </v>
          </cell>
          <cell r="E32" t="str">
            <v>m3</v>
          </cell>
          <cell r="F32">
            <v>100</v>
          </cell>
          <cell r="G32">
            <v>2.85</v>
          </cell>
        </row>
        <row r="33">
          <cell r="A33" t="str">
            <v>01.101.10</v>
          </cell>
          <cell r="B33" t="str">
            <v>Escavação,carga e transportes de material de 2a categoria,c/CB,  DMT 200 a 400m</v>
          </cell>
          <cell r="C33" t="str">
            <v>DNER-ES280/97</v>
          </cell>
          <cell r="D33" t="str">
            <v xml:space="preserve"> </v>
          </cell>
          <cell r="E33" t="str">
            <v>m3</v>
          </cell>
          <cell r="F33">
            <v>100</v>
          </cell>
          <cell r="G33">
            <v>2.97</v>
          </cell>
        </row>
        <row r="34">
          <cell r="A34" t="str">
            <v>01.101.11</v>
          </cell>
          <cell r="B34" t="str">
            <v>Escavação,carga e transportes de material de 2a categoria,c/CB,  DMT 400 a 600m</v>
          </cell>
          <cell r="C34" t="str">
            <v>DNER-ES280/97</v>
          </cell>
          <cell r="D34" t="str">
            <v xml:space="preserve"> </v>
          </cell>
          <cell r="E34" t="str">
            <v>m3</v>
          </cell>
          <cell r="F34">
            <v>100</v>
          </cell>
          <cell r="G34">
            <v>3.15</v>
          </cell>
        </row>
        <row r="35">
          <cell r="A35" t="str">
            <v>01.101.12</v>
          </cell>
          <cell r="B35" t="str">
            <v>Escavação,carga e transportes de material de 2a categoria,c/CB,  DMT 600 a 800m</v>
          </cell>
          <cell r="C35" t="str">
            <v>DNER-ES280/97</v>
          </cell>
          <cell r="D35" t="str">
            <v xml:space="preserve"> </v>
          </cell>
          <cell r="E35" t="str">
            <v>m3</v>
          </cell>
          <cell r="F35">
            <v>4759</v>
          </cell>
          <cell r="G35">
            <v>3.23</v>
          </cell>
        </row>
        <row r="36">
          <cell r="A36" t="str">
            <v>01.101.13</v>
          </cell>
          <cell r="B36" t="str">
            <v>Escavação,carga e transportes de material de 2a categoria,c/CB,  DMT 800 a 1 000m</v>
          </cell>
          <cell r="C36" t="str">
            <v>DNER-ES280/97</v>
          </cell>
          <cell r="D36" t="str">
            <v xml:space="preserve"> </v>
          </cell>
          <cell r="E36" t="str">
            <v>m3</v>
          </cell>
          <cell r="F36">
            <v>100</v>
          </cell>
          <cell r="G36">
            <v>3.42</v>
          </cell>
        </row>
        <row r="37">
          <cell r="A37" t="str">
            <v>01.101.14</v>
          </cell>
          <cell r="B37" t="str">
            <v>Escavação,carga e transportes de material de 2a categoria,c/CB,  DMT 1000 a 1200m</v>
          </cell>
          <cell r="C37" t="str">
            <v>DNER-ES280/97</v>
          </cell>
          <cell r="D37" t="str">
            <v xml:space="preserve"> </v>
          </cell>
          <cell r="E37" t="str">
            <v>m3</v>
          </cell>
          <cell r="F37">
            <v>12018</v>
          </cell>
          <cell r="G37">
            <v>3.49</v>
          </cell>
        </row>
        <row r="38">
          <cell r="A38" t="str">
            <v>01.101.15</v>
          </cell>
          <cell r="B38" t="str">
            <v>Escavação,carga e transportes de material de 2a categoria,c/CB,  DMT 1200 a 1400m</v>
          </cell>
          <cell r="C38" t="str">
            <v>DNER-ES280/97</v>
          </cell>
          <cell r="D38" t="str">
            <v xml:space="preserve"> </v>
          </cell>
          <cell r="E38" t="str">
            <v>m3</v>
          </cell>
          <cell r="F38">
            <v>570</v>
          </cell>
          <cell r="G38">
            <v>3.73</v>
          </cell>
        </row>
        <row r="39">
          <cell r="A39" t="str">
            <v>01.101.16</v>
          </cell>
          <cell r="B39" t="str">
            <v>Escavação,carga e transportes de material de 2a categoria,c/CB,  DMT 1400 a 1600m</v>
          </cell>
          <cell r="C39" t="str">
            <v>DNER-ES280/97</v>
          </cell>
          <cell r="D39" t="str">
            <v xml:space="preserve"> </v>
          </cell>
          <cell r="E39" t="str">
            <v>m3</v>
          </cell>
          <cell r="F39">
            <v>238</v>
          </cell>
          <cell r="G39">
            <v>3.87</v>
          </cell>
        </row>
        <row r="40">
          <cell r="A40" t="str">
            <v>01.101.17</v>
          </cell>
          <cell r="B40" t="str">
            <v>Escavação,carga e transportes de material de 2a categoria,c/CB,  DMT 1600 a 1800m</v>
          </cell>
          <cell r="C40" t="str">
            <v>DNER-ES280/97</v>
          </cell>
          <cell r="D40" t="str">
            <v xml:space="preserve"> </v>
          </cell>
          <cell r="E40" t="str">
            <v>m3</v>
          </cell>
          <cell r="F40">
            <v>100</v>
          </cell>
          <cell r="G40">
            <v>3.99</v>
          </cell>
        </row>
        <row r="41">
          <cell r="A41" t="str">
            <v>01.101.18</v>
          </cell>
          <cell r="B41" t="str">
            <v>Escavação,carga e transportes de material de 2a categoria,c/CB,  DMT 1800 a 2000m</v>
          </cell>
          <cell r="C41" t="str">
            <v>DNER-ES280/97</v>
          </cell>
          <cell r="D41" t="str">
            <v xml:space="preserve"> </v>
          </cell>
          <cell r="E41" t="str">
            <v>m3</v>
          </cell>
          <cell r="F41">
            <v>235</v>
          </cell>
          <cell r="G41">
            <v>4.1399999999999997</v>
          </cell>
        </row>
        <row r="42">
          <cell r="A42" t="str">
            <v>01.101.19</v>
          </cell>
          <cell r="B42" t="str">
            <v>Escavação,carga e transportes de material de 2a categoria,c/CB,  DMT 2000 a 3000m</v>
          </cell>
          <cell r="C42" t="str">
            <v>DNER-ES280/97</v>
          </cell>
          <cell r="D42" t="str">
            <v xml:space="preserve"> </v>
          </cell>
          <cell r="E42" t="str">
            <v>m3</v>
          </cell>
          <cell r="F42">
            <v>557</v>
          </cell>
          <cell r="G42">
            <v>4.51</v>
          </cell>
        </row>
        <row r="43">
          <cell r="A43" t="str">
            <v>DER51250</v>
          </cell>
          <cell r="B43" t="str">
            <v>Escavação,carga e transportes de material de 2a categoria DMT 5000 a 6000m</v>
          </cell>
          <cell r="C43" t="str">
            <v xml:space="preserve"> </v>
          </cell>
          <cell r="D43" t="str">
            <v xml:space="preserve"> </v>
          </cell>
          <cell r="E43" t="str">
            <v>m3</v>
          </cell>
          <cell r="F43">
            <v>1802</v>
          </cell>
          <cell r="G43">
            <v>5.7</v>
          </cell>
        </row>
        <row r="44">
          <cell r="A44" t="str">
            <v>DER51260</v>
          </cell>
          <cell r="B44" t="str">
            <v>Escavação,carga e transportes de material de 2a categoria DMT 6000 a 7000m</v>
          </cell>
          <cell r="C44" t="str">
            <v xml:space="preserve"> </v>
          </cell>
          <cell r="D44" t="str">
            <v xml:space="preserve"> </v>
          </cell>
          <cell r="E44" t="str">
            <v>m3</v>
          </cell>
          <cell r="F44">
            <v>1248</v>
          </cell>
          <cell r="G44">
            <v>6.34</v>
          </cell>
        </row>
        <row r="45">
          <cell r="A45" t="str">
            <v>DER51310</v>
          </cell>
          <cell r="B45" t="str">
            <v>Escavação,carga e transportes de material de 2a categoria DMT 12000 a 14000m</v>
          </cell>
          <cell r="C45" t="str">
            <v xml:space="preserve"> </v>
          </cell>
          <cell r="D45" t="str">
            <v xml:space="preserve"> </v>
          </cell>
          <cell r="E45" t="str">
            <v>m3</v>
          </cell>
          <cell r="F45">
            <v>100</v>
          </cell>
          <cell r="G45">
            <v>10.14</v>
          </cell>
        </row>
        <row r="46">
          <cell r="A46" t="str">
            <v>DER52095</v>
          </cell>
          <cell r="B46" t="str">
            <v>Esc. Carga e Transp. de solos moles 800&lt;DMT&lt;=1000m</v>
          </cell>
          <cell r="C46" t="str">
            <v xml:space="preserve"> </v>
          </cell>
          <cell r="D46" t="str">
            <v xml:space="preserve"> </v>
          </cell>
          <cell r="E46" t="str">
            <v>m3</v>
          </cell>
          <cell r="F46">
            <v>808</v>
          </cell>
          <cell r="G46">
            <v>4.7</v>
          </cell>
        </row>
        <row r="47">
          <cell r="A47" t="str">
            <v>DER52101</v>
          </cell>
          <cell r="B47" t="str">
            <v>Esc. Carga e Transp. de solos moles 1200&lt;DMT&lt;=1400m</v>
          </cell>
          <cell r="C47" t="str">
            <v xml:space="preserve"> </v>
          </cell>
          <cell r="D47" t="str">
            <v xml:space="preserve"> </v>
          </cell>
          <cell r="E47" t="str">
            <v>m3</v>
          </cell>
          <cell r="F47">
            <v>1500</v>
          </cell>
          <cell r="G47">
            <v>4.74</v>
          </cell>
        </row>
        <row r="48">
          <cell r="A48" t="str">
            <v>DER52105</v>
          </cell>
          <cell r="B48" t="str">
            <v>Esc. Carga e Transp. de solos moles 2000&lt;DMT&lt;=3000m</v>
          </cell>
          <cell r="C48" t="str">
            <v xml:space="preserve"> </v>
          </cell>
          <cell r="D48" t="str">
            <v xml:space="preserve"> </v>
          </cell>
          <cell r="E48" t="str">
            <v>m3</v>
          </cell>
          <cell r="F48">
            <v>1222</v>
          </cell>
          <cell r="G48">
            <v>5.77</v>
          </cell>
        </row>
        <row r="49">
          <cell r="A49" t="str">
            <v>DER52106</v>
          </cell>
          <cell r="B49" t="str">
            <v>Esc. Carga e Transp. de solos moles 3000&lt;DMT&lt;=4000m</v>
          </cell>
          <cell r="C49" t="str">
            <v xml:space="preserve"> </v>
          </cell>
          <cell r="D49" t="str">
            <v xml:space="preserve"> </v>
          </cell>
          <cell r="E49" t="str">
            <v>m3</v>
          </cell>
          <cell r="F49">
            <v>3135</v>
          </cell>
          <cell r="G49">
            <v>6.37</v>
          </cell>
        </row>
        <row r="50">
          <cell r="A50" t="str">
            <v>01.510.00</v>
          </cell>
          <cell r="B50" t="str">
            <v>Compactação de aterros a 95% Proctor Normal</v>
          </cell>
          <cell r="C50" t="str">
            <v>DNER-ES282/97</v>
          </cell>
          <cell r="D50" t="str">
            <v xml:space="preserve"> </v>
          </cell>
          <cell r="E50" t="str">
            <v>m3</v>
          </cell>
          <cell r="F50">
            <v>48343</v>
          </cell>
          <cell r="G50">
            <v>0.79</v>
          </cell>
        </row>
        <row r="51">
          <cell r="A51" t="str">
            <v>01.511.00</v>
          </cell>
          <cell r="B51" t="str">
            <v>Compactação de aterros a 100% Proctor Normal</v>
          </cell>
          <cell r="C51" t="str">
            <v>DNER-ES282/97</v>
          </cell>
          <cell r="D51" t="str">
            <v xml:space="preserve"> </v>
          </cell>
          <cell r="E51" t="str">
            <v>m3</v>
          </cell>
          <cell r="F51">
            <v>22313</v>
          </cell>
          <cell r="G51">
            <v>1.36</v>
          </cell>
        </row>
        <row r="52">
          <cell r="F52" t="str">
            <v>SUB-TOTAL</v>
          </cell>
        </row>
        <row r="54">
          <cell r="B54" t="str">
            <v>PAVIMENTAÇÃO</v>
          </cell>
        </row>
        <row r="55">
          <cell r="A55" t="str">
            <v>02.000.00</v>
          </cell>
          <cell r="B55" t="str">
            <v>Regularização do subleito</v>
          </cell>
          <cell r="C55" t="str">
            <v xml:space="preserve"> </v>
          </cell>
          <cell r="D55" t="str">
            <v xml:space="preserve"> </v>
          </cell>
          <cell r="E55" t="str">
            <v>m2</v>
          </cell>
          <cell r="F55">
            <v>104259</v>
          </cell>
          <cell r="G55">
            <v>0.3</v>
          </cell>
        </row>
        <row r="56">
          <cell r="A56" t="str">
            <v>DER53130</v>
          </cell>
          <cell r="B56" t="str">
            <v>Camada de macadame seco</v>
          </cell>
          <cell r="C56" t="str">
            <v xml:space="preserve"> </v>
          </cell>
          <cell r="D56" t="str">
            <v xml:space="preserve"> </v>
          </cell>
          <cell r="E56" t="str">
            <v>m3</v>
          </cell>
          <cell r="F56">
            <v>17459</v>
          </cell>
          <cell r="G56">
            <v>21.86</v>
          </cell>
        </row>
        <row r="57">
          <cell r="A57" t="str">
            <v>02.230.00</v>
          </cell>
          <cell r="B57" t="str">
            <v>Base brita graduada</v>
          </cell>
          <cell r="C57" t="str">
            <v>DNER-ES303/97</v>
          </cell>
          <cell r="D57" t="str">
            <v xml:space="preserve"> </v>
          </cell>
          <cell r="E57" t="str">
            <v>m3</v>
          </cell>
          <cell r="F57">
            <v>13838</v>
          </cell>
          <cell r="G57">
            <v>28.06</v>
          </cell>
        </row>
        <row r="58">
          <cell r="A58" t="str">
            <v>02.300.00</v>
          </cell>
          <cell r="B58" t="str">
            <v>Imprimação - Fornecimento, transporte e execução</v>
          </cell>
          <cell r="C58" t="str">
            <v>DNER-ES306/97</v>
          </cell>
          <cell r="D58" t="str">
            <v xml:space="preserve"> </v>
          </cell>
          <cell r="E58" t="str">
            <v>m2</v>
          </cell>
          <cell r="F58">
            <v>92533</v>
          </cell>
          <cell r="G58">
            <v>1.1100000000000001</v>
          </cell>
        </row>
        <row r="59">
          <cell r="A59" t="str">
            <v>02.400.00</v>
          </cell>
          <cell r="B59" t="str">
            <v>Pintura de ligação - Fornec., transporte e execução</v>
          </cell>
          <cell r="C59" t="str">
            <v>DNER-ES307/97</v>
          </cell>
          <cell r="D59" t="str">
            <v xml:space="preserve"> </v>
          </cell>
          <cell r="E59" t="str">
            <v>m2</v>
          </cell>
          <cell r="F59">
            <v>170839</v>
          </cell>
          <cell r="G59">
            <v>0.41</v>
          </cell>
        </row>
        <row r="60">
          <cell r="A60" t="str">
            <v>02.540.01</v>
          </cell>
          <cell r="B60" t="str">
            <v>Concreto betuminoso usinado a quente - usina 100/140 t/h</v>
          </cell>
          <cell r="C60" t="str">
            <v>DNER-ES313/97</v>
          </cell>
          <cell r="D60" t="str">
            <v xml:space="preserve"> </v>
          </cell>
          <cell r="E60" t="str">
            <v>t</v>
          </cell>
          <cell r="F60">
            <v>19054</v>
          </cell>
          <cell r="G60">
            <v>67.64</v>
          </cell>
        </row>
        <row r="61">
          <cell r="A61" t="str">
            <v>DER82200</v>
          </cell>
          <cell r="B61" t="str">
            <v>Remoção de revestimento de CBUQ</v>
          </cell>
          <cell r="C61" t="str">
            <v xml:space="preserve"> </v>
          </cell>
          <cell r="D61" t="str">
            <v xml:space="preserve"> </v>
          </cell>
          <cell r="E61" t="str">
            <v>m3</v>
          </cell>
          <cell r="F61">
            <v>1526</v>
          </cell>
          <cell r="G61">
            <v>5.73</v>
          </cell>
        </row>
        <row r="62">
          <cell r="A62" t="str">
            <v>DER82200a</v>
          </cell>
          <cell r="B62" t="str">
            <v>Remoção de camada granular</v>
          </cell>
          <cell r="C62" t="str">
            <v xml:space="preserve"> </v>
          </cell>
          <cell r="D62" t="str">
            <v xml:space="preserve"> </v>
          </cell>
          <cell r="E62" t="str">
            <v>m3</v>
          </cell>
          <cell r="F62">
            <v>1526</v>
          </cell>
          <cell r="G62">
            <v>4.67</v>
          </cell>
        </row>
        <row r="63">
          <cell r="A63" t="str">
            <v>DER82150</v>
          </cell>
          <cell r="B63" t="str">
            <v>Remoção de pavimento a paralelelpípedo</v>
          </cell>
          <cell r="C63" t="str">
            <v xml:space="preserve"> </v>
          </cell>
          <cell r="D63" t="str">
            <v xml:space="preserve"> </v>
          </cell>
          <cell r="E63" t="str">
            <v>m2</v>
          </cell>
          <cell r="F63">
            <v>2238</v>
          </cell>
          <cell r="G63">
            <v>0.62</v>
          </cell>
        </row>
        <row r="64">
          <cell r="F64" t="str">
            <v>SUB-TOTAL</v>
          </cell>
        </row>
        <row r="65">
          <cell r="B65" t="str">
            <v>DRENAGEM</v>
          </cell>
        </row>
        <row r="66">
          <cell r="A66" t="str">
            <v>04.000.00</v>
          </cell>
          <cell r="B66" t="str">
            <v>Escavação manual em material de 1a categoria</v>
          </cell>
          <cell r="C66" t="str">
            <v xml:space="preserve"> </v>
          </cell>
          <cell r="D66" t="str">
            <v xml:space="preserve"> </v>
          </cell>
          <cell r="E66" t="str">
            <v>m3</v>
          </cell>
          <cell r="F66">
            <v>142</v>
          </cell>
          <cell r="G66">
            <v>17.57</v>
          </cell>
        </row>
        <row r="67">
          <cell r="A67" t="str">
            <v>04.001.00</v>
          </cell>
          <cell r="B67" t="str">
            <v>Escavação mecânica em material de 1a categoria</v>
          </cell>
          <cell r="C67" t="str">
            <v xml:space="preserve"> </v>
          </cell>
          <cell r="D67" t="str">
            <v xml:space="preserve"> </v>
          </cell>
          <cell r="E67" t="str">
            <v>m3</v>
          </cell>
          <cell r="F67">
            <v>2950</v>
          </cell>
          <cell r="G67">
            <v>2.09</v>
          </cell>
        </row>
        <row r="68">
          <cell r="A68" t="str">
            <v>04.001.01</v>
          </cell>
          <cell r="B68" t="str">
            <v>Escavação mecânica,reaterro e compactação (material de 1a categoria)</v>
          </cell>
          <cell r="C68" t="str">
            <v xml:space="preserve"> </v>
          </cell>
          <cell r="D68" t="str">
            <v xml:space="preserve"> </v>
          </cell>
          <cell r="E68" t="str">
            <v>m3</v>
          </cell>
          <cell r="F68">
            <v>928.4</v>
          </cell>
          <cell r="G68">
            <v>3.03</v>
          </cell>
        </row>
        <row r="69">
          <cell r="A69" t="str">
            <v>04.401.01</v>
          </cell>
          <cell r="B69" t="str">
            <v>Valeta de prot. de aterro c/ revest. vegetal VPA 01</v>
          </cell>
          <cell r="C69" t="str">
            <v xml:space="preserve"> </v>
          </cell>
          <cell r="D69" t="str">
            <v xml:space="preserve"> </v>
          </cell>
          <cell r="E69" t="str">
            <v>m</v>
          </cell>
          <cell r="F69">
            <v>1908</v>
          </cell>
          <cell r="G69">
            <v>31.98</v>
          </cell>
        </row>
        <row r="70">
          <cell r="A70" t="str">
            <v>04.401.02</v>
          </cell>
          <cell r="B70" t="str">
            <v>Valeta de prot. de aterro c/ revest. vegetal VPA 02</v>
          </cell>
          <cell r="C70" t="str">
            <v xml:space="preserve"> </v>
          </cell>
          <cell r="D70" t="str">
            <v xml:space="preserve"> </v>
          </cell>
          <cell r="E70" t="str">
            <v>m</v>
          </cell>
          <cell r="F70">
            <v>836</v>
          </cell>
          <cell r="G70">
            <v>24.32</v>
          </cell>
        </row>
        <row r="71">
          <cell r="A71" t="str">
            <v>04.500.06</v>
          </cell>
          <cell r="B71" t="str">
            <v>Dreno longit. profundo p/cortes em solo- DPS 06</v>
          </cell>
          <cell r="C71" t="str">
            <v>DNER-ES292/97</v>
          </cell>
          <cell r="D71" t="str">
            <v xml:space="preserve"> </v>
          </cell>
          <cell r="E71" t="str">
            <v>m</v>
          </cell>
          <cell r="F71">
            <v>1243</v>
          </cell>
          <cell r="G71">
            <v>34.94</v>
          </cell>
        </row>
        <row r="72">
          <cell r="A72" t="str">
            <v>04.502.02</v>
          </cell>
          <cell r="B72" t="str">
            <v>Boca de saída p/ dreno longit. profundo- BSD 02</v>
          </cell>
          <cell r="C72" t="str">
            <v xml:space="preserve"> </v>
          </cell>
          <cell r="D72" t="str">
            <v xml:space="preserve"> </v>
          </cell>
          <cell r="E72" t="str">
            <v>un</v>
          </cell>
          <cell r="F72">
            <v>2</v>
          </cell>
          <cell r="G72">
            <v>49.08</v>
          </cell>
        </row>
        <row r="73">
          <cell r="A73" t="str">
            <v>04.510.03</v>
          </cell>
          <cell r="B73" t="str">
            <v>Dreno sub- superficial- DSS 03</v>
          </cell>
          <cell r="C73" t="str">
            <v>DNER-ES294/97</v>
          </cell>
          <cell r="D73" t="str">
            <v xml:space="preserve"> </v>
          </cell>
          <cell r="E73" t="str">
            <v>m</v>
          </cell>
          <cell r="F73">
            <v>3497</v>
          </cell>
          <cell r="G73">
            <v>3.71</v>
          </cell>
        </row>
        <row r="74">
          <cell r="A74" t="str">
            <v>04.511.01</v>
          </cell>
          <cell r="B74" t="str">
            <v>Boca de saída p/ dreno sub-superficial-BSD 03</v>
          </cell>
          <cell r="C74" t="str">
            <v xml:space="preserve"> </v>
          </cell>
          <cell r="D74" t="str">
            <v xml:space="preserve"> </v>
          </cell>
          <cell r="E74" t="str">
            <v>un</v>
          </cell>
          <cell r="F74">
            <v>5</v>
          </cell>
          <cell r="G74">
            <v>20.86</v>
          </cell>
        </row>
        <row r="75">
          <cell r="A75" t="str">
            <v>04.900.21</v>
          </cell>
          <cell r="B75" t="str">
            <v>Sarjeta de cant. central de concreto-SCC 01</v>
          </cell>
          <cell r="C75" t="str">
            <v>DNER-ES288/97</v>
          </cell>
          <cell r="D75" t="str">
            <v xml:space="preserve"> </v>
          </cell>
          <cell r="E75" t="str">
            <v>m</v>
          </cell>
          <cell r="F75">
            <v>3036</v>
          </cell>
          <cell r="G75">
            <v>13.85</v>
          </cell>
        </row>
        <row r="76">
          <cell r="A76" t="str">
            <v>04.900.22</v>
          </cell>
          <cell r="B76" t="str">
            <v>Sarjeta de cant. central de concreto-SCC 02</v>
          </cell>
          <cell r="C76" t="str">
            <v>DNER-ES288/97</v>
          </cell>
          <cell r="D76" t="str">
            <v xml:space="preserve"> </v>
          </cell>
          <cell r="E76" t="str">
            <v>m</v>
          </cell>
          <cell r="F76">
            <v>638</v>
          </cell>
          <cell r="G76">
            <v>19.170000000000002</v>
          </cell>
        </row>
        <row r="77">
          <cell r="A77" t="str">
            <v>04.900.03</v>
          </cell>
          <cell r="B77" t="str">
            <v>Sarjeta triangular de concreto-STC 03</v>
          </cell>
          <cell r="C77" t="str">
            <v>DNER-ES288/97</v>
          </cell>
          <cell r="D77" t="str">
            <v xml:space="preserve"> </v>
          </cell>
          <cell r="E77" t="str">
            <v>m</v>
          </cell>
          <cell r="F77">
            <v>55</v>
          </cell>
          <cell r="G77">
            <v>16.02</v>
          </cell>
        </row>
        <row r="78">
          <cell r="A78" t="str">
            <v>04.910.05</v>
          </cell>
          <cell r="B78" t="str">
            <v>Meio-fio de concreto-MFC 05</v>
          </cell>
          <cell r="C78" t="str">
            <v>DNER-ES290/97</v>
          </cell>
          <cell r="D78" t="str">
            <v xml:space="preserve"> </v>
          </cell>
          <cell r="E78" t="str">
            <v>m</v>
          </cell>
          <cell r="F78">
            <v>21252</v>
          </cell>
          <cell r="G78">
            <v>10.54</v>
          </cell>
        </row>
        <row r="79">
          <cell r="A79" t="str">
            <v>DER78150b</v>
          </cell>
          <cell r="B79" t="str">
            <v>Caixa coletora de sarjeta - CCS, D=40cm E H=1,00m</v>
          </cell>
          <cell r="C79" t="str">
            <v xml:space="preserve"> </v>
          </cell>
          <cell r="D79" t="str">
            <v xml:space="preserve"> </v>
          </cell>
          <cell r="E79" t="str">
            <v>un</v>
          </cell>
          <cell r="F79">
            <v>4</v>
          </cell>
          <cell r="G79">
            <v>382.07</v>
          </cell>
        </row>
        <row r="80">
          <cell r="A80" t="str">
            <v>DER78150c</v>
          </cell>
          <cell r="B80" t="str">
            <v>Caixa coletora de sarjeta - CCS, D=40cm E H=1,50m</v>
          </cell>
          <cell r="C80" t="str">
            <v xml:space="preserve"> </v>
          </cell>
          <cell r="D80" t="str">
            <v xml:space="preserve"> </v>
          </cell>
          <cell r="E80" t="str">
            <v>un</v>
          </cell>
          <cell r="F80">
            <v>2</v>
          </cell>
          <cell r="G80">
            <v>503.68</v>
          </cell>
        </row>
        <row r="81">
          <cell r="A81" t="str">
            <v>DER78150a</v>
          </cell>
          <cell r="B81" t="str">
            <v>Caixa coletora de sarjeta - CCS, D=60cm E H=1,5m</v>
          </cell>
          <cell r="C81" t="str">
            <v xml:space="preserve"> </v>
          </cell>
          <cell r="D81" t="str">
            <v xml:space="preserve"> </v>
          </cell>
          <cell r="E81" t="str">
            <v>un</v>
          </cell>
          <cell r="F81">
            <v>1</v>
          </cell>
          <cell r="G81">
            <v>500.45</v>
          </cell>
        </row>
        <row r="82">
          <cell r="A82" t="str">
            <v>04.930.01</v>
          </cell>
          <cell r="B82" t="str">
            <v>Caixa coletora de sarjeta-CCS 01</v>
          </cell>
          <cell r="C82" t="str">
            <v>DNER-ES287/97</v>
          </cell>
          <cell r="D82" t="str">
            <v xml:space="preserve"> </v>
          </cell>
          <cell r="E82" t="str">
            <v>un</v>
          </cell>
          <cell r="F82">
            <v>1</v>
          </cell>
          <cell r="G82">
            <v>568.85</v>
          </cell>
        </row>
        <row r="83">
          <cell r="A83" t="str">
            <v>04.931.03</v>
          </cell>
          <cell r="B83" t="str">
            <v>Caixa coletora de talvegue-CCT 03</v>
          </cell>
          <cell r="C83" t="str">
            <v>DNER-ES287/97</v>
          </cell>
          <cell r="D83" t="str">
            <v xml:space="preserve"> </v>
          </cell>
          <cell r="E83" t="str">
            <v>un</v>
          </cell>
          <cell r="F83">
            <v>2</v>
          </cell>
          <cell r="G83">
            <v>551.65</v>
          </cell>
        </row>
        <row r="84">
          <cell r="A84" t="str">
            <v>04.931.02</v>
          </cell>
          <cell r="B84" t="str">
            <v>Caixa coletora de talvegue-CCT 02</v>
          </cell>
          <cell r="C84" t="str">
            <v>DNER-ES287/97</v>
          </cell>
          <cell r="D84" t="str">
            <v xml:space="preserve"> </v>
          </cell>
          <cell r="E84" t="str">
            <v>un</v>
          </cell>
          <cell r="F84">
            <v>1</v>
          </cell>
          <cell r="G84">
            <v>564.34</v>
          </cell>
        </row>
        <row r="85">
          <cell r="A85" t="str">
            <v>04.960.01</v>
          </cell>
          <cell r="B85" t="str">
            <v>Boca de lobo simples c/ grelha de concreto-BLS 01</v>
          </cell>
          <cell r="C85" t="str">
            <v xml:space="preserve"> </v>
          </cell>
          <cell r="D85" t="str">
            <v xml:space="preserve"> </v>
          </cell>
          <cell r="E85" t="str">
            <v>un</v>
          </cell>
          <cell r="F85">
            <v>12</v>
          </cell>
          <cell r="G85">
            <v>203.51</v>
          </cell>
        </row>
        <row r="86">
          <cell r="A86" t="str">
            <v>04.960.02</v>
          </cell>
          <cell r="B86" t="str">
            <v>Boca de lobo simples c/ grelha de concreto-BLS 02</v>
          </cell>
          <cell r="C86" t="str">
            <v xml:space="preserve"> </v>
          </cell>
          <cell r="D86" t="str">
            <v xml:space="preserve"> </v>
          </cell>
          <cell r="E86" t="str">
            <v>un</v>
          </cell>
          <cell r="F86">
            <v>13</v>
          </cell>
          <cell r="G86">
            <v>257.83999999999997</v>
          </cell>
        </row>
        <row r="87">
          <cell r="A87" t="str">
            <v>04.960.03</v>
          </cell>
          <cell r="B87" t="str">
            <v>Boca de lobo simples c/ grelha de concreto-BLS 03</v>
          </cell>
          <cell r="C87" t="str">
            <v xml:space="preserve"> </v>
          </cell>
          <cell r="D87" t="str">
            <v xml:space="preserve"> </v>
          </cell>
          <cell r="E87" t="str">
            <v>un</v>
          </cell>
          <cell r="F87">
            <v>7</v>
          </cell>
          <cell r="G87">
            <v>312.23</v>
          </cell>
        </row>
        <row r="88">
          <cell r="A88" t="str">
            <v>04.961.02</v>
          </cell>
          <cell r="B88" t="str">
            <v>Boca de lobo dupla c/ grelha de concreto-BLD 02</v>
          </cell>
          <cell r="C88" t="str">
            <v xml:space="preserve"> </v>
          </cell>
          <cell r="D88" t="str">
            <v xml:space="preserve"> </v>
          </cell>
          <cell r="E88" t="str">
            <v>un</v>
          </cell>
          <cell r="F88">
            <v>3</v>
          </cell>
          <cell r="G88">
            <v>476.56</v>
          </cell>
        </row>
        <row r="89">
          <cell r="A89" t="str">
            <v>04.999.01</v>
          </cell>
          <cell r="B89" t="str">
            <v>Remoção de bueiros existentes</v>
          </cell>
          <cell r="C89" t="str">
            <v xml:space="preserve"> </v>
          </cell>
          <cell r="D89" t="str">
            <v xml:space="preserve"> </v>
          </cell>
          <cell r="E89" t="str">
            <v>m</v>
          </cell>
          <cell r="F89">
            <v>65</v>
          </cell>
          <cell r="G89">
            <v>13.06</v>
          </cell>
        </row>
        <row r="90">
          <cell r="A90" t="str">
            <v>04.999.02</v>
          </cell>
          <cell r="B90" t="str">
            <v>Demolição de dispositivos de concreto</v>
          </cell>
          <cell r="C90" t="str">
            <v>DNER-ES296/97</v>
          </cell>
          <cell r="D90" t="str">
            <v xml:space="preserve"> </v>
          </cell>
          <cell r="E90" t="str">
            <v>m3</v>
          </cell>
          <cell r="F90">
            <v>69.599999999999994</v>
          </cell>
          <cell r="G90">
            <v>12.58</v>
          </cell>
        </row>
        <row r="91">
          <cell r="A91" t="str">
            <v>P 04.100.07</v>
          </cell>
          <cell r="B91" t="str">
            <v>Execução de galerias D=0,40 c/ lastro de brita</v>
          </cell>
          <cell r="C91" t="str">
            <v xml:space="preserve"> </v>
          </cell>
          <cell r="D91" t="str">
            <v xml:space="preserve"> </v>
          </cell>
          <cell r="E91" t="str">
            <v>m</v>
          </cell>
          <cell r="F91">
            <v>2037</v>
          </cell>
          <cell r="G91">
            <v>41.68</v>
          </cell>
        </row>
        <row r="92">
          <cell r="A92" t="str">
            <v>P 04.100.09</v>
          </cell>
          <cell r="B92" t="str">
            <v>Execução de galerias D=0,60 c/ lastro de brita</v>
          </cell>
          <cell r="C92" t="str">
            <v xml:space="preserve"> </v>
          </cell>
          <cell r="D92" t="str">
            <v xml:space="preserve"> </v>
          </cell>
          <cell r="E92" t="str">
            <v>m</v>
          </cell>
          <cell r="F92">
            <v>529</v>
          </cell>
          <cell r="G92">
            <v>100.67</v>
          </cell>
        </row>
        <row r="93">
          <cell r="A93" t="str">
            <v>P 04.100.08</v>
          </cell>
          <cell r="B93" t="str">
            <v>Execução de galerias D=0,40 c/ lastro de concreto</v>
          </cell>
          <cell r="C93" t="str">
            <v xml:space="preserve"> </v>
          </cell>
          <cell r="D93" t="str">
            <v xml:space="preserve"> </v>
          </cell>
          <cell r="E93" t="str">
            <v>m</v>
          </cell>
          <cell r="F93">
            <v>287</v>
          </cell>
          <cell r="G93">
            <v>58.65</v>
          </cell>
        </row>
        <row r="94">
          <cell r="A94" t="str">
            <v>P 04.100.10</v>
          </cell>
          <cell r="B94" t="str">
            <v>Execução de galerias D=0,60 c/ lastro de concreto</v>
          </cell>
          <cell r="C94" t="str">
            <v xml:space="preserve"> </v>
          </cell>
          <cell r="D94" t="str">
            <v xml:space="preserve"> </v>
          </cell>
          <cell r="E94" t="str">
            <v>m</v>
          </cell>
          <cell r="F94">
            <v>111</v>
          </cell>
          <cell r="G94">
            <v>131.66</v>
          </cell>
        </row>
        <row r="95">
          <cell r="A95" t="str">
            <v>DER72350b</v>
          </cell>
          <cell r="B95" t="str">
            <v>Boca para BSTC D=40cm - Normal</v>
          </cell>
          <cell r="C95" t="str">
            <v xml:space="preserve"> </v>
          </cell>
          <cell r="D95" t="str">
            <v xml:space="preserve"> </v>
          </cell>
          <cell r="E95" t="str">
            <v>un</v>
          </cell>
          <cell r="F95">
            <v>4</v>
          </cell>
          <cell r="G95">
            <v>147.57</v>
          </cell>
        </row>
        <row r="96">
          <cell r="A96" t="str">
            <v>04.101.01</v>
          </cell>
          <cell r="B96" t="str">
            <v>Boca de BSTC D=0.60m-normal</v>
          </cell>
          <cell r="C96" t="str">
            <v>DNER-ES284/97</v>
          </cell>
          <cell r="D96" t="str">
            <v xml:space="preserve"> </v>
          </cell>
          <cell r="E96" t="str">
            <v>un</v>
          </cell>
          <cell r="F96">
            <v>6</v>
          </cell>
          <cell r="G96">
            <v>299.62</v>
          </cell>
        </row>
        <row r="97">
          <cell r="A97" t="str">
            <v>P 04.100.06</v>
          </cell>
          <cell r="B97" t="str">
            <v>Galeria D=0,40m envelopada</v>
          </cell>
          <cell r="C97" t="str">
            <v xml:space="preserve"> </v>
          </cell>
          <cell r="D97" t="str">
            <v xml:space="preserve"> </v>
          </cell>
          <cell r="E97" t="str">
            <v>m</v>
          </cell>
          <cell r="F97">
            <v>36</v>
          </cell>
          <cell r="G97">
            <v>103.37</v>
          </cell>
        </row>
        <row r="98">
          <cell r="A98" t="str">
            <v>P 04.100.12</v>
          </cell>
          <cell r="B98" t="str">
            <v>Galeria D=0,60m envelopada</v>
          </cell>
          <cell r="C98" t="str">
            <v xml:space="preserve"> </v>
          </cell>
          <cell r="D98" t="str">
            <v xml:space="preserve"> </v>
          </cell>
          <cell r="E98" t="str">
            <v>m</v>
          </cell>
          <cell r="F98">
            <v>23</v>
          </cell>
          <cell r="G98">
            <v>191.7</v>
          </cell>
        </row>
        <row r="99">
          <cell r="A99" t="str">
            <v>P.04.100.14</v>
          </cell>
          <cell r="B99" t="str">
            <v>Caixa de ligação e passagem BSTC, D=80cm, H=1,00m</v>
          </cell>
          <cell r="C99" t="str">
            <v xml:space="preserve"> </v>
          </cell>
          <cell r="D99" t="str">
            <v xml:space="preserve"> </v>
          </cell>
          <cell r="E99" t="str">
            <v>un</v>
          </cell>
          <cell r="F99">
            <v>1</v>
          </cell>
          <cell r="G99">
            <v>451.1</v>
          </cell>
        </row>
        <row r="100">
          <cell r="A100" t="str">
            <v>P.04.100.15</v>
          </cell>
          <cell r="B100" t="str">
            <v>Caixa de ligação e passagem BSTC,  D=1,00m, H=1,50m</v>
          </cell>
          <cell r="C100" t="str">
            <v xml:space="preserve"> </v>
          </cell>
          <cell r="D100" t="str">
            <v xml:space="preserve"> </v>
          </cell>
          <cell r="E100" t="str">
            <v>un</v>
          </cell>
          <cell r="F100">
            <v>1</v>
          </cell>
          <cell r="G100">
            <v>741.5</v>
          </cell>
        </row>
        <row r="101">
          <cell r="A101" t="str">
            <v>P.04.100.16</v>
          </cell>
          <cell r="B101" t="str">
            <v>Caixa de ligação e passagem BDTC,  D=1,00m, H=1,50m</v>
          </cell>
          <cell r="C101" t="str">
            <v xml:space="preserve"> </v>
          </cell>
          <cell r="D101" t="str">
            <v xml:space="preserve"> </v>
          </cell>
          <cell r="E101" t="str">
            <v>un</v>
          </cell>
          <cell r="F101">
            <v>1</v>
          </cell>
          <cell r="G101">
            <v>1174.79</v>
          </cell>
        </row>
        <row r="102">
          <cell r="A102" t="str">
            <v>04.962.01</v>
          </cell>
          <cell r="B102" t="str">
            <v>Caixa de ligação e passagem- CLP 01</v>
          </cell>
          <cell r="C102" t="str">
            <v>DNER-ES287/97</v>
          </cell>
          <cell r="D102" t="str">
            <v xml:space="preserve"> </v>
          </cell>
          <cell r="E102" t="str">
            <v>un</v>
          </cell>
          <cell r="F102">
            <v>5</v>
          </cell>
          <cell r="G102">
            <v>371.03</v>
          </cell>
        </row>
        <row r="103">
          <cell r="A103" t="str">
            <v>04.962.02</v>
          </cell>
          <cell r="B103" t="str">
            <v>Caixa de ligação e passagem- CLP 02</v>
          </cell>
          <cell r="C103" t="str">
            <v>DNER-ES287/97</v>
          </cell>
          <cell r="D103" t="str">
            <v xml:space="preserve"> </v>
          </cell>
          <cell r="E103" t="str">
            <v>un</v>
          </cell>
          <cell r="F103">
            <v>3</v>
          </cell>
          <cell r="G103">
            <v>359.92</v>
          </cell>
        </row>
        <row r="104">
          <cell r="A104" t="str">
            <v>04.962.07</v>
          </cell>
          <cell r="B104" t="str">
            <v>Caixa de ligação e passagem- CLP 07</v>
          </cell>
          <cell r="C104" t="str">
            <v>DNER-ES287/97</v>
          </cell>
          <cell r="D104" t="str">
            <v xml:space="preserve"> </v>
          </cell>
          <cell r="E104" t="str">
            <v>un</v>
          </cell>
          <cell r="F104">
            <v>1</v>
          </cell>
          <cell r="G104">
            <v>443.2</v>
          </cell>
        </row>
        <row r="105">
          <cell r="A105" t="str">
            <v>04.962.08</v>
          </cell>
          <cell r="B105" t="str">
            <v>Caixa de ligação e passagem- CLP 08</v>
          </cell>
          <cell r="C105" t="str">
            <v>DNER-ES287/97</v>
          </cell>
          <cell r="D105" t="str">
            <v xml:space="preserve"> </v>
          </cell>
          <cell r="E105" t="str">
            <v>un</v>
          </cell>
          <cell r="F105">
            <v>1</v>
          </cell>
          <cell r="G105">
            <v>431.6</v>
          </cell>
        </row>
        <row r="106">
          <cell r="A106" t="str">
            <v>04.963.01</v>
          </cell>
          <cell r="B106" t="str">
            <v>Poço de visita- PVI 01</v>
          </cell>
          <cell r="C106" t="str">
            <v xml:space="preserve"> </v>
          </cell>
          <cell r="D106" t="str">
            <v xml:space="preserve"> </v>
          </cell>
          <cell r="E106" t="str">
            <v>un</v>
          </cell>
          <cell r="F106">
            <v>1</v>
          </cell>
          <cell r="G106">
            <v>493.1</v>
          </cell>
        </row>
        <row r="107">
          <cell r="A107" t="str">
            <v>04.963.02</v>
          </cell>
          <cell r="B107" t="str">
            <v>Poço de visita- PVI 02</v>
          </cell>
          <cell r="C107" t="str">
            <v xml:space="preserve"> </v>
          </cell>
          <cell r="D107" t="str">
            <v xml:space="preserve"> </v>
          </cell>
          <cell r="E107" t="str">
            <v>un</v>
          </cell>
          <cell r="F107">
            <v>1</v>
          </cell>
          <cell r="G107">
            <v>481.49</v>
          </cell>
        </row>
        <row r="108">
          <cell r="A108" t="str">
            <v>04.963.31</v>
          </cell>
          <cell r="B108" t="str">
            <v>Chaminé dos poços de visita- CPV 01</v>
          </cell>
          <cell r="C108" t="str">
            <v xml:space="preserve"> </v>
          </cell>
          <cell r="D108" t="str">
            <v xml:space="preserve"> </v>
          </cell>
          <cell r="E108" t="str">
            <v>un</v>
          </cell>
          <cell r="F108">
            <v>1</v>
          </cell>
          <cell r="G108">
            <v>368.29</v>
          </cell>
        </row>
        <row r="109">
          <cell r="F109" t="str">
            <v>SUB-TOTAL</v>
          </cell>
        </row>
        <row r="111">
          <cell r="B111" t="str">
            <v>OBRAS DE ARTE CORRENTES</v>
          </cell>
        </row>
        <row r="112">
          <cell r="A112" t="str">
            <v>04.001.01</v>
          </cell>
          <cell r="B112" t="str">
            <v>Escavação mecânica,reaterro e compactação (material de 1a categoria)</v>
          </cell>
          <cell r="C112" t="str">
            <v xml:space="preserve"> </v>
          </cell>
          <cell r="D112" t="str">
            <v xml:space="preserve"> </v>
          </cell>
          <cell r="E112" t="str">
            <v>m3</v>
          </cell>
          <cell r="F112">
            <v>3714</v>
          </cell>
          <cell r="G112">
            <v>3.03</v>
          </cell>
        </row>
        <row r="113">
          <cell r="A113" t="str">
            <v>DER66050</v>
          </cell>
          <cell r="B113" t="str">
            <v>Corpo de BSTC D=50cm c/ lastro de brita</v>
          </cell>
          <cell r="C113" t="str">
            <v xml:space="preserve"> </v>
          </cell>
          <cell r="D113" t="str">
            <v xml:space="preserve"> </v>
          </cell>
          <cell r="E113" t="str">
            <v>m</v>
          </cell>
          <cell r="F113">
            <v>18</v>
          </cell>
          <cell r="G113">
            <v>54.42</v>
          </cell>
        </row>
        <row r="114">
          <cell r="A114" t="str">
            <v>DER72350a</v>
          </cell>
          <cell r="B114" t="str">
            <v>Boca para BSTC D=50cm - Normal</v>
          </cell>
          <cell r="C114" t="str">
            <v xml:space="preserve"> </v>
          </cell>
          <cell r="D114" t="str">
            <v xml:space="preserve"> </v>
          </cell>
          <cell r="E114" t="str">
            <v>un</v>
          </cell>
          <cell r="F114">
            <v>1</v>
          </cell>
          <cell r="G114">
            <v>157.56</v>
          </cell>
        </row>
        <row r="115">
          <cell r="A115" t="str">
            <v>04.100.02</v>
          </cell>
          <cell r="B115" t="str">
            <v>Corpo de BSTC D=0.80m</v>
          </cell>
          <cell r="C115" t="str">
            <v>DNER-ES284/97</v>
          </cell>
          <cell r="D115" t="str">
            <v xml:space="preserve"> </v>
          </cell>
          <cell r="E115" t="str">
            <v xml:space="preserve">m </v>
          </cell>
          <cell r="F115">
            <v>99</v>
          </cell>
          <cell r="G115">
            <v>201.98</v>
          </cell>
        </row>
        <row r="116">
          <cell r="A116" t="str">
            <v>04.100.03</v>
          </cell>
          <cell r="B116" t="str">
            <v>Corpo de BSTC D=1.00m</v>
          </cell>
          <cell r="C116" t="str">
            <v>DNER-ES284/97</v>
          </cell>
          <cell r="D116" t="str">
            <v xml:space="preserve"> </v>
          </cell>
          <cell r="E116" t="str">
            <v xml:space="preserve">m </v>
          </cell>
          <cell r="F116">
            <v>200</v>
          </cell>
          <cell r="G116">
            <v>280.33</v>
          </cell>
        </row>
        <row r="117">
          <cell r="A117" t="str">
            <v>04.101.02</v>
          </cell>
          <cell r="B117" t="str">
            <v>Boca de BSTC D=0.80m-normal</v>
          </cell>
          <cell r="C117" t="str">
            <v>DNER-ES284/97</v>
          </cell>
          <cell r="D117" t="str">
            <v xml:space="preserve"> </v>
          </cell>
          <cell r="E117" t="str">
            <v>un</v>
          </cell>
          <cell r="F117">
            <v>4</v>
          </cell>
          <cell r="G117">
            <v>494.05</v>
          </cell>
        </row>
        <row r="118">
          <cell r="A118" t="str">
            <v>04.101.03</v>
          </cell>
          <cell r="B118" t="str">
            <v>Boca de BSTC D=1.00m-normal</v>
          </cell>
          <cell r="C118" t="str">
            <v>DNER-ES284/97</v>
          </cell>
          <cell r="D118" t="str">
            <v xml:space="preserve"> </v>
          </cell>
          <cell r="E118" t="str">
            <v>un</v>
          </cell>
          <cell r="F118">
            <v>3</v>
          </cell>
          <cell r="G118">
            <v>757.56</v>
          </cell>
        </row>
        <row r="119">
          <cell r="A119" t="str">
            <v>04.101.05</v>
          </cell>
          <cell r="B119" t="str">
            <v>Boca de BSTC D=1.50m-normal</v>
          </cell>
          <cell r="C119" t="str">
            <v>DNER-ES284/97</v>
          </cell>
          <cell r="D119" t="str">
            <v xml:space="preserve"> </v>
          </cell>
          <cell r="E119" t="str">
            <v>un</v>
          </cell>
          <cell r="F119">
            <v>3</v>
          </cell>
          <cell r="G119">
            <v>1942.12</v>
          </cell>
        </row>
        <row r="120">
          <cell r="A120" t="str">
            <v>04.110.01</v>
          </cell>
          <cell r="B120" t="str">
            <v>Corpo de BDTC D=1.00m</v>
          </cell>
          <cell r="C120" t="str">
            <v>DNER-ES284/97</v>
          </cell>
          <cell r="D120" t="str">
            <v xml:space="preserve"> </v>
          </cell>
          <cell r="E120" t="str">
            <v>m</v>
          </cell>
          <cell r="F120">
            <v>142</v>
          </cell>
          <cell r="G120">
            <v>572.14</v>
          </cell>
        </row>
        <row r="121">
          <cell r="A121" t="str">
            <v>04.110.02</v>
          </cell>
          <cell r="B121" t="str">
            <v>Corpo de BDTC D=1.20m</v>
          </cell>
          <cell r="C121" t="str">
            <v>DNER-ES284/97</v>
          </cell>
          <cell r="D121" t="str">
            <v xml:space="preserve"> </v>
          </cell>
          <cell r="E121" t="str">
            <v>m</v>
          </cell>
          <cell r="F121">
            <v>78</v>
          </cell>
          <cell r="G121">
            <v>745.38</v>
          </cell>
        </row>
        <row r="122">
          <cell r="A122" t="str">
            <v>04.111.01</v>
          </cell>
          <cell r="B122" t="str">
            <v>Boca de BDTC D=1.00m-normal</v>
          </cell>
          <cell r="C122" t="str">
            <v>DNER-ES284/97</v>
          </cell>
          <cell r="D122" t="str">
            <v xml:space="preserve"> </v>
          </cell>
          <cell r="E122" t="str">
            <v>un</v>
          </cell>
          <cell r="F122">
            <v>5</v>
          </cell>
          <cell r="G122">
            <v>1056.6199999999999</v>
          </cell>
        </row>
        <row r="123">
          <cell r="A123" t="str">
            <v>04.111.02</v>
          </cell>
          <cell r="B123" t="str">
            <v>Boca de BDTC D=1.20m-normal</v>
          </cell>
          <cell r="C123" t="str">
            <v>DNER-ES284/97</v>
          </cell>
          <cell r="D123" t="str">
            <v xml:space="preserve"> </v>
          </cell>
          <cell r="E123" t="str">
            <v>un</v>
          </cell>
          <cell r="F123">
            <v>2</v>
          </cell>
          <cell r="G123">
            <v>1521.54</v>
          </cell>
        </row>
        <row r="124">
          <cell r="A124" t="str">
            <v>DER67700</v>
          </cell>
          <cell r="B124" t="str">
            <v>Corpo de BTTC D=0.80m c/enrocamento e laje</v>
          </cell>
          <cell r="C124" t="str">
            <v xml:space="preserve"> </v>
          </cell>
          <cell r="D124" t="str">
            <v xml:space="preserve"> </v>
          </cell>
          <cell r="E124" t="str">
            <v>m</v>
          </cell>
          <cell r="F124">
            <v>31</v>
          </cell>
          <cell r="G124">
            <v>599.96</v>
          </cell>
        </row>
        <row r="125">
          <cell r="A125" t="str">
            <v>DER73550</v>
          </cell>
          <cell r="B125" t="str">
            <v>Boca de BTTC D=0,80m-normal</v>
          </cell>
          <cell r="C125" t="str">
            <v xml:space="preserve"> </v>
          </cell>
          <cell r="D125" t="str">
            <v xml:space="preserve"> </v>
          </cell>
          <cell r="E125" t="str">
            <v>un</v>
          </cell>
          <cell r="F125">
            <v>2</v>
          </cell>
          <cell r="G125">
            <v>685.42</v>
          </cell>
        </row>
        <row r="126">
          <cell r="A126" t="str">
            <v>P 04.100.23</v>
          </cell>
          <cell r="B126" t="str">
            <v>Bueiro Met.Corrug.circular, T.Armco,  c/Epoxy-bonded, MP-100, D=1,50 m, E=2,0mm</v>
          </cell>
          <cell r="C126" t="str">
            <v xml:space="preserve"> </v>
          </cell>
          <cell r="D126" t="str">
            <v xml:space="preserve"> </v>
          </cell>
          <cell r="E126" t="str">
            <v>m</v>
          </cell>
          <cell r="F126">
            <v>54</v>
          </cell>
          <cell r="G126">
            <v>510.8</v>
          </cell>
        </row>
        <row r="127">
          <cell r="F127" t="str">
            <v>SUB-TOTAL</v>
          </cell>
        </row>
        <row r="128">
          <cell r="B128" t="str">
            <v>OBRAS COMPLEMENTARES</v>
          </cell>
        </row>
        <row r="129">
          <cell r="A129" t="str">
            <v>05.100.00</v>
          </cell>
          <cell r="B129" t="str">
            <v>Enleivamento</v>
          </cell>
          <cell r="C129" t="str">
            <v>DNER-ES341/97</v>
          </cell>
          <cell r="D129" t="str">
            <v xml:space="preserve"> </v>
          </cell>
          <cell r="E129" t="str">
            <v>m2</v>
          </cell>
          <cell r="F129">
            <v>77733</v>
          </cell>
          <cell r="G129">
            <v>2.06</v>
          </cell>
        </row>
        <row r="130">
          <cell r="A130" t="str">
            <v>P 05.100.02</v>
          </cell>
          <cell r="B130" t="str">
            <v>Fornecimento e plantio de árvore selecionada</v>
          </cell>
          <cell r="C130" t="str">
            <v xml:space="preserve"> </v>
          </cell>
          <cell r="D130" t="str">
            <v xml:space="preserve"> </v>
          </cell>
          <cell r="E130" t="str">
            <v>un</v>
          </cell>
          <cell r="F130">
            <v>251</v>
          </cell>
          <cell r="G130">
            <v>6.02</v>
          </cell>
        </row>
        <row r="131">
          <cell r="A131" t="str">
            <v>05.102.00</v>
          </cell>
          <cell r="B131" t="str">
            <v>Hidrossemeadura</v>
          </cell>
          <cell r="C131" t="str">
            <v>DNER-ES341/97</v>
          </cell>
          <cell r="D131" t="str">
            <v xml:space="preserve"> </v>
          </cell>
          <cell r="E131" t="str">
            <v>m2</v>
          </cell>
          <cell r="F131">
            <v>241</v>
          </cell>
          <cell r="G131">
            <v>0.49</v>
          </cell>
        </row>
        <row r="132">
          <cell r="A132" t="str">
            <v>DER81950</v>
          </cell>
          <cell r="B132" t="str">
            <v>Calçada em lastro de brita c/revestimento em concreto</v>
          </cell>
          <cell r="C132" t="str">
            <v xml:space="preserve"> </v>
          </cell>
          <cell r="D132" t="str">
            <v xml:space="preserve"> </v>
          </cell>
          <cell r="E132" t="str">
            <v>m2</v>
          </cell>
          <cell r="F132">
            <v>13620</v>
          </cell>
          <cell r="G132">
            <v>8.94</v>
          </cell>
        </row>
        <row r="133">
          <cell r="A133" t="str">
            <v>05.301.01</v>
          </cell>
          <cell r="B133" t="str">
            <v>Alvenaria tijolos</v>
          </cell>
          <cell r="C133" t="str">
            <v xml:space="preserve"> </v>
          </cell>
          <cell r="D133" t="str">
            <v xml:space="preserve"> </v>
          </cell>
          <cell r="E133" t="str">
            <v>m2</v>
          </cell>
          <cell r="F133">
            <v>200</v>
          </cell>
          <cell r="G133">
            <v>24.32</v>
          </cell>
        </row>
        <row r="134">
          <cell r="A134" t="str">
            <v>P 05.300.00</v>
          </cell>
          <cell r="B134" t="str">
            <v>Abrigos para passageiros</v>
          </cell>
          <cell r="C134" t="str">
            <v xml:space="preserve"> </v>
          </cell>
          <cell r="D134" t="str">
            <v xml:space="preserve"> </v>
          </cell>
          <cell r="E134" t="str">
            <v>un</v>
          </cell>
          <cell r="F134">
            <v>8</v>
          </cell>
          <cell r="G134">
            <v>832.7</v>
          </cell>
        </row>
      </sheetData>
      <sheetData sheetId="10">
        <row r="14">
          <cell r="A14" t="str">
            <v>01.000.00</v>
          </cell>
          <cell r="B14" t="str">
            <v>Desmatamento,destocamento e limpeza de área com árvore até 0,15m</v>
          </cell>
          <cell r="C14" t="str">
            <v>DNER-ES278/97</v>
          </cell>
          <cell r="D14" t="str">
            <v xml:space="preserve"> </v>
          </cell>
          <cell r="E14" t="str">
            <v>m2</v>
          </cell>
          <cell r="F14">
            <v>50000</v>
          </cell>
          <cell r="G14">
            <v>7.0000000000000007E-2</v>
          </cell>
        </row>
        <row r="15">
          <cell r="A15" t="str">
            <v>01.010.00</v>
          </cell>
          <cell r="B15" t="str">
            <v>Desmatamento e destocamento árvores de 0,15m a 0,30m</v>
          </cell>
          <cell r="C15" t="str">
            <v>DNER-ES278/97</v>
          </cell>
          <cell r="D15" t="str">
            <v xml:space="preserve"> </v>
          </cell>
          <cell r="E15" t="str">
            <v>un</v>
          </cell>
          <cell r="F15">
            <v>200</v>
          </cell>
          <cell r="G15">
            <v>8.92</v>
          </cell>
        </row>
        <row r="16">
          <cell r="A16" t="str">
            <v>01.011.00</v>
          </cell>
          <cell r="B16" t="str">
            <v>Desmatamento e destocamento árvores superior a 0,30m</v>
          </cell>
          <cell r="C16" t="str">
            <v>DNER-ES278/97</v>
          </cell>
          <cell r="D16" t="str">
            <v xml:space="preserve"> </v>
          </cell>
          <cell r="E16" t="str">
            <v>un</v>
          </cell>
          <cell r="F16">
            <v>100</v>
          </cell>
          <cell r="G16">
            <v>26.75</v>
          </cell>
        </row>
        <row r="17">
          <cell r="A17" t="str">
            <v>01.100.12</v>
          </cell>
          <cell r="B17" t="str">
            <v>Escavação,carga e transportes de material de 1a categoria DMT= 600 a 800m</v>
          </cell>
          <cell r="C17" t="str">
            <v>DNER-ES280/97</v>
          </cell>
          <cell r="D17" t="str">
            <v xml:space="preserve"> </v>
          </cell>
          <cell r="E17" t="str">
            <v>m3</v>
          </cell>
          <cell r="F17">
            <v>113272</v>
          </cell>
          <cell r="G17">
            <v>2.19</v>
          </cell>
        </row>
        <row r="18">
          <cell r="A18" t="str">
            <v>01.100.19</v>
          </cell>
          <cell r="B18" t="str">
            <v>Escavação,carga e transportes de material de 1a categoria DMT= 2000 a 3000m</v>
          </cell>
          <cell r="C18" t="str">
            <v>DNER-ES280/97</v>
          </cell>
          <cell r="D18" t="str">
            <v xml:space="preserve"> </v>
          </cell>
          <cell r="E18" t="str">
            <v>m3</v>
          </cell>
          <cell r="F18">
            <v>14085</v>
          </cell>
          <cell r="G18">
            <v>3.26</v>
          </cell>
        </row>
        <row r="19">
          <cell r="A19" t="str">
            <v>DER50385</v>
          </cell>
          <cell r="B19" t="str">
            <v>Esc.  Carga e Transp. de mat. 1a cat. c/ CB 26000&lt;DMT&lt;28000m</v>
          </cell>
          <cell r="C19" t="str">
            <v xml:space="preserve"> </v>
          </cell>
          <cell r="D19" t="str">
            <v xml:space="preserve"> </v>
          </cell>
          <cell r="E19" t="str">
            <v>m3</v>
          </cell>
          <cell r="F19">
            <v>17676</v>
          </cell>
          <cell r="G19">
            <v>15.02</v>
          </cell>
        </row>
        <row r="20">
          <cell r="A20" t="str">
            <v>01.101.12</v>
          </cell>
          <cell r="B20" t="str">
            <v>Escavação,carga e transportes de material de 2a categoria,c/CB,  DMT 600 a 800m</v>
          </cell>
          <cell r="C20" t="str">
            <v>DNER-ES280/97</v>
          </cell>
          <cell r="D20" t="str">
            <v xml:space="preserve"> </v>
          </cell>
          <cell r="E20" t="str">
            <v>m3</v>
          </cell>
          <cell r="F20">
            <v>75515</v>
          </cell>
          <cell r="G20">
            <v>3.23</v>
          </cell>
        </row>
        <row r="21">
          <cell r="A21" t="str">
            <v>01.101.19</v>
          </cell>
          <cell r="B21" t="str">
            <v>Escavação,carga e transportes de material de 2a categoria,c/CB,  DMT 2000 a 3000m</v>
          </cell>
          <cell r="C21" t="str">
            <v>DNER-ES280/97</v>
          </cell>
          <cell r="D21" t="str">
            <v xml:space="preserve"> </v>
          </cell>
          <cell r="E21" t="str">
            <v>m3</v>
          </cell>
          <cell r="F21">
            <v>12149</v>
          </cell>
          <cell r="G21">
            <v>4.51</v>
          </cell>
        </row>
        <row r="22">
          <cell r="A22" t="str">
            <v>DER52101</v>
          </cell>
          <cell r="B22" t="str">
            <v>Esc. Carga e Transp. de solos moles 1200&lt;DMT&lt;=1400m</v>
          </cell>
          <cell r="C22" t="str">
            <v xml:space="preserve"> </v>
          </cell>
          <cell r="D22" t="str">
            <v xml:space="preserve"> </v>
          </cell>
          <cell r="E22" t="str">
            <v>m3</v>
          </cell>
          <cell r="F22">
            <v>13597</v>
          </cell>
          <cell r="G22">
            <v>4.74</v>
          </cell>
        </row>
        <row r="23">
          <cell r="A23" t="str">
            <v>01.510.00</v>
          </cell>
          <cell r="B23" t="str">
            <v>Compactação de aterros a 95% Proctor Normal</v>
          </cell>
          <cell r="C23" t="str">
            <v>DNER-ES282/97</v>
          </cell>
          <cell r="D23" t="str">
            <v xml:space="preserve"> </v>
          </cell>
          <cell r="E23" t="str">
            <v>m3</v>
          </cell>
          <cell r="F23">
            <v>168653</v>
          </cell>
          <cell r="G23">
            <v>0.79</v>
          </cell>
        </row>
        <row r="24">
          <cell r="A24" t="str">
            <v>01.511.00</v>
          </cell>
          <cell r="B24" t="str">
            <v>Compactação de aterros a 100% Proctor Normal</v>
          </cell>
          <cell r="C24" t="str">
            <v>DNER-ES282/97</v>
          </cell>
          <cell r="D24" t="str">
            <v xml:space="preserve"> </v>
          </cell>
          <cell r="E24" t="str">
            <v>m3</v>
          </cell>
          <cell r="F24">
            <v>21862</v>
          </cell>
          <cell r="G24">
            <v>1.36</v>
          </cell>
        </row>
        <row r="25">
          <cell r="F25" t="str">
            <v>SUB-TOTAL</v>
          </cell>
        </row>
        <row r="27">
          <cell r="B27" t="str">
            <v>PAVIMENTAÇÃO</v>
          </cell>
        </row>
        <row r="28">
          <cell r="A28" t="str">
            <v>02.000.00</v>
          </cell>
          <cell r="B28" t="str">
            <v>Regularização do subleito</v>
          </cell>
          <cell r="C28" t="str">
            <v xml:space="preserve"> </v>
          </cell>
          <cell r="D28" t="str">
            <v xml:space="preserve"> </v>
          </cell>
          <cell r="E28" t="str">
            <v>m2</v>
          </cell>
          <cell r="F28">
            <v>54585</v>
          </cell>
          <cell r="G28">
            <v>0.3</v>
          </cell>
        </row>
        <row r="29">
          <cell r="A29" t="str">
            <v>DER53130</v>
          </cell>
          <cell r="B29" t="str">
            <v>Camada de macadame seco</v>
          </cell>
          <cell r="C29" t="str">
            <v xml:space="preserve"> </v>
          </cell>
          <cell r="D29" t="str">
            <v xml:space="preserve"> </v>
          </cell>
          <cell r="E29" t="str">
            <v>m3</v>
          </cell>
          <cell r="F29">
            <v>9402</v>
          </cell>
          <cell r="G29">
            <v>21.86</v>
          </cell>
        </row>
        <row r="30">
          <cell r="A30" t="str">
            <v>02.230.00</v>
          </cell>
          <cell r="B30" t="str">
            <v>Base brita graduada</v>
          </cell>
          <cell r="C30" t="str">
            <v>DNER-ES303/97</v>
          </cell>
          <cell r="D30" t="str">
            <v xml:space="preserve"> </v>
          </cell>
          <cell r="E30" t="str">
            <v>m3</v>
          </cell>
          <cell r="F30">
            <v>7485</v>
          </cell>
          <cell r="G30">
            <v>28.06</v>
          </cell>
        </row>
        <row r="31">
          <cell r="A31" t="str">
            <v>02.300.00</v>
          </cell>
          <cell r="B31" t="str">
            <v>Imprimação - Fornecimento, transporte e execução</v>
          </cell>
          <cell r="C31" t="str">
            <v>DNER-ES306/97</v>
          </cell>
          <cell r="D31" t="str">
            <v xml:space="preserve"> </v>
          </cell>
          <cell r="E31" t="str">
            <v>m2</v>
          </cell>
          <cell r="F31">
            <v>49751</v>
          </cell>
          <cell r="G31">
            <v>1.1100000000000001</v>
          </cell>
        </row>
        <row r="32">
          <cell r="A32" t="str">
            <v>02.400.00</v>
          </cell>
          <cell r="B32" t="str">
            <v>Pintura de ligação - Fornec., transporte e execução</v>
          </cell>
          <cell r="C32" t="str">
            <v>DNER-ES307/97</v>
          </cell>
          <cell r="D32" t="str">
            <v xml:space="preserve"> </v>
          </cell>
          <cell r="E32" t="str">
            <v>m2</v>
          </cell>
          <cell r="F32">
            <v>113720</v>
          </cell>
          <cell r="G32">
            <v>0.41</v>
          </cell>
        </row>
        <row r="33">
          <cell r="A33" t="str">
            <v>02.540.01</v>
          </cell>
          <cell r="B33" t="str">
            <v>Concreto betuminoso usinado a quente - usina 100/140 t/h</v>
          </cell>
          <cell r="C33" t="str">
            <v>DNER-ES313/97</v>
          </cell>
          <cell r="D33" t="str">
            <v xml:space="preserve"> </v>
          </cell>
          <cell r="E33" t="str">
            <v>t</v>
          </cell>
          <cell r="F33">
            <v>13239</v>
          </cell>
          <cell r="G33">
            <v>67.64</v>
          </cell>
        </row>
        <row r="34">
          <cell r="A34" t="str">
            <v>DER82200a</v>
          </cell>
          <cell r="B34" t="str">
            <v>Remoção de camada granular</v>
          </cell>
          <cell r="C34" t="str">
            <v xml:space="preserve"> </v>
          </cell>
          <cell r="D34" t="str">
            <v xml:space="preserve"> </v>
          </cell>
          <cell r="E34" t="str">
            <v>m3</v>
          </cell>
          <cell r="F34">
            <v>1626</v>
          </cell>
          <cell r="G34">
            <v>4.67</v>
          </cell>
        </row>
        <row r="35">
          <cell r="A35" t="str">
            <v>DER82200</v>
          </cell>
          <cell r="B35" t="str">
            <v>Remoção de revestimento de CBUQ</v>
          </cell>
          <cell r="C35" t="str">
            <v xml:space="preserve"> </v>
          </cell>
          <cell r="D35" t="str">
            <v xml:space="preserve"> </v>
          </cell>
          <cell r="E35" t="str">
            <v>m3</v>
          </cell>
          <cell r="F35">
            <v>1626</v>
          </cell>
          <cell r="G35">
            <v>5.73</v>
          </cell>
        </row>
        <row r="36">
          <cell r="F36" t="str">
            <v>SUB-TOTAL</v>
          </cell>
        </row>
        <row r="38">
          <cell r="B38" t="str">
            <v>DRENAGEM</v>
          </cell>
        </row>
        <row r="39">
          <cell r="A39" t="str">
            <v>04.000.00</v>
          </cell>
          <cell r="B39" t="str">
            <v>Escavação manual em material de 1a categoria</v>
          </cell>
          <cell r="C39" t="str">
            <v xml:space="preserve"> </v>
          </cell>
          <cell r="D39" t="str">
            <v xml:space="preserve"> </v>
          </cell>
          <cell r="E39" t="str">
            <v>m3</v>
          </cell>
          <cell r="F39">
            <v>157</v>
          </cell>
          <cell r="G39">
            <v>17.57</v>
          </cell>
        </row>
        <row r="40">
          <cell r="A40" t="str">
            <v>04.001.00</v>
          </cell>
          <cell r="B40" t="str">
            <v>Escavação mecânica em material de 1a categoria</v>
          </cell>
          <cell r="C40" t="str">
            <v xml:space="preserve"> </v>
          </cell>
          <cell r="D40" t="str">
            <v xml:space="preserve"> </v>
          </cell>
          <cell r="E40" t="str">
            <v>m3</v>
          </cell>
          <cell r="F40">
            <v>1085</v>
          </cell>
          <cell r="G40">
            <v>2.09</v>
          </cell>
        </row>
        <row r="41">
          <cell r="A41" t="str">
            <v>04.001.01</v>
          </cell>
          <cell r="B41" t="str">
            <v>Escavação mecânica,reaterro e compactação (material de 1a categoria)</v>
          </cell>
          <cell r="C41" t="str">
            <v xml:space="preserve"> </v>
          </cell>
          <cell r="D41" t="str">
            <v xml:space="preserve"> </v>
          </cell>
          <cell r="E41" t="str">
            <v>m3</v>
          </cell>
          <cell r="F41">
            <v>1888</v>
          </cell>
          <cell r="G41">
            <v>3.03</v>
          </cell>
        </row>
        <row r="42">
          <cell r="A42" t="str">
            <v>04.401.02</v>
          </cell>
          <cell r="B42" t="str">
            <v>Valeta de prot. de aterro c/ revest. vegetal VPA 02</v>
          </cell>
          <cell r="C42" t="str">
            <v xml:space="preserve"> </v>
          </cell>
          <cell r="D42" t="str">
            <v xml:space="preserve"> </v>
          </cell>
          <cell r="E42" t="str">
            <v>m</v>
          </cell>
          <cell r="F42">
            <v>805</v>
          </cell>
          <cell r="G42">
            <v>24.32</v>
          </cell>
        </row>
        <row r="43">
          <cell r="A43" t="str">
            <v>04.500.06</v>
          </cell>
          <cell r="B43" t="str">
            <v>Dreno longit. profundo p/cortes em solo- DPS 06</v>
          </cell>
          <cell r="C43" t="str">
            <v>DNER-ES292/97</v>
          </cell>
          <cell r="D43" t="str">
            <v xml:space="preserve"> </v>
          </cell>
          <cell r="E43" t="str">
            <v>m</v>
          </cell>
          <cell r="F43">
            <v>1023</v>
          </cell>
          <cell r="G43">
            <v>34.94</v>
          </cell>
        </row>
        <row r="44">
          <cell r="A44" t="str">
            <v>04.502.02</v>
          </cell>
          <cell r="B44" t="str">
            <v>Boca de saída p/ dreno longit. profundo- BSD 02</v>
          </cell>
          <cell r="C44" t="str">
            <v xml:space="preserve"> </v>
          </cell>
          <cell r="D44" t="str">
            <v xml:space="preserve"> </v>
          </cell>
          <cell r="E44" t="str">
            <v>un</v>
          </cell>
          <cell r="F44">
            <v>4</v>
          </cell>
          <cell r="G44">
            <v>49.08</v>
          </cell>
        </row>
        <row r="45">
          <cell r="A45" t="str">
            <v>04.510.03</v>
          </cell>
          <cell r="B45" t="str">
            <v>Dreno sub- superficial- DSS 03</v>
          </cell>
          <cell r="C45" t="str">
            <v>DNER-ES294/97</v>
          </cell>
          <cell r="D45" t="str">
            <v xml:space="preserve"> </v>
          </cell>
          <cell r="E45" t="str">
            <v>m</v>
          </cell>
          <cell r="F45">
            <v>1095</v>
          </cell>
          <cell r="G45">
            <v>3.71</v>
          </cell>
        </row>
        <row r="46">
          <cell r="A46" t="str">
            <v>04.511.01</v>
          </cell>
          <cell r="B46" t="str">
            <v>Boca de saída p/ dreno sub-superficial-BSD 03</v>
          </cell>
          <cell r="C46" t="str">
            <v xml:space="preserve"> </v>
          </cell>
          <cell r="D46" t="str">
            <v xml:space="preserve"> </v>
          </cell>
          <cell r="E46" t="str">
            <v>un</v>
          </cell>
          <cell r="F46">
            <v>6</v>
          </cell>
          <cell r="G46">
            <v>20.86</v>
          </cell>
        </row>
        <row r="47">
          <cell r="A47" t="str">
            <v>04.900.04</v>
          </cell>
          <cell r="B47" t="str">
            <v>Sarjeta triangular de concreto-STC 04</v>
          </cell>
          <cell r="C47" t="str">
            <v>DNER-ES288/97</v>
          </cell>
          <cell r="D47" t="str">
            <v xml:space="preserve"> </v>
          </cell>
          <cell r="E47" t="str">
            <v>m</v>
          </cell>
          <cell r="F47">
            <v>264</v>
          </cell>
          <cell r="G47">
            <v>12.93</v>
          </cell>
        </row>
        <row r="48">
          <cell r="A48" t="str">
            <v>04.900.21</v>
          </cell>
          <cell r="B48" t="str">
            <v>Sarjeta de cant. central de concreto-SCC 01</v>
          </cell>
          <cell r="C48" t="str">
            <v>DNER-ES288/97</v>
          </cell>
          <cell r="D48" t="str">
            <v xml:space="preserve"> </v>
          </cell>
          <cell r="E48" t="str">
            <v>m</v>
          </cell>
          <cell r="F48">
            <v>678</v>
          </cell>
          <cell r="G48">
            <v>13.85</v>
          </cell>
        </row>
        <row r="49">
          <cell r="A49" t="str">
            <v>04.900.22</v>
          </cell>
          <cell r="B49" t="str">
            <v>Sarjeta de cant. central de concreto-SCC 02</v>
          </cell>
          <cell r="C49" t="str">
            <v>DNER-ES288/97</v>
          </cell>
          <cell r="D49" t="str">
            <v xml:space="preserve"> </v>
          </cell>
          <cell r="E49" t="str">
            <v>m</v>
          </cell>
          <cell r="F49">
            <v>572</v>
          </cell>
          <cell r="G49">
            <v>19.170000000000002</v>
          </cell>
        </row>
        <row r="50">
          <cell r="A50" t="str">
            <v>04.910.05</v>
          </cell>
          <cell r="B50" t="str">
            <v>Meio-fio de concreto-MFC 05</v>
          </cell>
          <cell r="C50" t="str">
            <v>DNER-ES290/97</v>
          </cell>
          <cell r="D50" t="str">
            <v xml:space="preserve"> </v>
          </cell>
          <cell r="E50" t="str">
            <v>m</v>
          </cell>
          <cell r="F50">
            <v>2286</v>
          </cell>
          <cell r="G50">
            <v>10.54</v>
          </cell>
        </row>
        <row r="51">
          <cell r="A51" t="str">
            <v>DER78150a</v>
          </cell>
          <cell r="B51" t="str">
            <v>Caixa coletora de sarjeta - CCS, D=60cm E H=1,5m</v>
          </cell>
          <cell r="C51" t="str">
            <v xml:space="preserve"> </v>
          </cell>
          <cell r="D51" t="str">
            <v xml:space="preserve"> </v>
          </cell>
          <cell r="E51" t="str">
            <v>un</v>
          </cell>
          <cell r="F51">
            <v>2</v>
          </cell>
          <cell r="G51">
            <v>500.45</v>
          </cell>
        </row>
        <row r="52">
          <cell r="A52" t="str">
            <v>04.930.01</v>
          </cell>
          <cell r="B52" t="str">
            <v>Caixa coletora de sarjeta-CCS 01</v>
          </cell>
          <cell r="C52" t="str">
            <v>DNER-ES287/97</v>
          </cell>
          <cell r="D52" t="str">
            <v xml:space="preserve"> </v>
          </cell>
          <cell r="E52" t="str">
            <v>un</v>
          </cell>
          <cell r="F52">
            <v>2</v>
          </cell>
          <cell r="G52">
            <v>568.85</v>
          </cell>
        </row>
        <row r="53">
          <cell r="A53" t="str">
            <v>04.941.03</v>
          </cell>
          <cell r="B53" t="str">
            <v>Descida d'água de aterros em degraus-DAD 03</v>
          </cell>
          <cell r="C53" t="str">
            <v>DNER-ES291/97</v>
          </cell>
          <cell r="D53" t="str">
            <v xml:space="preserve"> </v>
          </cell>
          <cell r="E53" t="str">
            <v>m</v>
          </cell>
          <cell r="F53">
            <v>3</v>
          </cell>
          <cell r="G53">
            <v>79.97</v>
          </cell>
        </row>
        <row r="54">
          <cell r="A54" t="str">
            <v>04.950.01</v>
          </cell>
          <cell r="B54" t="str">
            <v>Dissipador de energia- DES 01</v>
          </cell>
          <cell r="C54" t="str">
            <v>DNER-ES283/97</v>
          </cell>
          <cell r="D54" t="str">
            <v xml:space="preserve"> </v>
          </cell>
          <cell r="E54" t="str">
            <v>un</v>
          </cell>
          <cell r="F54">
            <v>3</v>
          </cell>
          <cell r="G54">
            <v>93</v>
          </cell>
        </row>
        <row r="55">
          <cell r="A55" t="str">
            <v>04.960.01</v>
          </cell>
          <cell r="B55" t="str">
            <v>Boca de lobo simples c/ grelha de concreto-BLS 01</v>
          </cell>
          <cell r="C55" t="str">
            <v xml:space="preserve"> </v>
          </cell>
          <cell r="D55" t="str">
            <v xml:space="preserve"> </v>
          </cell>
          <cell r="E55" t="str">
            <v>un</v>
          </cell>
          <cell r="F55">
            <v>4</v>
          </cell>
          <cell r="G55">
            <v>203.51</v>
          </cell>
        </row>
        <row r="56">
          <cell r="A56" t="str">
            <v>04.960.02</v>
          </cell>
          <cell r="B56" t="str">
            <v>Boca de lobo simples c/ grelha de concreto-BLS 02</v>
          </cell>
          <cell r="C56" t="str">
            <v xml:space="preserve"> </v>
          </cell>
          <cell r="D56" t="str">
            <v xml:space="preserve"> </v>
          </cell>
          <cell r="E56" t="str">
            <v>un</v>
          </cell>
          <cell r="F56">
            <v>4</v>
          </cell>
          <cell r="G56">
            <v>257.83999999999997</v>
          </cell>
        </row>
        <row r="57">
          <cell r="A57" t="str">
            <v>04.962.01</v>
          </cell>
          <cell r="B57" t="str">
            <v>Caixa de ligação e passagem- CLP 01</v>
          </cell>
          <cell r="C57" t="str">
            <v>DNER-ES287/97</v>
          </cell>
          <cell r="D57" t="str">
            <v xml:space="preserve"> </v>
          </cell>
          <cell r="E57" t="str">
            <v>un</v>
          </cell>
          <cell r="F57">
            <v>1</v>
          </cell>
          <cell r="G57">
            <v>371.03</v>
          </cell>
        </row>
        <row r="58">
          <cell r="A58" t="str">
            <v>04.962.15</v>
          </cell>
          <cell r="B58" t="str">
            <v>Caixa de ligação e passagem- CLP 15</v>
          </cell>
          <cell r="C58" t="str">
            <v>DNER-ES287/97</v>
          </cell>
          <cell r="D58" t="str">
            <v xml:space="preserve"> </v>
          </cell>
          <cell r="E58" t="str">
            <v>un</v>
          </cell>
          <cell r="F58">
            <v>1</v>
          </cell>
          <cell r="G58">
            <v>683.07</v>
          </cell>
        </row>
        <row r="59">
          <cell r="A59" t="str">
            <v>P 04.100.07</v>
          </cell>
          <cell r="B59" t="str">
            <v>Execução de galerias D=0,40 c/ lastro de brita</v>
          </cell>
          <cell r="C59" t="str">
            <v xml:space="preserve"> </v>
          </cell>
          <cell r="D59" t="str">
            <v xml:space="preserve"> </v>
          </cell>
          <cell r="E59" t="str">
            <v>m</v>
          </cell>
          <cell r="F59">
            <v>317</v>
          </cell>
          <cell r="G59">
            <v>41.68</v>
          </cell>
        </row>
        <row r="60">
          <cell r="A60" t="str">
            <v>P 04.100.09</v>
          </cell>
          <cell r="B60" t="str">
            <v>Execução de galerias D=0,60 c/ lastro de brita</v>
          </cell>
          <cell r="C60" t="str">
            <v xml:space="preserve"> </v>
          </cell>
          <cell r="D60" t="str">
            <v xml:space="preserve"> </v>
          </cell>
          <cell r="E60" t="str">
            <v>m</v>
          </cell>
          <cell r="F60">
            <v>40</v>
          </cell>
          <cell r="G60">
            <v>100.67</v>
          </cell>
        </row>
        <row r="61">
          <cell r="A61" t="str">
            <v>P 04.100.08</v>
          </cell>
          <cell r="B61" t="str">
            <v>Execução de galerias D=0,40 c/ lastro de concreto</v>
          </cell>
          <cell r="C61" t="str">
            <v xml:space="preserve"> </v>
          </cell>
          <cell r="D61" t="str">
            <v xml:space="preserve"> </v>
          </cell>
          <cell r="E61" t="str">
            <v>m</v>
          </cell>
          <cell r="F61">
            <v>86</v>
          </cell>
          <cell r="G61">
            <v>58.65</v>
          </cell>
        </row>
        <row r="62">
          <cell r="A62" t="str">
            <v>P 04.100.10</v>
          </cell>
          <cell r="B62" t="str">
            <v>Execução de galerias D=0,60 c/ lastro de concreto</v>
          </cell>
          <cell r="C62" t="str">
            <v xml:space="preserve"> </v>
          </cell>
          <cell r="D62" t="str">
            <v xml:space="preserve"> </v>
          </cell>
          <cell r="E62" t="str">
            <v>m</v>
          </cell>
          <cell r="F62">
            <v>198</v>
          </cell>
          <cell r="G62">
            <v>131.66</v>
          </cell>
        </row>
        <row r="63">
          <cell r="A63" t="str">
            <v>DER72350b</v>
          </cell>
          <cell r="B63" t="str">
            <v>Boca para BSTC D=40cm - Normal</v>
          </cell>
          <cell r="C63" t="str">
            <v xml:space="preserve"> </v>
          </cell>
          <cell r="D63" t="str">
            <v xml:space="preserve"> </v>
          </cell>
          <cell r="E63" t="str">
            <v>un</v>
          </cell>
          <cell r="F63">
            <v>4</v>
          </cell>
          <cell r="G63">
            <v>147.57</v>
          </cell>
        </row>
        <row r="64">
          <cell r="A64" t="str">
            <v>04.101.01</v>
          </cell>
          <cell r="B64" t="str">
            <v>Boca de BSTC D=0.60m-normal</v>
          </cell>
          <cell r="C64" t="str">
            <v>DNER-ES284/97</v>
          </cell>
          <cell r="D64" t="str">
            <v xml:space="preserve"> </v>
          </cell>
          <cell r="E64" t="str">
            <v>un</v>
          </cell>
          <cell r="F64">
            <v>5</v>
          </cell>
          <cell r="G64">
            <v>299.62</v>
          </cell>
        </row>
        <row r="65">
          <cell r="A65" t="str">
            <v>04.963.03</v>
          </cell>
          <cell r="B65" t="str">
            <v>Poço de visita- PVI 03</v>
          </cell>
          <cell r="C65" t="str">
            <v xml:space="preserve"> </v>
          </cell>
          <cell r="D65" t="str">
            <v xml:space="preserve"> </v>
          </cell>
          <cell r="E65" t="str">
            <v>un</v>
          </cell>
          <cell r="F65">
            <v>1</v>
          </cell>
          <cell r="G65">
            <v>569.29</v>
          </cell>
        </row>
        <row r="66">
          <cell r="A66" t="str">
            <v>04.991.01</v>
          </cell>
          <cell r="B66" t="str">
            <v>Tampa de concreto p/ caixa coletora(4 nervuras)-TCC 01</v>
          </cell>
          <cell r="C66" t="str">
            <v xml:space="preserve"> </v>
          </cell>
          <cell r="D66" t="str">
            <v xml:space="preserve"> </v>
          </cell>
          <cell r="E66" t="str">
            <v>un</v>
          </cell>
          <cell r="F66">
            <v>1</v>
          </cell>
          <cell r="G66">
            <v>48.34</v>
          </cell>
        </row>
        <row r="67">
          <cell r="F67" t="str">
            <v>SUB-TOTAL</v>
          </cell>
        </row>
        <row r="69">
          <cell r="B69" t="str">
            <v>OBRAS DE ARTE ESPECIAIS</v>
          </cell>
        </row>
        <row r="70">
          <cell r="B70" t="str">
            <v>Infra e Mesoestrutura</v>
          </cell>
        </row>
        <row r="71">
          <cell r="A71" t="str">
            <v>DER90150</v>
          </cell>
          <cell r="B71" t="str">
            <v>Escavação em tubulão a céu aberto em material de 1ªcateg.</v>
          </cell>
          <cell r="C71" t="str">
            <v xml:space="preserve"> </v>
          </cell>
          <cell r="D71" t="str">
            <v xml:space="preserve"> </v>
          </cell>
          <cell r="E71" t="str">
            <v>m3</v>
          </cell>
          <cell r="F71">
            <v>90</v>
          </cell>
          <cell r="G71">
            <v>184.89</v>
          </cell>
        </row>
        <row r="72">
          <cell r="A72" t="str">
            <v>DER90160</v>
          </cell>
          <cell r="B72" t="str">
            <v>Escavação em tubulão a céu aberto em material de 3ªcateg.</v>
          </cell>
          <cell r="C72" t="str">
            <v xml:space="preserve"> </v>
          </cell>
          <cell r="D72" t="str">
            <v xml:space="preserve"> </v>
          </cell>
          <cell r="E72" t="str">
            <v>m3</v>
          </cell>
          <cell r="F72">
            <v>1</v>
          </cell>
          <cell r="G72">
            <v>640.85</v>
          </cell>
        </row>
        <row r="73">
          <cell r="A73" t="str">
            <v>DER90170</v>
          </cell>
          <cell r="B73" t="str">
            <v>Escavação em tubulão sob ar comprimido em material de 1ªcateg.</v>
          </cell>
          <cell r="C73" t="str">
            <v xml:space="preserve"> </v>
          </cell>
          <cell r="D73" t="str">
            <v xml:space="preserve"> </v>
          </cell>
          <cell r="E73" t="str">
            <v>m3</v>
          </cell>
          <cell r="F73">
            <v>1</v>
          </cell>
          <cell r="G73">
            <v>742.04</v>
          </cell>
        </row>
        <row r="74">
          <cell r="A74" t="str">
            <v>DER90180</v>
          </cell>
          <cell r="B74" t="str">
            <v>Escavação em tubulão sob ar comprimido em material de 3ªcateg.</v>
          </cell>
          <cell r="C74" t="str">
            <v xml:space="preserve"> </v>
          </cell>
          <cell r="D74" t="str">
            <v xml:space="preserve"> </v>
          </cell>
          <cell r="E74" t="str">
            <v>m3</v>
          </cell>
          <cell r="F74">
            <v>110</v>
          </cell>
          <cell r="G74">
            <v>1154.25</v>
          </cell>
        </row>
        <row r="75">
          <cell r="A75" t="str">
            <v>03.371.00</v>
          </cell>
          <cell r="B75" t="str">
            <v>Formas de madeira compensada</v>
          </cell>
          <cell r="C75" t="str">
            <v xml:space="preserve"> </v>
          </cell>
          <cell r="D75" t="str">
            <v xml:space="preserve"> </v>
          </cell>
          <cell r="E75" t="str">
            <v>m2</v>
          </cell>
          <cell r="F75">
            <v>331</v>
          </cell>
          <cell r="G75">
            <v>21.86</v>
          </cell>
        </row>
        <row r="76">
          <cell r="A76" t="str">
            <v>03.371.02</v>
          </cell>
          <cell r="B76" t="str">
            <v>Formas de placa compensada plastificada</v>
          </cell>
          <cell r="C76" t="str">
            <v xml:space="preserve"> </v>
          </cell>
          <cell r="D76" t="str">
            <v xml:space="preserve"> </v>
          </cell>
          <cell r="E76" t="str">
            <v>m2</v>
          </cell>
          <cell r="F76">
            <v>210</v>
          </cell>
          <cell r="G76">
            <v>30.76</v>
          </cell>
        </row>
        <row r="77">
          <cell r="A77" t="str">
            <v>03.353.00</v>
          </cell>
          <cell r="B77" t="str">
            <v>Forn., preparo e colocação nas formas, de aço CA-50</v>
          </cell>
          <cell r="C77" t="str">
            <v xml:space="preserve"> </v>
          </cell>
          <cell r="D77" t="str">
            <v xml:space="preserve"> </v>
          </cell>
          <cell r="E77" t="str">
            <v>kg</v>
          </cell>
          <cell r="F77">
            <v>11325</v>
          </cell>
          <cell r="G77">
            <v>2.59</v>
          </cell>
        </row>
        <row r="78">
          <cell r="A78" t="str">
            <v>P 03.327.01</v>
          </cell>
          <cell r="B78" t="str">
            <v xml:space="preserve">Concreto fck= 25 MPa-contr. raz. uso ger. </v>
          </cell>
          <cell r="C78" t="str">
            <v xml:space="preserve"> </v>
          </cell>
          <cell r="D78" t="str">
            <v xml:space="preserve"> </v>
          </cell>
          <cell r="E78" t="str">
            <v>m3</v>
          </cell>
          <cell r="F78">
            <v>252</v>
          </cell>
          <cell r="G78">
            <v>163.22</v>
          </cell>
        </row>
        <row r="79">
          <cell r="B79" t="str">
            <v>Superestrutura</v>
          </cell>
        </row>
        <row r="80">
          <cell r="A80" t="str">
            <v>OAE6</v>
          </cell>
          <cell r="B80" t="str">
            <v>Escoramento metálico comum (cimbramento)</v>
          </cell>
          <cell r="C80" t="str">
            <v xml:space="preserve"> </v>
          </cell>
          <cell r="D80" t="str">
            <v xml:space="preserve"> </v>
          </cell>
          <cell r="E80" t="str">
            <v>m3</v>
          </cell>
          <cell r="F80">
            <v>9500</v>
          </cell>
          <cell r="G80">
            <v>27.58</v>
          </cell>
        </row>
        <row r="81">
          <cell r="A81" t="str">
            <v>03.371.02</v>
          </cell>
          <cell r="B81" t="str">
            <v>Formas de placa compensada plastificada</v>
          </cell>
          <cell r="C81" t="str">
            <v xml:space="preserve"> </v>
          </cell>
          <cell r="D81" t="str">
            <v xml:space="preserve"> </v>
          </cell>
          <cell r="E81" t="str">
            <v>m2</v>
          </cell>
          <cell r="F81">
            <v>2606</v>
          </cell>
          <cell r="G81">
            <v>30.76</v>
          </cell>
        </row>
        <row r="82">
          <cell r="A82" t="str">
            <v>03.371.00</v>
          </cell>
          <cell r="B82" t="str">
            <v>Formas de madeira compensada</v>
          </cell>
          <cell r="C82" t="str">
            <v xml:space="preserve"> </v>
          </cell>
          <cell r="D82" t="str">
            <v xml:space="preserve"> </v>
          </cell>
          <cell r="E82" t="str">
            <v>m2</v>
          </cell>
          <cell r="F82">
            <v>928</v>
          </cell>
          <cell r="G82">
            <v>21.86</v>
          </cell>
        </row>
        <row r="83">
          <cell r="A83" t="str">
            <v>03.353.00</v>
          </cell>
          <cell r="B83" t="str">
            <v>Forn., preparo e colocação nas formas, de aço CA-50</v>
          </cell>
          <cell r="C83" t="str">
            <v xml:space="preserve"> </v>
          </cell>
          <cell r="D83" t="str">
            <v xml:space="preserve"> </v>
          </cell>
          <cell r="E83" t="str">
            <v>kg</v>
          </cell>
          <cell r="F83">
            <v>119265</v>
          </cell>
          <cell r="G83">
            <v>2.59</v>
          </cell>
        </row>
        <row r="84">
          <cell r="A84" t="str">
            <v>OAE4</v>
          </cell>
          <cell r="B84" t="str">
            <v>Armadura de protensão, fornecimento, bainhas, ancoragens, operações de protensão</v>
          </cell>
          <cell r="C84" t="str">
            <v xml:space="preserve"> </v>
          </cell>
          <cell r="D84" t="str">
            <v xml:space="preserve"> </v>
          </cell>
          <cell r="E84" t="str">
            <v>kg</v>
          </cell>
          <cell r="F84">
            <v>45662</v>
          </cell>
          <cell r="G84">
            <v>19.28</v>
          </cell>
        </row>
        <row r="85">
          <cell r="A85" t="str">
            <v>OAE19</v>
          </cell>
          <cell r="B85" t="str">
            <v>Injeção de nata (cabos 12 varas 1/2")</v>
          </cell>
          <cell r="C85" t="str">
            <v xml:space="preserve"> </v>
          </cell>
          <cell r="D85" t="str">
            <v xml:space="preserve"> </v>
          </cell>
          <cell r="E85" t="str">
            <v>m</v>
          </cell>
          <cell r="F85">
            <v>1841.2</v>
          </cell>
          <cell r="G85">
            <v>3.65</v>
          </cell>
        </row>
        <row r="86">
          <cell r="A86" t="str">
            <v>OAE1</v>
          </cell>
          <cell r="B86" t="str">
            <v>Ancoragem ativa - Fornecimento, instalação e protensão</v>
          </cell>
          <cell r="C86" t="str">
            <v xml:space="preserve"> </v>
          </cell>
          <cell r="D86" t="str">
            <v xml:space="preserve"> </v>
          </cell>
          <cell r="E86" t="str">
            <v>un</v>
          </cell>
          <cell r="F86">
            <v>48</v>
          </cell>
          <cell r="G86">
            <v>682.29</v>
          </cell>
        </row>
        <row r="87">
          <cell r="A87" t="str">
            <v>03.330.00</v>
          </cell>
          <cell r="B87" t="str">
            <v>Concreto fck= 35 MPa-contr. raz. uso ger.</v>
          </cell>
          <cell r="C87" t="str">
            <v xml:space="preserve"> </v>
          </cell>
          <cell r="D87" t="str">
            <v xml:space="preserve"> </v>
          </cell>
          <cell r="E87" t="str">
            <v>m3</v>
          </cell>
          <cell r="F87">
            <v>1403</v>
          </cell>
          <cell r="G87">
            <v>166.78</v>
          </cell>
        </row>
        <row r="88">
          <cell r="B88" t="str">
            <v>Diversos</v>
          </cell>
        </row>
        <row r="89">
          <cell r="A89" t="str">
            <v>03.510.00</v>
          </cell>
          <cell r="B89" t="str">
            <v>Aparelho de apoio em neoprene</v>
          </cell>
          <cell r="C89" t="str">
            <v xml:space="preserve"> </v>
          </cell>
          <cell r="D89" t="str">
            <v xml:space="preserve"> </v>
          </cell>
          <cell r="E89" t="str">
            <v>kg</v>
          </cell>
          <cell r="F89">
            <v>665</v>
          </cell>
          <cell r="G89">
            <v>86.94</v>
          </cell>
        </row>
        <row r="90">
          <cell r="A90" t="str">
            <v>03.700.01</v>
          </cell>
          <cell r="B90" t="str">
            <v>Guarda corpo em concreto Fck = 18 MPa</v>
          </cell>
          <cell r="C90" t="str">
            <v xml:space="preserve"> </v>
          </cell>
          <cell r="D90" t="str">
            <v xml:space="preserve"> </v>
          </cell>
          <cell r="E90" t="str">
            <v>m</v>
          </cell>
          <cell r="F90">
            <v>148</v>
          </cell>
          <cell r="G90">
            <v>80.150000000000006</v>
          </cell>
        </row>
        <row r="91">
          <cell r="B91" t="str">
            <v>Barreiras de segurança (C.A.) Tipo New Jersey (312 m)</v>
          </cell>
        </row>
        <row r="92">
          <cell r="A92" t="str">
            <v>03.371.01</v>
          </cell>
          <cell r="B92" t="str">
            <v>Formas de placa compensada resinada</v>
          </cell>
          <cell r="C92" t="str">
            <v xml:space="preserve"> </v>
          </cell>
          <cell r="D92" t="str">
            <v xml:space="preserve"> </v>
          </cell>
          <cell r="E92" t="str">
            <v>m2</v>
          </cell>
          <cell r="F92">
            <v>561.6</v>
          </cell>
          <cell r="G92">
            <v>21.86</v>
          </cell>
        </row>
        <row r="93">
          <cell r="A93" t="str">
            <v>03.353.00</v>
          </cell>
          <cell r="B93" t="str">
            <v>Forn., preparo e colocação nas formas, de aço CA-50</v>
          </cell>
          <cell r="C93" t="str">
            <v xml:space="preserve"> </v>
          </cell>
          <cell r="D93" t="str">
            <v xml:space="preserve"> </v>
          </cell>
          <cell r="E93" t="str">
            <v>kg</v>
          </cell>
          <cell r="F93">
            <v>4368</v>
          </cell>
          <cell r="G93">
            <v>2.59</v>
          </cell>
        </row>
        <row r="94">
          <cell r="A94" t="str">
            <v>03.326.00</v>
          </cell>
          <cell r="B94" t="str">
            <v xml:space="preserve">Concreto fck= 20 MPa-contr. raz. uso ger. </v>
          </cell>
          <cell r="C94" t="str">
            <v xml:space="preserve"> </v>
          </cell>
          <cell r="D94" t="str">
            <v xml:space="preserve"> </v>
          </cell>
          <cell r="E94" t="str">
            <v>m3</v>
          </cell>
          <cell r="F94">
            <v>73</v>
          </cell>
          <cell r="G94">
            <v>149.19999999999999</v>
          </cell>
        </row>
        <row r="95">
          <cell r="B95" t="str">
            <v>Placas de aproximação( 04 unidades)</v>
          </cell>
        </row>
        <row r="96">
          <cell r="A96" t="str">
            <v>03.371.00</v>
          </cell>
          <cell r="B96" t="str">
            <v>Formas de madeira compensada</v>
          </cell>
          <cell r="C96" t="str">
            <v xml:space="preserve"> </v>
          </cell>
          <cell r="D96" t="str">
            <v xml:space="preserve"> </v>
          </cell>
          <cell r="E96" t="str">
            <v>m2</v>
          </cell>
          <cell r="F96">
            <v>32</v>
          </cell>
          <cell r="G96">
            <v>21.86</v>
          </cell>
        </row>
        <row r="97">
          <cell r="A97" t="str">
            <v>03.353.00</v>
          </cell>
          <cell r="B97" t="str">
            <v>Forn., preparo e colocação nas formas, de aço CA-50</v>
          </cell>
          <cell r="C97" t="str">
            <v xml:space="preserve"> </v>
          </cell>
          <cell r="D97" t="str">
            <v xml:space="preserve"> </v>
          </cell>
          <cell r="E97" t="str">
            <v>kg</v>
          </cell>
          <cell r="F97">
            <v>3968</v>
          </cell>
          <cell r="G97">
            <v>2.59</v>
          </cell>
        </row>
        <row r="98">
          <cell r="A98" t="str">
            <v>03.326.00</v>
          </cell>
          <cell r="B98" t="str">
            <v xml:space="preserve">Concreto fck= 20 MPa-contr. raz. uso ger. </v>
          </cell>
          <cell r="C98" t="str">
            <v xml:space="preserve"> </v>
          </cell>
          <cell r="D98" t="str">
            <v xml:space="preserve"> </v>
          </cell>
          <cell r="E98" t="str">
            <v>m3</v>
          </cell>
          <cell r="F98">
            <v>38</v>
          </cell>
          <cell r="G98">
            <v>149.19999999999999</v>
          </cell>
        </row>
        <row r="99">
          <cell r="B99" t="str">
            <v>Drenos</v>
          </cell>
        </row>
        <row r="100">
          <cell r="A100" t="str">
            <v>P 03.991.01c</v>
          </cell>
          <cell r="B100" t="str">
            <v>Dreno de FF D= 100 mm x 500mm</v>
          </cell>
          <cell r="C100" t="str">
            <v xml:space="preserve"> </v>
          </cell>
          <cell r="D100" t="str">
            <v xml:space="preserve"> </v>
          </cell>
          <cell r="E100" t="str">
            <v>un</v>
          </cell>
          <cell r="F100">
            <v>40</v>
          </cell>
          <cell r="G100">
            <v>15.64</v>
          </cell>
        </row>
        <row r="101">
          <cell r="A101" t="str">
            <v>P 03.991.01b</v>
          </cell>
          <cell r="B101" t="str">
            <v>Dreno de FF D= 50 mm x 500mm</v>
          </cell>
          <cell r="C101" t="str">
            <v xml:space="preserve"> </v>
          </cell>
          <cell r="D101" t="str">
            <v xml:space="preserve"> </v>
          </cell>
          <cell r="E101" t="str">
            <v>un</v>
          </cell>
          <cell r="F101">
            <v>30</v>
          </cell>
          <cell r="G101">
            <v>6.63</v>
          </cell>
        </row>
        <row r="102">
          <cell r="A102" t="str">
            <v>P 03.991.01a</v>
          </cell>
          <cell r="B102" t="str">
            <v>Dreno de FF D= 30 mm x 750mm</v>
          </cell>
          <cell r="C102" t="str">
            <v xml:space="preserve"> </v>
          </cell>
          <cell r="D102" t="str">
            <v xml:space="preserve"> </v>
          </cell>
          <cell r="E102" t="str">
            <v>un</v>
          </cell>
          <cell r="F102">
            <v>40</v>
          </cell>
          <cell r="G102">
            <v>6.25</v>
          </cell>
        </row>
        <row r="103">
          <cell r="F103" t="str">
            <v>SUB-TOTAL</v>
          </cell>
        </row>
        <row r="105">
          <cell r="B105" t="str">
            <v>OBRAS COMPLEMENTARES</v>
          </cell>
        </row>
        <row r="106">
          <cell r="A106" t="str">
            <v>05.100.00</v>
          </cell>
          <cell r="B106" t="str">
            <v>Enleivamento</v>
          </cell>
          <cell r="C106" t="str">
            <v>DNER-ES341/97</v>
          </cell>
          <cell r="D106" t="str">
            <v xml:space="preserve"> </v>
          </cell>
          <cell r="E106" t="str">
            <v>m2</v>
          </cell>
          <cell r="F106">
            <v>6227</v>
          </cell>
          <cell r="G106">
            <v>2.06</v>
          </cell>
        </row>
        <row r="107">
          <cell r="A107" t="str">
            <v>DER53460a</v>
          </cell>
          <cell r="B107" t="str">
            <v>Calçamento com briquetes de 6 cm</v>
          </cell>
          <cell r="C107" t="str">
            <v xml:space="preserve"> </v>
          </cell>
          <cell r="D107" t="str">
            <v xml:space="preserve"> </v>
          </cell>
          <cell r="E107" t="str">
            <v>m2</v>
          </cell>
          <cell r="F107">
            <v>700</v>
          </cell>
          <cell r="G107">
            <v>20.48</v>
          </cell>
        </row>
        <row r="108">
          <cell r="A108" t="str">
            <v>P 05.100.01</v>
          </cell>
          <cell r="B108" t="str">
            <v>Fornecimento e plantio de lírio amarelo</v>
          </cell>
          <cell r="C108" t="str">
            <v xml:space="preserve"> </v>
          </cell>
          <cell r="D108" t="str">
            <v xml:space="preserve"> </v>
          </cell>
          <cell r="E108" t="str">
            <v>m2</v>
          </cell>
          <cell r="F108">
            <v>2241</v>
          </cell>
          <cell r="G108">
            <v>14.14</v>
          </cell>
        </row>
        <row r="109">
          <cell r="A109" t="str">
            <v>P 05.100.02</v>
          </cell>
          <cell r="B109" t="str">
            <v>Fornecimento e plantio de árvore selecionada</v>
          </cell>
          <cell r="C109" t="str">
            <v xml:space="preserve"> </v>
          </cell>
          <cell r="D109" t="str">
            <v xml:space="preserve"> </v>
          </cell>
          <cell r="E109" t="str">
            <v>un</v>
          </cell>
          <cell r="F109">
            <v>246</v>
          </cell>
          <cell r="G109">
            <v>6.02</v>
          </cell>
        </row>
        <row r="110">
          <cell r="A110" t="str">
            <v>DER81950</v>
          </cell>
          <cell r="B110" t="str">
            <v>Calçada em lastro de brita c/revestimento em concreto</v>
          </cell>
          <cell r="C110" t="str">
            <v xml:space="preserve"> </v>
          </cell>
          <cell r="D110" t="str">
            <v xml:space="preserve"> </v>
          </cell>
          <cell r="E110" t="str">
            <v>m2</v>
          </cell>
          <cell r="F110">
            <v>1000</v>
          </cell>
          <cell r="G110">
            <v>8.94</v>
          </cell>
        </row>
        <row r="111">
          <cell r="A111" t="str">
            <v>05.301.00</v>
          </cell>
          <cell r="B111" t="str">
            <v>Alvenaria de pedra argamassada</v>
          </cell>
          <cell r="C111" t="str">
            <v xml:space="preserve"> </v>
          </cell>
          <cell r="D111" t="str">
            <v xml:space="preserve"> </v>
          </cell>
          <cell r="E111" t="str">
            <v>m3</v>
          </cell>
          <cell r="F111">
            <v>60</v>
          </cell>
          <cell r="G111">
            <v>101.58</v>
          </cell>
        </row>
        <row r="112">
          <cell r="A112" t="str">
            <v>PI 01</v>
          </cell>
          <cell r="B112" t="str">
            <v>Poste de aço galv. a fogo, c/ 20,0m de alt. p/ instal. tipo engastado</v>
          </cell>
          <cell r="C112" t="str">
            <v xml:space="preserve"> </v>
          </cell>
          <cell r="D112" t="str">
            <v xml:space="preserve"> </v>
          </cell>
          <cell r="E112" t="str">
            <v>un</v>
          </cell>
          <cell r="F112">
            <v>7</v>
          </cell>
          <cell r="G112">
            <v>2662.25</v>
          </cell>
        </row>
        <row r="113">
          <cell r="A113" t="str">
            <v>PI 02</v>
          </cell>
          <cell r="B113" t="str">
            <v>Poste de aço galvanizado a fogo, c/ 10,0m de alt. p/instal.na lat. dos viadutos</v>
          </cell>
          <cell r="C113" t="str">
            <v xml:space="preserve"> </v>
          </cell>
          <cell r="D113" t="str">
            <v xml:space="preserve"> </v>
          </cell>
          <cell r="E113" t="str">
            <v>un</v>
          </cell>
          <cell r="F113">
            <v>8</v>
          </cell>
          <cell r="G113">
            <v>500</v>
          </cell>
        </row>
        <row r="114">
          <cell r="A114" t="str">
            <v>PI 03</v>
          </cell>
          <cell r="B114" t="str">
            <v xml:space="preserve">Luminária p/ iluminação pública ref.HRC-612 da Philips ou similar </v>
          </cell>
          <cell r="C114" t="str">
            <v xml:space="preserve"> </v>
          </cell>
          <cell r="D114" t="str">
            <v xml:space="preserve"> </v>
          </cell>
          <cell r="E114" t="str">
            <v>un</v>
          </cell>
          <cell r="F114">
            <v>12</v>
          </cell>
          <cell r="G114">
            <v>400</v>
          </cell>
        </row>
        <row r="115">
          <cell r="A115" t="str">
            <v>PI 04</v>
          </cell>
          <cell r="B115" t="str">
            <v xml:space="preserve">Luminária p/ iluminação pública ref.SRC-612 da Philips ou similar </v>
          </cell>
          <cell r="C115" t="str">
            <v xml:space="preserve"> </v>
          </cell>
          <cell r="D115" t="str">
            <v xml:space="preserve"> </v>
          </cell>
          <cell r="E115" t="str">
            <v>un</v>
          </cell>
          <cell r="F115">
            <v>22</v>
          </cell>
          <cell r="G115">
            <v>425.5</v>
          </cell>
        </row>
        <row r="116">
          <cell r="A116" t="str">
            <v>PI 07</v>
          </cell>
          <cell r="B116" t="str">
            <v>Suporte p/ luminária tipo ZGP402 da Philips ou similar</v>
          </cell>
          <cell r="C116" t="str">
            <v xml:space="preserve"> </v>
          </cell>
          <cell r="D116" t="str">
            <v xml:space="preserve"> </v>
          </cell>
          <cell r="E116" t="str">
            <v>un</v>
          </cell>
          <cell r="F116">
            <v>7</v>
          </cell>
          <cell r="G116">
            <v>100</v>
          </cell>
        </row>
        <row r="117">
          <cell r="A117" t="str">
            <v>PI 08</v>
          </cell>
          <cell r="B117" t="str">
            <v>Suporte p/ luminária tipo ZGP401 da Philips ou similar</v>
          </cell>
          <cell r="C117" t="str">
            <v xml:space="preserve"> </v>
          </cell>
          <cell r="D117" t="str">
            <v xml:space="preserve"> </v>
          </cell>
          <cell r="E117" t="str">
            <v>un</v>
          </cell>
          <cell r="F117">
            <v>20</v>
          </cell>
          <cell r="G117">
            <v>81.650000000000006</v>
          </cell>
        </row>
        <row r="118">
          <cell r="A118" t="str">
            <v>PI 09</v>
          </cell>
          <cell r="B118" t="str">
            <v>Lâmpada a vapor de sódio 400W, alta pressão, base E40</v>
          </cell>
          <cell r="C118" t="str">
            <v xml:space="preserve"> </v>
          </cell>
          <cell r="D118" t="str">
            <v xml:space="preserve"> </v>
          </cell>
          <cell r="E118" t="str">
            <v>un</v>
          </cell>
          <cell r="F118">
            <v>22</v>
          </cell>
          <cell r="G118">
            <v>33.35</v>
          </cell>
        </row>
        <row r="119">
          <cell r="A119" t="str">
            <v>PI 10</v>
          </cell>
          <cell r="B119" t="str">
            <v>Lâmpada a vapor de mercúrio 250W, alta pressão, base E40</v>
          </cell>
          <cell r="C119" t="str">
            <v xml:space="preserve"> </v>
          </cell>
          <cell r="D119" t="str">
            <v xml:space="preserve"> </v>
          </cell>
          <cell r="E119" t="str">
            <v>un</v>
          </cell>
          <cell r="F119">
            <v>12</v>
          </cell>
          <cell r="G119">
            <v>28.75</v>
          </cell>
        </row>
        <row r="120">
          <cell r="A120" t="str">
            <v>PI 14</v>
          </cell>
          <cell r="B120" t="str">
            <v>Caixa de passagem para instalação aparente D=50mm, tipo T</v>
          </cell>
          <cell r="C120" t="str">
            <v xml:space="preserve"> </v>
          </cell>
          <cell r="D120" t="str">
            <v xml:space="preserve"> </v>
          </cell>
          <cell r="E120" t="str">
            <v>un</v>
          </cell>
          <cell r="F120">
            <v>120</v>
          </cell>
          <cell r="G120">
            <v>4.08</v>
          </cell>
        </row>
        <row r="121">
          <cell r="A121" t="str">
            <v>PI 22</v>
          </cell>
          <cell r="B121" t="str">
            <v>Base completa com fusível Diazed, 6A, retardado, incluíndo tampa, anel de proteção e ajuste</v>
          </cell>
          <cell r="C121" t="str">
            <v xml:space="preserve"> </v>
          </cell>
          <cell r="D121" t="str">
            <v xml:space="preserve"> </v>
          </cell>
          <cell r="E121" t="str">
            <v>un</v>
          </cell>
          <cell r="F121">
            <v>34</v>
          </cell>
          <cell r="G121">
            <v>8.6300000000000008</v>
          </cell>
        </row>
        <row r="122">
          <cell r="A122" t="str">
            <v>PI 23</v>
          </cell>
          <cell r="B122" t="str">
            <v>Contator tripolar a seco, p/ corrente alternada - 55 A, para uso em rede 380/220V - 60Hz</v>
          </cell>
          <cell r="C122" t="str">
            <v xml:space="preserve"> </v>
          </cell>
          <cell r="D122" t="str">
            <v xml:space="preserve"> </v>
          </cell>
          <cell r="E122" t="str">
            <v>un</v>
          </cell>
          <cell r="F122">
            <v>5</v>
          </cell>
          <cell r="G122">
            <v>234.6</v>
          </cell>
        </row>
        <row r="123">
          <cell r="A123" t="str">
            <v>PI 24</v>
          </cell>
          <cell r="B123" t="str">
            <v>Fita elétrica auto fusão a base de borracha EPR</v>
          </cell>
          <cell r="C123" t="str">
            <v xml:space="preserve"> </v>
          </cell>
          <cell r="D123" t="str">
            <v xml:space="preserve"> </v>
          </cell>
          <cell r="E123" t="str">
            <v>un</v>
          </cell>
          <cell r="F123">
            <v>5</v>
          </cell>
          <cell r="G123">
            <v>6.39</v>
          </cell>
        </row>
        <row r="124">
          <cell r="A124" t="str">
            <v>PI 25</v>
          </cell>
          <cell r="B124" t="str">
            <v>Fita adesiva plástica isolante</v>
          </cell>
          <cell r="C124" t="str">
            <v xml:space="preserve"> </v>
          </cell>
          <cell r="D124" t="str">
            <v xml:space="preserve"> </v>
          </cell>
          <cell r="E124" t="str">
            <v>un</v>
          </cell>
          <cell r="F124">
            <v>8</v>
          </cell>
          <cell r="G124">
            <v>3.84</v>
          </cell>
        </row>
        <row r="125">
          <cell r="A125" t="str">
            <v>PI 26</v>
          </cell>
          <cell r="B125" t="str">
            <v>Relé fotoelétrico c/ suporte para fixação galv. com furo 18mm</v>
          </cell>
          <cell r="C125" t="str">
            <v xml:space="preserve"> </v>
          </cell>
          <cell r="D125" t="str">
            <v xml:space="preserve"> </v>
          </cell>
          <cell r="E125" t="str">
            <v>un</v>
          </cell>
          <cell r="F125">
            <v>5</v>
          </cell>
          <cell r="G125">
            <v>11.5</v>
          </cell>
        </row>
        <row r="126">
          <cell r="A126" t="str">
            <v>PI 27</v>
          </cell>
          <cell r="B126" t="str">
            <v>Cabo isolado p/ 1000V, bitola 35mm²</v>
          </cell>
          <cell r="C126" t="str">
            <v xml:space="preserve"> </v>
          </cell>
          <cell r="D126" t="str">
            <v xml:space="preserve"> </v>
          </cell>
          <cell r="E126" t="str">
            <v>m</v>
          </cell>
          <cell r="F126">
            <v>3600</v>
          </cell>
          <cell r="G126">
            <v>1.55</v>
          </cell>
        </row>
        <row r="127">
          <cell r="A127" t="str">
            <v>PI 28</v>
          </cell>
          <cell r="B127" t="str">
            <v>Eletroduto de aço tipo pesado 100mm</v>
          </cell>
          <cell r="C127" t="str">
            <v xml:space="preserve"> </v>
          </cell>
          <cell r="D127" t="str">
            <v xml:space="preserve"> </v>
          </cell>
          <cell r="E127" t="str">
            <v>m</v>
          </cell>
          <cell r="F127">
            <v>120</v>
          </cell>
          <cell r="G127">
            <v>28.55</v>
          </cell>
        </row>
        <row r="128">
          <cell r="A128" t="str">
            <v>PI 29</v>
          </cell>
          <cell r="B128" t="str">
            <v>Curva em alumínio fundido de alta resistência, fixação por encaixe,50mm</v>
          </cell>
          <cell r="C128" t="str">
            <v xml:space="preserve"> </v>
          </cell>
          <cell r="D128" t="str">
            <v xml:space="preserve"> </v>
          </cell>
          <cell r="E128" t="str">
            <v>un</v>
          </cell>
          <cell r="F128">
            <v>2</v>
          </cell>
          <cell r="G128">
            <v>18.75</v>
          </cell>
        </row>
        <row r="129">
          <cell r="A129" t="str">
            <v>PI 30</v>
          </cell>
          <cell r="B129" t="str">
            <v>Haste para aterramento aço-cobre D 13x2400mm</v>
          </cell>
          <cell r="C129" t="str">
            <v xml:space="preserve"> </v>
          </cell>
          <cell r="D129" t="str">
            <v xml:space="preserve"> </v>
          </cell>
          <cell r="E129" t="str">
            <v>un</v>
          </cell>
          <cell r="F129">
            <v>15</v>
          </cell>
          <cell r="G129">
            <v>6.04</v>
          </cell>
        </row>
        <row r="130">
          <cell r="A130" t="str">
            <v>PI 31</v>
          </cell>
          <cell r="B130" t="str">
            <v>Cabo de cobre nú meio duro, 7 fios 2AWG</v>
          </cell>
          <cell r="C130" t="str">
            <v xml:space="preserve"> </v>
          </cell>
          <cell r="D130" t="str">
            <v xml:space="preserve"> </v>
          </cell>
          <cell r="E130" t="str">
            <v>kg</v>
          </cell>
          <cell r="F130">
            <v>10</v>
          </cell>
          <cell r="G130">
            <v>7.02</v>
          </cell>
        </row>
        <row r="131">
          <cell r="A131" t="str">
            <v>PI 32</v>
          </cell>
          <cell r="B131" t="str">
            <v>Conetor paralelo, liga alumínio tronco 1/0-4 AWG e derivação 2-4AWG</v>
          </cell>
          <cell r="C131" t="str">
            <v xml:space="preserve"> </v>
          </cell>
          <cell r="D131" t="str">
            <v xml:space="preserve"> </v>
          </cell>
          <cell r="E131" t="str">
            <v>un</v>
          </cell>
          <cell r="F131">
            <v>10</v>
          </cell>
          <cell r="G131">
            <v>1.04</v>
          </cell>
        </row>
        <row r="132">
          <cell r="A132" t="str">
            <v>PI 33</v>
          </cell>
          <cell r="B132" t="str">
            <v>Tubo de aço galvanizado, vara de 6m e 50mm</v>
          </cell>
          <cell r="C132" t="str">
            <v xml:space="preserve"> </v>
          </cell>
          <cell r="D132" t="str">
            <v xml:space="preserve"> </v>
          </cell>
          <cell r="E132" t="str">
            <v>un</v>
          </cell>
          <cell r="F132">
            <v>2</v>
          </cell>
          <cell r="G132">
            <v>74.06</v>
          </cell>
        </row>
        <row r="133">
          <cell r="A133" t="str">
            <v>PI 34</v>
          </cell>
          <cell r="B133" t="str">
            <v>Construção de caixa tipo SP, ou pré-instalada com as mesmas características</v>
          </cell>
          <cell r="C133" t="str">
            <v xml:space="preserve"> </v>
          </cell>
          <cell r="D133" t="str">
            <v xml:space="preserve"> </v>
          </cell>
          <cell r="E133" t="str">
            <v>un</v>
          </cell>
          <cell r="F133">
            <v>19</v>
          </cell>
          <cell r="G133">
            <v>180</v>
          </cell>
        </row>
        <row r="134">
          <cell r="A134" t="str">
            <v>PI 35</v>
          </cell>
          <cell r="B134" t="str">
            <v>Construção de embasamento p/ poste tipo engastado, 20m de altura</v>
          </cell>
          <cell r="C134" t="str">
            <v xml:space="preserve"> </v>
          </cell>
          <cell r="D134" t="str">
            <v xml:space="preserve"> </v>
          </cell>
          <cell r="E134" t="str">
            <v>un</v>
          </cell>
          <cell r="F134">
            <v>7</v>
          </cell>
          <cell r="G134">
            <v>494</v>
          </cell>
        </row>
        <row r="135">
          <cell r="A135" t="str">
            <v>PI 36</v>
          </cell>
          <cell r="B135" t="str">
            <v>Construção de embasamento p/ poste tipo engastado, concreto duplo T, 10m de altura</v>
          </cell>
          <cell r="C135" t="str">
            <v xml:space="preserve"> </v>
          </cell>
          <cell r="D135" t="str">
            <v xml:space="preserve"> </v>
          </cell>
          <cell r="E135" t="str">
            <v>un</v>
          </cell>
          <cell r="F135">
            <v>12</v>
          </cell>
          <cell r="G135">
            <v>285</v>
          </cell>
        </row>
        <row r="136">
          <cell r="A136" t="str">
            <v>PI 38</v>
          </cell>
          <cell r="B136" t="str">
            <v>Confecção de emendas retas ou derivação em cabos classe 1000V, c/ conector à compressão</v>
          </cell>
          <cell r="C136" t="str">
            <v xml:space="preserve"> </v>
          </cell>
          <cell r="D136" t="str">
            <v xml:space="preserve"> </v>
          </cell>
          <cell r="E136" t="str">
            <v>un</v>
          </cell>
          <cell r="F136">
            <v>20</v>
          </cell>
          <cell r="G136">
            <v>4.5</v>
          </cell>
        </row>
        <row r="137">
          <cell r="A137" t="str">
            <v>PI 39</v>
          </cell>
          <cell r="B137" t="str">
            <v>Fixação de haste de terra e conexão ao neutro</v>
          </cell>
          <cell r="C137" t="str">
            <v xml:space="preserve"> </v>
          </cell>
          <cell r="D137" t="str">
            <v xml:space="preserve"> </v>
          </cell>
          <cell r="E137" t="str">
            <v>un</v>
          </cell>
          <cell r="F137">
            <v>15</v>
          </cell>
          <cell r="G137">
            <v>35</v>
          </cell>
        </row>
        <row r="138">
          <cell r="A138" t="str">
            <v>PI 40</v>
          </cell>
          <cell r="B138" t="str">
            <v>Montagem eletromecân.de iluminação a 17,5m de alt., formada p/2 pétalas, c/ fixação dos equip.</v>
          </cell>
          <cell r="C138" t="str">
            <v xml:space="preserve"> </v>
          </cell>
          <cell r="D138" t="str">
            <v xml:space="preserve"> </v>
          </cell>
          <cell r="E138" t="str">
            <v>un</v>
          </cell>
          <cell r="F138">
            <v>7</v>
          </cell>
          <cell r="G138">
            <v>550</v>
          </cell>
        </row>
        <row r="139">
          <cell r="A139" t="str">
            <v>PI 41</v>
          </cell>
          <cell r="B139" t="str">
            <v>Instalação de tubo de aço vara de 6m e curva de entrada de cabos na lateral do poste c/ fix. dutos</v>
          </cell>
          <cell r="C139" t="str">
            <v xml:space="preserve"> </v>
          </cell>
          <cell r="D139" t="str">
            <v xml:space="preserve"> </v>
          </cell>
          <cell r="E139" t="str">
            <v>un</v>
          </cell>
          <cell r="F139">
            <v>2</v>
          </cell>
          <cell r="G139">
            <v>200</v>
          </cell>
        </row>
        <row r="140">
          <cell r="A140" t="str">
            <v>PI 42</v>
          </cell>
          <cell r="B140" t="str">
            <v>Instalação de poste de aço de 20m de altura engastado</v>
          </cell>
          <cell r="C140" t="str">
            <v xml:space="preserve"> </v>
          </cell>
          <cell r="D140" t="str">
            <v xml:space="preserve"> </v>
          </cell>
          <cell r="E140" t="str">
            <v>un</v>
          </cell>
          <cell r="F140">
            <v>7</v>
          </cell>
          <cell r="G140">
            <v>250</v>
          </cell>
        </row>
        <row r="141">
          <cell r="A141" t="str">
            <v>PI 43</v>
          </cell>
          <cell r="B141" t="str">
            <v>Travessia de pista asfáltica p/ lançamento dutos aço tipo pesado 100mm</v>
          </cell>
          <cell r="C141" t="str">
            <v xml:space="preserve"> </v>
          </cell>
          <cell r="D141" t="str">
            <v xml:space="preserve"> </v>
          </cell>
          <cell r="E141" t="str">
            <v>m</v>
          </cell>
          <cell r="F141">
            <v>60</v>
          </cell>
          <cell r="G141">
            <v>70</v>
          </cell>
        </row>
        <row r="142">
          <cell r="A142" t="str">
            <v>PI 44</v>
          </cell>
          <cell r="B142" t="str">
            <v>Montagem eletromecânica de luminária 10,0m de altura, c/ fixação dos equip.e conexões elétricos</v>
          </cell>
          <cell r="C142" t="str">
            <v xml:space="preserve"> </v>
          </cell>
          <cell r="D142" t="str">
            <v xml:space="preserve"> </v>
          </cell>
          <cell r="E142" t="str">
            <v>un</v>
          </cell>
          <cell r="F142">
            <v>20</v>
          </cell>
          <cell r="G142">
            <v>60</v>
          </cell>
        </row>
        <row r="143">
          <cell r="A143" t="str">
            <v>PI 46</v>
          </cell>
          <cell r="B143" t="str">
            <v>Fixação de eletroduto de aço vara 3m ao longo das passarelas</v>
          </cell>
          <cell r="C143" t="str">
            <v xml:space="preserve"> </v>
          </cell>
          <cell r="D143" t="str">
            <v xml:space="preserve"> </v>
          </cell>
          <cell r="E143" t="str">
            <v>un</v>
          </cell>
          <cell r="F143">
            <v>120</v>
          </cell>
          <cell r="G143">
            <v>30</v>
          </cell>
        </row>
        <row r="144">
          <cell r="A144" t="str">
            <v>PI 51</v>
          </cell>
          <cell r="B144" t="str">
            <v>Eletoduto de PVC corrugado tipo Kanalex ou similar, 50 mm</v>
          </cell>
          <cell r="C144" t="str">
            <v xml:space="preserve"> </v>
          </cell>
          <cell r="D144" t="str">
            <v xml:space="preserve"> </v>
          </cell>
          <cell r="E144" t="str">
            <v>m</v>
          </cell>
          <cell r="F144">
            <v>415</v>
          </cell>
          <cell r="G144">
            <v>3.02</v>
          </cell>
        </row>
        <row r="145">
          <cell r="A145" t="str">
            <v>PI 56</v>
          </cell>
          <cell r="B145" t="str">
            <v>Cabo isolado p/ 1000V, 4 mm² de alumínio</v>
          </cell>
          <cell r="C145" t="str">
            <v xml:space="preserve"> </v>
          </cell>
          <cell r="D145" t="str">
            <v xml:space="preserve"> </v>
          </cell>
          <cell r="E145" t="str">
            <v>m</v>
          </cell>
          <cell r="F145">
            <v>440</v>
          </cell>
          <cell r="G145">
            <v>0.37</v>
          </cell>
        </row>
        <row r="146">
          <cell r="A146" t="str">
            <v>PI 63</v>
          </cell>
          <cell r="B146" t="str">
            <v>Eletroduto de aço galvanizado, d=50mm, vara de 3m</v>
          </cell>
          <cell r="C146" t="str">
            <v xml:space="preserve"> </v>
          </cell>
          <cell r="D146" t="str">
            <v xml:space="preserve"> </v>
          </cell>
          <cell r="E146" t="str">
            <v>un</v>
          </cell>
          <cell r="F146">
            <v>120</v>
          </cell>
          <cell r="G146">
            <v>40</v>
          </cell>
        </row>
        <row r="147">
          <cell r="A147" t="str">
            <v>PI 64</v>
          </cell>
          <cell r="B147" t="str">
            <v>Caixa de passagem p/ instalação aparente, D=50mm, tipo E</v>
          </cell>
          <cell r="C147" t="str">
            <v xml:space="preserve"> </v>
          </cell>
          <cell r="D147" t="str">
            <v xml:space="preserve"> </v>
          </cell>
          <cell r="E147" t="str">
            <v>un</v>
          </cell>
          <cell r="F147">
            <v>10</v>
          </cell>
          <cell r="G147">
            <v>20</v>
          </cell>
        </row>
        <row r="148">
          <cell r="A148" t="str">
            <v>PI 65</v>
          </cell>
          <cell r="B148" t="str">
            <v>Cabo de alumínio 1/0</v>
          </cell>
          <cell r="C148" t="str">
            <v xml:space="preserve"> </v>
          </cell>
          <cell r="D148" t="str">
            <v xml:space="preserve"> </v>
          </cell>
          <cell r="E148" t="str">
            <v>m</v>
          </cell>
          <cell r="F148">
            <v>450</v>
          </cell>
          <cell r="G148">
            <v>1.7</v>
          </cell>
        </row>
        <row r="149">
          <cell r="A149" t="str">
            <v>PI 66</v>
          </cell>
          <cell r="B149" t="str">
            <v>Cabo isolado p/ 1000 V, 6 mm2 de alumínio</v>
          </cell>
          <cell r="C149" t="str">
            <v xml:space="preserve"> </v>
          </cell>
          <cell r="D149" t="str">
            <v xml:space="preserve"> </v>
          </cell>
          <cell r="E149" t="str">
            <v>m</v>
          </cell>
          <cell r="F149">
            <v>140</v>
          </cell>
          <cell r="G149">
            <v>1</v>
          </cell>
        </row>
        <row r="150">
          <cell r="A150" t="str">
            <v>PI 68</v>
          </cell>
          <cell r="B150" t="str">
            <v>Instalação poste metálico c/ base, 10m de altura na lateral do viaduto</v>
          </cell>
          <cell r="C150" t="str">
            <v xml:space="preserve"> </v>
          </cell>
          <cell r="D150" t="str">
            <v xml:space="preserve"> </v>
          </cell>
          <cell r="E150" t="str">
            <v>un</v>
          </cell>
          <cell r="F150">
            <v>8</v>
          </cell>
          <cell r="G150">
            <v>100</v>
          </cell>
        </row>
        <row r="151">
          <cell r="A151" t="str">
            <v>PI 57</v>
          </cell>
          <cell r="B151" t="str">
            <v>Lançamento de cabos em eletroduto de PVC corrugado</v>
          </cell>
          <cell r="C151" t="str">
            <v xml:space="preserve"> </v>
          </cell>
          <cell r="D151" t="str">
            <v xml:space="preserve"> </v>
          </cell>
          <cell r="E151" t="str">
            <v>m</v>
          </cell>
          <cell r="F151">
            <v>415</v>
          </cell>
          <cell r="G151">
            <v>3</v>
          </cell>
        </row>
        <row r="152">
          <cell r="A152" t="str">
            <v>PI 37</v>
          </cell>
          <cell r="B152" t="str">
            <v>Lançamento de cabos em dutos de aço, classe 1000V, circuito trifásico mais neutro, e monofásico</v>
          </cell>
          <cell r="C152" t="str">
            <v xml:space="preserve"> </v>
          </cell>
          <cell r="D152" t="str">
            <v xml:space="preserve"> </v>
          </cell>
          <cell r="E152" t="str">
            <v>m</v>
          </cell>
          <cell r="F152">
            <v>60</v>
          </cell>
          <cell r="G152">
            <v>4</v>
          </cell>
        </row>
        <row r="153">
          <cell r="A153" t="str">
            <v>PI 69</v>
          </cell>
          <cell r="B153" t="str">
            <v>Instalação de poste concreto duplo T, 10m de altura, engastado</v>
          </cell>
          <cell r="C153" t="str">
            <v xml:space="preserve"> </v>
          </cell>
          <cell r="D153" t="str">
            <v xml:space="preserve"> </v>
          </cell>
          <cell r="E153" t="str">
            <v>un</v>
          </cell>
          <cell r="F153">
            <v>12</v>
          </cell>
          <cell r="G153">
            <v>200</v>
          </cell>
        </row>
        <row r="154">
          <cell r="A154" t="str">
            <v>R1</v>
          </cell>
          <cell r="B154" t="str">
            <v>Remanejamento de Rede de Baixa Tensão (220/380V)</v>
          </cell>
          <cell r="C154" t="str">
            <v xml:space="preserve"> </v>
          </cell>
          <cell r="D154" t="str">
            <v xml:space="preserve"> </v>
          </cell>
          <cell r="E154" t="str">
            <v>m</v>
          </cell>
          <cell r="F154">
            <v>550</v>
          </cell>
          <cell r="G154">
            <v>4.7</v>
          </cell>
        </row>
        <row r="155">
          <cell r="A155" t="str">
            <v>R2</v>
          </cell>
          <cell r="B155" t="str">
            <v>Remanejamento de Rede de Alta Tensão (138kV)</v>
          </cell>
          <cell r="C155" t="str">
            <v xml:space="preserve"> </v>
          </cell>
          <cell r="D155" t="str">
            <v xml:space="preserve"> </v>
          </cell>
          <cell r="E155" t="str">
            <v>m</v>
          </cell>
          <cell r="F155">
            <v>530</v>
          </cell>
          <cell r="G155">
            <v>6.2</v>
          </cell>
        </row>
        <row r="156">
          <cell r="A156" t="str">
            <v>R10</v>
          </cell>
          <cell r="B156" t="str">
            <v>Remanejamento de Poste de Concreto 10/150</v>
          </cell>
          <cell r="C156" t="str">
            <v xml:space="preserve"> </v>
          </cell>
          <cell r="D156" t="str">
            <v xml:space="preserve"> </v>
          </cell>
          <cell r="E156" t="str">
            <v>un</v>
          </cell>
          <cell r="F156">
            <v>14</v>
          </cell>
          <cell r="G156">
            <v>75</v>
          </cell>
        </row>
        <row r="157">
          <cell r="A157" t="str">
            <v>R11</v>
          </cell>
          <cell r="B157" t="str">
            <v>Remanejamento de Poste de Concreto 10/300</v>
          </cell>
          <cell r="C157" t="str">
            <v xml:space="preserve"> </v>
          </cell>
          <cell r="D157" t="str">
            <v xml:space="preserve"> </v>
          </cell>
          <cell r="E157" t="str">
            <v>un</v>
          </cell>
          <cell r="F157">
            <v>1</v>
          </cell>
          <cell r="G157">
            <v>75</v>
          </cell>
        </row>
        <row r="158">
          <cell r="A158" t="str">
            <v>R12</v>
          </cell>
          <cell r="B158" t="str">
            <v>Remanejamento de Poste de Concreto 10/600</v>
          </cell>
          <cell r="C158" t="str">
            <v xml:space="preserve"> </v>
          </cell>
          <cell r="D158" t="str">
            <v xml:space="preserve"> </v>
          </cell>
          <cell r="E158" t="str">
            <v>un</v>
          </cell>
          <cell r="F158">
            <v>1</v>
          </cell>
          <cell r="G158">
            <v>75</v>
          </cell>
        </row>
        <row r="159">
          <cell r="A159" t="str">
            <v>R14</v>
          </cell>
          <cell r="B159" t="str">
            <v>Remanejamento de Poste de Concreto 11/300</v>
          </cell>
          <cell r="C159" t="str">
            <v xml:space="preserve"> </v>
          </cell>
          <cell r="D159" t="str">
            <v xml:space="preserve"> </v>
          </cell>
          <cell r="E159" t="str">
            <v>un</v>
          </cell>
          <cell r="F159">
            <v>6</v>
          </cell>
          <cell r="G159">
            <v>75</v>
          </cell>
        </row>
        <row r="160">
          <cell r="A160" t="str">
            <v>R27</v>
          </cell>
          <cell r="B160" t="str">
            <v>Remanejamento de Poste de Madeira</v>
          </cell>
          <cell r="C160" t="str">
            <v xml:space="preserve"> </v>
          </cell>
          <cell r="D160" t="str">
            <v xml:space="preserve"> </v>
          </cell>
          <cell r="E160" t="str">
            <v>un</v>
          </cell>
          <cell r="F160">
            <v>2</v>
          </cell>
          <cell r="G160">
            <v>70</v>
          </cell>
        </row>
        <row r="161">
          <cell r="A161" t="str">
            <v>R20</v>
          </cell>
          <cell r="B161" t="str">
            <v>Remanejamento de Poste de Concreto 10/300 c/ 3 pétalas (400W) instalado</v>
          </cell>
          <cell r="C161" t="str">
            <v xml:space="preserve"> </v>
          </cell>
          <cell r="D161" t="str">
            <v xml:space="preserve"> </v>
          </cell>
          <cell r="E161" t="str">
            <v>un</v>
          </cell>
          <cell r="F161">
            <v>4</v>
          </cell>
          <cell r="G161">
            <v>250</v>
          </cell>
        </row>
        <row r="162">
          <cell r="A162" t="str">
            <v>R20A</v>
          </cell>
          <cell r="B162" t="str">
            <v>Remanejamento de Poste de Concreto 11/300 c/ 3 pétalas (400W) instalado</v>
          </cell>
          <cell r="C162" t="str">
            <v xml:space="preserve"> </v>
          </cell>
          <cell r="D162" t="str">
            <v xml:space="preserve"> </v>
          </cell>
          <cell r="E162" t="str">
            <v>un</v>
          </cell>
          <cell r="F162">
            <v>4</v>
          </cell>
          <cell r="G162">
            <v>250</v>
          </cell>
        </row>
        <row r="163">
          <cell r="A163" t="str">
            <v>R18</v>
          </cell>
          <cell r="B163" t="str">
            <v>Remanejamento de Poste de Concreto 10/150 c/ 3 pétalas (400W) instalado</v>
          </cell>
          <cell r="C163" t="str">
            <v xml:space="preserve"> </v>
          </cell>
          <cell r="D163" t="str">
            <v xml:space="preserve"> </v>
          </cell>
          <cell r="E163" t="str">
            <v>un</v>
          </cell>
          <cell r="F163">
            <v>2</v>
          </cell>
          <cell r="G163">
            <v>250</v>
          </cell>
        </row>
        <row r="164">
          <cell r="A164" t="str">
            <v>R3</v>
          </cell>
          <cell r="B164" t="str">
            <v>Remanejamento de Rede de Telefonia</v>
          </cell>
          <cell r="C164" t="str">
            <v xml:space="preserve"> </v>
          </cell>
          <cell r="D164" t="str">
            <v xml:space="preserve"> </v>
          </cell>
          <cell r="E164" t="str">
            <v>m</v>
          </cell>
          <cell r="F164">
            <v>300</v>
          </cell>
          <cell r="G164">
            <v>2</v>
          </cell>
        </row>
        <row r="165">
          <cell r="A165" t="str">
            <v>R29</v>
          </cell>
          <cell r="B165" t="str">
            <v>Remanejamento de Canalização de água em PVC, 40mm</v>
          </cell>
          <cell r="C165" t="str">
            <v xml:space="preserve"> </v>
          </cell>
          <cell r="D165" t="str">
            <v xml:space="preserve"> </v>
          </cell>
          <cell r="E165" t="str">
            <v>m</v>
          </cell>
          <cell r="F165">
            <v>440</v>
          </cell>
          <cell r="G165">
            <v>22.79</v>
          </cell>
        </row>
      </sheetData>
      <sheetData sheetId="11">
        <row r="14">
          <cell r="A14" t="str">
            <v>01.000.00</v>
          </cell>
          <cell r="B14" t="str">
            <v>Desmatamento,destocamento e limpeza de área com árvore até 0,15m</v>
          </cell>
          <cell r="C14" t="str">
            <v>DNER-ES278/97</v>
          </cell>
          <cell r="D14" t="str">
            <v xml:space="preserve"> </v>
          </cell>
          <cell r="E14" t="str">
            <v>m2</v>
          </cell>
          <cell r="F14">
            <v>20000</v>
          </cell>
          <cell r="G14">
            <v>7.0000000000000007E-2</v>
          </cell>
        </row>
        <row r="15">
          <cell r="A15" t="str">
            <v>01.010.00</v>
          </cell>
          <cell r="B15" t="str">
            <v>Desmatamento e destocamento árvores de 0,15m a 0,30m</v>
          </cell>
          <cell r="C15" t="str">
            <v>DNER-ES278/97</v>
          </cell>
          <cell r="D15" t="str">
            <v xml:space="preserve"> </v>
          </cell>
          <cell r="E15" t="str">
            <v>un</v>
          </cell>
          <cell r="F15">
            <v>100</v>
          </cell>
          <cell r="G15">
            <v>8.92</v>
          </cell>
        </row>
        <row r="16">
          <cell r="A16" t="str">
            <v>01.011.00</v>
          </cell>
          <cell r="B16" t="str">
            <v>Desmatamento e destocamento árvores superior a 0,30m</v>
          </cell>
          <cell r="C16" t="str">
            <v>DNER-ES278/97</v>
          </cell>
          <cell r="D16" t="str">
            <v xml:space="preserve"> </v>
          </cell>
          <cell r="E16" t="str">
            <v>un</v>
          </cell>
          <cell r="F16">
            <v>50</v>
          </cell>
          <cell r="G16">
            <v>26.75</v>
          </cell>
        </row>
        <row r="17">
          <cell r="A17" t="str">
            <v>01.100.10</v>
          </cell>
          <cell r="B17" t="str">
            <v>Escavação,carga e transportes de material de 1a categoria DMT= 200 a 400m</v>
          </cell>
          <cell r="C17" t="str">
            <v>DNER-ES280/97</v>
          </cell>
          <cell r="D17" t="str">
            <v xml:space="preserve"> </v>
          </cell>
          <cell r="E17" t="str">
            <v>m3</v>
          </cell>
          <cell r="F17">
            <v>2733</v>
          </cell>
          <cell r="G17">
            <v>1.98</v>
          </cell>
        </row>
        <row r="18">
          <cell r="A18" t="str">
            <v>01.100.14</v>
          </cell>
          <cell r="B18" t="str">
            <v>Escavação,carga e transportes de material de 1a categoria DMT= 1000 a 1200m</v>
          </cell>
          <cell r="C18" t="str">
            <v>DNER-ES280/97</v>
          </cell>
          <cell r="D18" t="str">
            <v xml:space="preserve"> </v>
          </cell>
          <cell r="E18" t="str">
            <v>m3</v>
          </cell>
          <cell r="F18">
            <v>1490</v>
          </cell>
          <cell r="G18">
            <v>2.4</v>
          </cell>
        </row>
        <row r="19">
          <cell r="A19" t="str">
            <v>DER50260</v>
          </cell>
          <cell r="B19" t="str">
            <v>Esc.  Carga e Transp. de mat. 1a cat. c/ CB 5000&lt;DMT&lt;6000m</v>
          </cell>
          <cell r="C19" t="str">
            <v xml:space="preserve"> </v>
          </cell>
          <cell r="D19" t="str">
            <v xml:space="preserve"> </v>
          </cell>
          <cell r="E19" t="str">
            <v>m3</v>
          </cell>
          <cell r="F19">
            <v>7702</v>
          </cell>
          <cell r="G19">
            <v>4.29</v>
          </cell>
        </row>
        <row r="20">
          <cell r="A20" t="str">
            <v>DER50385</v>
          </cell>
          <cell r="B20" t="str">
            <v>Esc.  Carga e Transp. de mat. 1a cat. c/ CB 26000&lt;DMT&lt;28000m</v>
          </cell>
          <cell r="C20" t="str">
            <v xml:space="preserve"> </v>
          </cell>
          <cell r="D20" t="str">
            <v xml:space="preserve"> </v>
          </cell>
          <cell r="E20" t="str">
            <v>m3</v>
          </cell>
          <cell r="F20">
            <v>20309</v>
          </cell>
          <cell r="G20">
            <v>15.02</v>
          </cell>
        </row>
        <row r="21">
          <cell r="A21" t="str">
            <v>01.101.14</v>
          </cell>
          <cell r="B21" t="str">
            <v>Escavação,carga e transportes de material de 2a categoria,c/CB,  DMT 1000 a 1200m</v>
          </cell>
          <cell r="C21" t="str">
            <v>DNER-ES280/97</v>
          </cell>
          <cell r="D21" t="str">
            <v xml:space="preserve"> </v>
          </cell>
          <cell r="E21" t="str">
            <v>m3</v>
          </cell>
          <cell r="F21">
            <v>2985</v>
          </cell>
          <cell r="G21">
            <v>3.49</v>
          </cell>
        </row>
        <row r="22">
          <cell r="A22" t="str">
            <v>DER51250</v>
          </cell>
          <cell r="B22" t="str">
            <v>Escavação,carga e transportes de material de 2a categoria DMT 5000 a 6000m</v>
          </cell>
          <cell r="C22" t="str">
            <v xml:space="preserve"> </v>
          </cell>
          <cell r="D22" t="str">
            <v xml:space="preserve"> </v>
          </cell>
          <cell r="E22" t="str">
            <v>m3</v>
          </cell>
          <cell r="F22">
            <v>5134</v>
          </cell>
          <cell r="G22">
            <v>5.7</v>
          </cell>
        </row>
        <row r="23">
          <cell r="A23" t="str">
            <v>DER52105</v>
          </cell>
          <cell r="B23" t="str">
            <v>Esc. Carga e Transp. de solos moles 2000&lt;DMT&lt;=3000m</v>
          </cell>
          <cell r="C23" t="str">
            <v xml:space="preserve"> </v>
          </cell>
          <cell r="D23" t="str">
            <v xml:space="preserve"> </v>
          </cell>
          <cell r="E23" t="str">
            <v>m3</v>
          </cell>
          <cell r="F23">
            <v>15622</v>
          </cell>
          <cell r="G23">
            <v>5.77</v>
          </cell>
        </row>
        <row r="24">
          <cell r="A24" t="str">
            <v>01.510.00</v>
          </cell>
          <cell r="B24" t="str">
            <v>Compactação de aterros a 95% Proctor Normal</v>
          </cell>
          <cell r="C24" t="str">
            <v>DNER-ES282/97</v>
          </cell>
          <cell r="D24" t="str">
            <v xml:space="preserve"> </v>
          </cell>
          <cell r="E24" t="str">
            <v>m3</v>
          </cell>
          <cell r="F24">
            <v>25992</v>
          </cell>
          <cell r="G24">
            <v>0.79</v>
          </cell>
        </row>
        <row r="25">
          <cell r="A25" t="str">
            <v>01.511.00</v>
          </cell>
          <cell r="B25" t="str">
            <v>Compactação de aterros a 100% Proctor Normal</v>
          </cell>
          <cell r="C25" t="str">
            <v>DNER-ES282/97</v>
          </cell>
          <cell r="D25" t="str">
            <v xml:space="preserve"> </v>
          </cell>
          <cell r="E25" t="str">
            <v>m3</v>
          </cell>
          <cell r="F25">
            <v>2444</v>
          </cell>
          <cell r="G25">
            <v>1.36</v>
          </cell>
        </row>
        <row r="26">
          <cell r="A26" t="str">
            <v>P 10.000.06</v>
          </cell>
          <cell r="B26" t="str">
            <v>Aterro reforçado c/ elementos Terramesh (0,50x1,00x4,00m)(malha 8x10) ou similar</v>
          </cell>
          <cell r="C26" t="str">
            <v xml:space="preserve"> </v>
          </cell>
          <cell r="D26" t="str">
            <v xml:space="preserve"> </v>
          </cell>
          <cell r="E26" t="str">
            <v>un</v>
          </cell>
          <cell r="F26">
            <v>1011</v>
          </cell>
          <cell r="G26">
            <v>321.67</v>
          </cell>
        </row>
        <row r="27">
          <cell r="A27" t="str">
            <v>P 10.000.05</v>
          </cell>
          <cell r="B27" t="str">
            <v>Aterro reforçado c/ elementos Terramesh (1,00x1,00x4,00m)(malha 8x10) ou similar</v>
          </cell>
          <cell r="C27" t="str">
            <v xml:space="preserve"> </v>
          </cell>
          <cell r="D27" t="str">
            <v xml:space="preserve"> </v>
          </cell>
          <cell r="E27" t="str">
            <v>un</v>
          </cell>
          <cell r="F27">
            <v>591</v>
          </cell>
          <cell r="G27">
            <v>414.83</v>
          </cell>
        </row>
        <row r="28">
          <cell r="A28" t="str">
            <v>DER82660</v>
          </cell>
          <cell r="B28" t="str">
            <v>Gabião caixa em PVC c/ h=100cm</v>
          </cell>
          <cell r="C28" t="str">
            <v xml:space="preserve"> </v>
          </cell>
          <cell r="D28" t="str">
            <v xml:space="preserve"> </v>
          </cell>
          <cell r="E28" t="str">
            <v>m3</v>
          </cell>
          <cell r="F28">
            <v>195</v>
          </cell>
          <cell r="G28">
            <v>122.97</v>
          </cell>
        </row>
        <row r="29">
          <cell r="A29" t="str">
            <v>09.517.04</v>
          </cell>
          <cell r="B29" t="str">
            <v>Pedra de mão</v>
          </cell>
          <cell r="C29" t="str">
            <v xml:space="preserve"> </v>
          </cell>
          <cell r="D29" t="str">
            <v xml:space="preserve"> </v>
          </cell>
          <cell r="E29" t="str">
            <v>m3</v>
          </cell>
          <cell r="F29">
            <v>2746</v>
          </cell>
          <cell r="G29">
            <v>11.92</v>
          </cell>
        </row>
        <row r="30">
          <cell r="A30">
            <v>9000032</v>
          </cell>
          <cell r="B30" t="str">
            <v>Manta Geotextil 200g/m2</v>
          </cell>
          <cell r="C30">
            <v>0</v>
          </cell>
          <cell r="D30">
            <v>0</v>
          </cell>
          <cell r="E30" t="str">
            <v>m2</v>
          </cell>
          <cell r="F30">
            <v>4730</v>
          </cell>
          <cell r="G30">
            <v>5.83</v>
          </cell>
        </row>
        <row r="31">
          <cell r="F31" t="str">
            <v>SUB-TOTAL</v>
          </cell>
        </row>
        <row r="33">
          <cell r="B33" t="str">
            <v>PAVIMENTAÇÃO</v>
          </cell>
        </row>
        <row r="34">
          <cell r="A34" t="str">
            <v>02.000.00</v>
          </cell>
          <cell r="B34" t="str">
            <v>Regularização do subleito</v>
          </cell>
          <cell r="C34" t="str">
            <v xml:space="preserve"> </v>
          </cell>
          <cell r="D34" t="str">
            <v xml:space="preserve"> </v>
          </cell>
          <cell r="E34" t="str">
            <v>m2</v>
          </cell>
          <cell r="F34">
            <v>51009</v>
          </cell>
          <cell r="G34">
            <v>0.3</v>
          </cell>
        </row>
        <row r="35">
          <cell r="A35" t="str">
            <v>DER53130</v>
          </cell>
          <cell r="B35" t="str">
            <v>Camada de macadame seco</v>
          </cell>
          <cell r="C35" t="str">
            <v xml:space="preserve"> </v>
          </cell>
          <cell r="D35" t="str">
            <v xml:space="preserve"> </v>
          </cell>
          <cell r="E35" t="str">
            <v>m3</v>
          </cell>
          <cell r="F35">
            <v>10024</v>
          </cell>
          <cell r="G35">
            <v>21.86</v>
          </cell>
        </row>
        <row r="36">
          <cell r="A36" t="str">
            <v>02.230.00</v>
          </cell>
          <cell r="B36" t="str">
            <v>Base brita graduada</v>
          </cell>
          <cell r="C36" t="str">
            <v>DNER-ES303/97</v>
          </cell>
          <cell r="D36" t="str">
            <v xml:space="preserve"> </v>
          </cell>
          <cell r="E36" t="str">
            <v>m3</v>
          </cell>
          <cell r="F36">
            <v>7284</v>
          </cell>
          <cell r="G36">
            <v>28.06</v>
          </cell>
        </row>
        <row r="37">
          <cell r="A37" t="str">
            <v>02.300.00</v>
          </cell>
          <cell r="B37" t="str">
            <v>Imprimação - Fornecimento, transporte e execução</v>
          </cell>
          <cell r="C37" t="str">
            <v>DNER-ES306/97</v>
          </cell>
          <cell r="D37" t="str">
            <v xml:space="preserve"> </v>
          </cell>
          <cell r="E37" t="str">
            <v>m2</v>
          </cell>
          <cell r="F37">
            <v>47887</v>
          </cell>
          <cell r="G37">
            <v>1.1100000000000001</v>
          </cell>
        </row>
        <row r="38">
          <cell r="A38" t="str">
            <v>02.400.00</v>
          </cell>
          <cell r="B38" t="str">
            <v>Pintura de ligação - Fornec., transporte e execução</v>
          </cell>
          <cell r="C38" t="str">
            <v>DNER-ES307/97</v>
          </cell>
          <cell r="D38" t="str">
            <v xml:space="preserve"> </v>
          </cell>
          <cell r="E38" t="str">
            <v>m2</v>
          </cell>
          <cell r="F38">
            <v>124282</v>
          </cell>
          <cell r="G38">
            <v>0.41</v>
          </cell>
        </row>
        <row r="39">
          <cell r="A39" t="str">
            <v>02.540.01</v>
          </cell>
          <cell r="B39" t="str">
            <v>Concreto betuminoso usinado a quente - usina 100/140 t/h</v>
          </cell>
          <cell r="C39" t="str">
            <v>DNER-ES313/97</v>
          </cell>
          <cell r="D39" t="str">
            <v xml:space="preserve"> </v>
          </cell>
          <cell r="E39" t="str">
            <v>t</v>
          </cell>
          <cell r="F39">
            <v>14670.5</v>
          </cell>
          <cell r="G39">
            <v>67.64</v>
          </cell>
        </row>
        <row r="40">
          <cell r="A40" t="str">
            <v>DER82200a</v>
          </cell>
          <cell r="B40" t="str">
            <v>Remoção de camada granular</v>
          </cell>
          <cell r="C40" t="str">
            <v xml:space="preserve"> </v>
          </cell>
          <cell r="D40" t="str">
            <v xml:space="preserve"> </v>
          </cell>
          <cell r="E40" t="str">
            <v>m3</v>
          </cell>
          <cell r="F40">
            <v>546</v>
          </cell>
          <cell r="G40">
            <v>4.67</v>
          </cell>
        </row>
        <row r="41">
          <cell r="A41" t="str">
            <v>DER82200</v>
          </cell>
          <cell r="B41" t="str">
            <v>Remoção de revestimento de CBUQ</v>
          </cell>
          <cell r="C41" t="str">
            <v xml:space="preserve"> </v>
          </cell>
          <cell r="D41" t="str">
            <v xml:space="preserve"> </v>
          </cell>
          <cell r="E41" t="str">
            <v>m3</v>
          </cell>
          <cell r="F41">
            <v>545</v>
          </cell>
          <cell r="G41">
            <v>5.73</v>
          </cell>
        </row>
        <row r="42">
          <cell r="F42" t="str">
            <v>SUB-TOTAL</v>
          </cell>
        </row>
        <row r="44">
          <cell r="B44" t="str">
            <v>DRENAGEM</v>
          </cell>
        </row>
        <row r="45">
          <cell r="A45" t="str">
            <v>04.000.00</v>
          </cell>
          <cell r="B45" t="str">
            <v>Escavação manual em material de 1a categoria</v>
          </cell>
          <cell r="C45" t="str">
            <v xml:space="preserve"> </v>
          </cell>
          <cell r="D45" t="str">
            <v xml:space="preserve"> </v>
          </cell>
          <cell r="E45" t="str">
            <v>m3</v>
          </cell>
          <cell r="F45">
            <v>48</v>
          </cell>
          <cell r="G45">
            <v>17.57</v>
          </cell>
        </row>
        <row r="46">
          <cell r="A46" t="str">
            <v>04.001.00</v>
          </cell>
          <cell r="B46" t="str">
            <v>Escavação mecânica em material de 1a categoria</v>
          </cell>
          <cell r="C46" t="str">
            <v xml:space="preserve"> </v>
          </cell>
          <cell r="D46" t="str">
            <v xml:space="preserve"> </v>
          </cell>
          <cell r="E46" t="str">
            <v>m3</v>
          </cell>
          <cell r="F46">
            <v>1400</v>
          </cell>
          <cell r="G46">
            <v>2.09</v>
          </cell>
        </row>
        <row r="47">
          <cell r="A47" t="str">
            <v>04.001.01</v>
          </cell>
          <cell r="B47" t="str">
            <v>Escavação mecânica,reaterro e compactação (material de 1a categoria)</v>
          </cell>
          <cell r="C47" t="str">
            <v xml:space="preserve"> </v>
          </cell>
          <cell r="D47" t="str">
            <v xml:space="preserve"> </v>
          </cell>
          <cell r="E47" t="str">
            <v>m3</v>
          </cell>
          <cell r="F47">
            <v>912</v>
          </cell>
          <cell r="G47">
            <v>3.03</v>
          </cell>
        </row>
        <row r="48">
          <cell r="A48" t="str">
            <v>04.401.02</v>
          </cell>
          <cell r="B48" t="str">
            <v>Valeta de prot. de aterro c/ revest. vegetal VPA 02</v>
          </cell>
          <cell r="C48" t="str">
            <v xml:space="preserve"> </v>
          </cell>
          <cell r="D48" t="str">
            <v xml:space="preserve"> </v>
          </cell>
          <cell r="E48" t="str">
            <v>m</v>
          </cell>
          <cell r="F48">
            <v>1091</v>
          </cell>
          <cell r="G48">
            <v>24.32</v>
          </cell>
        </row>
        <row r="49">
          <cell r="A49" t="str">
            <v>04.500.06</v>
          </cell>
          <cell r="B49" t="str">
            <v>Dreno longit. profundo p/cortes em solo- DPS 06</v>
          </cell>
          <cell r="C49" t="str">
            <v>DNER-ES292/97</v>
          </cell>
          <cell r="D49" t="str">
            <v xml:space="preserve"> </v>
          </cell>
          <cell r="E49" t="str">
            <v>m</v>
          </cell>
          <cell r="F49">
            <v>627</v>
          </cell>
          <cell r="G49">
            <v>34.94</v>
          </cell>
        </row>
        <row r="50">
          <cell r="A50" t="str">
            <v>04.502.02</v>
          </cell>
          <cell r="B50" t="str">
            <v>Boca de saída p/ dreno longit. profundo- BSD 02</v>
          </cell>
          <cell r="C50" t="str">
            <v xml:space="preserve"> </v>
          </cell>
          <cell r="D50" t="str">
            <v xml:space="preserve"> </v>
          </cell>
          <cell r="E50" t="str">
            <v>un</v>
          </cell>
          <cell r="F50">
            <v>6</v>
          </cell>
          <cell r="G50">
            <v>49.08</v>
          </cell>
        </row>
        <row r="51">
          <cell r="A51" t="str">
            <v>04.510.03</v>
          </cell>
          <cell r="B51" t="str">
            <v>Dreno sub- superficial- DSS 03</v>
          </cell>
          <cell r="C51" t="str">
            <v>DNER-ES294/97</v>
          </cell>
          <cell r="D51" t="str">
            <v xml:space="preserve"> </v>
          </cell>
          <cell r="E51" t="str">
            <v>m</v>
          </cell>
          <cell r="F51">
            <v>1662</v>
          </cell>
          <cell r="G51">
            <v>3.71</v>
          </cell>
        </row>
        <row r="52">
          <cell r="A52" t="str">
            <v>04.511.01</v>
          </cell>
          <cell r="B52" t="str">
            <v>Boca de saída p/ dreno sub-superficial-BSD 03</v>
          </cell>
          <cell r="C52" t="str">
            <v xml:space="preserve"> </v>
          </cell>
          <cell r="D52" t="str">
            <v xml:space="preserve"> </v>
          </cell>
          <cell r="E52" t="str">
            <v>un</v>
          </cell>
          <cell r="F52">
            <v>8</v>
          </cell>
          <cell r="G52">
            <v>20.86</v>
          </cell>
        </row>
        <row r="53">
          <cell r="A53" t="str">
            <v>04.900.21</v>
          </cell>
          <cell r="B53" t="str">
            <v>Sarjeta de cant. central de concreto-SCC 01</v>
          </cell>
          <cell r="C53" t="str">
            <v>DNER-ES288/97</v>
          </cell>
          <cell r="D53" t="str">
            <v xml:space="preserve"> </v>
          </cell>
          <cell r="E53" t="str">
            <v>m</v>
          </cell>
          <cell r="F53">
            <v>822</v>
          </cell>
          <cell r="G53">
            <v>13.85</v>
          </cell>
        </row>
        <row r="54">
          <cell r="A54" t="str">
            <v>04.910.05</v>
          </cell>
          <cell r="B54" t="str">
            <v>Meio-fio de concreto-MFC 05</v>
          </cell>
          <cell r="C54" t="str">
            <v>DNER-ES290/97</v>
          </cell>
          <cell r="D54" t="str">
            <v xml:space="preserve"> </v>
          </cell>
          <cell r="E54" t="str">
            <v>m</v>
          </cell>
          <cell r="F54">
            <v>1758</v>
          </cell>
          <cell r="G54">
            <v>10.54</v>
          </cell>
        </row>
        <row r="55">
          <cell r="A55" t="str">
            <v>DER78150a</v>
          </cell>
          <cell r="B55" t="str">
            <v>Caixa coletora de sarjeta - CCS, D=60cm E H=1,5m</v>
          </cell>
          <cell r="C55" t="str">
            <v xml:space="preserve"> </v>
          </cell>
          <cell r="D55" t="str">
            <v xml:space="preserve"> </v>
          </cell>
          <cell r="E55" t="str">
            <v>un</v>
          </cell>
          <cell r="F55">
            <v>1</v>
          </cell>
          <cell r="G55">
            <v>500.45</v>
          </cell>
        </row>
        <row r="56">
          <cell r="A56" t="str">
            <v>04.930.01</v>
          </cell>
          <cell r="B56" t="str">
            <v>Caixa coletora de sarjeta-CCS 01</v>
          </cell>
          <cell r="C56" t="str">
            <v>DNER-ES287/97</v>
          </cell>
          <cell r="D56" t="str">
            <v xml:space="preserve"> </v>
          </cell>
          <cell r="E56" t="str">
            <v>un</v>
          </cell>
          <cell r="F56">
            <v>3</v>
          </cell>
          <cell r="G56">
            <v>568.85</v>
          </cell>
        </row>
        <row r="57">
          <cell r="A57" t="str">
            <v>04.930.05</v>
          </cell>
          <cell r="B57" t="str">
            <v>Caixa coletora de sarjeta-CCS 05</v>
          </cell>
          <cell r="C57" t="str">
            <v>DNER-ES287/97</v>
          </cell>
          <cell r="D57" t="str">
            <v xml:space="preserve"> </v>
          </cell>
          <cell r="E57" t="str">
            <v>un</v>
          </cell>
          <cell r="F57">
            <v>2</v>
          </cell>
          <cell r="G57">
            <v>715.16</v>
          </cell>
        </row>
        <row r="58">
          <cell r="A58" t="str">
            <v>04.930.11</v>
          </cell>
          <cell r="B58" t="str">
            <v>Caixa coletora de sarjeta-CCS 11</v>
          </cell>
          <cell r="C58" t="str">
            <v>DNER-ES287/97</v>
          </cell>
          <cell r="D58" t="str">
            <v xml:space="preserve"> </v>
          </cell>
          <cell r="E58" t="str">
            <v>un</v>
          </cell>
          <cell r="F58">
            <v>2</v>
          </cell>
          <cell r="G58">
            <v>832.67</v>
          </cell>
        </row>
        <row r="59">
          <cell r="A59" t="str">
            <v>04.950.02</v>
          </cell>
          <cell r="B59" t="str">
            <v>Dissipador de energia- DES 02</v>
          </cell>
          <cell r="C59" t="str">
            <v>DNER-ES283/97</v>
          </cell>
          <cell r="D59" t="str">
            <v xml:space="preserve"> </v>
          </cell>
          <cell r="E59" t="str">
            <v>un</v>
          </cell>
          <cell r="F59">
            <v>1</v>
          </cell>
          <cell r="G59">
            <v>110.58</v>
          </cell>
        </row>
        <row r="60">
          <cell r="A60" t="str">
            <v>04.960.01</v>
          </cell>
          <cell r="B60" t="str">
            <v>Boca de lobo simples c/ grelha de concreto-BLS 01</v>
          </cell>
          <cell r="C60" t="str">
            <v xml:space="preserve"> </v>
          </cell>
          <cell r="D60" t="str">
            <v xml:space="preserve"> </v>
          </cell>
          <cell r="E60" t="str">
            <v>un</v>
          </cell>
          <cell r="F60">
            <v>10</v>
          </cell>
          <cell r="G60">
            <v>203.51</v>
          </cell>
        </row>
        <row r="61">
          <cell r="A61" t="str">
            <v>04.960.02</v>
          </cell>
          <cell r="B61" t="str">
            <v>Boca de lobo simples c/ grelha de concreto-BLS 02</v>
          </cell>
          <cell r="C61" t="str">
            <v xml:space="preserve"> </v>
          </cell>
          <cell r="D61" t="str">
            <v xml:space="preserve"> </v>
          </cell>
          <cell r="E61" t="str">
            <v>un</v>
          </cell>
          <cell r="F61">
            <v>4</v>
          </cell>
          <cell r="G61">
            <v>257.83999999999997</v>
          </cell>
        </row>
        <row r="62">
          <cell r="A62" t="str">
            <v>04.960.03</v>
          </cell>
          <cell r="B62" t="str">
            <v>Boca de lobo simples c/ grelha de concreto-BLS 03</v>
          </cell>
          <cell r="C62" t="str">
            <v xml:space="preserve"> </v>
          </cell>
          <cell r="D62" t="str">
            <v xml:space="preserve"> </v>
          </cell>
          <cell r="E62" t="str">
            <v>un</v>
          </cell>
          <cell r="F62">
            <v>2</v>
          </cell>
          <cell r="G62">
            <v>312.23</v>
          </cell>
        </row>
        <row r="63">
          <cell r="A63" t="str">
            <v>04.962.04</v>
          </cell>
          <cell r="B63" t="str">
            <v>Caixa de ligação e passagem- CLP 04</v>
          </cell>
          <cell r="C63" t="str">
            <v>DNER-ES287/97</v>
          </cell>
          <cell r="D63" t="str">
            <v xml:space="preserve"> </v>
          </cell>
          <cell r="E63" t="str">
            <v>un</v>
          </cell>
          <cell r="F63">
            <v>1</v>
          </cell>
          <cell r="G63">
            <v>645.97</v>
          </cell>
        </row>
        <row r="64">
          <cell r="A64" t="str">
            <v>04.963.01</v>
          </cell>
          <cell r="B64" t="str">
            <v>Poço de visita- PVI 01</v>
          </cell>
          <cell r="C64" t="str">
            <v xml:space="preserve"> </v>
          </cell>
          <cell r="D64" t="str">
            <v xml:space="preserve"> </v>
          </cell>
          <cell r="E64" t="str">
            <v>un</v>
          </cell>
          <cell r="F64">
            <v>1</v>
          </cell>
          <cell r="G64">
            <v>493.1</v>
          </cell>
        </row>
        <row r="65">
          <cell r="A65" t="str">
            <v>P 04.100.07</v>
          </cell>
          <cell r="B65" t="str">
            <v>Execução de galerias D=0,40 c/ lastro de brita</v>
          </cell>
          <cell r="C65" t="str">
            <v xml:space="preserve"> </v>
          </cell>
          <cell r="D65" t="str">
            <v xml:space="preserve"> </v>
          </cell>
          <cell r="E65" t="str">
            <v>m</v>
          </cell>
          <cell r="F65">
            <v>102</v>
          </cell>
          <cell r="G65">
            <v>41.68</v>
          </cell>
        </row>
        <row r="66">
          <cell r="A66" t="str">
            <v>P 04.100.09</v>
          </cell>
          <cell r="B66" t="str">
            <v>Execução de galerias D=0,60 c/ lastro de brita</v>
          </cell>
          <cell r="C66" t="str">
            <v xml:space="preserve"> </v>
          </cell>
          <cell r="D66" t="str">
            <v xml:space="preserve"> </v>
          </cell>
          <cell r="E66" t="str">
            <v>m</v>
          </cell>
          <cell r="F66">
            <v>124</v>
          </cell>
          <cell r="G66">
            <v>100.67</v>
          </cell>
        </row>
        <row r="67">
          <cell r="A67" t="str">
            <v>P 04.100.10</v>
          </cell>
          <cell r="B67" t="str">
            <v>Execução de galerias D=0,60 c/ lastro de concreto</v>
          </cell>
          <cell r="C67" t="str">
            <v xml:space="preserve"> </v>
          </cell>
          <cell r="D67" t="str">
            <v xml:space="preserve"> </v>
          </cell>
          <cell r="E67" t="str">
            <v>m</v>
          </cell>
          <cell r="F67">
            <v>37</v>
          </cell>
          <cell r="G67">
            <v>131.66</v>
          </cell>
        </row>
        <row r="68">
          <cell r="A68" t="str">
            <v>04.101.01</v>
          </cell>
          <cell r="B68" t="str">
            <v>Boca de BSTC D=0.60m-normal</v>
          </cell>
          <cell r="C68" t="str">
            <v>DNER-ES284/97</v>
          </cell>
          <cell r="D68" t="str">
            <v xml:space="preserve"> </v>
          </cell>
          <cell r="E68" t="str">
            <v>un</v>
          </cell>
          <cell r="F68">
            <v>2</v>
          </cell>
          <cell r="G68">
            <v>299.62</v>
          </cell>
        </row>
        <row r="69">
          <cell r="A69" t="str">
            <v>P04.901.43</v>
          </cell>
          <cell r="B69" t="str">
            <v>Canaleta c/ grelha de concreto</v>
          </cell>
          <cell r="C69" t="str">
            <v xml:space="preserve"> </v>
          </cell>
          <cell r="D69" t="str">
            <v xml:space="preserve"> </v>
          </cell>
          <cell r="E69" t="str">
            <v>m</v>
          </cell>
          <cell r="F69">
            <v>297</v>
          </cell>
          <cell r="G69">
            <v>77.42</v>
          </cell>
        </row>
        <row r="70">
          <cell r="A70" t="str">
            <v>P.04.100.18</v>
          </cell>
          <cell r="B70" t="str">
            <v>Caixa coletora de canaleta c/ H=2,00m</v>
          </cell>
          <cell r="C70" t="str">
            <v xml:space="preserve"> </v>
          </cell>
          <cell r="D70" t="str">
            <v xml:space="preserve"> </v>
          </cell>
          <cell r="E70" t="str">
            <v>un</v>
          </cell>
          <cell r="F70">
            <v>1</v>
          </cell>
          <cell r="G70">
            <v>676.37</v>
          </cell>
        </row>
        <row r="71">
          <cell r="F71" t="str">
            <v>SUB-TOTAL</v>
          </cell>
        </row>
        <row r="73">
          <cell r="B73" t="str">
            <v>OBRAS DE ARTE ESPECIAIS</v>
          </cell>
        </row>
        <row r="74">
          <cell r="B74" t="str">
            <v>(Quatro tabuleiros)</v>
          </cell>
        </row>
        <row r="75">
          <cell r="B75" t="str">
            <v>Infra e Mesoestrutura</v>
          </cell>
        </row>
        <row r="76">
          <cell r="A76" t="str">
            <v>DER90150</v>
          </cell>
          <cell r="B76" t="str">
            <v>Escavação em tubulão a céu aberto em material de 1ªcateg.</v>
          </cell>
          <cell r="C76" t="str">
            <v xml:space="preserve"> </v>
          </cell>
          <cell r="D76" t="str">
            <v xml:space="preserve"> </v>
          </cell>
          <cell r="E76" t="str">
            <v>m3</v>
          </cell>
          <cell r="F76">
            <v>1</v>
          </cell>
          <cell r="G76">
            <v>184.89</v>
          </cell>
        </row>
        <row r="77">
          <cell r="A77" t="str">
            <v>DER90160</v>
          </cell>
          <cell r="B77" t="str">
            <v>Escavação em tubulão a céu aberto em material de 3ªcateg.</v>
          </cell>
          <cell r="C77" t="str">
            <v xml:space="preserve"> </v>
          </cell>
          <cell r="D77" t="str">
            <v xml:space="preserve"> </v>
          </cell>
          <cell r="E77" t="str">
            <v>m3</v>
          </cell>
          <cell r="F77">
            <v>1</v>
          </cell>
          <cell r="G77">
            <v>640.85</v>
          </cell>
        </row>
        <row r="78">
          <cell r="A78" t="str">
            <v>DER90170</v>
          </cell>
          <cell r="B78" t="str">
            <v>Escavação em tubulão sob ar comprimido em material de 1ªcateg.</v>
          </cell>
          <cell r="C78" t="str">
            <v xml:space="preserve"> </v>
          </cell>
          <cell r="D78" t="str">
            <v xml:space="preserve"> </v>
          </cell>
          <cell r="E78" t="str">
            <v>m3</v>
          </cell>
          <cell r="F78">
            <v>140</v>
          </cell>
          <cell r="G78">
            <v>742.04</v>
          </cell>
        </row>
        <row r="79">
          <cell r="A79" t="str">
            <v>DER90180</v>
          </cell>
          <cell r="B79" t="str">
            <v>Escavação em tubulão sob ar comprimido em material de 3ªcateg.</v>
          </cell>
          <cell r="C79" t="str">
            <v xml:space="preserve"> </v>
          </cell>
          <cell r="D79" t="str">
            <v xml:space="preserve"> </v>
          </cell>
          <cell r="E79" t="str">
            <v>m3</v>
          </cell>
          <cell r="F79">
            <v>82</v>
          </cell>
          <cell r="G79">
            <v>1154.25</v>
          </cell>
        </row>
        <row r="80">
          <cell r="A80" t="str">
            <v>03.371.01</v>
          </cell>
          <cell r="B80" t="str">
            <v>Formas de placa compensada resinada</v>
          </cell>
          <cell r="C80" t="str">
            <v xml:space="preserve"> </v>
          </cell>
          <cell r="D80" t="str">
            <v xml:space="preserve"> </v>
          </cell>
          <cell r="E80" t="str">
            <v>m2</v>
          </cell>
          <cell r="F80">
            <v>879</v>
          </cell>
          <cell r="G80">
            <v>21.86</v>
          </cell>
        </row>
        <row r="81">
          <cell r="A81" t="str">
            <v>03.353.00</v>
          </cell>
          <cell r="B81" t="str">
            <v>Forn., preparo e colocação nas formas, de aço CA-50</v>
          </cell>
          <cell r="C81" t="str">
            <v xml:space="preserve"> </v>
          </cell>
          <cell r="D81" t="str">
            <v xml:space="preserve"> </v>
          </cell>
          <cell r="E81" t="str">
            <v>kg</v>
          </cell>
          <cell r="F81">
            <v>11438</v>
          </cell>
          <cell r="G81">
            <v>2.59</v>
          </cell>
        </row>
        <row r="82">
          <cell r="A82" t="str">
            <v>P 03.327.01</v>
          </cell>
          <cell r="B82" t="str">
            <v xml:space="preserve">Concreto fck= 25 MPa-contr. raz. uso ger. </v>
          </cell>
          <cell r="C82" t="str">
            <v xml:space="preserve"> </v>
          </cell>
          <cell r="D82" t="str">
            <v xml:space="preserve"> </v>
          </cell>
          <cell r="E82" t="str">
            <v>m3</v>
          </cell>
          <cell r="F82">
            <v>266</v>
          </cell>
          <cell r="G82">
            <v>163.22</v>
          </cell>
        </row>
        <row r="83">
          <cell r="B83" t="str">
            <v>Superestrutura</v>
          </cell>
        </row>
        <row r="84">
          <cell r="A84" t="str">
            <v>03.371.02</v>
          </cell>
          <cell r="B84" t="str">
            <v>Formas de placa compensada plastificada</v>
          </cell>
          <cell r="C84" t="str">
            <v xml:space="preserve"> </v>
          </cell>
          <cell r="D84" t="str">
            <v xml:space="preserve"> </v>
          </cell>
          <cell r="E84" t="str">
            <v>m2</v>
          </cell>
          <cell r="F84">
            <v>5127</v>
          </cell>
          <cell r="G84">
            <v>30.76</v>
          </cell>
        </row>
        <row r="85">
          <cell r="A85" t="str">
            <v>03.353.00</v>
          </cell>
          <cell r="B85" t="str">
            <v>Forn., preparo e colocação nas formas, de aço CA-50</v>
          </cell>
          <cell r="C85" t="str">
            <v xml:space="preserve"> </v>
          </cell>
          <cell r="D85" t="str">
            <v xml:space="preserve"> </v>
          </cell>
          <cell r="E85" t="str">
            <v>kg</v>
          </cell>
          <cell r="F85">
            <v>143680</v>
          </cell>
          <cell r="G85">
            <v>2.59</v>
          </cell>
        </row>
        <row r="86">
          <cell r="A86" t="str">
            <v>OAE17</v>
          </cell>
          <cell r="B86" t="str">
            <v>Transporte e lançamento de pré-lages</v>
          </cell>
          <cell r="C86" t="str">
            <v xml:space="preserve"> </v>
          </cell>
          <cell r="D86" t="str">
            <v xml:space="preserve"> </v>
          </cell>
          <cell r="E86" t="str">
            <v>un</v>
          </cell>
          <cell r="F86">
            <v>1368</v>
          </cell>
          <cell r="G86">
            <v>23.47</v>
          </cell>
        </row>
        <row r="87">
          <cell r="A87" t="str">
            <v>OAE18</v>
          </cell>
          <cell r="B87" t="str">
            <v>Transporte e lançamento de vigas pré-moldadas</v>
          </cell>
          <cell r="C87" t="str">
            <v xml:space="preserve"> </v>
          </cell>
          <cell r="D87" t="str">
            <v xml:space="preserve"> </v>
          </cell>
          <cell r="E87" t="str">
            <v>un</v>
          </cell>
          <cell r="F87">
            <v>80</v>
          </cell>
          <cell r="G87">
            <v>1281.27</v>
          </cell>
        </row>
        <row r="88">
          <cell r="A88" t="str">
            <v>03.330.00</v>
          </cell>
          <cell r="B88" t="str">
            <v>Concreto fck= 35 MPa-contr. raz. uso ger.</v>
          </cell>
          <cell r="C88" t="str">
            <v xml:space="preserve"> </v>
          </cell>
          <cell r="D88" t="str">
            <v xml:space="preserve"> </v>
          </cell>
          <cell r="E88" t="str">
            <v>m3</v>
          </cell>
          <cell r="F88">
            <v>755</v>
          </cell>
          <cell r="G88">
            <v>166.78</v>
          </cell>
        </row>
        <row r="89">
          <cell r="B89" t="str">
            <v>Diversos</v>
          </cell>
        </row>
        <row r="90">
          <cell r="B90" t="str">
            <v>Barreiras de segurança (C.A.) Tipo New Jersey (312 m)</v>
          </cell>
        </row>
        <row r="91">
          <cell r="A91" t="str">
            <v>03.371.01</v>
          </cell>
          <cell r="B91" t="str">
            <v>Formas de placa compensada resinada</v>
          </cell>
          <cell r="C91" t="str">
            <v xml:space="preserve"> </v>
          </cell>
          <cell r="D91" t="str">
            <v xml:space="preserve"> </v>
          </cell>
          <cell r="E91" t="str">
            <v>m2</v>
          </cell>
          <cell r="F91">
            <v>561</v>
          </cell>
          <cell r="G91">
            <v>21.86</v>
          </cell>
        </row>
        <row r="92">
          <cell r="A92" t="str">
            <v>03.353.00</v>
          </cell>
          <cell r="B92" t="str">
            <v>Forn., preparo e colocação nas formas, de aço CA-50</v>
          </cell>
          <cell r="C92" t="str">
            <v xml:space="preserve"> </v>
          </cell>
          <cell r="D92" t="str">
            <v xml:space="preserve"> </v>
          </cell>
          <cell r="E92" t="str">
            <v>kg</v>
          </cell>
          <cell r="F92">
            <v>4656</v>
          </cell>
          <cell r="G92">
            <v>2.59</v>
          </cell>
        </row>
        <row r="93">
          <cell r="A93" t="str">
            <v>P 03.327.01</v>
          </cell>
          <cell r="B93" t="str">
            <v xml:space="preserve">Concreto fck= 25 MPa-contr. raz. uso ger. </v>
          </cell>
          <cell r="C93" t="str">
            <v xml:space="preserve"> </v>
          </cell>
          <cell r="D93" t="str">
            <v xml:space="preserve"> </v>
          </cell>
          <cell r="E93" t="str">
            <v>m3</v>
          </cell>
          <cell r="F93">
            <v>72</v>
          </cell>
          <cell r="G93">
            <v>163.22</v>
          </cell>
        </row>
        <row r="94">
          <cell r="B94" t="str">
            <v>Placas de aproximação( 08 unidades)</v>
          </cell>
        </row>
        <row r="95">
          <cell r="A95" t="str">
            <v>03.371.00</v>
          </cell>
          <cell r="B95" t="str">
            <v>Formas de madeira compensada</v>
          </cell>
          <cell r="C95" t="str">
            <v xml:space="preserve"> </v>
          </cell>
          <cell r="D95" t="str">
            <v xml:space="preserve"> </v>
          </cell>
          <cell r="E95" t="str">
            <v>m2</v>
          </cell>
          <cell r="F95">
            <v>73</v>
          </cell>
          <cell r="G95">
            <v>21.86</v>
          </cell>
        </row>
        <row r="96">
          <cell r="A96" t="str">
            <v>03.353.00</v>
          </cell>
          <cell r="B96" t="str">
            <v>Forn., preparo e colocação nas formas, de aço CA-50</v>
          </cell>
          <cell r="C96" t="str">
            <v xml:space="preserve"> </v>
          </cell>
          <cell r="D96" t="str">
            <v xml:space="preserve"> </v>
          </cell>
          <cell r="E96" t="str">
            <v>kg</v>
          </cell>
          <cell r="F96">
            <v>7432</v>
          </cell>
          <cell r="G96">
            <v>2.59</v>
          </cell>
        </row>
        <row r="97">
          <cell r="A97" t="str">
            <v>P 03.327.01</v>
          </cell>
          <cell r="B97" t="str">
            <v xml:space="preserve">Concreto fck= 25 MPa-contr. raz. uso ger. </v>
          </cell>
          <cell r="C97" t="str">
            <v xml:space="preserve"> </v>
          </cell>
          <cell r="D97" t="str">
            <v xml:space="preserve"> </v>
          </cell>
          <cell r="E97" t="str">
            <v>m3</v>
          </cell>
          <cell r="F97">
            <v>108</v>
          </cell>
          <cell r="G97">
            <v>163.22</v>
          </cell>
        </row>
        <row r="98">
          <cell r="B98" t="str">
            <v>Drenos</v>
          </cell>
        </row>
        <row r="99">
          <cell r="A99" t="str">
            <v>P 03.991.01f</v>
          </cell>
          <cell r="B99" t="str">
            <v>Dreno de FF D= 150 mm x 400mm</v>
          </cell>
          <cell r="C99" t="str">
            <v xml:space="preserve"> </v>
          </cell>
          <cell r="D99" t="str">
            <v xml:space="preserve"> </v>
          </cell>
          <cell r="E99" t="str">
            <v>un</v>
          </cell>
          <cell r="F99">
            <v>36</v>
          </cell>
          <cell r="G99">
            <v>20.37</v>
          </cell>
        </row>
        <row r="100">
          <cell r="F100" t="str">
            <v>SUB-TOTAL</v>
          </cell>
        </row>
        <row r="101">
          <cell r="B101" t="str">
            <v>OBRAS COMPLEMENTARES</v>
          </cell>
        </row>
        <row r="102">
          <cell r="A102" t="str">
            <v>05.100.00</v>
          </cell>
          <cell r="B102" t="str">
            <v>Enleivamento</v>
          </cell>
          <cell r="C102" t="str">
            <v>DNER-ES341/97</v>
          </cell>
          <cell r="D102" t="str">
            <v xml:space="preserve"> </v>
          </cell>
          <cell r="E102" t="str">
            <v>m2</v>
          </cell>
          <cell r="F102">
            <v>26014</v>
          </cell>
          <cell r="G102">
            <v>2.06</v>
          </cell>
        </row>
        <row r="103">
          <cell r="A103" t="str">
            <v>DER53460a</v>
          </cell>
          <cell r="B103" t="str">
            <v>Calçamento com briquetes de 6 cm</v>
          </cell>
          <cell r="C103" t="str">
            <v xml:space="preserve"> </v>
          </cell>
          <cell r="D103" t="str">
            <v xml:space="preserve"> </v>
          </cell>
          <cell r="E103" t="str">
            <v>m2</v>
          </cell>
          <cell r="F103">
            <v>1100</v>
          </cell>
          <cell r="G103">
            <v>20.48</v>
          </cell>
        </row>
        <row r="104">
          <cell r="A104" t="str">
            <v>P 05.100.01</v>
          </cell>
          <cell r="B104" t="str">
            <v>Fornecimento e plantio de lírio amarelo</v>
          </cell>
          <cell r="C104" t="str">
            <v xml:space="preserve"> </v>
          </cell>
          <cell r="D104" t="str">
            <v xml:space="preserve"> </v>
          </cell>
          <cell r="E104" t="str">
            <v>m2</v>
          </cell>
          <cell r="F104">
            <v>146</v>
          </cell>
          <cell r="G104">
            <v>14.14</v>
          </cell>
        </row>
        <row r="105">
          <cell r="A105" t="str">
            <v>P 05.100.02</v>
          </cell>
          <cell r="B105" t="str">
            <v>Fornecimento e plantio de árvore selecionada</v>
          </cell>
          <cell r="C105" t="str">
            <v xml:space="preserve"> </v>
          </cell>
          <cell r="D105" t="str">
            <v xml:space="preserve"> </v>
          </cell>
          <cell r="E105" t="str">
            <v>un</v>
          </cell>
          <cell r="F105">
            <v>130</v>
          </cell>
          <cell r="G105">
            <v>6.02</v>
          </cell>
        </row>
        <row r="106">
          <cell r="A106" t="str">
            <v>05.102.00</v>
          </cell>
          <cell r="B106" t="str">
            <v>Hidrossemeadura</v>
          </cell>
          <cell r="C106" t="str">
            <v>DNER-ES341/97</v>
          </cell>
          <cell r="D106" t="str">
            <v xml:space="preserve"> </v>
          </cell>
          <cell r="E106" t="str">
            <v>m2</v>
          </cell>
          <cell r="F106">
            <v>6318</v>
          </cell>
          <cell r="G106">
            <v>0.49</v>
          </cell>
        </row>
        <row r="107">
          <cell r="A107" t="str">
            <v>DER81950</v>
          </cell>
          <cell r="B107" t="str">
            <v>Calçada em lastro de brita c/revestimento em concreto</v>
          </cell>
          <cell r="C107" t="str">
            <v xml:space="preserve"> </v>
          </cell>
          <cell r="D107" t="str">
            <v xml:space="preserve"> </v>
          </cell>
          <cell r="E107" t="str">
            <v>m2</v>
          </cell>
          <cell r="F107">
            <v>1400</v>
          </cell>
          <cell r="G107">
            <v>8.94</v>
          </cell>
        </row>
        <row r="108">
          <cell r="A108" t="str">
            <v>P 06.030.00</v>
          </cell>
          <cell r="B108" t="str">
            <v>Barreira de segurança simples</v>
          </cell>
          <cell r="C108" t="str">
            <v xml:space="preserve"> </v>
          </cell>
          <cell r="D108" t="str">
            <v xml:space="preserve"> </v>
          </cell>
          <cell r="E108" t="str">
            <v>m</v>
          </cell>
          <cell r="F108">
            <v>492</v>
          </cell>
          <cell r="G108">
            <v>52.16</v>
          </cell>
        </row>
        <row r="109">
          <cell r="A109" t="str">
            <v>PI 01</v>
          </cell>
          <cell r="B109" t="str">
            <v>Poste de aço galv. a fogo, c/ 20,0m de alt. p/ instal. tipo engastado</v>
          </cell>
          <cell r="C109" t="str">
            <v xml:space="preserve"> </v>
          </cell>
          <cell r="D109" t="str">
            <v xml:space="preserve"> </v>
          </cell>
          <cell r="E109" t="str">
            <v>un</v>
          </cell>
          <cell r="F109">
            <v>10</v>
          </cell>
          <cell r="G109">
            <v>2662.25</v>
          </cell>
        </row>
        <row r="110">
          <cell r="A110" t="str">
            <v>PI 04</v>
          </cell>
          <cell r="B110" t="str">
            <v xml:space="preserve">Luminária p/ iluminação pública ref.SRC-612 da Philips ou similar </v>
          </cell>
          <cell r="C110" t="str">
            <v xml:space="preserve"> </v>
          </cell>
          <cell r="D110" t="str">
            <v xml:space="preserve"> </v>
          </cell>
          <cell r="E110" t="str">
            <v>un</v>
          </cell>
          <cell r="F110">
            <v>20</v>
          </cell>
          <cell r="G110">
            <v>425.5</v>
          </cell>
        </row>
        <row r="111">
          <cell r="A111" t="str">
            <v>PI 07</v>
          </cell>
          <cell r="B111" t="str">
            <v>Suporte p/ luminária tipo ZGP402 da Philips ou similar</v>
          </cell>
          <cell r="C111" t="str">
            <v xml:space="preserve"> </v>
          </cell>
          <cell r="D111" t="str">
            <v xml:space="preserve"> </v>
          </cell>
          <cell r="E111" t="str">
            <v>un</v>
          </cell>
          <cell r="F111">
            <v>10</v>
          </cell>
          <cell r="G111">
            <v>100</v>
          </cell>
        </row>
        <row r="112">
          <cell r="A112" t="str">
            <v>PI 09</v>
          </cell>
          <cell r="B112" t="str">
            <v>Lâmpada a vapor de sódio 400W, alta pressão, base E40</v>
          </cell>
          <cell r="C112" t="str">
            <v xml:space="preserve"> </v>
          </cell>
          <cell r="D112" t="str">
            <v xml:space="preserve"> </v>
          </cell>
          <cell r="E112" t="str">
            <v>un</v>
          </cell>
          <cell r="F112">
            <v>20</v>
          </cell>
          <cell r="G112">
            <v>33.35</v>
          </cell>
        </row>
        <row r="113">
          <cell r="A113" t="str">
            <v>PI 10</v>
          </cell>
          <cell r="B113" t="str">
            <v>Lâmpada a vapor de mercúrio 250W, alta pressão, base E40</v>
          </cell>
          <cell r="C113" t="str">
            <v xml:space="preserve"> </v>
          </cell>
          <cell r="D113" t="str">
            <v xml:space="preserve"> </v>
          </cell>
          <cell r="E113" t="str">
            <v>un</v>
          </cell>
          <cell r="F113">
            <v>17</v>
          </cell>
          <cell r="G113">
            <v>28.75</v>
          </cell>
        </row>
        <row r="114">
          <cell r="A114" t="str">
            <v>PI 22</v>
          </cell>
          <cell r="B114" t="str">
            <v>Base completa com fusível Diazed, 6A, retardado, incluíndo tampa, anel de proteção e ajuste</v>
          </cell>
          <cell r="C114" t="str">
            <v xml:space="preserve"> </v>
          </cell>
          <cell r="D114" t="str">
            <v xml:space="preserve"> </v>
          </cell>
          <cell r="E114" t="str">
            <v>un</v>
          </cell>
          <cell r="F114">
            <v>29</v>
          </cell>
          <cell r="G114">
            <v>8.6300000000000008</v>
          </cell>
        </row>
        <row r="115">
          <cell r="A115" t="str">
            <v>PI 23</v>
          </cell>
          <cell r="B115" t="str">
            <v>Contator tripolar a seco, p/ corrente alternada - 55 A, para uso em rede 380/220V - 60Hz</v>
          </cell>
          <cell r="C115" t="str">
            <v xml:space="preserve"> </v>
          </cell>
          <cell r="D115" t="str">
            <v xml:space="preserve"> </v>
          </cell>
          <cell r="E115" t="str">
            <v>un</v>
          </cell>
          <cell r="F115">
            <v>5</v>
          </cell>
          <cell r="G115">
            <v>234.6</v>
          </cell>
        </row>
        <row r="116">
          <cell r="A116" t="str">
            <v>PI 24</v>
          </cell>
          <cell r="B116" t="str">
            <v>Fita elétrica auto fusão a base de borracha EPR</v>
          </cell>
          <cell r="C116" t="str">
            <v xml:space="preserve"> </v>
          </cell>
          <cell r="D116" t="str">
            <v xml:space="preserve"> </v>
          </cell>
          <cell r="E116" t="str">
            <v>un</v>
          </cell>
          <cell r="F116">
            <v>5</v>
          </cell>
          <cell r="G116">
            <v>6.39</v>
          </cell>
        </row>
        <row r="117">
          <cell r="A117" t="str">
            <v>PI 25</v>
          </cell>
          <cell r="B117" t="str">
            <v>Fita adesiva plástica isolante</v>
          </cell>
          <cell r="C117" t="str">
            <v xml:space="preserve"> </v>
          </cell>
          <cell r="D117" t="str">
            <v xml:space="preserve"> </v>
          </cell>
          <cell r="E117" t="str">
            <v>un</v>
          </cell>
          <cell r="F117">
            <v>5</v>
          </cell>
          <cell r="G117">
            <v>3.84</v>
          </cell>
        </row>
        <row r="118">
          <cell r="A118" t="str">
            <v>PI 26</v>
          </cell>
          <cell r="B118" t="str">
            <v>Relé fotoelétrico c/ suporte para fixação galv. com furo 18mm</v>
          </cell>
          <cell r="C118" t="str">
            <v xml:space="preserve"> </v>
          </cell>
          <cell r="D118" t="str">
            <v xml:space="preserve"> </v>
          </cell>
          <cell r="E118" t="str">
            <v>un</v>
          </cell>
          <cell r="F118">
            <v>5</v>
          </cell>
          <cell r="G118">
            <v>11.5</v>
          </cell>
        </row>
        <row r="119">
          <cell r="A119" t="str">
            <v>PI 27</v>
          </cell>
          <cell r="B119" t="str">
            <v>Cabo isolado p/ 1000V, bitola 35mm²</v>
          </cell>
          <cell r="C119" t="str">
            <v xml:space="preserve"> </v>
          </cell>
          <cell r="D119" t="str">
            <v xml:space="preserve"> </v>
          </cell>
          <cell r="E119" t="str">
            <v>m</v>
          </cell>
          <cell r="F119">
            <v>1900</v>
          </cell>
          <cell r="G119">
            <v>1.55</v>
          </cell>
        </row>
        <row r="120">
          <cell r="A120" t="str">
            <v>PI 28</v>
          </cell>
          <cell r="B120" t="str">
            <v>Eletroduto de aço tipo pesado 100mm</v>
          </cell>
          <cell r="C120" t="str">
            <v xml:space="preserve"> </v>
          </cell>
          <cell r="D120" t="str">
            <v xml:space="preserve"> </v>
          </cell>
          <cell r="E120" t="str">
            <v>m</v>
          </cell>
          <cell r="F120">
            <v>230</v>
          </cell>
          <cell r="G120">
            <v>28.55</v>
          </cell>
        </row>
        <row r="121">
          <cell r="A121" t="str">
            <v>PI 54</v>
          </cell>
          <cell r="B121" t="str">
            <v>Eletroduto de PVC corrugado tipo Kanalex ou similar, D=100mm</v>
          </cell>
          <cell r="C121" t="str">
            <v xml:space="preserve"> </v>
          </cell>
          <cell r="D121" t="str">
            <v xml:space="preserve"> </v>
          </cell>
          <cell r="E121" t="str">
            <v>m</v>
          </cell>
          <cell r="F121">
            <v>180</v>
          </cell>
          <cell r="G121">
            <v>4.95</v>
          </cell>
        </row>
        <row r="122">
          <cell r="A122" t="str">
            <v>PI 30</v>
          </cell>
          <cell r="B122" t="str">
            <v>Haste para aterramento aço-cobre D 13x2400mm</v>
          </cell>
          <cell r="C122" t="str">
            <v xml:space="preserve"> </v>
          </cell>
          <cell r="D122" t="str">
            <v xml:space="preserve"> </v>
          </cell>
          <cell r="E122" t="str">
            <v>un</v>
          </cell>
          <cell r="F122">
            <v>20</v>
          </cell>
          <cell r="G122">
            <v>6.04</v>
          </cell>
        </row>
        <row r="123">
          <cell r="A123" t="str">
            <v>PI 31</v>
          </cell>
          <cell r="B123" t="str">
            <v>Cabo de cobre nú meio duro, 7 fios 2AWG</v>
          </cell>
          <cell r="C123" t="str">
            <v xml:space="preserve"> </v>
          </cell>
          <cell r="D123" t="str">
            <v xml:space="preserve"> </v>
          </cell>
          <cell r="E123" t="str">
            <v>kg</v>
          </cell>
          <cell r="F123">
            <v>10</v>
          </cell>
          <cell r="G123">
            <v>7.02</v>
          </cell>
        </row>
        <row r="124">
          <cell r="A124" t="str">
            <v>PI 20</v>
          </cell>
          <cell r="B124" t="str">
            <v>Poste de concreto duplo T 10m, 150 daN</v>
          </cell>
          <cell r="C124" t="str">
            <v xml:space="preserve"> </v>
          </cell>
          <cell r="D124" t="str">
            <v xml:space="preserve"> </v>
          </cell>
          <cell r="E124" t="str">
            <v>un</v>
          </cell>
          <cell r="F124">
            <v>9</v>
          </cell>
          <cell r="G124">
            <v>200</v>
          </cell>
        </row>
        <row r="125">
          <cell r="A125" t="str">
            <v>PI 50</v>
          </cell>
          <cell r="B125" t="str">
            <v>Cabo isolado, de alumínio singelo, bitola 4 mm² - estimada</v>
          </cell>
          <cell r="C125" t="str">
            <v xml:space="preserve"> </v>
          </cell>
          <cell r="D125" t="str">
            <v xml:space="preserve"> </v>
          </cell>
          <cell r="E125" t="str">
            <v>m</v>
          </cell>
          <cell r="F125">
            <v>400</v>
          </cell>
          <cell r="G125">
            <v>0.35</v>
          </cell>
        </row>
        <row r="126">
          <cell r="A126" t="str">
            <v>PI 34</v>
          </cell>
          <cell r="B126" t="str">
            <v>Construção de caixa tipo SP, ou pré-instalada com as mesmas características</v>
          </cell>
          <cell r="C126" t="str">
            <v xml:space="preserve"> </v>
          </cell>
          <cell r="D126" t="str">
            <v xml:space="preserve"> </v>
          </cell>
          <cell r="E126" t="str">
            <v>un</v>
          </cell>
          <cell r="F126">
            <v>17</v>
          </cell>
          <cell r="G126">
            <v>180</v>
          </cell>
        </row>
        <row r="127">
          <cell r="A127" t="str">
            <v>PI 35</v>
          </cell>
          <cell r="B127" t="str">
            <v>Construção de embasamento p/ poste tipo engastado, 20m de altura</v>
          </cell>
          <cell r="C127" t="str">
            <v xml:space="preserve"> </v>
          </cell>
          <cell r="D127" t="str">
            <v xml:space="preserve"> </v>
          </cell>
          <cell r="E127" t="str">
            <v>un</v>
          </cell>
          <cell r="F127">
            <v>10</v>
          </cell>
          <cell r="G127">
            <v>494</v>
          </cell>
        </row>
        <row r="128">
          <cell r="A128" t="str">
            <v>PI 36</v>
          </cell>
          <cell r="B128" t="str">
            <v>Construção de embasamento p/ poste tipo engastado, concreto duplo T, 10m de altura</v>
          </cell>
          <cell r="C128" t="str">
            <v xml:space="preserve"> </v>
          </cell>
          <cell r="D128" t="str">
            <v xml:space="preserve"> </v>
          </cell>
          <cell r="E128" t="str">
            <v>un</v>
          </cell>
          <cell r="F128">
            <v>9</v>
          </cell>
          <cell r="G128">
            <v>285</v>
          </cell>
        </row>
        <row r="129">
          <cell r="A129" t="str">
            <v>PI 37</v>
          </cell>
          <cell r="B129" t="str">
            <v>Lançamento de cabos em dutos de aço, classe 1000V, circuito trifásico mais neutro, e monofásico</v>
          </cell>
          <cell r="C129" t="str">
            <v xml:space="preserve"> </v>
          </cell>
          <cell r="D129" t="str">
            <v xml:space="preserve"> </v>
          </cell>
          <cell r="E129" t="str">
            <v>m</v>
          </cell>
          <cell r="F129">
            <v>115</v>
          </cell>
          <cell r="G129">
            <v>4</v>
          </cell>
        </row>
        <row r="130">
          <cell r="A130" t="str">
            <v>PI 38</v>
          </cell>
          <cell r="B130" t="str">
            <v>Confecção de emendas retas ou derivação em cabos classe 1000V, c/ conector à compressão</v>
          </cell>
          <cell r="C130" t="str">
            <v xml:space="preserve"> </v>
          </cell>
          <cell r="D130" t="str">
            <v xml:space="preserve"> </v>
          </cell>
          <cell r="E130" t="str">
            <v>un</v>
          </cell>
          <cell r="F130">
            <v>20</v>
          </cell>
          <cell r="G130">
            <v>4.5</v>
          </cell>
        </row>
        <row r="131">
          <cell r="A131" t="str">
            <v>PI 39</v>
          </cell>
          <cell r="B131" t="str">
            <v>Fixação de haste de terra e conexão ao neutro</v>
          </cell>
          <cell r="C131" t="str">
            <v xml:space="preserve"> </v>
          </cell>
          <cell r="D131" t="str">
            <v xml:space="preserve"> </v>
          </cell>
          <cell r="E131" t="str">
            <v>un</v>
          </cell>
          <cell r="F131">
            <v>20</v>
          </cell>
          <cell r="G131">
            <v>35</v>
          </cell>
        </row>
        <row r="132">
          <cell r="A132" t="str">
            <v>PI 40</v>
          </cell>
          <cell r="B132" t="str">
            <v>Montagem eletromecân.de iluminação a 17,5m de alt., formada p/2 pétalas, c/ fixação dos equip.</v>
          </cell>
          <cell r="C132" t="str">
            <v xml:space="preserve"> </v>
          </cell>
          <cell r="D132" t="str">
            <v xml:space="preserve"> </v>
          </cell>
          <cell r="E132" t="str">
            <v>un</v>
          </cell>
          <cell r="F132">
            <v>10</v>
          </cell>
          <cell r="G132">
            <v>550</v>
          </cell>
        </row>
        <row r="133">
          <cell r="A133" t="str">
            <v>PI 57</v>
          </cell>
          <cell r="B133" t="str">
            <v>Lançamento de cabos em eletroduto de PVC corrugado</v>
          </cell>
          <cell r="C133" t="str">
            <v xml:space="preserve"> </v>
          </cell>
          <cell r="D133" t="str">
            <v xml:space="preserve"> </v>
          </cell>
          <cell r="E133" t="str">
            <v>m</v>
          </cell>
          <cell r="F133">
            <v>180</v>
          </cell>
          <cell r="G133">
            <v>3</v>
          </cell>
        </row>
        <row r="134">
          <cell r="A134" t="str">
            <v>PI 42</v>
          </cell>
          <cell r="B134" t="str">
            <v>Instalação de poste de aço de 20m de altura engastado</v>
          </cell>
          <cell r="C134" t="str">
            <v xml:space="preserve"> </v>
          </cell>
          <cell r="D134" t="str">
            <v xml:space="preserve"> </v>
          </cell>
          <cell r="E134" t="str">
            <v>un</v>
          </cell>
          <cell r="F134">
            <v>10</v>
          </cell>
          <cell r="G134">
            <v>250</v>
          </cell>
        </row>
        <row r="135">
          <cell r="A135" t="str">
            <v>PI 43</v>
          </cell>
          <cell r="B135" t="str">
            <v>Travessia de pista asfáltica p/ lançamento dutos aço tipo pesado 100mm</v>
          </cell>
          <cell r="C135" t="str">
            <v xml:space="preserve"> </v>
          </cell>
          <cell r="D135" t="str">
            <v xml:space="preserve"> </v>
          </cell>
          <cell r="E135" t="str">
            <v>m</v>
          </cell>
          <cell r="F135">
            <v>115</v>
          </cell>
          <cell r="G135">
            <v>70</v>
          </cell>
        </row>
        <row r="136">
          <cell r="A136" t="str">
            <v>PI 45</v>
          </cell>
          <cell r="B136" t="str">
            <v>Montagem eletromecânica de luminária padrão CELESC em poste de 11m de altura, duplo T,c/ fixação dos equip.e conexões elétricos</v>
          </cell>
          <cell r="C136" t="str">
            <v xml:space="preserve"> </v>
          </cell>
          <cell r="D136" t="str">
            <v xml:space="preserve"> </v>
          </cell>
          <cell r="E136" t="str">
            <v>un</v>
          </cell>
          <cell r="F136">
            <v>19</v>
          </cell>
          <cell r="G136">
            <v>35</v>
          </cell>
        </row>
        <row r="137">
          <cell r="A137" t="str">
            <v>PI 03</v>
          </cell>
          <cell r="B137" t="str">
            <v xml:space="preserve">Luminária p/ iluminação pública ref.HRC-612 da Philips ou similar </v>
          </cell>
          <cell r="C137" t="str">
            <v xml:space="preserve"> </v>
          </cell>
          <cell r="D137" t="str">
            <v xml:space="preserve"> </v>
          </cell>
          <cell r="E137" t="str">
            <v>un</v>
          </cell>
          <cell r="F137">
            <v>17</v>
          </cell>
          <cell r="G137">
            <v>400</v>
          </cell>
        </row>
        <row r="138">
          <cell r="A138" t="str">
            <v>PI 18</v>
          </cell>
          <cell r="B138" t="str">
            <v>Braço curvo p/ iluminação pública padrão CELESC</v>
          </cell>
          <cell r="C138" t="str">
            <v xml:space="preserve"> </v>
          </cell>
          <cell r="D138" t="str">
            <v xml:space="preserve"> </v>
          </cell>
          <cell r="E138" t="str">
            <v>un</v>
          </cell>
          <cell r="F138">
            <v>17</v>
          </cell>
          <cell r="G138">
            <v>6.33</v>
          </cell>
        </row>
        <row r="139">
          <cell r="A139" t="str">
            <v>PI 65</v>
          </cell>
          <cell r="B139" t="str">
            <v>Cabo de alumínio 1/0</v>
          </cell>
          <cell r="C139" t="str">
            <v xml:space="preserve"> </v>
          </cell>
          <cell r="D139" t="str">
            <v xml:space="preserve"> </v>
          </cell>
          <cell r="E139" t="str">
            <v>m</v>
          </cell>
          <cell r="F139">
            <v>3000</v>
          </cell>
          <cell r="G139">
            <v>1.7</v>
          </cell>
        </row>
        <row r="140">
          <cell r="A140" t="str">
            <v>PI 66</v>
          </cell>
          <cell r="B140" t="str">
            <v>Cabo isolado p/ 1000 V, 6 mm2 de alumínio</v>
          </cell>
          <cell r="C140" t="str">
            <v xml:space="preserve"> </v>
          </cell>
          <cell r="D140" t="str">
            <v xml:space="preserve"> </v>
          </cell>
          <cell r="E140" t="str">
            <v>m</v>
          </cell>
          <cell r="F140">
            <v>200</v>
          </cell>
          <cell r="G140">
            <v>1</v>
          </cell>
        </row>
        <row r="141">
          <cell r="A141" t="str">
            <v>PI 67</v>
          </cell>
          <cell r="B141" t="str">
            <v>Cabo isolado p/ 1000 V, 2,5 mm2 de alumínio</v>
          </cell>
          <cell r="C141" t="str">
            <v xml:space="preserve"> </v>
          </cell>
          <cell r="D141" t="str">
            <v xml:space="preserve"> </v>
          </cell>
          <cell r="E141" t="str">
            <v>m</v>
          </cell>
          <cell r="F141">
            <v>60</v>
          </cell>
          <cell r="G141">
            <v>0.6</v>
          </cell>
        </row>
        <row r="142">
          <cell r="A142" t="str">
            <v>PI 33</v>
          </cell>
          <cell r="B142" t="str">
            <v>Tubo de aço galvanizado, vara de 6m e 50mm</v>
          </cell>
          <cell r="C142" t="str">
            <v xml:space="preserve"> </v>
          </cell>
          <cell r="D142" t="str">
            <v xml:space="preserve"> </v>
          </cell>
          <cell r="E142" t="str">
            <v>un</v>
          </cell>
          <cell r="F142">
            <v>3</v>
          </cell>
          <cell r="G142">
            <v>74.06</v>
          </cell>
        </row>
        <row r="143">
          <cell r="A143" t="str">
            <v>PI 69</v>
          </cell>
          <cell r="B143" t="str">
            <v>Instalação de poste concreto duplo T, 10m de altura, engastado</v>
          </cell>
          <cell r="C143" t="str">
            <v xml:space="preserve"> </v>
          </cell>
          <cell r="D143" t="str">
            <v xml:space="preserve"> </v>
          </cell>
          <cell r="E143" t="str">
            <v>un</v>
          </cell>
          <cell r="F143">
            <v>9</v>
          </cell>
          <cell r="G143">
            <v>200</v>
          </cell>
        </row>
        <row r="144">
          <cell r="A144" t="str">
            <v>PI 41</v>
          </cell>
          <cell r="B144" t="str">
            <v>Instalação de tubo de aço vara de 6m e curva de entrada de cabos na lateral do poste c/ fix. dutos</v>
          </cell>
          <cell r="C144" t="str">
            <v xml:space="preserve"> </v>
          </cell>
          <cell r="D144" t="str">
            <v xml:space="preserve"> </v>
          </cell>
          <cell r="E144" t="str">
            <v>un</v>
          </cell>
          <cell r="F144">
            <v>3</v>
          </cell>
          <cell r="G144">
            <v>200</v>
          </cell>
        </row>
        <row r="145">
          <cell r="A145" t="str">
            <v>R1</v>
          </cell>
          <cell r="B145" t="str">
            <v>Remanejamento de Rede de Baixa Tensão (220/380V)</v>
          </cell>
          <cell r="C145" t="str">
            <v xml:space="preserve"> </v>
          </cell>
          <cell r="D145" t="str">
            <v xml:space="preserve"> </v>
          </cell>
          <cell r="E145" t="str">
            <v>m</v>
          </cell>
          <cell r="F145">
            <v>50</v>
          </cell>
          <cell r="G145">
            <v>4.7</v>
          </cell>
        </row>
        <row r="146">
          <cell r="A146" t="str">
            <v>R2</v>
          </cell>
          <cell r="B146" t="str">
            <v>Remanejamento de Rede de Alta Tensão (138kV)</v>
          </cell>
          <cell r="C146" t="str">
            <v xml:space="preserve"> </v>
          </cell>
          <cell r="D146" t="str">
            <v xml:space="preserve"> </v>
          </cell>
          <cell r="E146" t="str">
            <v>m</v>
          </cell>
          <cell r="F146">
            <v>260</v>
          </cell>
          <cell r="G146">
            <v>6.2</v>
          </cell>
        </row>
        <row r="147">
          <cell r="A147" t="str">
            <v>R10</v>
          </cell>
          <cell r="B147" t="str">
            <v>Remanejamento de Poste de Concreto 10/150</v>
          </cell>
          <cell r="C147" t="str">
            <v xml:space="preserve"> </v>
          </cell>
          <cell r="D147" t="str">
            <v xml:space="preserve"> </v>
          </cell>
          <cell r="E147" t="str">
            <v>un</v>
          </cell>
          <cell r="F147">
            <v>7</v>
          </cell>
          <cell r="G147">
            <v>75</v>
          </cell>
        </row>
        <row r="148">
          <cell r="A148" t="str">
            <v>R11</v>
          </cell>
          <cell r="B148" t="str">
            <v>Remanejamento de Poste de Concreto 10/300</v>
          </cell>
          <cell r="C148" t="str">
            <v xml:space="preserve"> </v>
          </cell>
          <cell r="D148" t="str">
            <v xml:space="preserve"> </v>
          </cell>
          <cell r="E148" t="str">
            <v>un</v>
          </cell>
          <cell r="F148">
            <v>2</v>
          </cell>
          <cell r="G148">
            <v>75</v>
          </cell>
        </row>
        <row r="149">
          <cell r="A149" t="str">
            <v>R3</v>
          </cell>
          <cell r="B149" t="str">
            <v>Remanejamento de Rede de Telefonia</v>
          </cell>
          <cell r="C149" t="str">
            <v xml:space="preserve"> </v>
          </cell>
          <cell r="D149" t="str">
            <v xml:space="preserve"> </v>
          </cell>
          <cell r="E149" t="str">
            <v>m</v>
          </cell>
          <cell r="F149">
            <v>200</v>
          </cell>
          <cell r="G149">
            <v>2</v>
          </cell>
        </row>
      </sheetData>
      <sheetData sheetId="12">
        <row r="14">
          <cell r="A14" t="str">
            <v>01.000.00</v>
          </cell>
          <cell r="B14" t="str">
            <v>Desmatamento,destocamento e limpeza de área com árvore até 0,15m</v>
          </cell>
          <cell r="C14" t="str">
            <v>DNER-ES278/97</v>
          </cell>
          <cell r="D14" t="str">
            <v xml:space="preserve"> </v>
          </cell>
          <cell r="E14" t="str">
            <v>m2</v>
          </cell>
          <cell r="F14">
            <v>20000</v>
          </cell>
          <cell r="G14">
            <v>7.0000000000000007E-2</v>
          </cell>
        </row>
        <row r="15">
          <cell r="A15" t="str">
            <v>01.010.00</v>
          </cell>
          <cell r="B15" t="str">
            <v>Desmatamento e destocamento árvores de 0,15m a 0,30m</v>
          </cell>
          <cell r="C15" t="str">
            <v>DNER-ES278/97</v>
          </cell>
          <cell r="D15" t="str">
            <v xml:space="preserve"> </v>
          </cell>
          <cell r="E15" t="str">
            <v>un</v>
          </cell>
          <cell r="F15">
            <v>100</v>
          </cell>
          <cell r="G15">
            <v>8.92</v>
          </cell>
        </row>
        <row r="16">
          <cell r="A16" t="str">
            <v>01.011.00</v>
          </cell>
          <cell r="B16" t="str">
            <v>Desmatamento e destocamento árvores superior a 0,30m</v>
          </cell>
          <cell r="C16" t="str">
            <v>DNER-ES278/97</v>
          </cell>
          <cell r="D16" t="str">
            <v xml:space="preserve"> </v>
          </cell>
          <cell r="E16" t="str">
            <v>un</v>
          </cell>
          <cell r="F16">
            <v>50</v>
          </cell>
          <cell r="G16">
            <v>26.75</v>
          </cell>
        </row>
        <row r="17">
          <cell r="A17" t="str">
            <v>01.100.10</v>
          </cell>
          <cell r="B17" t="str">
            <v>Escavação,carga e transportes de material de 1a categoria DMT= 200 a 400m</v>
          </cell>
          <cell r="C17" t="str">
            <v>DNER-ES280/97</v>
          </cell>
          <cell r="D17" t="str">
            <v xml:space="preserve"> </v>
          </cell>
          <cell r="E17" t="str">
            <v>m3</v>
          </cell>
          <cell r="F17">
            <v>3287</v>
          </cell>
          <cell r="G17">
            <v>1.98</v>
          </cell>
        </row>
        <row r="18">
          <cell r="A18" t="str">
            <v>01.100.19</v>
          </cell>
          <cell r="B18" t="str">
            <v>Escavação,carga e transportes de material de 1a categoria DMT= 2000 a 3000m</v>
          </cell>
          <cell r="C18" t="str">
            <v>DNER-ES280/97</v>
          </cell>
          <cell r="D18" t="str">
            <v xml:space="preserve"> </v>
          </cell>
          <cell r="E18" t="str">
            <v>m3</v>
          </cell>
          <cell r="F18">
            <v>8803</v>
          </cell>
          <cell r="G18">
            <v>3.26</v>
          </cell>
        </row>
        <row r="19">
          <cell r="A19" t="str">
            <v>DER50300</v>
          </cell>
          <cell r="B19" t="str">
            <v>Esc.  Carga e Transp. de mat. 1a cat. c/ CB 9000&lt;DMT&lt;10000m</v>
          </cell>
          <cell r="C19" t="str">
            <v xml:space="preserve"> </v>
          </cell>
          <cell r="D19" t="str">
            <v xml:space="preserve"> </v>
          </cell>
          <cell r="E19" t="str">
            <v>m3</v>
          </cell>
          <cell r="F19">
            <v>913</v>
          </cell>
          <cell r="G19">
            <v>6.3</v>
          </cell>
        </row>
        <row r="20">
          <cell r="A20" t="str">
            <v>01.101.19</v>
          </cell>
          <cell r="B20" t="str">
            <v>Escavação,carga e transportes de material de 2a categoria,c/CB,  DMT 2000 a 3000m</v>
          </cell>
          <cell r="C20" t="str">
            <v>DNER-ES280/97</v>
          </cell>
          <cell r="D20" t="str">
            <v xml:space="preserve"> </v>
          </cell>
          <cell r="E20" t="str">
            <v>m3</v>
          </cell>
          <cell r="F20">
            <v>3716</v>
          </cell>
          <cell r="G20">
            <v>4.51</v>
          </cell>
        </row>
        <row r="21">
          <cell r="A21" t="str">
            <v>DER51340</v>
          </cell>
          <cell r="B21" t="str">
            <v>Escavação,carga e transportes de material de 2a categoria DMT 18000 a 20000m</v>
          </cell>
          <cell r="C21" t="str">
            <v xml:space="preserve"> </v>
          </cell>
          <cell r="D21" t="str">
            <v xml:space="preserve"> </v>
          </cell>
          <cell r="E21" t="str">
            <v>m3</v>
          </cell>
          <cell r="F21">
            <v>913</v>
          </cell>
          <cell r="G21">
            <v>13.65</v>
          </cell>
        </row>
        <row r="22">
          <cell r="A22" t="str">
            <v>DER52087</v>
          </cell>
          <cell r="B22" t="str">
            <v>Esc. Carga e Transp. de solos moles 400&lt;DMT&lt;=600m</v>
          </cell>
          <cell r="C22" t="str">
            <v xml:space="preserve"> </v>
          </cell>
          <cell r="D22" t="str">
            <v xml:space="preserve"> </v>
          </cell>
          <cell r="E22" t="str">
            <v>m3</v>
          </cell>
          <cell r="F22">
            <v>702</v>
          </cell>
          <cell r="G22">
            <v>4.5999999999999996</v>
          </cell>
        </row>
        <row r="23">
          <cell r="A23" t="str">
            <v>01.510.00</v>
          </cell>
          <cell r="B23" t="str">
            <v>Compactação de aterros a 95% Proctor Normal</v>
          </cell>
          <cell r="C23" t="str">
            <v>DNER-ES282/97</v>
          </cell>
          <cell r="D23" t="str">
            <v xml:space="preserve"> </v>
          </cell>
          <cell r="E23" t="str">
            <v>m3</v>
          </cell>
          <cell r="F23">
            <v>8376</v>
          </cell>
          <cell r="G23">
            <v>0.79</v>
          </cell>
        </row>
        <row r="24">
          <cell r="A24" t="str">
            <v>01.511.00</v>
          </cell>
          <cell r="B24" t="str">
            <v>Compactação de aterros a 100% Proctor Normal</v>
          </cell>
          <cell r="C24" t="str">
            <v>DNER-ES282/97</v>
          </cell>
          <cell r="D24" t="str">
            <v xml:space="preserve"> </v>
          </cell>
          <cell r="E24" t="str">
            <v>m3</v>
          </cell>
          <cell r="F24">
            <v>5380</v>
          </cell>
          <cell r="G24">
            <v>1.36</v>
          </cell>
        </row>
        <row r="25">
          <cell r="F25" t="str">
            <v>SUB-TOTAL</v>
          </cell>
        </row>
        <row r="27">
          <cell r="B27" t="str">
            <v>PAVIMENTAÇÃO</v>
          </cell>
        </row>
        <row r="28">
          <cell r="A28" t="str">
            <v>02.000.00</v>
          </cell>
          <cell r="B28" t="str">
            <v>Regularização do subleito</v>
          </cell>
          <cell r="C28" t="str">
            <v xml:space="preserve"> </v>
          </cell>
          <cell r="D28" t="str">
            <v xml:space="preserve"> </v>
          </cell>
          <cell r="E28" t="str">
            <v>m2</v>
          </cell>
          <cell r="F28">
            <v>43662</v>
          </cell>
          <cell r="G28">
            <v>0.3</v>
          </cell>
        </row>
        <row r="29">
          <cell r="A29" t="str">
            <v>DER53130</v>
          </cell>
          <cell r="B29" t="str">
            <v>Camada de macadame seco</v>
          </cell>
          <cell r="C29" t="str">
            <v xml:space="preserve"> </v>
          </cell>
          <cell r="D29" t="str">
            <v xml:space="preserve"> </v>
          </cell>
          <cell r="E29" t="str">
            <v>m3</v>
          </cell>
          <cell r="F29">
            <v>8333</v>
          </cell>
          <cell r="G29">
            <v>21.86</v>
          </cell>
        </row>
        <row r="30">
          <cell r="A30" t="str">
            <v>02.230.00</v>
          </cell>
          <cell r="B30" t="str">
            <v>Base brita graduada</v>
          </cell>
          <cell r="C30" t="str">
            <v>DNER-ES303/97</v>
          </cell>
          <cell r="D30" t="str">
            <v xml:space="preserve"> </v>
          </cell>
          <cell r="E30" t="str">
            <v>m3</v>
          </cell>
          <cell r="F30">
            <v>6048</v>
          </cell>
          <cell r="G30">
            <v>28.06</v>
          </cell>
        </row>
        <row r="31">
          <cell r="A31" t="str">
            <v>02.300.00</v>
          </cell>
          <cell r="B31" t="str">
            <v>Imprimação - Fornecimento, transporte e execução</v>
          </cell>
          <cell r="C31" t="str">
            <v>DNER-ES306/97</v>
          </cell>
          <cell r="D31" t="str">
            <v xml:space="preserve"> </v>
          </cell>
          <cell r="E31" t="str">
            <v>m2</v>
          </cell>
          <cell r="F31">
            <v>39556</v>
          </cell>
          <cell r="G31">
            <v>1.1100000000000001</v>
          </cell>
        </row>
        <row r="32">
          <cell r="A32" t="str">
            <v>02.400.00</v>
          </cell>
          <cell r="B32" t="str">
            <v>Pintura de ligação - Fornec., transporte e execução</v>
          </cell>
          <cell r="C32" t="str">
            <v>DNER-ES307/97</v>
          </cell>
          <cell r="D32" t="str">
            <v xml:space="preserve"> </v>
          </cell>
          <cell r="E32" t="str">
            <v>m2</v>
          </cell>
          <cell r="F32">
            <v>101693</v>
          </cell>
          <cell r="G32">
            <v>0.41</v>
          </cell>
        </row>
        <row r="33">
          <cell r="A33" t="str">
            <v>02.540.01</v>
          </cell>
          <cell r="B33" t="str">
            <v>Concreto betuminoso usinado a quente - usina 100/140 t/h</v>
          </cell>
          <cell r="C33" t="str">
            <v>DNER-ES313/97</v>
          </cell>
          <cell r="D33" t="str">
            <v xml:space="preserve"> </v>
          </cell>
          <cell r="E33" t="str">
            <v>t</v>
          </cell>
          <cell r="F33">
            <v>10784</v>
          </cell>
          <cell r="G33">
            <v>67.64</v>
          </cell>
        </row>
        <row r="34">
          <cell r="A34" t="str">
            <v>DER82200a</v>
          </cell>
          <cell r="B34" t="str">
            <v>Remoção de camada granular</v>
          </cell>
          <cell r="C34" t="str">
            <v xml:space="preserve"> </v>
          </cell>
          <cell r="D34" t="str">
            <v xml:space="preserve"> </v>
          </cell>
          <cell r="E34" t="str">
            <v>m3</v>
          </cell>
          <cell r="F34">
            <v>491</v>
          </cell>
          <cell r="G34">
            <v>4.67</v>
          </cell>
        </row>
        <row r="35">
          <cell r="A35" t="str">
            <v>DER82200</v>
          </cell>
          <cell r="B35" t="str">
            <v>Remoção de revestimento de CBUQ</v>
          </cell>
          <cell r="C35" t="str">
            <v xml:space="preserve"> </v>
          </cell>
          <cell r="D35" t="str">
            <v xml:space="preserve"> </v>
          </cell>
          <cell r="E35" t="str">
            <v>m3</v>
          </cell>
          <cell r="F35">
            <v>491</v>
          </cell>
          <cell r="G35">
            <v>5.73</v>
          </cell>
        </row>
        <row r="36">
          <cell r="F36" t="str">
            <v>SUB-TOTAL</v>
          </cell>
        </row>
        <row r="37">
          <cell r="B37" t="str">
            <v>DRENAGEM</v>
          </cell>
        </row>
        <row r="38">
          <cell r="A38" t="str">
            <v>04.000.00</v>
          </cell>
          <cell r="B38" t="str">
            <v>Escavação manual em material de 1a categoria</v>
          </cell>
          <cell r="C38" t="str">
            <v xml:space="preserve"> </v>
          </cell>
          <cell r="D38" t="str">
            <v xml:space="preserve"> </v>
          </cell>
          <cell r="E38" t="str">
            <v>m3</v>
          </cell>
          <cell r="F38">
            <v>57</v>
          </cell>
          <cell r="G38">
            <v>17.57</v>
          </cell>
        </row>
        <row r="39">
          <cell r="A39" t="str">
            <v>04.001.00</v>
          </cell>
          <cell r="B39" t="str">
            <v>Escavação mecânica em material de 1a categoria</v>
          </cell>
          <cell r="C39" t="str">
            <v xml:space="preserve"> </v>
          </cell>
          <cell r="D39" t="str">
            <v xml:space="preserve"> </v>
          </cell>
          <cell r="E39" t="str">
            <v>m3</v>
          </cell>
          <cell r="F39">
            <v>1358</v>
          </cell>
          <cell r="G39">
            <v>2.09</v>
          </cell>
        </row>
        <row r="40">
          <cell r="A40" t="str">
            <v>04.001.01</v>
          </cell>
          <cell r="B40" t="str">
            <v>Escavação mecânica,reaterro e compactação (material de 1a categoria)</v>
          </cell>
          <cell r="C40" t="str">
            <v xml:space="preserve"> </v>
          </cell>
          <cell r="D40" t="str">
            <v xml:space="preserve"> </v>
          </cell>
          <cell r="E40" t="str">
            <v>m3</v>
          </cell>
          <cell r="F40">
            <v>186</v>
          </cell>
          <cell r="G40">
            <v>3.03</v>
          </cell>
        </row>
        <row r="41">
          <cell r="A41" t="str">
            <v>04.401.02</v>
          </cell>
          <cell r="B41" t="str">
            <v>Valeta de prot. de aterro c/ revest. vegetal VPA 02</v>
          </cell>
          <cell r="C41" t="str">
            <v xml:space="preserve"> </v>
          </cell>
          <cell r="D41" t="str">
            <v xml:space="preserve"> </v>
          </cell>
          <cell r="E41" t="str">
            <v>m</v>
          </cell>
          <cell r="F41">
            <v>1161</v>
          </cell>
          <cell r="G41">
            <v>24.32</v>
          </cell>
        </row>
        <row r="42">
          <cell r="A42" t="str">
            <v>04.510.03</v>
          </cell>
          <cell r="B42" t="str">
            <v>Dreno sub- superficial- DSS 03</v>
          </cell>
          <cell r="C42" t="str">
            <v>DNER-ES294/97</v>
          </cell>
          <cell r="D42" t="str">
            <v xml:space="preserve"> </v>
          </cell>
          <cell r="E42" t="str">
            <v>m</v>
          </cell>
          <cell r="F42">
            <v>1032</v>
          </cell>
          <cell r="G42">
            <v>3.71</v>
          </cell>
        </row>
        <row r="43">
          <cell r="A43" t="str">
            <v>04.511.01</v>
          </cell>
          <cell r="B43" t="str">
            <v>Boca de saída p/ dreno sub-superficial-BSD 03</v>
          </cell>
          <cell r="C43" t="str">
            <v xml:space="preserve"> </v>
          </cell>
          <cell r="D43" t="str">
            <v xml:space="preserve"> </v>
          </cell>
          <cell r="E43" t="str">
            <v>un</v>
          </cell>
          <cell r="F43">
            <v>4</v>
          </cell>
          <cell r="G43">
            <v>20.86</v>
          </cell>
        </row>
        <row r="44">
          <cell r="A44" t="str">
            <v>04.900.21</v>
          </cell>
          <cell r="B44" t="str">
            <v>Sarjeta de cant. central de concreto-SCC 01</v>
          </cell>
          <cell r="C44" t="str">
            <v>DNER-ES288/97</v>
          </cell>
          <cell r="D44" t="str">
            <v xml:space="preserve"> </v>
          </cell>
          <cell r="E44" t="str">
            <v>m</v>
          </cell>
          <cell r="F44">
            <v>1850</v>
          </cell>
          <cell r="G44">
            <v>13.85</v>
          </cell>
        </row>
        <row r="45">
          <cell r="A45" t="str">
            <v>04.900.22</v>
          </cell>
          <cell r="B45" t="str">
            <v>Sarjeta de cant. central de concreto-SCC 02</v>
          </cell>
          <cell r="C45" t="str">
            <v>DNER-ES288/97</v>
          </cell>
          <cell r="D45" t="str">
            <v xml:space="preserve"> </v>
          </cell>
          <cell r="E45" t="str">
            <v>m</v>
          </cell>
          <cell r="F45">
            <v>924</v>
          </cell>
          <cell r="G45">
            <v>19.170000000000002</v>
          </cell>
        </row>
        <row r="46">
          <cell r="A46" t="str">
            <v>04.900.04</v>
          </cell>
          <cell r="B46" t="str">
            <v>Sarjeta triangular de concreto-STC 04</v>
          </cell>
          <cell r="C46" t="str">
            <v>DNER-ES288/97</v>
          </cell>
          <cell r="D46" t="str">
            <v xml:space="preserve"> </v>
          </cell>
          <cell r="E46" t="str">
            <v>m</v>
          </cell>
          <cell r="F46">
            <v>94</v>
          </cell>
          <cell r="G46">
            <v>12.93</v>
          </cell>
        </row>
        <row r="47">
          <cell r="A47" t="str">
            <v>04.910.05</v>
          </cell>
          <cell r="B47" t="str">
            <v>Meio-fio de concreto-MFC 05</v>
          </cell>
          <cell r="C47" t="str">
            <v>DNER-ES290/97</v>
          </cell>
          <cell r="D47" t="str">
            <v xml:space="preserve"> </v>
          </cell>
          <cell r="E47" t="str">
            <v>m</v>
          </cell>
          <cell r="F47">
            <v>1664</v>
          </cell>
          <cell r="G47">
            <v>10.54</v>
          </cell>
        </row>
        <row r="48">
          <cell r="A48" t="str">
            <v>DER78150b</v>
          </cell>
          <cell r="B48" t="str">
            <v>Caixa coletora de sarjeta - CCS, D=40cm E H=1,00m</v>
          </cell>
          <cell r="C48" t="str">
            <v xml:space="preserve"> </v>
          </cell>
          <cell r="D48" t="str">
            <v xml:space="preserve"> </v>
          </cell>
          <cell r="E48" t="str">
            <v>un</v>
          </cell>
          <cell r="F48">
            <v>3</v>
          </cell>
          <cell r="G48">
            <v>382.07</v>
          </cell>
        </row>
        <row r="49">
          <cell r="A49" t="str">
            <v>04.930.01</v>
          </cell>
          <cell r="B49" t="str">
            <v>Caixa coletora de sarjeta-CCS 01</v>
          </cell>
          <cell r="C49" t="str">
            <v>DNER-ES287/97</v>
          </cell>
          <cell r="D49" t="str">
            <v xml:space="preserve"> </v>
          </cell>
          <cell r="E49" t="str">
            <v>un</v>
          </cell>
          <cell r="F49">
            <v>2</v>
          </cell>
          <cell r="G49">
            <v>568.85</v>
          </cell>
        </row>
        <row r="50">
          <cell r="A50" t="str">
            <v>04.930.05</v>
          </cell>
          <cell r="B50" t="str">
            <v>Caixa coletora de sarjeta-CCS 05</v>
          </cell>
          <cell r="C50" t="str">
            <v>DNER-ES287/97</v>
          </cell>
          <cell r="D50" t="str">
            <v xml:space="preserve"> </v>
          </cell>
          <cell r="E50" t="str">
            <v>un</v>
          </cell>
          <cell r="F50">
            <v>1</v>
          </cell>
          <cell r="G50">
            <v>715.16</v>
          </cell>
        </row>
        <row r="51">
          <cell r="A51" t="str">
            <v>04.960.02</v>
          </cell>
          <cell r="B51" t="str">
            <v>Boca de lobo simples c/ grelha de concreto-BLS 02</v>
          </cell>
          <cell r="C51" t="str">
            <v xml:space="preserve"> </v>
          </cell>
          <cell r="D51" t="str">
            <v xml:space="preserve"> </v>
          </cell>
          <cell r="E51" t="str">
            <v>un</v>
          </cell>
          <cell r="F51">
            <v>4</v>
          </cell>
          <cell r="G51">
            <v>257.83999999999997</v>
          </cell>
        </row>
        <row r="52">
          <cell r="A52" t="str">
            <v>P.04.100.17</v>
          </cell>
          <cell r="B52" t="str">
            <v>Caixa de ligação e passagem BSTC,  D=40cm, H=1,50m</v>
          </cell>
          <cell r="C52" t="str">
            <v xml:space="preserve"> </v>
          </cell>
          <cell r="D52" t="str">
            <v xml:space="preserve"> </v>
          </cell>
          <cell r="E52" t="str">
            <v>un</v>
          </cell>
          <cell r="F52">
            <v>2</v>
          </cell>
          <cell r="G52">
            <v>491.32</v>
          </cell>
        </row>
        <row r="53">
          <cell r="A53" t="str">
            <v>P 04.100.07</v>
          </cell>
          <cell r="B53" t="str">
            <v>Execução de galerias D=0,40 c/ lastro de brita</v>
          </cell>
          <cell r="C53" t="str">
            <v xml:space="preserve"> </v>
          </cell>
          <cell r="D53" t="str">
            <v xml:space="preserve"> </v>
          </cell>
          <cell r="E53" t="str">
            <v>m</v>
          </cell>
          <cell r="F53">
            <v>82</v>
          </cell>
          <cell r="G53">
            <v>41.68</v>
          </cell>
        </row>
        <row r="54">
          <cell r="A54" t="str">
            <v>P 04.100.08</v>
          </cell>
          <cell r="B54" t="str">
            <v>Execução de galerias D=0,40 c/ lastro de concreto</v>
          </cell>
          <cell r="C54" t="str">
            <v xml:space="preserve"> </v>
          </cell>
          <cell r="D54" t="str">
            <v xml:space="preserve"> </v>
          </cell>
          <cell r="E54" t="str">
            <v>m</v>
          </cell>
          <cell r="F54">
            <v>103</v>
          </cell>
          <cell r="G54">
            <v>58.65</v>
          </cell>
        </row>
        <row r="55">
          <cell r="A55" t="str">
            <v>P 04.100.10</v>
          </cell>
          <cell r="B55" t="str">
            <v>Execução de galerias D=0,60 c/ lastro de concreto</v>
          </cell>
          <cell r="C55" t="str">
            <v xml:space="preserve"> </v>
          </cell>
          <cell r="D55" t="str">
            <v xml:space="preserve"> </v>
          </cell>
          <cell r="E55" t="str">
            <v>m</v>
          </cell>
          <cell r="F55">
            <v>62</v>
          </cell>
          <cell r="G55">
            <v>131.66</v>
          </cell>
        </row>
        <row r="56">
          <cell r="A56" t="str">
            <v>DER72350b</v>
          </cell>
          <cell r="B56" t="str">
            <v>Boca para BSTC D=40cm - Normal</v>
          </cell>
          <cell r="C56" t="str">
            <v xml:space="preserve"> </v>
          </cell>
          <cell r="D56" t="str">
            <v xml:space="preserve"> </v>
          </cell>
          <cell r="E56" t="str">
            <v>un</v>
          </cell>
          <cell r="F56">
            <v>5</v>
          </cell>
          <cell r="G56">
            <v>147.57</v>
          </cell>
        </row>
        <row r="57">
          <cell r="A57" t="str">
            <v>04.101.01</v>
          </cell>
          <cell r="B57" t="str">
            <v>Boca de BSTC D=0.60m-normal</v>
          </cell>
          <cell r="C57" t="str">
            <v>DNER-ES284/97</v>
          </cell>
          <cell r="D57" t="str">
            <v xml:space="preserve"> </v>
          </cell>
          <cell r="E57" t="str">
            <v>un</v>
          </cell>
          <cell r="F57">
            <v>3</v>
          </cell>
          <cell r="G57">
            <v>299.62</v>
          </cell>
        </row>
        <row r="58">
          <cell r="A58" t="str">
            <v>04.999.01</v>
          </cell>
          <cell r="B58" t="str">
            <v>Remoção de bueiros existentes</v>
          </cell>
          <cell r="C58" t="str">
            <v xml:space="preserve"> </v>
          </cell>
          <cell r="D58" t="str">
            <v xml:space="preserve"> </v>
          </cell>
          <cell r="E58" t="str">
            <v>m</v>
          </cell>
          <cell r="F58">
            <v>11</v>
          </cell>
          <cell r="G58">
            <v>13.06</v>
          </cell>
        </row>
        <row r="59">
          <cell r="A59" t="str">
            <v>04.999.02</v>
          </cell>
          <cell r="B59" t="str">
            <v>Demolição de dispositivos de concreto</v>
          </cell>
          <cell r="C59" t="str">
            <v>DNER-ES296/97</v>
          </cell>
          <cell r="D59" t="str">
            <v xml:space="preserve"> </v>
          </cell>
          <cell r="E59" t="str">
            <v>m3</v>
          </cell>
          <cell r="F59">
            <v>6</v>
          </cell>
          <cell r="G59">
            <v>12.58</v>
          </cell>
        </row>
        <row r="60">
          <cell r="F60" t="str">
            <v>SUB-TOTAL</v>
          </cell>
        </row>
        <row r="62">
          <cell r="B62" t="str">
            <v>OBRAS DE ARTE CORRENTES</v>
          </cell>
        </row>
        <row r="63">
          <cell r="A63" t="str">
            <v>04.001.01</v>
          </cell>
          <cell r="B63" t="str">
            <v>Escavação mecânica,reaterro e compactação (material de 1a categoria)</v>
          </cell>
          <cell r="C63" t="str">
            <v xml:space="preserve"> </v>
          </cell>
          <cell r="D63" t="str">
            <v xml:space="preserve"> </v>
          </cell>
          <cell r="E63" t="str">
            <v>m3</v>
          </cell>
          <cell r="F63">
            <v>743</v>
          </cell>
          <cell r="G63">
            <v>3.03</v>
          </cell>
        </row>
        <row r="64">
          <cell r="A64" t="str">
            <v>04.100.03</v>
          </cell>
          <cell r="B64" t="str">
            <v>Corpo de BSTC D=1.00m</v>
          </cell>
          <cell r="C64" t="str">
            <v>DNER-ES284/97</v>
          </cell>
          <cell r="D64" t="str">
            <v xml:space="preserve"> </v>
          </cell>
          <cell r="E64" t="str">
            <v xml:space="preserve">m </v>
          </cell>
          <cell r="F64">
            <v>23</v>
          </cell>
          <cell r="G64">
            <v>280.33</v>
          </cell>
        </row>
        <row r="65">
          <cell r="A65" t="str">
            <v>04.101.03</v>
          </cell>
          <cell r="B65" t="str">
            <v>Boca de BSTC D=1.00m-normal</v>
          </cell>
          <cell r="C65" t="str">
            <v>DNER-ES284/97</v>
          </cell>
          <cell r="D65" t="str">
            <v xml:space="preserve"> </v>
          </cell>
          <cell r="E65" t="str">
            <v>un</v>
          </cell>
          <cell r="F65">
            <v>2</v>
          </cell>
          <cell r="G65">
            <v>757.56</v>
          </cell>
        </row>
        <row r="66">
          <cell r="A66" t="str">
            <v>04.110.02</v>
          </cell>
          <cell r="B66" t="str">
            <v>Corpo de BDTC D=1.20m</v>
          </cell>
          <cell r="C66" t="str">
            <v>DNER-ES284/97</v>
          </cell>
          <cell r="D66" t="str">
            <v xml:space="preserve"> </v>
          </cell>
          <cell r="E66" t="str">
            <v>m</v>
          </cell>
          <cell r="F66">
            <v>45</v>
          </cell>
          <cell r="G66">
            <v>745.38</v>
          </cell>
        </row>
        <row r="67">
          <cell r="A67" t="str">
            <v>04.111.02</v>
          </cell>
          <cell r="B67" t="str">
            <v>Boca de BDTC D=1.20m-normal</v>
          </cell>
          <cell r="C67" t="str">
            <v>DNER-ES284/97</v>
          </cell>
          <cell r="D67" t="str">
            <v xml:space="preserve"> </v>
          </cell>
          <cell r="E67" t="str">
            <v>un</v>
          </cell>
          <cell r="F67">
            <v>2</v>
          </cell>
          <cell r="G67">
            <v>1521.54</v>
          </cell>
        </row>
        <row r="68">
          <cell r="F68" t="str">
            <v>SUB-TOTAL</v>
          </cell>
        </row>
        <row r="69">
          <cell r="B69" t="str">
            <v>OBRAS DE ARTE ESPECIAIS</v>
          </cell>
        </row>
        <row r="70">
          <cell r="B70" t="str">
            <v>(Quatro tabuleiros)</v>
          </cell>
        </row>
        <row r="71">
          <cell r="B71" t="str">
            <v>Infra e Mesoestrutura</v>
          </cell>
        </row>
        <row r="72">
          <cell r="A72" t="str">
            <v>DER90150</v>
          </cell>
          <cell r="B72" t="str">
            <v>Escavação em tubulão a céu aberto em material de 1ªcateg.</v>
          </cell>
          <cell r="C72" t="str">
            <v xml:space="preserve"> </v>
          </cell>
          <cell r="D72" t="str">
            <v xml:space="preserve"> </v>
          </cell>
          <cell r="E72" t="str">
            <v>m3</v>
          </cell>
          <cell r="F72">
            <v>1</v>
          </cell>
          <cell r="G72">
            <v>184.89</v>
          </cell>
        </row>
        <row r="73">
          <cell r="A73" t="str">
            <v>DER90160</v>
          </cell>
          <cell r="B73" t="str">
            <v>Escavação em tubulão a céu aberto em material de 3ªcateg.</v>
          </cell>
          <cell r="C73" t="str">
            <v xml:space="preserve"> </v>
          </cell>
          <cell r="D73" t="str">
            <v xml:space="preserve"> </v>
          </cell>
          <cell r="E73" t="str">
            <v>m3</v>
          </cell>
          <cell r="F73">
            <v>1</v>
          </cell>
          <cell r="G73">
            <v>640.85</v>
          </cell>
        </row>
        <row r="74">
          <cell r="A74" t="str">
            <v>DER90170</v>
          </cell>
          <cell r="B74" t="str">
            <v>Escavação em tubulão sob ar comprimido em material de 1ªcateg.</v>
          </cell>
          <cell r="C74" t="str">
            <v xml:space="preserve"> </v>
          </cell>
          <cell r="D74" t="str">
            <v xml:space="preserve"> </v>
          </cell>
          <cell r="E74" t="str">
            <v>m3</v>
          </cell>
          <cell r="F74">
            <v>140</v>
          </cell>
          <cell r="G74">
            <v>742.04</v>
          </cell>
        </row>
        <row r="75">
          <cell r="A75" t="str">
            <v>DER90180</v>
          </cell>
          <cell r="B75" t="str">
            <v>Escavação em tubulão sob ar comprimido em material de 3ªcateg.</v>
          </cell>
          <cell r="C75" t="str">
            <v xml:space="preserve"> </v>
          </cell>
          <cell r="D75" t="str">
            <v xml:space="preserve"> </v>
          </cell>
          <cell r="E75" t="str">
            <v>m3</v>
          </cell>
          <cell r="F75">
            <v>82</v>
          </cell>
          <cell r="G75">
            <v>1154.25</v>
          </cell>
        </row>
        <row r="76">
          <cell r="A76" t="str">
            <v>03.371.01</v>
          </cell>
          <cell r="B76" t="str">
            <v>Formas de placa compensada resinada</v>
          </cell>
          <cell r="C76" t="str">
            <v xml:space="preserve"> </v>
          </cell>
          <cell r="D76" t="str">
            <v xml:space="preserve"> </v>
          </cell>
          <cell r="E76" t="str">
            <v>m2</v>
          </cell>
          <cell r="F76">
            <v>870</v>
          </cell>
          <cell r="G76">
            <v>21.86</v>
          </cell>
        </row>
        <row r="77">
          <cell r="A77" t="str">
            <v>03.353.00</v>
          </cell>
          <cell r="B77" t="str">
            <v>Forn., preparo e colocação nas formas, de aço CA-50</v>
          </cell>
          <cell r="C77" t="str">
            <v xml:space="preserve"> </v>
          </cell>
          <cell r="D77" t="str">
            <v xml:space="preserve"> </v>
          </cell>
          <cell r="E77" t="str">
            <v>kg</v>
          </cell>
          <cell r="F77">
            <v>11480</v>
          </cell>
          <cell r="G77">
            <v>2.59</v>
          </cell>
        </row>
        <row r="78">
          <cell r="A78" t="str">
            <v>P 03.327.01</v>
          </cell>
          <cell r="B78" t="str">
            <v xml:space="preserve">Concreto fck= 25 MPa-contr. raz. uso ger. </v>
          </cell>
          <cell r="C78" t="str">
            <v xml:space="preserve"> </v>
          </cell>
          <cell r="D78" t="str">
            <v xml:space="preserve"> </v>
          </cell>
          <cell r="E78" t="str">
            <v>m3</v>
          </cell>
          <cell r="F78">
            <v>264</v>
          </cell>
          <cell r="G78">
            <v>163.22</v>
          </cell>
        </row>
        <row r="79">
          <cell r="B79" t="str">
            <v>Superestrutura</v>
          </cell>
        </row>
        <row r="80">
          <cell r="A80" t="str">
            <v>03.371.02</v>
          </cell>
          <cell r="B80" t="str">
            <v>Formas de placa compensada plastificada</v>
          </cell>
          <cell r="C80" t="str">
            <v xml:space="preserve"> </v>
          </cell>
          <cell r="D80" t="str">
            <v xml:space="preserve"> </v>
          </cell>
          <cell r="E80" t="str">
            <v>m2</v>
          </cell>
          <cell r="F80">
            <v>5127</v>
          </cell>
          <cell r="G80">
            <v>30.76</v>
          </cell>
        </row>
        <row r="81">
          <cell r="A81" t="str">
            <v>03.353.00</v>
          </cell>
          <cell r="B81" t="str">
            <v>Forn., preparo e colocação nas formas, de aço CA-50</v>
          </cell>
          <cell r="C81" t="str">
            <v xml:space="preserve"> </v>
          </cell>
          <cell r="D81" t="str">
            <v xml:space="preserve"> </v>
          </cell>
          <cell r="E81" t="str">
            <v>kg</v>
          </cell>
          <cell r="F81">
            <v>143680</v>
          </cell>
          <cell r="G81">
            <v>2.59</v>
          </cell>
        </row>
        <row r="82">
          <cell r="A82" t="str">
            <v>OAE17</v>
          </cell>
          <cell r="B82" t="str">
            <v>Transporte e lançamento de pré-lages</v>
          </cell>
          <cell r="C82" t="str">
            <v xml:space="preserve"> </v>
          </cell>
          <cell r="D82" t="str">
            <v xml:space="preserve"> </v>
          </cell>
          <cell r="E82" t="str">
            <v>un</v>
          </cell>
          <cell r="F82">
            <v>1368</v>
          </cell>
          <cell r="G82">
            <v>23.47</v>
          </cell>
        </row>
        <row r="83">
          <cell r="A83" t="str">
            <v>OAE18</v>
          </cell>
          <cell r="B83" t="str">
            <v>Transporte e lançamento de vigas pré-moldadas</v>
          </cell>
          <cell r="C83" t="str">
            <v xml:space="preserve"> </v>
          </cell>
          <cell r="D83" t="str">
            <v xml:space="preserve"> </v>
          </cell>
          <cell r="E83" t="str">
            <v>un</v>
          </cell>
          <cell r="F83">
            <v>80</v>
          </cell>
          <cell r="G83">
            <v>1281.27</v>
          </cell>
        </row>
        <row r="84">
          <cell r="A84" t="str">
            <v>03.330.00</v>
          </cell>
          <cell r="B84" t="str">
            <v>Concreto fck= 35 MPa-contr. raz. uso ger.</v>
          </cell>
          <cell r="C84" t="str">
            <v xml:space="preserve"> </v>
          </cell>
          <cell r="D84" t="str">
            <v xml:space="preserve"> </v>
          </cell>
          <cell r="E84" t="str">
            <v>m3</v>
          </cell>
          <cell r="F84">
            <v>755</v>
          </cell>
          <cell r="G84">
            <v>166.78</v>
          </cell>
        </row>
        <row r="85">
          <cell r="B85" t="str">
            <v>Diversos</v>
          </cell>
        </row>
        <row r="86">
          <cell r="B86" t="str">
            <v>Barreiras de segurança (C.A.) Tipo New Jersey (312 m)</v>
          </cell>
        </row>
        <row r="87">
          <cell r="A87" t="str">
            <v>03.371.01</v>
          </cell>
          <cell r="B87" t="str">
            <v>Formas de placa compensada resinada</v>
          </cell>
          <cell r="C87" t="str">
            <v xml:space="preserve"> </v>
          </cell>
          <cell r="D87" t="str">
            <v xml:space="preserve"> </v>
          </cell>
          <cell r="E87" t="str">
            <v>m2</v>
          </cell>
          <cell r="F87">
            <v>561</v>
          </cell>
          <cell r="G87">
            <v>21.86</v>
          </cell>
        </row>
        <row r="88">
          <cell r="A88" t="str">
            <v>03.353.00</v>
          </cell>
          <cell r="B88" t="str">
            <v>Forn., preparo e colocação nas formas, de aço CA-50</v>
          </cell>
          <cell r="C88" t="str">
            <v xml:space="preserve"> </v>
          </cell>
          <cell r="D88" t="str">
            <v xml:space="preserve"> </v>
          </cell>
          <cell r="E88" t="str">
            <v>kg</v>
          </cell>
          <cell r="F88">
            <v>4656</v>
          </cell>
          <cell r="G88">
            <v>2.59</v>
          </cell>
        </row>
        <row r="89">
          <cell r="A89" t="str">
            <v>P 03.327.01</v>
          </cell>
          <cell r="B89" t="str">
            <v xml:space="preserve">Concreto fck= 25 MPa-contr. raz. uso ger. </v>
          </cell>
          <cell r="C89" t="str">
            <v xml:space="preserve"> </v>
          </cell>
          <cell r="D89" t="str">
            <v xml:space="preserve"> </v>
          </cell>
          <cell r="E89" t="str">
            <v>m3</v>
          </cell>
          <cell r="F89">
            <v>72</v>
          </cell>
          <cell r="G89">
            <v>163.22</v>
          </cell>
        </row>
        <row r="90">
          <cell r="B90" t="str">
            <v>Placas de aproximação( 08 unidades)</v>
          </cell>
        </row>
        <row r="91">
          <cell r="A91" t="str">
            <v>03.371.00</v>
          </cell>
          <cell r="B91" t="str">
            <v>Formas de madeira compensada</v>
          </cell>
          <cell r="C91" t="str">
            <v xml:space="preserve"> </v>
          </cell>
          <cell r="D91" t="str">
            <v xml:space="preserve"> </v>
          </cell>
          <cell r="E91" t="str">
            <v>m2</v>
          </cell>
          <cell r="F91">
            <v>73</v>
          </cell>
          <cell r="G91">
            <v>21.86</v>
          </cell>
        </row>
        <row r="92">
          <cell r="A92" t="str">
            <v>03.353.00</v>
          </cell>
          <cell r="B92" t="str">
            <v>Forn., preparo e colocação nas formas, de aço CA-50</v>
          </cell>
          <cell r="C92" t="str">
            <v xml:space="preserve"> </v>
          </cell>
          <cell r="D92" t="str">
            <v xml:space="preserve"> </v>
          </cell>
          <cell r="E92" t="str">
            <v>kg</v>
          </cell>
          <cell r="F92">
            <v>7432</v>
          </cell>
          <cell r="G92">
            <v>2.59</v>
          </cell>
        </row>
        <row r="93">
          <cell r="A93" t="str">
            <v>P 03.327.01</v>
          </cell>
          <cell r="B93" t="str">
            <v xml:space="preserve">Concreto fck= 25 MPa-contr. raz. uso ger. </v>
          </cell>
          <cell r="C93" t="str">
            <v xml:space="preserve"> </v>
          </cell>
          <cell r="D93" t="str">
            <v xml:space="preserve"> </v>
          </cell>
          <cell r="E93" t="str">
            <v>m3</v>
          </cell>
          <cell r="F93">
            <v>108</v>
          </cell>
          <cell r="G93">
            <v>163.22</v>
          </cell>
        </row>
        <row r="94">
          <cell r="B94" t="str">
            <v>Drenos</v>
          </cell>
        </row>
        <row r="95">
          <cell r="A95" t="str">
            <v>P 03.991.01f</v>
          </cell>
          <cell r="B95" t="str">
            <v>Dreno de FF D= 150 mm x 400mm</v>
          </cell>
          <cell r="C95" t="str">
            <v xml:space="preserve"> </v>
          </cell>
          <cell r="D95" t="str">
            <v xml:space="preserve"> </v>
          </cell>
          <cell r="E95" t="str">
            <v>un</v>
          </cell>
          <cell r="F95">
            <v>36</v>
          </cell>
          <cell r="G95">
            <v>20.37</v>
          </cell>
        </row>
        <row r="96">
          <cell r="F96" t="str">
            <v>SUB-TOTAL</v>
          </cell>
        </row>
        <row r="97">
          <cell r="B97" t="str">
            <v>OBRAS COMPLEMENTARES</v>
          </cell>
        </row>
        <row r="98">
          <cell r="A98" t="str">
            <v>05.100.00</v>
          </cell>
          <cell r="B98" t="str">
            <v>Enleivamento</v>
          </cell>
          <cell r="C98" t="str">
            <v>DNER-ES341/97</v>
          </cell>
          <cell r="D98" t="str">
            <v xml:space="preserve"> </v>
          </cell>
          <cell r="E98" t="str">
            <v>m2</v>
          </cell>
          <cell r="F98">
            <v>30131</v>
          </cell>
          <cell r="G98">
            <v>2.06</v>
          </cell>
        </row>
        <row r="99">
          <cell r="A99" t="str">
            <v>DER53460a</v>
          </cell>
          <cell r="B99" t="str">
            <v>Calçamento com briquetes de 6 cm</v>
          </cell>
          <cell r="C99" t="str">
            <v xml:space="preserve"> </v>
          </cell>
          <cell r="D99" t="str">
            <v xml:space="preserve"> </v>
          </cell>
          <cell r="E99" t="str">
            <v>m2</v>
          </cell>
          <cell r="F99">
            <v>1100</v>
          </cell>
          <cell r="G99">
            <v>20.48</v>
          </cell>
        </row>
        <row r="100">
          <cell r="A100" t="str">
            <v>P 05.100.02</v>
          </cell>
          <cell r="B100" t="str">
            <v>Fornecimento e plantio de árvore selecionada</v>
          </cell>
          <cell r="C100" t="str">
            <v xml:space="preserve"> </v>
          </cell>
          <cell r="D100" t="str">
            <v xml:space="preserve"> </v>
          </cell>
          <cell r="E100" t="str">
            <v>un</v>
          </cell>
          <cell r="F100">
            <v>148</v>
          </cell>
          <cell r="G100">
            <v>6.02</v>
          </cell>
        </row>
        <row r="101">
          <cell r="A101" t="str">
            <v>05.102.00</v>
          </cell>
          <cell r="B101" t="str">
            <v>Hidrossemeadura</v>
          </cell>
          <cell r="C101" t="str">
            <v>DNER-ES341/97</v>
          </cell>
          <cell r="D101" t="str">
            <v xml:space="preserve"> </v>
          </cell>
          <cell r="E101" t="str">
            <v>m2</v>
          </cell>
          <cell r="F101">
            <v>7980</v>
          </cell>
          <cell r="G101">
            <v>0.49</v>
          </cell>
        </row>
        <row r="102">
          <cell r="A102" t="str">
            <v>DER81950</v>
          </cell>
          <cell r="B102" t="str">
            <v>Calçada em lastro de brita c/revestimento em concreto</v>
          </cell>
          <cell r="C102" t="str">
            <v xml:space="preserve"> </v>
          </cell>
          <cell r="D102" t="str">
            <v xml:space="preserve"> </v>
          </cell>
          <cell r="E102" t="str">
            <v>m2</v>
          </cell>
          <cell r="F102">
            <v>1400</v>
          </cell>
          <cell r="G102">
            <v>8.94</v>
          </cell>
        </row>
        <row r="103">
          <cell r="A103" t="str">
            <v>P 05.300.00</v>
          </cell>
          <cell r="B103" t="str">
            <v>Abrigos para passageiros</v>
          </cell>
          <cell r="C103" t="str">
            <v xml:space="preserve"> </v>
          </cell>
          <cell r="D103" t="str">
            <v xml:space="preserve"> </v>
          </cell>
          <cell r="E103" t="str">
            <v>un</v>
          </cell>
          <cell r="F103">
            <v>1</v>
          </cell>
          <cell r="G103">
            <v>832.7</v>
          </cell>
        </row>
        <row r="104">
          <cell r="A104" t="str">
            <v>PI 01</v>
          </cell>
          <cell r="B104" t="str">
            <v>Poste de aço galv. a fogo, c/ 20,0m de alt. p/ instal. tipo engastado</v>
          </cell>
          <cell r="C104" t="str">
            <v xml:space="preserve"> </v>
          </cell>
          <cell r="D104" t="str">
            <v xml:space="preserve"> </v>
          </cell>
          <cell r="E104" t="str">
            <v>un</v>
          </cell>
          <cell r="F104">
            <v>4</v>
          </cell>
          <cell r="G104">
            <v>2662.25</v>
          </cell>
        </row>
        <row r="105">
          <cell r="A105" t="str">
            <v>PI 04</v>
          </cell>
          <cell r="B105" t="str">
            <v xml:space="preserve">Luminária p/ iluminação pública ref.SRC-612 da Philips ou similar </v>
          </cell>
          <cell r="C105" t="str">
            <v xml:space="preserve"> </v>
          </cell>
          <cell r="D105" t="str">
            <v xml:space="preserve"> </v>
          </cell>
          <cell r="E105" t="str">
            <v>un</v>
          </cell>
          <cell r="F105">
            <v>8</v>
          </cell>
          <cell r="G105">
            <v>425.5</v>
          </cell>
        </row>
        <row r="106">
          <cell r="A106" t="str">
            <v>PI 07</v>
          </cell>
          <cell r="B106" t="str">
            <v>Suporte p/ luminária tipo ZGP402 da Philips ou similar</v>
          </cell>
          <cell r="C106" t="str">
            <v xml:space="preserve"> </v>
          </cell>
          <cell r="D106" t="str">
            <v xml:space="preserve"> </v>
          </cell>
          <cell r="E106" t="str">
            <v>un</v>
          </cell>
          <cell r="F106">
            <v>4</v>
          </cell>
          <cell r="G106">
            <v>100</v>
          </cell>
        </row>
        <row r="107">
          <cell r="A107" t="str">
            <v>PI 09</v>
          </cell>
          <cell r="B107" t="str">
            <v>Lâmpada a vapor de sódio 400W, alta pressão, base E40</v>
          </cell>
          <cell r="C107" t="str">
            <v xml:space="preserve"> </v>
          </cell>
          <cell r="D107" t="str">
            <v xml:space="preserve"> </v>
          </cell>
          <cell r="E107" t="str">
            <v>un</v>
          </cell>
          <cell r="F107">
            <v>8</v>
          </cell>
          <cell r="G107">
            <v>33.35</v>
          </cell>
        </row>
        <row r="108">
          <cell r="A108" t="str">
            <v>PI 20</v>
          </cell>
          <cell r="B108" t="str">
            <v>Poste de concreto duplo T 10m, 150 daN</v>
          </cell>
          <cell r="C108" t="str">
            <v xml:space="preserve"> </v>
          </cell>
          <cell r="D108" t="str">
            <v xml:space="preserve"> </v>
          </cell>
          <cell r="E108" t="str">
            <v>un</v>
          </cell>
          <cell r="F108">
            <v>1</v>
          </cell>
          <cell r="G108">
            <v>200</v>
          </cell>
        </row>
        <row r="109">
          <cell r="A109" t="str">
            <v>PI 22</v>
          </cell>
          <cell r="B109" t="str">
            <v>Base completa com fusível Diazed, 6A, retardado, incluíndo tampa, anel de proteção e ajuste</v>
          </cell>
          <cell r="C109" t="str">
            <v xml:space="preserve"> </v>
          </cell>
          <cell r="D109" t="str">
            <v xml:space="preserve"> </v>
          </cell>
          <cell r="E109" t="str">
            <v>un</v>
          </cell>
          <cell r="F109">
            <v>8</v>
          </cell>
          <cell r="G109">
            <v>8.6300000000000008</v>
          </cell>
        </row>
        <row r="110">
          <cell r="A110" t="str">
            <v>PI 23</v>
          </cell>
          <cell r="B110" t="str">
            <v>Contator tripolar a seco, p/ corrente alternada - 55 A, para uso em rede 380/220V - 60Hz</v>
          </cell>
          <cell r="C110" t="str">
            <v xml:space="preserve"> </v>
          </cell>
          <cell r="D110" t="str">
            <v xml:space="preserve"> </v>
          </cell>
          <cell r="E110" t="str">
            <v>un</v>
          </cell>
          <cell r="F110">
            <v>2</v>
          </cell>
          <cell r="G110">
            <v>234.6</v>
          </cell>
        </row>
        <row r="111">
          <cell r="A111" t="str">
            <v>PI 24</v>
          </cell>
          <cell r="B111" t="str">
            <v>Fita elétrica auto fusão a base de borracha EPR</v>
          </cell>
          <cell r="C111" t="str">
            <v xml:space="preserve"> </v>
          </cell>
          <cell r="D111" t="str">
            <v xml:space="preserve"> </v>
          </cell>
          <cell r="E111" t="str">
            <v>un</v>
          </cell>
          <cell r="F111">
            <v>2</v>
          </cell>
          <cell r="G111">
            <v>6.39</v>
          </cell>
        </row>
        <row r="112">
          <cell r="A112" t="str">
            <v>PI 25</v>
          </cell>
          <cell r="B112" t="str">
            <v>Fita adesiva plástica isolante</v>
          </cell>
          <cell r="C112" t="str">
            <v xml:space="preserve"> </v>
          </cell>
          <cell r="D112" t="str">
            <v xml:space="preserve"> </v>
          </cell>
          <cell r="E112" t="str">
            <v>un</v>
          </cell>
          <cell r="F112">
            <v>2</v>
          </cell>
          <cell r="G112">
            <v>3.84</v>
          </cell>
        </row>
        <row r="113">
          <cell r="A113" t="str">
            <v>PI 26</v>
          </cell>
          <cell r="B113" t="str">
            <v>Relé fotoelétrico c/ suporte para fixação galv. com furo 18mm</v>
          </cell>
          <cell r="C113" t="str">
            <v xml:space="preserve"> </v>
          </cell>
          <cell r="D113" t="str">
            <v xml:space="preserve"> </v>
          </cell>
          <cell r="E113" t="str">
            <v>un</v>
          </cell>
          <cell r="F113">
            <v>2</v>
          </cell>
          <cell r="G113">
            <v>11.5</v>
          </cell>
        </row>
        <row r="114">
          <cell r="A114" t="str">
            <v>PI 27</v>
          </cell>
          <cell r="B114" t="str">
            <v>Cabo isolado p/ 1000V, bitola 35mm²</v>
          </cell>
          <cell r="C114" t="str">
            <v xml:space="preserve"> </v>
          </cell>
          <cell r="D114" t="str">
            <v xml:space="preserve"> </v>
          </cell>
          <cell r="E114" t="str">
            <v>m</v>
          </cell>
          <cell r="F114">
            <v>1350</v>
          </cell>
          <cell r="G114">
            <v>1.55</v>
          </cell>
        </row>
        <row r="115">
          <cell r="A115" t="str">
            <v>PI 28</v>
          </cell>
          <cell r="B115" t="str">
            <v>Eletroduto de aço tipo pesado 100mm</v>
          </cell>
          <cell r="C115" t="str">
            <v xml:space="preserve"> </v>
          </cell>
          <cell r="D115" t="str">
            <v xml:space="preserve"> </v>
          </cell>
          <cell r="E115" t="str">
            <v>m</v>
          </cell>
          <cell r="F115">
            <v>50</v>
          </cell>
          <cell r="G115">
            <v>28.55</v>
          </cell>
        </row>
        <row r="116">
          <cell r="A116" t="str">
            <v>PI 29</v>
          </cell>
          <cell r="B116" t="str">
            <v>Curva em alumínio fundido de alta resistência, fixação por encaixe,50mm</v>
          </cell>
          <cell r="C116" t="str">
            <v xml:space="preserve"> </v>
          </cell>
          <cell r="D116" t="str">
            <v xml:space="preserve"> </v>
          </cell>
          <cell r="E116" t="str">
            <v>un</v>
          </cell>
          <cell r="F116">
            <v>1</v>
          </cell>
          <cell r="G116">
            <v>18.75</v>
          </cell>
        </row>
        <row r="117">
          <cell r="A117" t="str">
            <v>PI 30</v>
          </cell>
          <cell r="B117" t="str">
            <v>Haste para aterramento aço-cobre D 13x2400mm</v>
          </cell>
          <cell r="C117" t="str">
            <v xml:space="preserve"> </v>
          </cell>
          <cell r="D117" t="str">
            <v xml:space="preserve"> </v>
          </cell>
          <cell r="E117" t="str">
            <v>un</v>
          </cell>
          <cell r="F117">
            <v>5</v>
          </cell>
          <cell r="G117">
            <v>6.04</v>
          </cell>
        </row>
        <row r="118">
          <cell r="A118" t="str">
            <v>PI 31</v>
          </cell>
          <cell r="B118" t="str">
            <v>Cabo de cobre nú meio duro, 7 fios 2AWG</v>
          </cell>
          <cell r="C118" t="str">
            <v xml:space="preserve"> </v>
          </cell>
          <cell r="D118" t="str">
            <v xml:space="preserve"> </v>
          </cell>
          <cell r="E118" t="str">
            <v>kg</v>
          </cell>
          <cell r="F118">
            <v>2</v>
          </cell>
          <cell r="G118">
            <v>7.02</v>
          </cell>
        </row>
        <row r="119">
          <cell r="A119" t="str">
            <v>PI 32</v>
          </cell>
          <cell r="B119" t="str">
            <v>Conetor paralelo, liga alumínio tronco 1/0-4 AWG e derivação 2-4AWG</v>
          </cell>
          <cell r="C119" t="str">
            <v xml:space="preserve"> </v>
          </cell>
          <cell r="D119" t="str">
            <v xml:space="preserve"> </v>
          </cell>
          <cell r="E119" t="str">
            <v>un</v>
          </cell>
          <cell r="F119">
            <v>5</v>
          </cell>
          <cell r="G119">
            <v>1.04</v>
          </cell>
        </row>
        <row r="120">
          <cell r="A120" t="str">
            <v>PI 54</v>
          </cell>
          <cell r="B120" t="str">
            <v>Eletroduto de PVC corrugado tipo Kanalex ou similar, D=100mm</v>
          </cell>
          <cell r="C120" t="str">
            <v xml:space="preserve"> </v>
          </cell>
          <cell r="D120" t="str">
            <v xml:space="preserve"> </v>
          </cell>
          <cell r="E120" t="str">
            <v>m</v>
          </cell>
          <cell r="F120">
            <v>270</v>
          </cell>
          <cell r="G120">
            <v>4.95</v>
          </cell>
        </row>
        <row r="121">
          <cell r="A121" t="str">
            <v>PI 33</v>
          </cell>
          <cell r="B121" t="str">
            <v>Tubo de aço galvanizado, vara de 6m e 50mm</v>
          </cell>
          <cell r="C121" t="str">
            <v xml:space="preserve"> </v>
          </cell>
          <cell r="D121" t="str">
            <v xml:space="preserve"> </v>
          </cell>
          <cell r="E121" t="str">
            <v>un</v>
          </cell>
          <cell r="F121">
            <v>2</v>
          </cell>
          <cell r="G121">
            <v>74.06</v>
          </cell>
        </row>
        <row r="122">
          <cell r="A122" t="str">
            <v>PI 34</v>
          </cell>
          <cell r="B122" t="str">
            <v>Construção de caixa tipo SP, ou pré-instalada com as mesmas características</v>
          </cell>
          <cell r="C122" t="str">
            <v xml:space="preserve"> </v>
          </cell>
          <cell r="D122" t="str">
            <v xml:space="preserve"> </v>
          </cell>
          <cell r="E122" t="str">
            <v>un</v>
          </cell>
          <cell r="F122">
            <v>10</v>
          </cell>
          <cell r="G122">
            <v>180</v>
          </cell>
        </row>
        <row r="123">
          <cell r="A123" t="str">
            <v>PI 35</v>
          </cell>
          <cell r="B123" t="str">
            <v>Construção de embasamento p/ poste tipo engastado, 20m de altura</v>
          </cell>
          <cell r="C123" t="str">
            <v xml:space="preserve"> </v>
          </cell>
          <cell r="D123" t="str">
            <v xml:space="preserve"> </v>
          </cell>
          <cell r="E123" t="str">
            <v>un</v>
          </cell>
          <cell r="F123">
            <v>4</v>
          </cell>
          <cell r="G123">
            <v>494</v>
          </cell>
        </row>
        <row r="124">
          <cell r="A124" t="str">
            <v>PI 36</v>
          </cell>
          <cell r="B124" t="str">
            <v>Construção de embasamento p/ poste tipo engastado, concreto duplo T, 10m de altura</v>
          </cell>
          <cell r="C124" t="str">
            <v xml:space="preserve"> </v>
          </cell>
          <cell r="D124" t="str">
            <v xml:space="preserve"> </v>
          </cell>
          <cell r="E124" t="str">
            <v>un</v>
          </cell>
          <cell r="F124">
            <v>1</v>
          </cell>
          <cell r="G124">
            <v>285</v>
          </cell>
        </row>
        <row r="125">
          <cell r="A125" t="str">
            <v>PI 37</v>
          </cell>
          <cell r="B125" t="str">
            <v>Lançamento de cabos em dutos de aço, classe 1000V, circuito trifásico mais neutro, e monofásico</v>
          </cell>
          <cell r="C125" t="str">
            <v xml:space="preserve"> </v>
          </cell>
          <cell r="D125" t="str">
            <v xml:space="preserve"> </v>
          </cell>
          <cell r="E125" t="str">
            <v>m</v>
          </cell>
          <cell r="F125">
            <v>270</v>
          </cell>
          <cell r="G125">
            <v>4</v>
          </cell>
        </row>
        <row r="126">
          <cell r="A126" t="str">
            <v>PI 38</v>
          </cell>
          <cell r="B126" t="str">
            <v>Confecção de emendas retas ou derivação em cabos classe 1000V, c/ conector à compressão</v>
          </cell>
          <cell r="C126" t="str">
            <v xml:space="preserve"> </v>
          </cell>
          <cell r="D126" t="str">
            <v xml:space="preserve"> </v>
          </cell>
          <cell r="E126" t="str">
            <v>un</v>
          </cell>
          <cell r="F126">
            <v>10</v>
          </cell>
          <cell r="G126">
            <v>4.5</v>
          </cell>
        </row>
        <row r="127">
          <cell r="A127" t="str">
            <v>PI 39</v>
          </cell>
          <cell r="B127" t="str">
            <v>Fixação de haste de terra e conexão ao neutro</v>
          </cell>
          <cell r="C127" t="str">
            <v xml:space="preserve"> </v>
          </cell>
          <cell r="D127" t="str">
            <v xml:space="preserve"> </v>
          </cell>
          <cell r="E127" t="str">
            <v>un</v>
          </cell>
          <cell r="F127">
            <v>5</v>
          </cell>
          <cell r="G127">
            <v>35</v>
          </cell>
        </row>
        <row r="128">
          <cell r="A128" t="str">
            <v>PI 40</v>
          </cell>
          <cell r="B128" t="str">
            <v>Montagem eletromecân.de iluminação a 17,5m de alt., formada p/2 pétalas, c/ fixação dos equip.</v>
          </cell>
          <cell r="C128" t="str">
            <v xml:space="preserve"> </v>
          </cell>
          <cell r="D128" t="str">
            <v xml:space="preserve"> </v>
          </cell>
          <cell r="E128" t="str">
            <v>un</v>
          </cell>
          <cell r="F128">
            <v>4</v>
          </cell>
          <cell r="G128">
            <v>550</v>
          </cell>
        </row>
        <row r="129">
          <cell r="A129" t="str">
            <v>PI 41</v>
          </cell>
          <cell r="B129" t="str">
            <v>Instalação de tubo de aço vara de 6m e curva de entrada de cabos na lateral do poste c/ fix. dutos</v>
          </cell>
          <cell r="C129" t="str">
            <v xml:space="preserve"> </v>
          </cell>
          <cell r="D129" t="str">
            <v xml:space="preserve"> </v>
          </cell>
          <cell r="E129" t="str">
            <v>un</v>
          </cell>
          <cell r="F129">
            <v>1</v>
          </cell>
          <cell r="G129">
            <v>200</v>
          </cell>
        </row>
        <row r="130">
          <cell r="A130" t="str">
            <v>PI 42</v>
          </cell>
          <cell r="B130" t="str">
            <v>Instalação de poste de aço de 20m de altura engastado</v>
          </cell>
          <cell r="C130" t="str">
            <v xml:space="preserve"> </v>
          </cell>
          <cell r="D130" t="str">
            <v xml:space="preserve"> </v>
          </cell>
          <cell r="E130" t="str">
            <v>un</v>
          </cell>
          <cell r="F130">
            <v>1</v>
          </cell>
          <cell r="G130">
            <v>250</v>
          </cell>
        </row>
        <row r="131">
          <cell r="A131" t="str">
            <v>PI 43</v>
          </cell>
          <cell r="B131" t="str">
            <v>Travessia de pista asfáltica p/ lançamento dutos aço tipo pesado 100mm</v>
          </cell>
          <cell r="C131" t="str">
            <v xml:space="preserve"> </v>
          </cell>
          <cell r="D131" t="str">
            <v xml:space="preserve"> </v>
          </cell>
          <cell r="E131" t="str">
            <v>m</v>
          </cell>
          <cell r="F131">
            <v>270</v>
          </cell>
          <cell r="G131">
            <v>70</v>
          </cell>
        </row>
        <row r="132">
          <cell r="A132" t="str">
            <v>PI 57</v>
          </cell>
          <cell r="B132" t="str">
            <v>Lançamento de cabos em eletroduto de PVC corrugado</v>
          </cell>
          <cell r="C132" t="str">
            <v xml:space="preserve"> </v>
          </cell>
          <cell r="D132" t="str">
            <v xml:space="preserve"> </v>
          </cell>
          <cell r="E132" t="str">
            <v>m</v>
          </cell>
          <cell r="F132">
            <v>270</v>
          </cell>
          <cell r="G132">
            <v>3</v>
          </cell>
        </row>
        <row r="133">
          <cell r="A133" t="str">
            <v>PI 69</v>
          </cell>
          <cell r="B133" t="str">
            <v>Instalação de poste concreto duplo T, 10m de altura, engastado</v>
          </cell>
          <cell r="C133" t="str">
            <v xml:space="preserve"> </v>
          </cell>
          <cell r="D133" t="str">
            <v xml:space="preserve"> </v>
          </cell>
          <cell r="E133" t="str">
            <v>un</v>
          </cell>
          <cell r="F133">
            <v>1</v>
          </cell>
          <cell r="G133">
            <v>200</v>
          </cell>
        </row>
        <row r="134">
          <cell r="A134" t="str">
            <v>R1</v>
          </cell>
          <cell r="B134" t="str">
            <v>Remanejamento de Rede de Baixa Tensão (220/380V)</v>
          </cell>
          <cell r="C134" t="str">
            <v xml:space="preserve"> </v>
          </cell>
          <cell r="D134" t="str">
            <v xml:space="preserve"> </v>
          </cell>
          <cell r="E134" t="str">
            <v>m</v>
          </cell>
          <cell r="F134">
            <v>270</v>
          </cell>
          <cell r="G134">
            <v>4.7</v>
          </cell>
        </row>
        <row r="135">
          <cell r="A135" t="str">
            <v>R2</v>
          </cell>
          <cell r="B135" t="str">
            <v>Remanejamento de Rede de Alta Tensão (138kV)</v>
          </cell>
          <cell r="C135" t="str">
            <v xml:space="preserve"> </v>
          </cell>
          <cell r="D135" t="str">
            <v xml:space="preserve"> </v>
          </cell>
          <cell r="E135" t="str">
            <v>m</v>
          </cell>
          <cell r="F135">
            <v>180</v>
          </cell>
          <cell r="G135">
            <v>6.2</v>
          </cell>
        </row>
        <row r="136">
          <cell r="A136" t="str">
            <v>R27</v>
          </cell>
          <cell r="B136" t="str">
            <v>Remanejamento de Poste de Madeira</v>
          </cell>
          <cell r="C136" t="str">
            <v xml:space="preserve"> </v>
          </cell>
          <cell r="D136" t="str">
            <v xml:space="preserve"> </v>
          </cell>
          <cell r="E136" t="str">
            <v>un</v>
          </cell>
          <cell r="F136">
            <v>4</v>
          </cell>
          <cell r="G136">
            <v>70</v>
          </cell>
        </row>
        <row r="137">
          <cell r="A137" t="str">
            <v>R20</v>
          </cell>
          <cell r="B137" t="str">
            <v>Remanejamento de Poste de Concreto 10/300 c/ 3 pétalas (400W) instalado</v>
          </cell>
          <cell r="C137" t="str">
            <v xml:space="preserve"> </v>
          </cell>
          <cell r="D137" t="str">
            <v xml:space="preserve"> </v>
          </cell>
          <cell r="E137" t="str">
            <v>un</v>
          </cell>
          <cell r="F137">
            <v>4</v>
          </cell>
          <cell r="G137">
            <v>250</v>
          </cell>
        </row>
        <row r="138">
          <cell r="A138" t="str">
            <v>R30</v>
          </cell>
          <cell r="B138" t="str">
            <v>Remoção de rede subterrânea em baixa tensão</v>
          </cell>
          <cell r="C138" t="str">
            <v xml:space="preserve"> </v>
          </cell>
          <cell r="D138" t="str">
            <v xml:space="preserve"> </v>
          </cell>
          <cell r="E138" t="str">
            <v>m</v>
          </cell>
          <cell r="F138">
            <v>150</v>
          </cell>
          <cell r="G138">
            <v>6.7</v>
          </cell>
        </row>
      </sheetData>
      <sheetData sheetId="13">
        <row r="14">
          <cell r="A14" t="str">
            <v>01.000.00</v>
          </cell>
          <cell r="B14" t="str">
            <v>Desmatamento,destocamento e limpeza de área com árvore até 0,15m</v>
          </cell>
          <cell r="C14" t="str">
            <v>DNER-ES278/97</v>
          </cell>
          <cell r="D14" t="str">
            <v xml:space="preserve"> </v>
          </cell>
          <cell r="E14" t="str">
            <v>m2</v>
          </cell>
          <cell r="F14">
            <v>20000</v>
          </cell>
          <cell r="G14">
            <v>7.0000000000000007E-2</v>
          </cell>
        </row>
        <row r="15">
          <cell r="A15" t="str">
            <v>01.010.00</v>
          </cell>
          <cell r="B15" t="str">
            <v>Desmatamento e destocamento árvores de 0,15m a 0,30m</v>
          </cell>
          <cell r="C15" t="str">
            <v>DNER-ES278/97</v>
          </cell>
          <cell r="D15" t="str">
            <v xml:space="preserve"> </v>
          </cell>
          <cell r="E15" t="str">
            <v>un</v>
          </cell>
          <cell r="F15">
            <v>100</v>
          </cell>
          <cell r="G15">
            <v>8.92</v>
          </cell>
        </row>
        <row r="16">
          <cell r="A16" t="str">
            <v>01.011.00</v>
          </cell>
          <cell r="B16" t="str">
            <v>Desmatamento e destocamento árvores superior a 0,30m</v>
          </cell>
          <cell r="C16" t="str">
            <v>DNER-ES278/97</v>
          </cell>
          <cell r="D16" t="str">
            <v xml:space="preserve"> </v>
          </cell>
          <cell r="E16" t="str">
            <v>un</v>
          </cell>
          <cell r="F16">
            <v>50</v>
          </cell>
          <cell r="G16">
            <v>26.75</v>
          </cell>
        </row>
        <row r="17">
          <cell r="A17" t="str">
            <v>01.100.11</v>
          </cell>
          <cell r="B17" t="str">
            <v>Escavação,carga e transportes de material de 1a categoria DMT= 400 a 600m</v>
          </cell>
          <cell r="C17" t="str">
            <v>DNER-ES280/97</v>
          </cell>
          <cell r="D17" t="str">
            <v xml:space="preserve"> </v>
          </cell>
          <cell r="E17" t="str">
            <v>m3</v>
          </cell>
          <cell r="F17">
            <v>1445</v>
          </cell>
          <cell r="G17">
            <v>2.12</v>
          </cell>
        </row>
        <row r="18">
          <cell r="A18" t="str">
            <v>01.100.19</v>
          </cell>
          <cell r="B18" t="str">
            <v>Escavação,carga e transportes de material de 1a categoria DMT= 2000 a 3000m</v>
          </cell>
          <cell r="C18" t="str">
            <v>DNER-ES280/97</v>
          </cell>
          <cell r="D18" t="str">
            <v xml:space="preserve"> </v>
          </cell>
          <cell r="E18" t="str">
            <v>m3</v>
          </cell>
          <cell r="F18">
            <v>2818</v>
          </cell>
          <cell r="G18">
            <v>3.26</v>
          </cell>
        </row>
        <row r="19">
          <cell r="A19" t="str">
            <v>DER50335</v>
          </cell>
          <cell r="B19" t="str">
            <v>Esc.  Carga e Transp. de mat. 1a cat. c/ CB 16000&lt;DMT&lt;18000m</v>
          </cell>
          <cell r="C19" t="str">
            <v xml:space="preserve"> </v>
          </cell>
          <cell r="D19" t="str">
            <v xml:space="preserve"> </v>
          </cell>
          <cell r="E19" t="str">
            <v>m3</v>
          </cell>
          <cell r="F19">
            <v>9287</v>
          </cell>
          <cell r="G19">
            <v>10.08</v>
          </cell>
        </row>
        <row r="20">
          <cell r="A20" t="str">
            <v>01.101.11</v>
          </cell>
          <cell r="B20" t="str">
            <v>Escavação,carga e transportes de material de 2a categoria,c/CB,  DMT 400 a 600m</v>
          </cell>
          <cell r="C20" t="str">
            <v>DNER-ES280/97</v>
          </cell>
          <cell r="D20" t="str">
            <v xml:space="preserve"> </v>
          </cell>
          <cell r="E20" t="str">
            <v>m3</v>
          </cell>
          <cell r="F20">
            <v>6064</v>
          </cell>
          <cell r="G20">
            <v>3.15</v>
          </cell>
        </row>
        <row r="21">
          <cell r="A21" t="str">
            <v>DER52087</v>
          </cell>
          <cell r="B21" t="str">
            <v>Esc. Carga e Transp. de solos moles 400&lt;DMT&lt;=600m</v>
          </cell>
          <cell r="C21" t="str">
            <v xml:space="preserve"> </v>
          </cell>
          <cell r="D21" t="str">
            <v xml:space="preserve"> </v>
          </cell>
          <cell r="E21" t="str">
            <v>m3</v>
          </cell>
          <cell r="F21">
            <v>7144</v>
          </cell>
          <cell r="G21">
            <v>4.5999999999999996</v>
          </cell>
        </row>
        <row r="22">
          <cell r="A22" t="str">
            <v>01.510.00</v>
          </cell>
          <cell r="B22" t="str">
            <v>Compactação de aterros a 95% Proctor Normal</v>
          </cell>
          <cell r="C22" t="str">
            <v>DNER-ES282/97</v>
          </cell>
          <cell r="D22" t="str">
            <v xml:space="preserve"> </v>
          </cell>
          <cell r="E22" t="str">
            <v>m3</v>
          </cell>
          <cell r="F22">
            <v>11975</v>
          </cell>
          <cell r="G22">
            <v>0.79</v>
          </cell>
        </row>
        <row r="23">
          <cell r="A23" t="str">
            <v>01.511.00</v>
          </cell>
          <cell r="B23" t="str">
            <v>Compactação de aterros a 100% Proctor Normal</v>
          </cell>
          <cell r="C23" t="str">
            <v>DNER-ES282/97</v>
          </cell>
          <cell r="D23" t="str">
            <v xml:space="preserve"> </v>
          </cell>
          <cell r="E23" t="str">
            <v>m3</v>
          </cell>
          <cell r="F23">
            <v>2348</v>
          </cell>
          <cell r="G23">
            <v>1.36</v>
          </cell>
        </row>
        <row r="24">
          <cell r="A24" t="str">
            <v>P 10.000.06</v>
          </cell>
          <cell r="B24" t="str">
            <v>Aterro reforçado c/ elementos Terramesh (0,50x1,00x4,00m)(malha 8x10) ou similar</v>
          </cell>
          <cell r="C24" t="str">
            <v xml:space="preserve"> </v>
          </cell>
          <cell r="D24" t="str">
            <v xml:space="preserve"> </v>
          </cell>
          <cell r="E24" t="str">
            <v>un</v>
          </cell>
          <cell r="F24">
            <v>1557</v>
          </cell>
          <cell r="G24">
            <v>321.67</v>
          </cell>
        </row>
        <row r="25">
          <cell r="A25" t="str">
            <v>P 10.000.05</v>
          </cell>
          <cell r="B25" t="str">
            <v>Aterro reforçado c/ elementos Terramesh (1,00x1,00x4,00m)(malha 8x10) ou similar</v>
          </cell>
          <cell r="C25" t="str">
            <v xml:space="preserve"> </v>
          </cell>
          <cell r="D25" t="str">
            <v xml:space="preserve"> </v>
          </cell>
          <cell r="E25" t="str">
            <v>un</v>
          </cell>
          <cell r="F25">
            <v>815</v>
          </cell>
          <cell r="G25">
            <v>414.83</v>
          </cell>
        </row>
        <row r="26">
          <cell r="A26" t="str">
            <v>09.517.04</v>
          </cell>
          <cell r="B26" t="str">
            <v>Pedra de mão</v>
          </cell>
          <cell r="C26" t="str">
            <v xml:space="preserve"> </v>
          </cell>
          <cell r="D26" t="str">
            <v xml:space="preserve"> </v>
          </cell>
          <cell r="E26" t="str">
            <v>m3</v>
          </cell>
          <cell r="F26">
            <v>3665</v>
          </cell>
          <cell r="G26">
            <v>11.92</v>
          </cell>
        </row>
        <row r="27">
          <cell r="A27">
            <v>9000032</v>
          </cell>
          <cell r="B27" t="str">
            <v>Manta Geotextil 200g/m2</v>
          </cell>
          <cell r="C27">
            <v>0</v>
          </cell>
          <cell r="D27">
            <v>0</v>
          </cell>
          <cell r="E27" t="str">
            <v>m2</v>
          </cell>
          <cell r="F27">
            <v>6665</v>
          </cell>
          <cell r="G27">
            <v>5.83</v>
          </cell>
        </row>
        <row r="28">
          <cell r="A28" t="str">
            <v>P 10.000.07</v>
          </cell>
          <cell r="B28" t="str">
            <v>Geogrelha Paralink 400m ou similar</v>
          </cell>
          <cell r="C28" t="str">
            <v xml:space="preserve"> </v>
          </cell>
          <cell r="D28" t="str">
            <v xml:space="preserve"> </v>
          </cell>
          <cell r="E28" t="str">
            <v>m2</v>
          </cell>
          <cell r="F28">
            <v>1418</v>
          </cell>
          <cell r="G28">
            <v>52.09</v>
          </cell>
        </row>
        <row r="29">
          <cell r="F29" t="str">
            <v>SUB-TOTAL</v>
          </cell>
        </row>
        <row r="31">
          <cell r="B31" t="str">
            <v>PAVIMENTAÇÃO</v>
          </cell>
        </row>
        <row r="32">
          <cell r="A32" t="str">
            <v>02.000.00</v>
          </cell>
          <cell r="B32" t="str">
            <v>Regularização do subleito</v>
          </cell>
          <cell r="C32" t="str">
            <v xml:space="preserve"> </v>
          </cell>
          <cell r="D32" t="str">
            <v xml:space="preserve"> </v>
          </cell>
          <cell r="E32" t="str">
            <v>m2</v>
          </cell>
          <cell r="F32">
            <v>18218</v>
          </cell>
          <cell r="G32">
            <v>0.3</v>
          </cell>
        </row>
        <row r="33">
          <cell r="A33" t="str">
            <v>DER53130</v>
          </cell>
          <cell r="B33" t="str">
            <v>Camada de macadame seco</v>
          </cell>
          <cell r="C33" t="str">
            <v xml:space="preserve"> </v>
          </cell>
          <cell r="D33" t="str">
            <v xml:space="preserve"> </v>
          </cell>
          <cell r="E33" t="str">
            <v>m3</v>
          </cell>
          <cell r="F33">
            <v>3392</v>
          </cell>
          <cell r="G33">
            <v>21.86</v>
          </cell>
        </row>
        <row r="34">
          <cell r="A34" t="str">
            <v>02.230.00</v>
          </cell>
          <cell r="B34" t="str">
            <v>Base brita graduada</v>
          </cell>
          <cell r="C34" t="str">
            <v>DNER-ES303/97</v>
          </cell>
          <cell r="D34" t="str">
            <v xml:space="preserve"> </v>
          </cell>
          <cell r="E34" t="str">
            <v>m3</v>
          </cell>
          <cell r="F34">
            <v>2541</v>
          </cell>
          <cell r="G34">
            <v>28.06</v>
          </cell>
        </row>
        <row r="35">
          <cell r="A35" t="str">
            <v>02.300.00</v>
          </cell>
          <cell r="B35" t="str">
            <v>Imprimação - Fornecimento, transporte e execução</v>
          </cell>
          <cell r="C35" t="str">
            <v>DNER-ES306/97</v>
          </cell>
          <cell r="D35" t="str">
            <v xml:space="preserve"> </v>
          </cell>
          <cell r="E35" t="str">
            <v>m2</v>
          </cell>
          <cell r="F35">
            <v>16640</v>
          </cell>
          <cell r="G35">
            <v>1.1100000000000001</v>
          </cell>
        </row>
        <row r="36">
          <cell r="A36" t="str">
            <v>02.400.00</v>
          </cell>
          <cell r="B36" t="str">
            <v>Pintura de ligação - Fornec., transporte e execução</v>
          </cell>
          <cell r="C36" t="str">
            <v>DNER-ES307/97</v>
          </cell>
          <cell r="D36" t="str">
            <v xml:space="preserve"> </v>
          </cell>
          <cell r="E36" t="str">
            <v>m2</v>
          </cell>
          <cell r="F36">
            <v>42377</v>
          </cell>
          <cell r="G36">
            <v>0.41</v>
          </cell>
        </row>
        <row r="37">
          <cell r="A37" t="str">
            <v>02.540.01</v>
          </cell>
          <cell r="B37" t="str">
            <v>Concreto betuminoso usinado a quente - usina 100/140 t/h</v>
          </cell>
          <cell r="C37" t="str">
            <v>DNER-ES313/97</v>
          </cell>
          <cell r="D37" t="str">
            <v xml:space="preserve"> </v>
          </cell>
          <cell r="E37" t="str">
            <v>t</v>
          </cell>
          <cell r="F37">
            <v>5291</v>
          </cell>
          <cell r="G37">
            <v>67.64</v>
          </cell>
        </row>
        <row r="38">
          <cell r="A38" t="str">
            <v>DER82200a</v>
          </cell>
          <cell r="B38" t="str">
            <v>Remoção de camada granular</v>
          </cell>
          <cell r="C38" t="str">
            <v xml:space="preserve"> </v>
          </cell>
          <cell r="D38" t="str">
            <v xml:space="preserve"> </v>
          </cell>
          <cell r="E38" t="str">
            <v>m3</v>
          </cell>
          <cell r="F38">
            <v>370</v>
          </cell>
          <cell r="G38">
            <v>4.67</v>
          </cell>
        </row>
        <row r="39">
          <cell r="A39" t="str">
            <v>DER82200</v>
          </cell>
          <cell r="B39" t="str">
            <v>Remoção de revestimento de CBUQ</v>
          </cell>
          <cell r="C39" t="str">
            <v xml:space="preserve"> </v>
          </cell>
          <cell r="D39" t="str">
            <v xml:space="preserve"> </v>
          </cell>
          <cell r="E39" t="str">
            <v>m3</v>
          </cell>
          <cell r="F39">
            <v>370</v>
          </cell>
          <cell r="G39">
            <v>5.73</v>
          </cell>
        </row>
        <row r="40">
          <cell r="F40" t="str">
            <v>SUB-TOTAL</v>
          </cell>
        </row>
        <row r="42">
          <cell r="B42" t="str">
            <v>DRENAGEM</v>
          </cell>
        </row>
        <row r="43">
          <cell r="A43" t="str">
            <v>04.000.00</v>
          </cell>
          <cell r="B43" t="str">
            <v>Escavação manual em material de 1a categoria</v>
          </cell>
          <cell r="C43" t="str">
            <v xml:space="preserve"> </v>
          </cell>
          <cell r="D43" t="str">
            <v xml:space="preserve"> </v>
          </cell>
          <cell r="E43" t="str">
            <v>m3</v>
          </cell>
          <cell r="F43">
            <v>61</v>
          </cell>
          <cell r="G43">
            <v>17.57</v>
          </cell>
        </row>
        <row r="44">
          <cell r="A44" t="str">
            <v>04.001.00</v>
          </cell>
          <cell r="B44" t="str">
            <v>Escavação mecânica em material de 1a categoria</v>
          </cell>
          <cell r="C44" t="str">
            <v xml:space="preserve"> </v>
          </cell>
          <cell r="D44" t="str">
            <v xml:space="preserve"> </v>
          </cell>
          <cell r="E44" t="str">
            <v>m3</v>
          </cell>
          <cell r="F44">
            <v>52</v>
          </cell>
          <cell r="G44">
            <v>2.09</v>
          </cell>
        </row>
        <row r="45">
          <cell r="A45" t="str">
            <v>04.001.01</v>
          </cell>
          <cell r="B45" t="str">
            <v>Escavação mecânica,reaterro e compactação (material de 1a categoria)</v>
          </cell>
          <cell r="C45" t="str">
            <v xml:space="preserve"> </v>
          </cell>
          <cell r="D45" t="str">
            <v xml:space="preserve"> </v>
          </cell>
          <cell r="E45" t="str">
            <v>m3</v>
          </cell>
          <cell r="F45">
            <v>1247</v>
          </cell>
          <cell r="G45">
            <v>3.03</v>
          </cell>
        </row>
        <row r="46">
          <cell r="A46" t="str">
            <v>04.510.03</v>
          </cell>
          <cell r="B46" t="str">
            <v>Dreno sub- superficial- DSS 03</v>
          </cell>
          <cell r="C46" t="str">
            <v>DNER-ES294/97</v>
          </cell>
          <cell r="D46" t="str">
            <v xml:space="preserve"> </v>
          </cell>
          <cell r="E46" t="str">
            <v>m</v>
          </cell>
          <cell r="F46">
            <v>233</v>
          </cell>
          <cell r="G46">
            <v>3.71</v>
          </cell>
        </row>
        <row r="47">
          <cell r="A47" t="str">
            <v>04.511.01</v>
          </cell>
          <cell r="B47" t="str">
            <v>Boca de saída p/ dreno sub-superficial-BSD 03</v>
          </cell>
          <cell r="C47" t="str">
            <v xml:space="preserve"> </v>
          </cell>
          <cell r="D47" t="str">
            <v xml:space="preserve"> </v>
          </cell>
          <cell r="E47" t="str">
            <v>un</v>
          </cell>
          <cell r="F47">
            <v>4</v>
          </cell>
          <cell r="G47">
            <v>20.86</v>
          </cell>
        </row>
        <row r="48">
          <cell r="A48" t="str">
            <v>04.900.21</v>
          </cell>
          <cell r="B48" t="str">
            <v>Sarjeta de cant. central de concreto-SCC 01</v>
          </cell>
          <cell r="C48" t="str">
            <v>DNER-ES288/97</v>
          </cell>
          <cell r="D48" t="str">
            <v xml:space="preserve"> </v>
          </cell>
          <cell r="E48" t="str">
            <v>m</v>
          </cell>
          <cell r="F48">
            <v>176</v>
          </cell>
          <cell r="G48">
            <v>13.85</v>
          </cell>
        </row>
        <row r="49">
          <cell r="A49" t="str">
            <v>04.910.05</v>
          </cell>
          <cell r="B49" t="str">
            <v>Meio-fio de concreto-MFC 05</v>
          </cell>
          <cell r="C49" t="str">
            <v>DNER-ES290/97</v>
          </cell>
          <cell r="D49" t="str">
            <v xml:space="preserve"> </v>
          </cell>
          <cell r="E49" t="str">
            <v>m</v>
          </cell>
          <cell r="F49">
            <v>886</v>
          </cell>
          <cell r="G49">
            <v>10.54</v>
          </cell>
        </row>
        <row r="50">
          <cell r="A50" t="str">
            <v>DER78150b</v>
          </cell>
          <cell r="B50" t="str">
            <v>Caixa coletora de sarjeta - CCS, D=40cm E H=1,00m</v>
          </cell>
          <cell r="C50" t="str">
            <v xml:space="preserve"> </v>
          </cell>
          <cell r="D50" t="str">
            <v xml:space="preserve"> </v>
          </cell>
          <cell r="E50" t="str">
            <v>un</v>
          </cell>
          <cell r="F50">
            <v>2</v>
          </cell>
          <cell r="G50">
            <v>382.07</v>
          </cell>
        </row>
        <row r="51">
          <cell r="A51" t="str">
            <v>04.960.01</v>
          </cell>
          <cell r="B51" t="str">
            <v>Boca de lobo simples c/ grelha de concreto-BLS 01</v>
          </cell>
          <cell r="C51" t="str">
            <v xml:space="preserve"> </v>
          </cell>
          <cell r="D51" t="str">
            <v xml:space="preserve"> </v>
          </cell>
          <cell r="E51" t="str">
            <v>un</v>
          </cell>
          <cell r="F51">
            <v>4</v>
          </cell>
          <cell r="G51">
            <v>203.51</v>
          </cell>
        </row>
        <row r="52">
          <cell r="A52" t="str">
            <v>04.960.02</v>
          </cell>
          <cell r="B52" t="str">
            <v>Boca de lobo simples c/ grelha de concreto-BLS 02</v>
          </cell>
          <cell r="C52" t="str">
            <v xml:space="preserve"> </v>
          </cell>
          <cell r="D52" t="str">
            <v xml:space="preserve"> </v>
          </cell>
          <cell r="E52" t="str">
            <v>un</v>
          </cell>
          <cell r="F52">
            <v>7</v>
          </cell>
          <cell r="G52">
            <v>257.83999999999997</v>
          </cell>
        </row>
        <row r="53">
          <cell r="A53" t="str">
            <v>04.960.03</v>
          </cell>
          <cell r="B53" t="str">
            <v>Boca de lobo simples c/ grelha de concreto-BLS 03</v>
          </cell>
          <cell r="C53" t="str">
            <v xml:space="preserve"> </v>
          </cell>
          <cell r="D53" t="str">
            <v xml:space="preserve"> </v>
          </cell>
          <cell r="E53" t="str">
            <v>un</v>
          </cell>
          <cell r="F53">
            <v>4</v>
          </cell>
          <cell r="G53">
            <v>312.23</v>
          </cell>
        </row>
        <row r="54">
          <cell r="A54" t="str">
            <v>04.960.04</v>
          </cell>
          <cell r="B54" t="str">
            <v>Boca de lobo simples c/ grelha de concreto-BLS 04</v>
          </cell>
          <cell r="C54" t="str">
            <v xml:space="preserve"> </v>
          </cell>
          <cell r="D54" t="str">
            <v xml:space="preserve"> </v>
          </cell>
          <cell r="E54" t="str">
            <v>un</v>
          </cell>
          <cell r="F54">
            <v>1</v>
          </cell>
          <cell r="G54">
            <v>366.56</v>
          </cell>
        </row>
        <row r="55">
          <cell r="A55" t="str">
            <v>P 04.100.07</v>
          </cell>
          <cell r="B55" t="str">
            <v>Execução de galerias D=0,40 c/ lastro de brita</v>
          </cell>
          <cell r="C55" t="str">
            <v xml:space="preserve"> </v>
          </cell>
          <cell r="D55" t="str">
            <v xml:space="preserve"> </v>
          </cell>
          <cell r="E55" t="str">
            <v>m</v>
          </cell>
          <cell r="F55">
            <v>122</v>
          </cell>
          <cell r="G55">
            <v>41.68</v>
          </cell>
        </row>
        <row r="56">
          <cell r="A56" t="str">
            <v>P 04.100.08</v>
          </cell>
          <cell r="B56" t="str">
            <v>Execução de galerias D=0,40 c/ lastro de concreto</v>
          </cell>
          <cell r="C56" t="str">
            <v xml:space="preserve"> </v>
          </cell>
          <cell r="D56" t="str">
            <v xml:space="preserve"> </v>
          </cell>
          <cell r="E56" t="str">
            <v>m</v>
          </cell>
          <cell r="F56">
            <v>373</v>
          </cell>
          <cell r="G56">
            <v>58.65</v>
          </cell>
        </row>
        <row r="57">
          <cell r="A57" t="str">
            <v>P 04.100.10</v>
          </cell>
          <cell r="B57" t="str">
            <v>Execução de galerias D=0,60 c/ lastro de concreto</v>
          </cell>
          <cell r="C57" t="str">
            <v xml:space="preserve"> </v>
          </cell>
          <cell r="D57" t="str">
            <v xml:space="preserve"> </v>
          </cell>
          <cell r="E57" t="str">
            <v>m</v>
          </cell>
          <cell r="F57">
            <v>5</v>
          </cell>
          <cell r="G57">
            <v>131.66</v>
          </cell>
        </row>
        <row r="58">
          <cell r="A58" t="str">
            <v>DER72350b</v>
          </cell>
          <cell r="B58" t="str">
            <v>Boca para BSTC D=40cm - Normal</v>
          </cell>
          <cell r="C58" t="str">
            <v xml:space="preserve"> </v>
          </cell>
          <cell r="D58" t="str">
            <v xml:space="preserve"> </v>
          </cell>
          <cell r="E58" t="str">
            <v>un</v>
          </cell>
          <cell r="F58">
            <v>8</v>
          </cell>
          <cell r="G58">
            <v>147.57</v>
          </cell>
        </row>
        <row r="59">
          <cell r="A59" t="str">
            <v>P04.901.43</v>
          </cell>
          <cell r="B59" t="str">
            <v>Canaleta c/ grelha de concreto</v>
          </cell>
          <cell r="C59" t="str">
            <v xml:space="preserve"> </v>
          </cell>
          <cell r="D59" t="str">
            <v xml:space="preserve"> </v>
          </cell>
          <cell r="E59" t="str">
            <v>m</v>
          </cell>
          <cell r="F59">
            <v>121</v>
          </cell>
          <cell r="G59">
            <v>77.42</v>
          </cell>
        </row>
        <row r="60">
          <cell r="A60" t="str">
            <v>P.04.100.18</v>
          </cell>
          <cell r="B60" t="str">
            <v>Caixa coletora de canaleta c/ H=2,00m</v>
          </cell>
          <cell r="C60" t="str">
            <v xml:space="preserve"> </v>
          </cell>
          <cell r="D60" t="str">
            <v xml:space="preserve"> </v>
          </cell>
          <cell r="E60" t="str">
            <v>un</v>
          </cell>
          <cell r="F60">
            <v>1</v>
          </cell>
          <cell r="G60">
            <v>676.37</v>
          </cell>
        </row>
        <row r="61">
          <cell r="A61" t="str">
            <v>P04.931.00</v>
          </cell>
          <cell r="B61" t="str">
            <v>Caixa coletora de talvegue para BSTC D=40cm com H=1,0m</v>
          </cell>
          <cell r="C61" t="str">
            <v xml:space="preserve"> </v>
          </cell>
          <cell r="D61" t="str">
            <v xml:space="preserve"> </v>
          </cell>
          <cell r="E61" t="str">
            <v>un</v>
          </cell>
          <cell r="F61">
            <v>1</v>
          </cell>
          <cell r="G61">
            <v>178.75</v>
          </cell>
        </row>
        <row r="62">
          <cell r="F62" t="str">
            <v>SUB-TOTAL</v>
          </cell>
        </row>
        <row r="64">
          <cell r="B64" t="str">
            <v>OBRAS DE ARTE ESPECIAIS</v>
          </cell>
        </row>
        <row r="65">
          <cell r="A65" t="str">
            <v>03.371.01</v>
          </cell>
          <cell r="B65" t="str">
            <v>Formas de placa compensada resinada</v>
          </cell>
          <cell r="C65" t="str">
            <v xml:space="preserve"> </v>
          </cell>
          <cell r="D65" t="str">
            <v xml:space="preserve"> </v>
          </cell>
          <cell r="E65" t="str">
            <v>m2</v>
          </cell>
          <cell r="F65">
            <v>85</v>
          </cell>
          <cell r="G65">
            <v>21.86</v>
          </cell>
        </row>
        <row r="66">
          <cell r="A66" t="str">
            <v>03.371.02</v>
          </cell>
          <cell r="B66" t="str">
            <v>Formas de placa compensada plastificada</v>
          </cell>
          <cell r="C66" t="str">
            <v xml:space="preserve"> </v>
          </cell>
          <cell r="D66" t="str">
            <v xml:space="preserve"> </v>
          </cell>
          <cell r="E66" t="str">
            <v>m2</v>
          </cell>
          <cell r="F66">
            <v>2387</v>
          </cell>
          <cell r="G66">
            <v>30.76</v>
          </cell>
        </row>
        <row r="67">
          <cell r="A67" t="str">
            <v>03.353.00</v>
          </cell>
          <cell r="B67" t="str">
            <v>Forn., preparo e colocação nas formas, de aço CA-50</v>
          </cell>
          <cell r="C67" t="str">
            <v xml:space="preserve"> </v>
          </cell>
          <cell r="D67" t="str">
            <v xml:space="preserve"> </v>
          </cell>
          <cell r="E67" t="str">
            <v>kg</v>
          </cell>
          <cell r="F67">
            <v>37870</v>
          </cell>
          <cell r="G67">
            <v>2.59</v>
          </cell>
        </row>
        <row r="68">
          <cell r="A68" t="str">
            <v>OAE4</v>
          </cell>
          <cell r="B68" t="str">
            <v>Armadura de protensão, fornecimento, bainhas, ancoragens, operações de protensão</v>
          </cell>
          <cell r="C68" t="str">
            <v xml:space="preserve"> </v>
          </cell>
          <cell r="D68" t="str">
            <v xml:space="preserve"> </v>
          </cell>
          <cell r="E68" t="str">
            <v>kg</v>
          </cell>
          <cell r="F68">
            <v>13643</v>
          </cell>
          <cell r="G68">
            <v>19.28</v>
          </cell>
        </row>
        <row r="69">
          <cell r="A69" t="str">
            <v>OAE17</v>
          </cell>
          <cell r="B69" t="str">
            <v>Transporte e lançamento de pré-lages</v>
          </cell>
          <cell r="C69" t="str">
            <v xml:space="preserve"> </v>
          </cell>
          <cell r="D69" t="str">
            <v xml:space="preserve"> </v>
          </cell>
          <cell r="E69" t="str">
            <v>un</v>
          </cell>
          <cell r="F69">
            <v>576</v>
          </cell>
          <cell r="G69">
            <v>23.47</v>
          </cell>
        </row>
        <row r="70">
          <cell r="A70" t="str">
            <v>OAE18</v>
          </cell>
          <cell r="B70" t="str">
            <v>Transporte e lançamento de vigas pré-moldadas</v>
          </cell>
          <cell r="C70" t="str">
            <v xml:space="preserve"> </v>
          </cell>
          <cell r="D70" t="str">
            <v xml:space="preserve"> </v>
          </cell>
          <cell r="E70" t="str">
            <v>un</v>
          </cell>
          <cell r="F70">
            <v>40</v>
          </cell>
          <cell r="G70">
            <v>1281.27</v>
          </cell>
        </row>
        <row r="71">
          <cell r="A71" t="str">
            <v>OAE19</v>
          </cell>
          <cell r="B71" t="str">
            <v>Injeção de nata (cabos 12 varas 1/2")</v>
          </cell>
          <cell r="C71" t="str">
            <v xml:space="preserve"> </v>
          </cell>
          <cell r="D71" t="str">
            <v xml:space="preserve"> </v>
          </cell>
          <cell r="E71" t="str">
            <v>m</v>
          </cell>
          <cell r="F71">
            <v>2388</v>
          </cell>
          <cell r="G71">
            <v>3.65</v>
          </cell>
        </row>
        <row r="72">
          <cell r="A72" t="str">
            <v>03.330.00</v>
          </cell>
          <cell r="B72" t="str">
            <v>Concreto fck= 35 MPa-contr. raz. uso ger.</v>
          </cell>
          <cell r="C72" t="str">
            <v xml:space="preserve"> </v>
          </cell>
          <cell r="D72" t="str">
            <v xml:space="preserve"> </v>
          </cell>
          <cell r="E72" t="str">
            <v>m3</v>
          </cell>
          <cell r="F72">
            <v>326</v>
          </cell>
          <cell r="G72">
            <v>166.78</v>
          </cell>
        </row>
        <row r="73">
          <cell r="A73" t="str">
            <v>P 03.327.01</v>
          </cell>
          <cell r="B73" t="str">
            <v xml:space="preserve">Concreto fck= 25 MPa-contr. raz. uso ger. </v>
          </cell>
          <cell r="C73" t="str">
            <v xml:space="preserve"> </v>
          </cell>
          <cell r="D73" t="str">
            <v xml:space="preserve"> </v>
          </cell>
          <cell r="E73" t="str">
            <v>m3</v>
          </cell>
          <cell r="F73">
            <v>73</v>
          </cell>
          <cell r="G73">
            <v>163.22</v>
          </cell>
        </row>
        <row r="74">
          <cell r="A74" t="str">
            <v>03.510.00</v>
          </cell>
          <cell r="B74" t="str">
            <v>Aparelho de apoio em neoprene</v>
          </cell>
          <cell r="C74" t="str">
            <v xml:space="preserve"> </v>
          </cell>
          <cell r="D74" t="str">
            <v xml:space="preserve"> </v>
          </cell>
          <cell r="E74" t="str">
            <v>kg</v>
          </cell>
          <cell r="F74">
            <v>104</v>
          </cell>
          <cell r="G74">
            <v>86.94</v>
          </cell>
        </row>
        <row r="75">
          <cell r="B75" t="str">
            <v>Barreiras de segurança (C.A.) Tipo New Jersey (129,2 m)</v>
          </cell>
        </row>
        <row r="76">
          <cell r="A76" t="str">
            <v>03.371.00</v>
          </cell>
          <cell r="B76" t="str">
            <v>Formas de madeira compensada</v>
          </cell>
          <cell r="C76" t="str">
            <v xml:space="preserve"> </v>
          </cell>
          <cell r="D76" t="str">
            <v xml:space="preserve"> </v>
          </cell>
          <cell r="E76" t="str">
            <v>m2</v>
          </cell>
          <cell r="F76">
            <v>258.39999999999998</v>
          </cell>
          <cell r="G76">
            <v>21.86</v>
          </cell>
        </row>
        <row r="77">
          <cell r="A77" t="str">
            <v>03.353.00</v>
          </cell>
          <cell r="B77" t="str">
            <v>Forn., preparo e colocação nas formas, de aço CA-50</v>
          </cell>
          <cell r="C77" t="str">
            <v xml:space="preserve"> </v>
          </cell>
          <cell r="D77" t="str">
            <v xml:space="preserve"> </v>
          </cell>
          <cell r="E77" t="str">
            <v>kg</v>
          </cell>
          <cell r="F77">
            <v>2080.12</v>
          </cell>
          <cell r="G77">
            <v>2.59</v>
          </cell>
        </row>
        <row r="78">
          <cell r="A78" t="str">
            <v>03.326.00</v>
          </cell>
          <cell r="B78" t="str">
            <v xml:space="preserve">Concreto fck= 20 MPa-contr. raz. uso ger. </v>
          </cell>
          <cell r="C78" t="str">
            <v xml:space="preserve"> </v>
          </cell>
          <cell r="D78" t="str">
            <v xml:space="preserve"> </v>
          </cell>
          <cell r="E78" t="str">
            <v>m3</v>
          </cell>
          <cell r="F78">
            <v>30</v>
          </cell>
          <cell r="G78">
            <v>149.19999999999999</v>
          </cell>
        </row>
        <row r="79">
          <cell r="B79" t="str">
            <v>Placas de aproximação( 04 unidades)(dimensão 4,00m x 11,2m x 0,30m)</v>
          </cell>
        </row>
        <row r="80">
          <cell r="A80" t="str">
            <v>03.371.00</v>
          </cell>
          <cell r="B80" t="str">
            <v>Formas de madeira compensada</v>
          </cell>
          <cell r="C80" t="str">
            <v xml:space="preserve"> </v>
          </cell>
          <cell r="D80" t="str">
            <v xml:space="preserve"> </v>
          </cell>
          <cell r="E80" t="str">
            <v>m2</v>
          </cell>
          <cell r="F80">
            <v>40</v>
          </cell>
          <cell r="G80">
            <v>21.86</v>
          </cell>
        </row>
        <row r="81">
          <cell r="A81" t="str">
            <v>03.353.00</v>
          </cell>
          <cell r="B81" t="str">
            <v>Forn., preparo e colocação nas formas, de aço CA-50</v>
          </cell>
          <cell r="C81" t="str">
            <v xml:space="preserve"> </v>
          </cell>
          <cell r="D81" t="str">
            <v xml:space="preserve"> </v>
          </cell>
          <cell r="E81" t="str">
            <v>kg</v>
          </cell>
          <cell r="F81">
            <v>3720</v>
          </cell>
          <cell r="G81">
            <v>2.59</v>
          </cell>
        </row>
        <row r="82">
          <cell r="A82" t="str">
            <v>03.326.00</v>
          </cell>
          <cell r="B82" t="str">
            <v xml:space="preserve">Concreto fck= 20 MPa-contr. raz. uso ger. </v>
          </cell>
          <cell r="C82" t="str">
            <v xml:space="preserve"> </v>
          </cell>
          <cell r="D82" t="str">
            <v xml:space="preserve"> </v>
          </cell>
          <cell r="E82" t="str">
            <v>m3</v>
          </cell>
          <cell r="F82">
            <v>54</v>
          </cell>
          <cell r="G82">
            <v>149.19999999999999</v>
          </cell>
        </row>
        <row r="83">
          <cell r="B83" t="str">
            <v>Drenos</v>
          </cell>
        </row>
        <row r="84">
          <cell r="A84" t="str">
            <v>P 03.991.01d</v>
          </cell>
          <cell r="B84" t="str">
            <v>Dreno de FF D= 150 mm x 500mm</v>
          </cell>
          <cell r="C84" t="str">
            <v xml:space="preserve"> </v>
          </cell>
          <cell r="D84" t="str">
            <v xml:space="preserve"> </v>
          </cell>
          <cell r="E84" t="str">
            <v>un</v>
          </cell>
          <cell r="F84">
            <v>56</v>
          </cell>
          <cell r="G84">
            <v>24.91</v>
          </cell>
        </row>
        <row r="85">
          <cell r="A85" t="str">
            <v>P 03.991.01c</v>
          </cell>
          <cell r="B85" t="str">
            <v>Dreno de FF D= 100 mm x 500mm</v>
          </cell>
          <cell r="C85" t="str">
            <v xml:space="preserve"> </v>
          </cell>
          <cell r="D85" t="str">
            <v xml:space="preserve"> </v>
          </cell>
          <cell r="E85" t="str">
            <v>un</v>
          </cell>
          <cell r="F85">
            <v>8</v>
          </cell>
          <cell r="G85">
            <v>15.64</v>
          </cell>
        </row>
        <row r="86">
          <cell r="F86" t="str">
            <v>SUB-TOTAL</v>
          </cell>
        </row>
        <row r="87">
          <cell r="B87" t="str">
            <v>OBRAS COMPLEMENTARES</v>
          </cell>
        </row>
        <row r="88">
          <cell r="A88" t="str">
            <v>05.100.00</v>
          </cell>
          <cell r="B88" t="str">
            <v>Enleivamento</v>
          </cell>
          <cell r="C88" t="str">
            <v>DNER-ES341/97</v>
          </cell>
          <cell r="D88" t="str">
            <v xml:space="preserve"> </v>
          </cell>
          <cell r="E88" t="str">
            <v>m2</v>
          </cell>
          <cell r="F88">
            <v>15972</v>
          </cell>
          <cell r="G88">
            <v>2.06</v>
          </cell>
        </row>
        <row r="89">
          <cell r="A89" t="str">
            <v>P 05.100.02</v>
          </cell>
          <cell r="B89" t="str">
            <v>Fornecimento e plantio de árvore selecionada</v>
          </cell>
          <cell r="C89" t="str">
            <v xml:space="preserve"> </v>
          </cell>
          <cell r="D89" t="str">
            <v xml:space="preserve"> </v>
          </cell>
          <cell r="E89" t="str">
            <v>un</v>
          </cell>
          <cell r="F89">
            <v>40</v>
          </cell>
          <cell r="G89">
            <v>6.02</v>
          </cell>
        </row>
        <row r="90">
          <cell r="A90" t="str">
            <v>P 06.030.00</v>
          </cell>
          <cell r="B90" t="str">
            <v>Barreira de segurança simples</v>
          </cell>
          <cell r="C90" t="str">
            <v xml:space="preserve"> </v>
          </cell>
          <cell r="D90" t="str">
            <v xml:space="preserve"> </v>
          </cell>
          <cell r="E90" t="str">
            <v>m</v>
          </cell>
          <cell r="F90">
            <v>668</v>
          </cell>
          <cell r="G90">
            <v>52.16</v>
          </cell>
        </row>
        <row r="91">
          <cell r="A91" t="str">
            <v>PI 60</v>
          </cell>
          <cell r="B91" t="str">
            <v>Lâmpada a vapor de mercúrio 250W</v>
          </cell>
          <cell r="C91" t="str">
            <v xml:space="preserve"> </v>
          </cell>
          <cell r="D91" t="str">
            <v xml:space="preserve"> </v>
          </cell>
          <cell r="E91" t="str">
            <v>un</v>
          </cell>
          <cell r="F91">
            <v>20</v>
          </cell>
          <cell r="G91">
            <v>16.3</v>
          </cell>
        </row>
        <row r="92">
          <cell r="A92" t="str">
            <v>PI 52</v>
          </cell>
          <cell r="B92" t="str">
            <v>Luminária IMB C-300 ou similar</v>
          </cell>
          <cell r="C92" t="str">
            <v xml:space="preserve"> </v>
          </cell>
          <cell r="D92" t="str">
            <v xml:space="preserve"> </v>
          </cell>
          <cell r="E92" t="str">
            <v>un</v>
          </cell>
          <cell r="F92">
            <v>4</v>
          </cell>
          <cell r="G92">
            <v>410</v>
          </cell>
        </row>
        <row r="93">
          <cell r="A93" t="str">
            <v>PI 13</v>
          </cell>
          <cell r="B93" t="str">
            <v>Eletroduto de aço 20mm, vara de 3m</v>
          </cell>
          <cell r="C93" t="str">
            <v xml:space="preserve"> </v>
          </cell>
          <cell r="D93" t="str">
            <v xml:space="preserve"> </v>
          </cell>
          <cell r="E93" t="str">
            <v>un</v>
          </cell>
          <cell r="F93">
            <v>8</v>
          </cell>
          <cell r="G93">
            <v>14.49</v>
          </cell>
        </row>
        <row r="94">
          <cell r="A94" t="str">
            <v>PI 62</v>
          </cell>
          <cell r="B94" t="str">
            <v>Caixa de passagem para instalação aparente D=20mm, tipo T</v>
          </cell>
          <cell r="C94" t="str">
            <v xml:space="preserve"> </v>
          </cell>
          <cell r="D94" t="str">
            <v xml:space="preserve"> </v>
          </cell>
          <cell r="E94" t="str">
            <v>un</v>
          </cell>
          <cell r="F94">
            <v>4</v>
          </cell>
          <cell r="G94">
            <v>20</v>
          </cell>
        </row>
        <row r="95">
          <cell r="A95" t="str">
            <v>PI 15</v>
          </cell>
          <cell r="B95" t="str">
            <v>Caixa de passagem para instalação aparente D=20mm, tipo LB</v>
          </cell>
          <cell r="C95" t="str">
            <v xml:space="preserve"> </v>
          </cell>
          <cell r="D95" t="str">
            <v xml:space="preserve"> </v>
          </cell>
          <cell r="E95" t="str">
            <v>un</v>
          </cell>
          <cell r="F95">
            <v>2</v>
          </cell>
          <cell r="G95">
            <v>3.62</v>
          </cell>
        </row>
        <row r="96">
          <cell r="A96" t="str">
            <v>PI 18</v>
          </cell>
          <cell r="B96" t="str">
            <v>Braço curvo p/ iluminação pública padrão CELESC</v>
          </cell>
          <cell r="C96" t="str">
            <v xml:space="preserve"> </v>
          </cell>
          <cell r="D96" t="str">
            <v xml:space="preserve"> </v>
          </cell>
          <cell r="E96" t="str">
            <v>un</v>
          </cell>
          <cell r="F96">
            <v>20</v>
          </cell>
          <cell r="G96">
            <v>6.33</v>
          </cell>
        </row>
        <row r="97">
          <cell r="A97" t="str">
            <v>PI 22</v>
          </cell>
          <cell r="B97" t="str">
            <v>Base completa com fusível Diazed, 6A, retardado, incluíndo tampa, anel de proteção e ajuste</v>
          </cell>
          <cell r="C97" t="str">
            <v xml:space="preserve"> </v>
          </cell>
          <cell r="D97" t="str">
            <v xml:space="preserve"> </v>
          </cell>
          <cell r="E97" t="str">
            <v>un</v>
          </cell>
          <cell r="F97">
            <v>22</v>
          </cell>
          <cell r="G97">
            <v>8.6300000000000008</v>
          </cell>
        </row>
        <row r="98">
          <cell r="A98" t="str">
            <v>PI 23</v>
          </cell>
          <cell r="B98" t="str">
            <v>Contator tripolar a seco, p/ corrente alternada - 55 A, para uso em rede 380/220V - 60Hz</v>
          </cell>
          <cell r="C98" t="str">
            <v xml:space="preserve"> </v>
          </cell>
          <cell r="D98" t="str">
            <v xml:space="preserve"> </v>
          </cell>
          <cell r="E98" t="str">
            <v>un</v>
          </cell>
          <cell r="F98">
            <v>2</v>
          </cell>
          <cell r="G98">
            <v>234.6</v>
          </cell>
        </row>
        <row r="99">
          <cell r="A99" t="str">
            <v>PI 24</v>
          </cell>
          <cell r="B99" t="str">
            <v>Fita elétrica auto fusão a base de borracha EPR</v>
          </cell>
          <cell r="C99" t="str">
            <v xml:space="preserve"> </v>
          </cell>
          <cell r="D99" t="str">
            <v xml:space="preserve"> </v>
          </cell>
          <cell r="E99" t="str">
            <v>un</v>
          </cell>
          <cell r="F99">
            <v>4</v>
          </cell>
          <cell r="G99">
            <v>6.39</v>
          </cell>
        </row>
        <row r="100">
          <cell r="A100" t="str">
            <v>PI 25</v>
          </cell>
          <cell r="B100" t="str">
            <v>Fita adesiva plástica isolante</v>
          </cell>
          <cell r="C100" t="str">
            <v xml:space="preserve"> </v>
          </cell>
          <cell r="D100" t="str">
            <v xml:space="preserve"> </v>
          </cell>
          <cell r="E100" t="str">
            <v>un</v>
          </cell>
          <cell r="F100">
            <v>6</v>
          </cell>
          <cell r="G100">
            <v>3.84</v>
          </cell>
        </row>
        <row r="101">
          <cell r="A101" t="str">
            <v>PI 26</v>
          </cell>
          <cell r="B101" t="str">
            <v>Relé fotoelétrico c/ suporte para fixação galv. com furo 18mm</v>
          </cell>
          <cell r="C101" t="str">
            <v xml:space="preserve"> </v>
          </cell>
          <cell r="D101" t="str">
            <v xml:space="preserve"> </v>
          </cell>
          <cell r="E101" t="str">
            <v>un</v>
          </cell>
          <cell r="F101">
            <v>22</v>
          </cell>
          <cell r="G101">
            <v>11.5</v>
          </cell>
        </row>
        <row r="102">
          <cell r="A102" t="str">
            <v>PI 56</v>
          </cell>
          <cell r="B102" t="str">
            <v>Cabo isolado p/ 1000V, 4 mm² de alumínio</v>
          </cell>
          <cell r="C102" t="str">
            <v xml:space="preserve"> </v>
          </cell>
          <cell r="D102" t="str">
            <v xml:space="preserve"> </v>
          </cell>
          <cell r="E102" t="str">
            <v>m</v>
          </cell>
          <cell r="F102">
            <v>110</v>
          </cell>
          <cell r="G102">
            <v>0.37</v>
          </cell>
        </row>
        <row r="103">
          <cell r="A103" t="str">
            <v>PI 28</v>
          </cell>
          <cell r="B103" t="str">
            <v>Eletroduto de aço tipo pesado 100mm</v>
          </cell>
          <cell r="C103" t="str">
            <v xml:space="preserve"> </v>
          </cell>
          <cell r="D103" t="str">
            <v xml:space="preserve"> </v>
          </cell>
          <cell r="E103" t="str">
            <v>m</v>
          </cell>
          <cell r="F103">
            <v>140</v>
          </cell>
          <cell r="G103">
            <v>28.55</v>
          </cell>
        </row>
        <row r="104">
          <cell r="A104" t="str">
            <v>PI 29</v>
          </cell>
          <cell r="B104" t="str">
            <v>Curva em alumínio fundido de alta resistência, fixação por encaixe,50mm</v>
          </cell>
          <cell r="C104" t="str">
            <v xml:space="preserve"> </v>
          </cell>
          <cell r="D104" t="str">
            <v xml:space="preserve"> </v>
          </cell>
          <cell r="E104" t="str">
            <v>un</v>
          </cell>
          <cell r="F104">
            <v>2</v>
          </cell>
          <cell r="G104">
            <v>18.75</v>
          </cell>
        </row>
        <row r="105">
          <cell r="A105" t="str">
            <v>PI 30</v>
          </cell>
          <cell r="B105" t="str">
            <v>Haste para aterramento aço-cobre D 13x2400mm</v>
          </cell>
          <cell r="C105" t="str">
            <v xml:space="preserve"> </v>
          </cell>
          <cell r="D105" t="str">
            <v xml:space="preserve"> </v>
          </cell>
          <cell r="E105" t="str">
            <v>un</v>
          </cell>
          <cell r="F105">
            <v>12</v>
          </cell>
          <cell r="G105">
            <v>6.04</v>
          </cell>
        </row>
        <row r="106">
          <cell r="A106" t="str">
            <v>PI 31</v>
          </cell>
          <cell r="B106" t="str">
            <v>Cabo de cobre nú meio duro, 7 fios 2AWG</v>
          </cell>
          <cell r="C106" t="str">
            <v xml:space="preserve"> </v>
          </cell>
          <cell r="D106" t="str">
            <v xml:space="preserve"> </v>
          </cell>
          <cell r="E106" t="str">
            <v>kg</v>
          </cell>
          <cell r="F106">
            <v>4</v>
          </cell>
          <cell r="G106">
            <v>7.02</v>
          </cell>
        </row>
        <row r="107">
          <cell r="A107" t="str">
            <v>PI 32</v>
          </cell>
          <cell r="B107" t="str">
            <v>Conetor paralelo, liga alumínio tronco 1/0-4 AWG e derivação 2-4AWG</v>
          </cell>
          <cell r="C107" t="str">
            <v xml:space="preserve"> </v>
          </cell>
          <cell r="D107" t="str">
            <v xml:space="preserve"> </v>
          </cell>
          <cell r="E107" t="str">
            <v>un</v>
          </cell>
          <cell r="F107">
            <v>5</v>
          </cell>
          <cell r="G107">
            <v>1.04</v>
          </cell>
        </row>
        <row r="108">
          <cell r="A108" t="str">
            <v>PI 20</v>
          </cell>
          <cell r="B108" t="str">
            <v>Poste de concreto duplo T 10m, 150 daN</v>
          </cell>
          <cell r="C108" t="str">
            <v xml:space="preserve"> </v>
          </cell>
          <cell r="D108" t="str">
            <v xml:space="preserve"> </v>
          </cell>
          <cell r="E108" t="str">
            <v>un</v>
          </cell>
          <cell r="F108">
            <v>10</v>
          </cell>
          <cell r="G108">
            <v>200</v>
          </cell>
        </row>
        <row r="109">
          <cell r="A109" t="str">
            <v>PI 48</v>
          </cell>
          <cell r="B109" t="str">
            <v>Armação secundária p/ 2 estribo</v>
          </cell>
          <cell r="C109" t="str">
            <v xml:space="preserve"> </v>
          </cell>
          <cell r="D109" t="str">
            <v xml:space="preserve"> </v>
          </cell>
          <cell r="E109" t="str">
            <v>un</v>
          </cell>
          <cell r="F109">
            <v>20</v>
          </cell>
          <cell r="G109">
            <v>7.5</v>
          </cell>
        </row>
        <row r="110">
          <cell r="A110" t="str">
            <v>PI 49</v>
          </cell>
          <cell r="B110" t="str">
            <v>Armação secundária p/ 1 estribo</v>
          </cell>
          <cell r="C110" t="str">
            <v xml:space="preserve"> </v>
          </cell>
          <cell r="D110" t="str">
            <v xml:space="preserve"> </v>
          </cell>
          <cell r="E110" t="str">
            <v>un</v>
          </cell>
          <cell r="F110">
            <v>10</v>
          </cell>
          <cell r="G110">
            <v>3.5</v>
          </cell>
        </row>
        <row r="111">
          <cell r="A111" t="str">
            <v>PI 33</v>
          </cell>
          <cell r="B111" t="str">
            <v>Tubo de aço galvanizado, vara de 6m e 50mm</v>
          </cell>
          <cell r="C111" t="str">
            <v xml:space="preserve"> </v>
          </cell>
          <cell r="D111" t="str">
            <v xml:space="preserve"> </v>
          </cell>
          <cell r="E111" t="str">
            <v>un</v>
          </cell>
          <cell r="F111">
            <v>2</v>
          </cell>
          <cell r="G111">
            <v>74.06</v>
          </cell>
        </row>
        <row r="112">
          <cell r="A112" t="str">
            <v>PI 34</v>
          </cell>
          <cell r="B112" t="str">
            <v>Construção de caixa tipo SP, ou pré-instalada com as mesmas características</v>
          </cell>
          <cell r="C112" t="str">
            <v xml:space="preserve"> </v>
          </cell>
          <cell r="D112" t="str">
            <v xml:space="preserve"> </v>
          </cell>
          <cell r="E112" t="str">
            <v>un</v>
          </cell>
          <cell r="F112">
            <v>6</v>
          </cell>
          <cell r="G112">
            <v>180</v>
          </cell>
        </row>
        <row r="113">
          <cell r="A113" t="str">
            <v>PI 36</v>
          </cell>
          <cell r="B113" t="str">
            <v>Construção de embasamento p/ poste tipo engastado, concreto duplo T, 10m de altura</v>
          </cell>
          <cell r="C113" t="str">
            <v xml:space="preserve"> </v>
          </cell>
          <cell r="D113" t="str">
            <v xml:space="preserve"> </v>
          </cell>
          <cell r="E113" t="str">
            <v>un</v>
          </cell>
          <cell r="F113">
            <v>10</v>
          </cell>
          <cell r="G113">
            <v>285</v>
          </cell>
        </row>
        <row r="114">
          <cell r="A114" t="str">
            <v>PI 37</v>
          </cell>
          <cell r="B114" t="str">
            <v>Lançamento de cabos em dutos de aço, classe 1000V, circuito trifásico mais neutro, e monofásico</v>
          </cell>
          <cell r="C114" t="str">
            <v xml:space="preserve"> </v>
          </cell>
          <cell r="D114" t="str">
            <v xml:space="preserve"> </v>
          </cell>
          <cell r="E114" t="str">
            <v>m</v>
          </cell>
          <cell r="F114">
            <v>70</v>
          </cell>
          <cell r="G114">
            <v>4</v>
          </cell>
        </row>
        <row r="115">
          <cell r="A115" t="str">
            <v>PI 38</v>
          </cell>
          <cell r="B115" t="str">
            <v>Confecção de emendas retas ou derivação em cabos classe 1000V, c/ conector à compressão</v>
          </cell>
          <cell r="C115" t="str">
            <v xml:space="preserve"> </v>
          </cell>
          <cell r="D115" t="str">
            <v xml:space="preserve"> </v>
          </cell>
          <cell r="E115" t="str">
            <v>un</v>
          </cell>
          <cell r="F115">
            <v>2</v>
          </cell>
          <cell r="G115">
            <v>4.5</v>
          </cell>
        </row>
        <row r="116">
          <cell r="A116" t="str">
            <v>PI 39</v>
          </cell>
          <cell r="B116" t="str">
            <v>Fixação de haste de terra e conexão ao neutro</v>
          </cell>
          <cell r="C116" t="str">
            <v xml:space="preserve"> </v>
          </cell>
          <cell r="D116" t="str">
            <v xml:space="preserve"> </v>
          </cell>
          <cell r="E116" t="str">
            <v>un</v>
          </cell>
          <cell r="F116">
            <v>12</v>
          </cell>
          <cell r="G116">
            <v>35</v>
          </cell>
        </row>
        <row r="117">
          <cell r="A117" t="str">
            <v>PI 41</v>
          </cell>
          <cell r="B117" t="str">
            <v>Instalação de tubo de aço vara de 6m e curva de entrada de cabos na lateral do poste c/ fix. dutos</v>
          </cell>
          <cell r="C117" t="str">
            <v xml:space="preserve"> </v>
          </cell>
          <cell r="D117" t="str">
            <v xml:space="preserve"> </v>
          </cell>
          <cell r="E117" t="str">
            <v>un</v>
          </cell>
          <cell r="F117">
            <v>2</v>
          </cell>
          <cell r="G117">
            <v>200</v>
          </cell>
        </row>
        <row r="118">
          <cell r="A118" t="str">
            <v>PI 43</v>
          </cell>
          <cell r="B118" t="str">
            <v>Travessia de pista asfáltica p/ lançamento dutos aço tipo pesado 100mm</v>
          </cell>
          <cell r="C118" t="str">
            <v xml:space="preserve"> </v>
          </cell>
          <cell r="D118" t="str">
            <v xml:space="preserve"> </v>
          </cell>
          <cell r="E118" t="str">
            <v>m</v>
          </cell>
          <cell r="F118">
            <v>70</v>
          </cell>
          <cell r="G118">
            <v>70</v>
          </cell>
        </row>
        <row r="119">
          <cell r="A119" t="str">
            <v>PI 44</v>
          </cell>
          <cell r="B119" t="str">
            <v>Montagem eletromecânica de luminária 10,0m de altura, c/ fixação dos equip.e conexões elétricos</v>
          </cell>
          <cell r="C119" t="str">
            <v xml:space="preserve"> </v>
          </cell>
          <cell r="D119" t="str">
            <v xml:space="preserve"> </v>
          </cell>
          <cell r="E119" t="str">
            <v>un</v>
          </cell>
          <cell r="F119">
            <v>10</v>
          </cell>
          <cell r="G119">
            <v>60</v>
          </cell>
        </row>
        <row r="120">
          <cell r="A120" t="str">
            <v>PI 58</v>
          </cell>
          <cell r="B120" t="str">
            <v>Fixação de caixas de passagem p/ instalação aparente D=20mm</v>
          </cell>
          <cell r="C120" t="str">
            <v xml:space="preserve"> </v>
          </cell>
          <cell r="D120" t="str">
            <v xml:space="preserve"> </v>
          </cell>
          <cell r="E120" t="str">
            <v>un</v>
          </cell>
          <cell r="F120">
            <v>4</v>
          </cell>
          <cell r="G120">
            <v>10</v>
          </cell>
        </row>
        <row r="121">
          <cell r="A121" t="str">
            <v>PI 59</v>
          </cell>
          <cell r="B121" t="str">
            <v>Instalação de luminária blindada para lâmpada a vapor de mercúrio 250W</v>
          </cell>
          <cell r="C121" t="str">
            <v xml:space="preserve"> </v>
          </cell>
          <cell r="D121" t="str">
            <v xml:space="preserve"> </v>
          </cell>
          <cell r="E121" t="str">
            <v>un</v>
          </cell>
          <cell r="F121">
            <v>4</v>
          </cell>
          <cell r="G121">
            <v>20</v>
          </cell>
        </row>
        <row r="122">
          <cell r="A122" t="str">
            <v>PI 01</v>
          </cell>
          <cell r="B122" t="str">
            <v>Poste de aço galv. a fogo, c/ 20,0m de alt. p/ instal. tipo engastado</v>
          </cell>
          <cell r="C122" t="str">
            <v xml:space="preserve"> </v>
          </cell>
          <cell r="D122" t="str">
            <v xml:space="preserve"> </v>
          </cell>
          <cell r="E122" t="str">
            <v>un</v>
          </cell>
          <cell r="F122">
            <v>1</v>
          </cell>
          <cell r="G122">
            <v>2662.25</v>
          </cell>
        </row>
        <row r="123">
          <cell r="A123" t="str">
            <v>PI 07</v>
          </cell>
          <cell r="B123" t="str">
            <v>Suporte p/ luminária tipo ZGP402 da Philips ou similar</v>
          </cell>
          <cell r="C123" t="str">
            <v xml:space="preserve"> </v>
          </cell>
          <cell r="D123" t="str">
            <v xml:space="preserve"> </v>
          </cell>
          <cell r="E123" t="str">
            <v>un</v>
          </cell>
          <cell r="F123">
            <v>1</v>
          </cell>
          <cell r="G123">
            <v>100</v>
          </cell>
        </row>
        <row r="124">
          <cell r="A124" t="str">
            <v>PI 04</v>
          </cell>
          <cell r="B124" t="str">
            <v xml:space="preserve">Luminária p/ iluminação pública ref.SRC-612 da Philips ou similar </v>
          </cell>
          <cell r="C124" t="str">
            <v xml:space="preserve"> </v>
          </cell>
          <cell r="D124" t="str">
            <v xml:space="preserve"> </v>
          </cell>
          <cell r="E124" t="str">
            <v>un</v>
          </cell>
          <cell r="F124">
            <v>2</v>
          </cell>
          <cell r="G124">
            <v>425.5</v>
          </cell>
        </row>
        <row r="125">
          <cell r="A125" t="str">
            <v>PI 03</v>
          </cell>
          <cell r="B125" t="str">
            <v xml:space="preserve">Luminária p/ iluminação pública ref.HRC-612 da Philips ou similar </v>
          </cell>
          <cell r="C125" t="str">
            <v xml:space="preserve"> </v>
          </cell>
          <cell r="D125" t="str">
            <v xml:space="preserve"> </v>
          </cell>
          <cell r="E125" t="str">
            <v>un</v>
          </cell>
          <cell r="F125">
            <v>20</v>
          </cell>
          <cell r="G125">
            <v>400</v>
          </cell>
        </row>
        <row r="126">
          <cell r="A126" t="str">
            <v>PI 09</v>
          </cell>
          <cell r="B126" t="str">
            <v>Lâmpada a vapor de sódio 400W, alta pressão, base E40</v>
          </cell>
          <cell r="C126" t="str">
            <v xml:space="preserve"> </v>
          </cell>
          <cell r="D126" t="str">
            <v xml:space="preserve"> </v>
          </cell>
          <cell r="E126" t="str">
            <v>un</v>
          </cell>
          <cell r="F126">
            <v>2</v>
          </cell>
          <cell r="G126">
            <v>33.35</v>
          </cell>
        </row>
        <row r="127">
          <cell r="A127" t="str">
            <v>PI 35</v>
          </cell>
          <cell r="B127" t="str">
            <v>Construção de embasamento p/ poste tipo engastado, 20m de altura</v>
          </cell>
          <cell r="C127" t="str">
            <v xml:space="preserve"> </v>
          </cell>
          <cell r="D127" t="str">
            <v xml:space="preserve"> </v>
          </cell>
          <cell r="E127" t="str">
            <v>un</v>
          </cell>
          <cell r="F127">
            <v>1</v>
          </cell>
          <cell r="G127">
            <v>494</v>
          </cell>
        </row>
        <row r="128">
          <cell r="A128" t="str">
            <v>PI 42</v>
          </cell>
          <cell r="B128" t="str">
            <v>Instalação de poste de aço de 20m de altura engastado</v>
          </cell>
          <cell r="C128" t="str">
            <v xml:space="preserve"> </v>
          </cell>
          <cell r="D128" t="str">
            <v xml:space="preserve"> </v>
          </cell>
          <cell r="E128" t="str">
            <v>un</v>
          </cell>
          <cell r="F128">
            <v>1</v>
          </cell>
          <cell r="G128">
            <v>250</v>
          </cell>
        </row>
        <row r="129">
          <cell r="A129" t="str">
            <v>PI 69</v>
          </cell>
          <cell r="B129" t="str">
            <v>Instalação de poste concreto duplo T, 10m de altura, engastado</v>
          </cell>
          <cell r="C129" t="str">
            <v xml:space="preserve"> </v>
          </cell>
          <cell r="D129" t="str">
            <v xml:space="preserve"> </v>
          </cell>
          <cell r="E129" t="str">
            <v>un</v>
          </cell>
          <cell r="F129">
            <v>10</v>
          </cell>
          <cell r="G129">
            <v>200</v>
          </cell>
        </row>
        <row r="130">
          <cell r="A130" t="str">
            <v>PI 27</v>
          </cell>
          <cell r="B130" t="str">
            <v>Cabo isolado p/ 1000V, bitola 35mm²</v>
          </cell>
          <cell r="C130" t="str">
            <v xml:space="preserve"> </v>
          </cell>
          <cell r="D130" t="str">
            <v xml:space="preserve"> </v>
          </cell>
          <cell r="E130" t="str">
            <v>m</v>
          </cell>
          <cell r="F130">
            <v>200</v>
          </cell>
          <cell r="G130">
            <v>1.55</v>
          </cell>
        </row>
        <row r="131">
          <cell r="A131" t="str">
            <v>PI 65</v>
          </cell>
          <cell r="B131" t="str">
            <v>Cabo de alumínio 1/0</v>
          </cell>
          <cell r="C131" t="str">
            <v xml:space="preserve"> </v>
          </cell>
          <cell r="D131" t="str">
            <v xml:space="preserve"> </v>
          </cell>
          <cell r="E131" t="str">
            <v>m</v>
          </cell>
          <cell r="F131">
            <v>2650</v>
          </cell>
          <cell r="G131">
            <v>1.7</v>
          </cell>
        </row>
        <row r="132">
          <cell r="A132" t="str">
            <v>PI 66</v>
          </cell>
          <cell r="B132" t="str">
            <v>Cabo isolado p/ 1000 V, 6 mm2 de alumínio</v>
          </cell>
          <cell r="C132" t="str">
            <v xml:space="preserve"> </v>
          </cell>
          <cell r="D132" t="str">
            <v xml:space="preserve"> </v>
          </cell>
          <cell r="E132" t="str">
            <v>m</v>
          </cell>
          <cell r="F132">
            <v>20</v>
          </cell>
          <cell r="G132">
            <v>1</v>
          </cell>
        </row>
        <row r="133">
          <cell r="A133" t="str">
            <v>PI 67</v>
          </cell>
          <cell r="B133" t="str">
            <v>Cabo isolado p/ 1000 V, 2,5 mm2 de alumínio</v>
          </cell>
          <cell r="C133" t="str">
            <v xml:space="preserve"> </v>
          </cell>
          <cell r="D133" t="str">
            <v xml:space="preserve"> </v>
          </cell>
          <cell r="E133" t="str">
            <v>m</v>
          </cell>
          <cell r="F133">
            <v>60</v>
          </cell>
          <cell r="G133">
            <v>0.6</v>
          </cell>
        </row>
        <row r="134">
          <cell r="A134" t="str">
            <v>R1</v>
          </cell>
          <cell r="B134" t="str">
            <v>Remanejamento de Rede de Baixa Tensão (220/380V)</v>
          </cell>
          <cell r="C134" t="str">
            <v xml:space="preserve"> </v>
          </cell>
          <cell r="D134" t="str">
            <v xml:space="preserve"> </v>
          </cell>
          <cell r="E134" t="str">
            <v>m</v>
          </cell>
          <cell r="F134">
            <v>200</v>
          </cell>
          <cell r="G134">
            <v>4.7</v>
          </cell>
        </row>
        <row r="135">
          <cell r="A135" t="str">
            <v>R2</v>
          </cell>
          <cell r="B135" t="str">
            <v>Remanejamento de Rede de Alta Tensão (138kV)</v>
          </cell>
          <cell r="C135" t="str">
            <v xml:space="preserve"> </v>
          </cell>
          <cell r="D135" t="str">
            <v xml:space="preserve"> </v>
          </cell>
          <cell r="E135" t="str">
            <v>m</v>
          </cell>
          <cell r="F135">
            <v>400</v>
          </cell>
          <cell r="G135">
            <v>6.2</v>
          </cell>
        </row>
        <row r="136">
          <cell r="A136" t="str">
            <v>R10</v>
          </cell>
          <cell r="B136" t="str">
            <v>Remanejamento de Poste de Concreto 10/150</v>
          </cell>
          <cell r="C136" t="str">
            <v xml:space="preserve"> </v>
          </cell>
          <cell r="D136" t="str">
            <v xml:space="preserve"> </v>
          </cell>
          <cell r="E136" t="str">
            <v>un</v>
          </cell>
          <cell r="F136">
            <v>5</v>
          </cell>
          <cell r="G136">
            <v>75</v>
          </cell>
        </row>
        <row r="137">
          <cell r="A137" t="str">
            <v>R3</v>
          </cell>
          <cell r="B137" t="str">
            <v>Remanejamento de Rede de Telefonia</v>
          </cell>
          <cell r="C137" t="str">
            <v xml:space="preserve"> </v>
          </cell>
          <cell r="D137" t="str">
            <v xml:space="preserve"> </v>
          </cell>
          <cell r="E137" t="str">
            <v>m</v>
          </cell>
          <cell r="F137">
            <v>200</v>
          </cell>
          <cell r="G137">
            <v>2</v>
          </cell>
        </row>
        <row r="138">
          <cell r="A138" t="str">
            <v xml:space="preserve"> </v>
          </cell>
        </row>
      </sheetData>
      <sheetData sheetId="14">
        <row r="14">
          <cell r="A14" t="str">
            <v>01.000.00</v>
          </cell>
          <cell r="B14" t="str">
            <v>Desmatamento,destocamento e limpeza de área com árvore até 0,15m</v>
          </cell>
          <cell r="C14" t="str">
            <v>DNER-ES278/97</v>
          </cell>
          <cell r="D14" t="str">
            <v xml:space="preserve"> </v>
          </cell>
          <cell r="E14" t="str">
            <v>m2</v>
          </cell>
          <cell r="F14">
            <v>20000</v>
          </cell>
          <cell r="G14">
            <v>7.0000000000000007E-2</v>
          </cell>
        </row>
        <row r="15">
          <cell r="A15" t="str">
            <v>01.010.00</v>
          </cell>
          <cell r="B15" t="str">
            <v>Desmatamento e destocamento árvores de 0,15m a 0,30m</v>
          </cell>
          <cell r="C15" t="str">
            <v>DNER-ES278/97</v>
          </cell>
          <cell r="D15" t="str">
            <v xml:space="preserve"> </v>
          </cell>
          <cell r="E15" t="str">
            <v>un</v>
          </cell>
          <cell r="F15">
            <v>100</v>
          </cell>
          <cell r="G15">
            <v>8.92</v>
          </cell>
        </row>
        <row r="16">
          <cell r="A16" t="str">
            <v>01.011.00</v>
          </cell>
          <cell r="B16" t="str">
            <v>Desmatamento e destocamento árvores superior a 0,30m</v>
          </cell>
          <cell r="C16" t="str">
            <v>DNER-ES278/97</v>
          </cell>
          <cell r="D16" t="str">
            <v xml:space="preserve"> </v>
          </cell>
          <cell r="E16" t="str">
            <v>un</v>
          </cell>
          <cell r="F16">
            <v>50</v>
          </cell>
          <cell r="G16">
            <v>26.75</v>
          </cell>
        </row>
        <row r="17">
          <cell r="A17" t="str">
            <v>01.100.15</v>
          </cell>
          <cell r="B17" t="str">
            <v>Escavação,carga e transportes de material de 1a categoria DMT= 1200 a 1400m</v>
          </cell>
          <cell r="C17" t="str">
            <v>DNER-ES280/97</v>
          </cell>
          <cell r="D17" t="str">
            <v xml:space="preserve"> </v>
          </cell>
          <cell r="E17" t="str">
            <v>m3</v>
          </cell>
          <cell r="F17">
            <v>5853</v>
          </cell>
          <cell r="G17">
            <v>2.62</v>
          </cell>
        </row>
        <row r="18">
          <cell r="A18" t="str">
            <v>01.101.15</v>
          </cell>
          <cell r="B18" t="str">
            <v>Escavação,carga e transportes de material de 2a categoria,c/CB,  DMT 1200 a 1400m</v>
          </cell>
          <cell r="C18" t="str">
            <v>DNER-ES280/97</v>
          </cell>
          <cell r="D18" t="str">
            <v xml:space="preserve"> </v>
          </cell>
          <cell r="E18" t="str">
            <v>m3</v>
          </cell>
          <cell r="F18">
            <v>650</v>
          </cell>
          <cell r="G18">
            <v>3.73</v>
          </cell>
        </row>
        <row r="19">
          <cell r="A19" t="str">
            <v>01.510.00</v>
          </cell>
          <cell r="B19" t="str">
            <v>Compactação de aterros a 95% Proctor Normal</v>
          </cell>
          <cell r="C19" t="str">
            <v>DNER-ES282/97</v>
          </cell>
          <cell r="D19" t="str">
            <v xml:space="preserve"> </v>
          </cell>
          <cell r="E19" t="str">
            <v>m3</v>
          </cell>
          <cell r="F19">
            <v>1593</v>
          </cell>
          <cell r="G19">
            <v>0.79</v>
          </cell>
        </row>
        <row r="20">
          <cell r="A20" t="str">
            <v>01.511.00</v>
          </cell>
          <cell r="B20" t="str">
            <v>Compactação de aterros a 100% Proctor Normal</v>
          </cell>
          <cell r="C20" t="str">
            <v>DNER-ES282/97</v>
          </cell>
          <cell r="D20" t="str">
            <v xml:space="preserve"> </v>
          </cell>
          <cell r="E20" t="str">
            <v>m3</v>
          </cell>
          <cell r="F20">
            <v>3827</v>
          </cell>
          <cell r="G20">
            <v>1.36</v>
          </cell>
        </row>
        <row r="21">
          <cell r="A21" t="str">
            <v>P 10.000.06</v>
          </cell>
          <cell r="B21" t="str">
            <v>Aterro reforçado c/ elementos Terramesh (0,50x1,00x4,00m)(malha 8x10) ou similar</v>
          </cell>
          <cell r="C21" t="str">
            <v xml:space="preserve"> </v>
          </cell>
          <cell r="D21" t="str">
            <v xml:space="preserve"> </v>
          </cell>
          <cell r="E21" t="str">
            <v>un</v>
          </cell>
          <cell r="F21">
            <v>2638</v>
          </cell>
          <cell r="G21">
            <v>321.67</v>
          </cell>
        </row>
        <row r="22">
          <cell r="A22" t="str">
            <v>P 10.000.05</v>
          </cell>
          <cell r="B22" t="str">
            <v>Aterro reforçado c/ elementos Terramesh (1,00x1,00x4,00m)(malha 8x10) ou similar</v>
          </cell>
          <cell r="C22" t="str">
            <v xml:space="preserve"> </v>
          </cell>
          <cell r="D22" t="str">
            <v xml:space="preserve"> </v>
          </cell>
          <cell r="E22" t="str">
            <v>un</v>
          </cell>
          <cell r="F22">
            <v>1782</v>
          </cell>
          <cell r="G22">
            <v>414.83</v>
          </cell>
        </row>
        <row r="23">
          <cell r="A23" t="str">
            <v>DER82610</v>
          </cell>
          <cell r="B23" t="str">
            <v>Gabião caixa em PVC c/ h=50cm</v>
          </cell>
          <cell r="C23" t="str">
            <v xml:space="preserve"> </v>
          </cell>
          <cell r="D23" t="str">
            <v xml:space="preserve"> </v>
          </cell>
          <cell r="E23" t="str">
            <v>m3</v>
          </cell>
          <cell r="F23">
            <v>313</v>
          </cell>
          <cell r="G23">
            <v>153.77000000000001</v>
          </cell>
        </row>
        <row r="24">
          <cell r="A24" t="str">
            <v>DER82660</v>
          </cell>
          <cell r="B24" t="str">
            <v>Gabião caixa em PVC c/ h=100cm</v>
          </cell>
          <cell r="C24" t="str">
            <v xml:space="preserve"> </v>
          </cell>
          <cell r="D24" t="str">
            <v xml:space="preserve"> </v>
          </cell>
          <cell r="E24" t="str">
            <v>m3</v>
          </cell>
          <cell r="F24">
            <v>895</v>
          </cell>
          <cell r="G24">
            <v>122.97</v>
          </cell>
        </row>
        <row r="25">
          <cell r="A25" t="str">
            <v>09.517.04</v>
          </cell>
          <cell r="B25" t="str">
            <v>Pedra de mão</v>
          </cell>
          <cell r="C25" t="str">
            <v xml:space="preserve"> </v>
          </cell>
          <cell r="D25" t="str">
            <v xml:space="preserve"> </v>
          </cell>
          <cell r="E25" t="str">
            <v>m3</v>
          </cell>
          <cell r="F25">
            <v>8521</v>
          </cell>
          <cell r="G25">
            <v>11.92</v>
          </cell>
        </row>
        <row r="26">
          <cell r="A26">
            <v>9000032</v>
          </cell>
          <cell r="B26" t="str">
            <v>Manta Geotextil 200g/m2</v>
          </cell>
          <cell r="C26">
            <v>0</v>
          </cell>
          <cell r="D26">
            <v>0</v>
          </cell>
          <cell r="E26" t="str">
            <v>m2</v>
          </cell>
          <cell r="F26">
            <v>12255</v>
          </cell>
          <cell r="G26">
            <v>5.83</v>
          </cell>
        </row>
        <row r="27">
          <cell r="A27" t="str">
            <v>P 10.000.07</v>
          </cell>
          <cell r="B27" t="str">
            <v>Geogrelha Paralink 400m ou similar</v>
          </cell>
          <cell r="C27" t="str">
            <v xml:space="preserve"> </v>
          </cell>
          <cell r="D27" t="str">
            <v xml:space="preserve"> </v>
          </cell>
          <cell r="E27" t="str">
            <v>m2</v>
          </cell>
          <cell r="F27">
            <v>1475</v>
          </cell>
          <cell r="G27">
            <v>52.09</v>
          </cell>
        </row>
        <row r="28">
          <cell r="A28" t="str">
            <v>P 10.000.08</v>
          </cell>
          <cell r="B28" t="str">
            <v>Geogrelha Paralink 800m ou similar</v>
          </cell>
          <cell r="C28" t="str">
            <v xml:space="preserve"> </v>
          </cell>
          <cell r="D28" t="str">
            <v xml:space="preserve"> </v>
          </cell>
          <cell r="E28" t="str">
            <v>m2</v>
          </cell>
          <cell r="F28">
            <v>900</v>
          </cell>
          <cell r="G28">
            <v>91.8</v>
          </cell>
        </row>
        <row r="29">
          <cell r="F29" t="str">
            <v>SUB-TOTAL</v>
          </cell>
        </row>
        <row r="31">
          <cell r="B31" t="str">
            <v>PAVIMENTAÇÃO</v>
          </cell>
        </row>
        <row r="32">
          <cell r="A32" t="str">
            <v>02.000.00</v>
          </cell>
          <cell r="B32" t="str">
            <v>Regularização do subleito</v>
          </cell>
          <cell r="C32" t="str">
            <v xml:space="preserve"> </v>
          </cell>
          <cell r="D32" t="str">
            <v xml:space="preserve"> </v>
          </cell>
          <cell r="E32" t="str">
            <v>m2</v>
          </cell>
          <cell r="F32">
            <v>19615</v>
          </cell>
          <cell r="G32">
            <v>0.3</v>
          </cell>
        </row>
        <row r="33">
          <cell r="A33" t="str">
            <v>DER53130</v>
          </cell>
          <cell r="B33" t="str">
            <v>Camada de macadame seco</v>
          </cell>
          <cell r="C33" t="str">
            <v xml:space="preserve"> </v>
          </cell>
          <cell r="D33" t="str">
            <v xml:space="preserve"> </v>
          </cell>
          <cell r="E33" t="str">
            <v>m3</v>
          </cell>
          <cell r="F33">
            <v>3732</v>
          </cell>
          <cell r="G33">
            <v>21.86</v>
          </cell>
        </row>
        <row r="34">
          <cell r="A34" t="str">
            <v>02.230.00</v>
          </cell>
          <cell r="B34" t="str">
            <v>Base brita graduada</v>
          </cell>
          <cell r="C34" t="str">
            <v>DNER-ES303/97</v>
          </cell>
          <cell r="D34" t="str">
            <v xml:space="preserve"> </v>
          </cell>
          <cell r="E34" t="str">
            <v>m3</v>
          </cell>
          <cell r="F34">
            <v>2736</v>
          </cell>
          <cell r="G34">
            <v>28.06</v>
          </cell>
        </row>
        <row r="35">
          <cell r="A35" t="str">
            <v>02.300.00</v>
          </cell>
          <cell r="B35" t="str">
            <v>Imprimação - Fornecimento, transporte e execução</v>
          </cell>
          <cell r="C35" t="str">
            <v>DNER-ES306/97</v>
          </cell>
          <cell r="D35" t="str">
            <v xml:space="preserve"> </v>
          </cell>
          <cell r="E35" t="str">
            <v>m2</v>
          </cell>
          <cell r="F35">
            <v>17941</v>
          </cell>
          <cell r="G35">
            <v>1.1100000000000001</v>
          </cell>
        </row>
        <row r="36">
          <cell r="A36" t="str">
            <v>02.400.00</v>
          </cell>
          <cell r="B36" t="str">
            <v>Pintura de ligação - Fornec., transporte e execução</v>
          </cell>
          <cell r="C36" t="str">
            <v>DNER-ES307/97</v>
          </cell>
          <cell r="D36" t="str">
            <v xml:space="preserve"> </v>
          </cell>
          <cell r="E36" t="str">
            <v>m2</v>
          </cell>
          <cell r="F36">
            <v>46266</v>
          </cell>
          <cell r="G36">
            <v>0.41</v>
          </cell>
        </row>
        <row r="37">
          <cell r="A37" t="str">
            <v>02.540.01</v>
          </cell>
          <cell r="B37" t="str">
            <v>Concreto betuminoso usinado a quente - usina 100/140 t/h</v>
          </cell>
          <cell r="C37" t="str">
            <v>DNER-ES313/97</v>
          </cell>
          <cell r="D37" t="str">
            <v xml:space="preserve"> </v>
          </cell>
          <cell r="E37" t="str">
            <v>t</v>
          </cell>
          <cell r="F37">
            <v>5664</v>
          </cell>
          <cell r="G37">
            <v>67.64</v>
          </cell>
        </row>
        <row r="38">
          <cell r="A38" t="str">
            <v>DER82200</v>
          </cell>
          <cell r="B38" t="str">
            <v>Remoção de revestimento de CBUQ</v>
          </cell>
          <cell r="C38" t="str">
            <v xml:space="preserve"> </v>
          </cell>
          <cell r="D38" t="str">
            <v xml:space="preserve"> </v>
          </cell>
          <cell r="E38" t="str">
            <v>m3</v>
          </cell>
          <cell r="F38">
            <v>380</v>
          </cell>
          <cell r="G38">
            <v>5.73</v>
          </cell>
        </row>
        <row r="39">
          <cell r="A39" t="str">
            <v>DER82200a</v>
          </cell>
          <cell r="B39" t="str">
            <v>Remoção de camada granular</v>
          </cell>
          <cell r="C39" t="str">
            <v xml:space="preserve"> </v>
          </cell>
          <cell r="D39" t="str">
            <v xml:space="preserve"> </v>
          </cell>
          <cell r="E39" t="str">
            <v>m3</v>
          </cell>
          <cell r="F39">
            <v>380</v>
          </cell>
          <cell r="G39">
            <v>4.67</v>
          </cell>
        </row>
        <row r="40">
          <cell r="F40" t="str">
            <v>SUB-TOTAL</v>
          </cell>
        </row>
        <row r="42">
          <cell r="B42" t="str">
            <v>DRENAGEM</v>
          </cell>
        </row>
        <row r="43">
          <cell r="A43" t="str">
            <v>04.000.00</v>
          </cell>
          <cell r="B43" t="str">
            <v>Escavação manual em material de 1a categoria</v>
          </cell>
          <cell r="C43" t="str">
            <v xml:space="preserve"> </v>
          </cell>
          <cell r="D43" t="str">
            <v xml:space="preserve"> </v>
          </cell>
          <cell r="E43" t="str">
            <v>m3</v>
          </cell>
          <cell r="F43">
            <v>35</v>
          </cell>
          <cell r="G43">
            <v>17.57</v>
          </cell>
        </row>
        <row r="44">
          <cell r="A44" t="str">
            <v>04.001.00</v>
          </cell>
          <cell r="B44" t="str">
            <v>Escavação mecânica em material de 1a categoria</v>
          </cell>
          <cell r="C44" t="str">
            <v xml:space="preserve"> </v>
          </cell>
          <cell r="D44" t="str">
            <v xml:space="preserve"> </v>
          </cell>
          <cell r="E44" t="str">
            <v>m3</v>
          </cell>
          <cell r="F44">
            <v>184</v>
          </cell>
          <cell r="G44">
            <v>2.09</v>
          </cell>
        </row>
        <row r="45">
          <cell r="A45" t="str">
            <v>04.001.01</v>
          </cell>
          <cell r="B45" t="str">
            <v>Escavação mecânica,reaterro e compactação (material de 1a categoria)</v>
          </cell>
          <cell r="C45" t="str">
            <v xml:space="preserve"> </v>
          </cell>
          <cell r="D45" t="str">
            <v xml:space="preserve"> </v>
          </cell>
          <cell r="E45" t="str">
            <v>m3</v>
          </cell>
          <cell r="F45">
            <v>695</v>
          </cell>
          <cell r="G45">
            <v>3.03</v>
          </cell>
        </row>
        <row r="46">
          <cell r="A46" t="str">
            <v>04.510.03</v>
          </cell>
          <cell r="B46" t="str">
            <v>Dreno sub- superficial- DSS 03</v>
          </cell>
          <cell r="C46" t="str">
            <v>DNER-ES294/97</v>
          </cell>
          <cell r="D46" t="str">
            <v xml:space="preserve"> </v>
          </cell>
          <cell r="E46" t="str">
            <v>m</v>
          </cell>
          <cell r="F46">
            <v>242</v>
          </cell>
          <cell r="G46">
            <v>3.71</v>
          </cell>
        </row>
        <row r="47">
          <cell r="A47" t="str">
            <v>04.511.01</v>
          </cell>
          <cell r="B47" t="str">
            <v>Boca de saída p/ dreno sub-superficial-BSD 03</v>
          </cell>
          <cell r="C47" t="str">
            <v xml:space="preserve"> </v>
          </cell>
          <cell r="D47" t="str">
            <v xml:space="preserve"> </v>
          </cell>
          <cell r="E47" t="str">
            <v>un</v>
          </cell>
          <cell r="F47">
            <v>8</v>
          </cell>
          <cell r="G47">
            <v>20.86</v>
          </cell>
        </row>
        <row r="48">
          <cell r="A48" t="str">
            <v>04.900.21</v>
          </cell>
          <cell r="B48" t="str">
            <v>Sarjeta de cant. central de concreto-SCC 01</v>
          </cell>
          <cell r="C48" t="str">
            <v>DNER-ES288/97</v>
          </cell>
          <cell r="D48" t="str">
            <v xml:space="preserve"> </v>
          </cell>
          <cell r="E48" t="str">
            <v>m</v>
          </cell>
          <cell r="F48">
            <v>336</v>
          </cell>
          <cell r="G48">
            <v>13.85</v>
          </cell>
        </row>
        <row r="49">
          <cell r="A49" t="str">
            <v>04.900.22</v>
          </cell>
          <cell r="B49" t="str">
            <v>Sarjeta de cant. central de concreto-SCC 02</v>
          </cell>
          <cell r="C49" t="str">
            <v>DNER-ES288/97</v>
          </cell>
          <cell r="D49" t="str">
            <v xml:space="preserve"> </v>
          </cell>
          <cell r="E49" t="str">
            <v>m</v>
          </cell>
          <cell r="F49">
            <v>451</v>
          </cell>
          <cell r="G49">
            <v>19.170000000000002</v>
          </cell>
        </row>
        <row r="50">
          <cell r="A50" t="str">
            <v>04.900.03</v>
          </cell>
          <cell r="B50" t="str">
            <v>Sarjeta triangular de concreto-STC 03</v>
          </cell>
          <cell r="C50" t="str">
            <v>DNER-ES288/97</v>
          </cell>
          <cell r="D50" t="str">
            <v xml:space="preserve"> </v>
          </cell>
          <cell r="E50" t="str">
            <v>m</v>
          </cell>
          <cell r="F50">
            <v>55</v>
          </cell>
          <cell r="G50">
            <v>16.02</v>
          </cell>
        </row>
        <row r="51">
          <cell r="A51" t="str">
            <v>04.910.05</v>
          </cell>
          <cell r="B51" t="str">
            <v>Meio-fio de concreto-MFC 05</v>
          </cell>
          <cell r="C51" t="str">
            <v>DNER-ES290/97</v>
          </cell>
          <cell r="D51" t="str">
            <v xml:space="preserve"> </v>
          </cell>
          <cell r="E51" t="str">
            <v>m</v>
          </cell>
          <cell r="F51">
            <v>682</v>
          </cell>
          <cell r="G51">
            <v>10.54</v>
          </cell>
        </row>
        <row r="52">
          <cell r="A52" t="str">
            <v>04.960.01</v>
          </cell>
          <cell r="B52" t="str">
            <v>Boca de lobo simples c/ grelha de concreto-BLS 01</v>
          </cell>
          <cell r="C52" t="str">
            <v xml:space="preserve"> </v>
          </cell>
          <cell r="D52" t="str">
            <v xml:space="preserve"> </v>
          </cell>
          <cell r="E52" t="str">
            <v>un</v>
          </cell>
          <cell r="F52">
            <v>3</v>
          </cell>
          <cell r="G52">
            <v>203.51</v>
          </cell>
        </row>
        <row r="53">
          <cell r="A53" t="str">
            <v>04.960.02</v>
          </cell>
          <cell r="B53" t="str">
            <v>Boca de lobo simples c/ grelha de concreto-BLS 02</v>
          </cell>
          <cell r="C53" t="str">
            <v xml:space="preserve"> </v>
          </cell>
          <cell r="D53" t="str">
            <v xml:space="preserve"> </v>
          </cell>
          <cell r="E53" t="str">
            <v>un</v>
          </cell>
          <cell r="F53">
            <v>5</v>
          </cell>
          <cell r="G53">
            <v>257.83999999999997</v>
          </cell>
        </row>
        <row r="54">
          <cell r="A54" t="str">
            <v>P 04.100.07</v>
          </cell>
          <cell r="B54" t="str">
            <v>Execução de galerias D=0,40 c/ lastro de brita</v>
          </cell>
          <cell r="C54" t="str">
            <v xml:space="preserve"> </v>
          </cell>
          <cell r="D54" t="str">
            <v xml:space="preserve"> </v>
          </cell>
          <cell r="E54" t="str">
            <v>m</v>
          </cell>
          <cell r="F54">
            <v>281</v>
          </cell>
          <cell r="G54">
            <v>41.68</v>
          </cell>
        </row>
        <row r="55">
          <cell r="A55" t="str">
            <v>P 04.100.08</v>
          </cell>
          <cell r="B55" t="str">
            <v>Execução de galerias D=0,40 c/ lastro de concreto</v>
          </cell>
          <cell r="C55" t="str">
            <v xml:space="preserve"> </v>
          </cell>
          <cell r="D55" t="str">
            <v xml:space="preserve"> </v>
          </cell>
          <cell r="E55" t="str">
            <v>m</v>
          </cell>
          <cell r="F55">
            <v>28</v>
          </cell>
          <cell r="G55">
            <v>58.65</v>
          </cell>
        </row>
        <row r="56">
          <cell r="A56" t="str">
            <v>DER72350b</v>
          </cell>
          <cell r="B56" t="str">
            <v>Boca para BSTC D=40cm - Normal</v>
          </cell>
          <cell r="C56" t="str">
            <v xml:space="preserve"> </v>
          </cell>
          <cell r="D56" t="str">
            <v xml:space="preserve"> </v>
          </cell>
          <cell r="E56" t="str">
            <v>un</v>
          </cell>
          <cell r="F56">
            <v>3</v>
          </cell>
          <cell r="G56">
            <v>147.57</v>
          </cell>
        </row>
        <row r="57">
          <cell r="F57" t="str">
            <v>SUB-TOTAL</v>
          </cell>
        </row>
        <row r="59">
          <cell r="B59" t="str">
            <v>OBRAS DE ARTE ESPECIAIS</v>
          </cell>
        </row>
        <row r="60">
          <cell r="A60" t="str">
            <v>03.371.01</v>
          </cell>
          <cell r="B60" t="str">
            <v>Formas de placa compensada resinada</v>
          </cell>
          <cell r="C60" t="str">
            <v xml:space="preserve"> </v>
          </cell>
          <cell r="D60" t="str">
            <v xml:space="preserve"> </v>
          </cell>
          <cell r="E60" t="str">
            <v>m2</v>
          </cell>
          <cell r="F60">
            <v>85</v>
          </cell>
          <cell r="G60">
            <v>21.86</v>
          </cell>
        </row>
        <row r="61">
          <cell r="A61" t="str">
            <v>03.371.02</v>
          </cell>
          <cell r="B61" t="str">
            <v>Formas de placa compensada plastificada</v>
          </cell>
          <cell r="C61" t="str">
            <v xml:space="preserve"> </v>
          </cell>
          <cell r="D61" t="str">
            <v xml:space="preserve"> </v>
          </cell>
          <cell r="E61" t="str">
            <v>m2</v>
          </cell>
          <cell r="F61">
            <v>2387</v>
          </cell>
          <cell r="G61">
            <v>30.76</v>
          </cell>
        </row>
        <row r="62">
          <cell r="A62" t="str">
            <v>03.353.00</v>
          </cell>
          <cell r="B62" t="str">
            <v>Forn., preparo e colocação nas formas, de aço CA-50</v>
          </cell>
          <cell r="C62" t="str">
            <v xml:space="preserve"> </v>
          </cell>
          <cell r="D62" t="str">
            <v xml:space="preserve"> </v>
          </cell>
          <cell r="E62" t="str">
            <v>kg</v>
          </cell>
          <cell r="F62">
            <v>37870</v>
          </cell>
          <cell r="G62">
            <v>2.59</v>
          </cell>
        </row>
        <row r="63">
          <cell r="A63" t="str">
            <v>OAE4</v>
          </cell>
          <cell r="B63" t="str">
            <v>Armadura de protensão, fornecimento, bainhas, ancoragens, operações de protensão</v>
          </cell>
          <cell r="C63" t="str">
            <v xml:space="preserve"> </v>
          </cell>
          <cell r="D63" t="str">
            <v xml:space="preserve"> </v>
          </cell>
          <cell r="E63" t="str">
            <v>kg</v>
          </cell>
          <cell r="F63">
            <v>13643</v>
          </cell>
          <cell r="G63">
            <v>19.28</v>
          </cell>
        </row>
        <row r="64">
          <cell r="A64" t="str">
            <v>OAE17</v>
          </cell>
          <cell r="B64" t="str">
            <v>Transporte e lançamento de pré-lages</v>
          </cell>
          <cell r="C64" t="str">
            <v xml:space="preserve"> </v>
          </cell>
          <cell r="D64" t="str">
            <v xml:space="preserve"> </v>
          </cell>
          <cell r="E64" t="str">
            <v>un</v>
          </cell>
          <cell r="F64">
            <v>576</v>
          </cell>
          <cell r="G64">
            <v>23.47</v>
          </cell>
        </row>
        <row r="65">
          <cell r="A65" t="str">
            <v>OAE18</v>
          </cell>
          <cell r="B65" t="str">
            <v>Transporte e lançamento de vigas pré-moldadas</v>
          </cell>
          <cell r="C65" t="str">
            <v xml:space="preserve"> </v>
          </cell>
          <cell r="D65" t="str">
            <v xml:space="preserve"> </v>
          </cell>
          <cell r="E65" t="str">
            <v>un</v>
          </cell>
          <cell r="F65">
            <v>40</v>
          </cell>
          <cell r="G65">
            <v>1281.27</v>
          </cell>
        </row>
        <row r="66">
          <cell r="A66" t="str">
            <v>OAE19</v>
          </cell>
          <cell r="B66" t="str">
            <v>Injeção de nata (cabos 12 varas 1/2")</v>
          </cell>
          <cell r="C66" t="str">
            <v xml:space="preserve"> </v>
          </cell>
          <cell r="D66" t="str">
            <v xml:space="preserve"> </v>
          </cell>
          <cell r="E66" t="str">
            <v>m</v>
          </cell>
          <cell r="F66">
            <v>2388</v>
          </cell>
          <cell r="G66">
            <v>3.65</v>
          </cell>
        </row>
        <row r="67">
          <cell r="A67" t="str">
            <v>03.330.00</v>
          </cell>
          <cell r="B67" t="str">
            <v>Concreto fck= 35 MPa-contr. raz. uso ger.</v>
          </cell>
          <cell r="C67" t="str">
            <v xml:space="preserve"> </v>
          </cell>
          <cell r="D67" t="str">
            <v xml:space="preserve"> </v>
          </cell>
          <cell r="E67" t="str">
            <v>m3</v>
          </cell>
          <cell r="F67">
            <v>326</v>
          </cell>
          <cell r="G67">
            <v>166.78</v>
          </cell>
        </row>
        <row r="68">
          <cell r="A68" t="str">
            <v>P 03.327.01</v>
          </cell>
          <cell r="B68" t="str">
            <v xml:space="preserve">Concreto fck= 25 MPa-contr. raz. uso ger. </v>
          </cell>
          <cell r="C68" t="str">
            <v xml:space="preserve"> </v>
          </cell>
          <cell r="D68" t="str">
            <v xml:space="preserve"> </v>
          </cell>
          <cell r="E68" t="str">
            <v>m3</v>
          </cell>
          <cell r="F68">
            <v>73</v>
          </cell>
          <cell r="G68">
            <v>163.22</v>
          </cell>
        </row>
        <row r="69">
          <cell r="A69" t="str">
            <v>03.510.00</v>
          </cell>
          <cell r="B69" t="str">
            <v>Aparelho de apoio em neoprene</v>
          </cell>
          <cell r="C69" t="str">
            <v xml:space="preserve"> </v>
          </cell>
          <cell r="D69" t="str">
            <v xml:space="preserve"> </v>
          </cell>
          <cell r="E69" t="str">
            <v>kg</v>
          </cell>
          <cell r="F69">
            <v>104</v>
          </cell>
          <cell r="G69">
            <v>86.94</v>
          </cell>
        </row>
        <row r="70">
          <cell r="B70" t="str">
            <v>Barreiras de segurança (C.A.) Tipo New Jersey (129,2 m)</v>
          </cell>
        </row>
        <row r="71">
          <cell r="A71" t="str">
            <v>03.371.00</v>
          </cell>
          <cell r="B71" t="str">
            <v>Formas de madeira compensada</v>
          </cell>
          <cell r="C71" t="str">
            <v xml:space="preserve"> </v>
          </cell>
          <cell r="D71" t="str">
            <v xml:space="preserve"> </v>
          </cell>
          <cell r="E71" t="str">
            <v>m2</v>
          </cell>
          <cell r="F71">
            <v>258.39999999999998</v>
          </cell>
          <cell r="G71">
            <v>21.86</v>
          </cell>
        </row>
        <row r="72">
          <cell r="A72" t="str">
            <v>03.353.00</v>
          </cell>
          <cell r="B72" t="str">
            <v>Forn., preparo e colocação nas formas, de aço CA-50</v>
          </cell>
          <cell r="C72" t="str">
            <v xml:space="preserve"> </v>
          </cell>
          <cell r="D72" t="str">
            <v xml:space="preserve"> </v>
          </cell>
          <cell r="E72" t="str">
            <v>kg</v>
          </cell>
          <cell r="F72">
            <v>2080.12</v>
          </cell>
          <cell r="G72">
            <v>2.59</v>
          </cell>
        </row>
        <row r="73">
          <cell r="A73" t="str">
            <v>03.326.00</v>
          </cell>
          <cell r="B73" t="str">
            <v xml:space="preserve">Concreto fck= 20 MPa-contr. raz. uso ger. </v>
          </cell>
          <cell r="C73" t="str">
            <v xml:space="preserve"> </v>
          </cell>
          <cell r="D73" t="str">
            <v xml:space="preserve"> </v>
          </cell>
          <cell r="E73" t="str">
            <v>m3</v>
          </cell>
          <cell r="F73">
            <v>30</v>
          </cell>
          <cell r="G73">
            <v>149.19999999999999</v>
          </cell>
        </row>
        <row r="74">
          <cell r="B74" t="str">
            <v>Placas de aproximação( 04 unidades)(dimensão 4,00m x 11,2m x 0,30m)</v>
          </cell>
        </row>
        <row r="75">
          <cell r="A75" t="str">
            <v>03.371.00</v>
          </cell>
          <cell r="B75" t="str">
            <v>Formas de madeira compensada</v>
          </cell>
          <cell r="C75" t="str">
            <v xml:space="preserve"> </v>
          </cell>
          <cell r="D75" t="str">
            <v xml:space="preserve"> </v>
          </cell>
          <cell r="E75" t="str">
            <v>m2</v>
          </cell>
          <cell r="F75">
            <v>40</v>
          </cell>
          <cell r="G75">
            <v>21.86</v>
          </cell>
        </row>
        <row r="76">
          <cell r="A76" t="str">
            <v>03.353.00</v>
          </cell>
          <cell r="B76" t="str">
            <v>Forn., preparo e colocação nas formas, de aço CA-50</v>
          </cell>
          <cell r="C76" t="str">
            <v xml:space="preserve"> </v>
          </cell>
          <cell r="D76" t="str">
            <v xml:space="preserve"> </v>
          </cell>
          <cell r="E76" t="str">
            <v>kg</v>
          </cell>
          <cell r="F76">
            <v>3720</v>
          </cell>
          <cell r="G76">
            <v>2.59</v>
          </cell>
        </row>
        <row r="77">
          <cell r="A77" t="str">
            <v>03.326.00</v>
          </cell>
          <cell r="B77" t="str">
            <v xml:space="preserve">Concreto fck= 20 MPa-contr. raz. uso ger. </v>
          </cell>
          <cell r="C77" t="str">
            <v xml:space="preserve"> </v>
          </cell>
          <cell r="D77" t="str">
            <v xml:space="preserve"> </v>
          </cell>
          <cell r="E77" t="str">
            <v>m3</v>
          </cell>
          <cell r="F77">
            <v>54</v>
          </cell>
          <cell r="G77">
            <v>149.19999999999999</v>
          </cell>
        </row>
        <row r="78">
          <cell r="B78" t="str">
            <v>Drenos</v>
          </cell>
        </row>
        <row r="79">
          <cell r="A79" t="str">
            <v>P 03.991.01d</v>
          </cell>
          <cell r="B79" t="str">
            <v>Dreno de FF D= 150 mm x 500mm</v>
          </cell>
          <cell r="C79" t="str">
            <v xml:space="preserve"> </v>
          </cell>
          <cell r="D79" t="str">
            <v xml:space="preserve"> </v>
          </cell>
          <cell r="E79" t="str">
            <v>un</v>
          </cell>
          <cell r="F79">
            <v>56</v>
          </cell>
          <cell r="G79">
            <v>24.91</v>
          </cell>
        </row>
        <row r="80">
          <cell r="A80" t="str">
            <v>P 03.991.01c</v>
          </cell>
          <cell r="B80" t="str">
            <v>Dreno de FF D= 100 mm x 500mm</v>
          </cell>
          <cell r="C80" t="str">
            <v xml:space="preserve"> </v>
          </cell>
          <cell r="D80" t="str">
            <v xml:space="preserve"> </v>
          </cell>
          <cell r="E80" t="str">
            <v>un</v>
          </cell>
          <cell r="F80">
            <v>8</v>
          </cell>
          <cell r="G80">
            <v>15.64</v>
          </cell>
        </row>
        <row r="81">
          <cell r="F81" t="str">
            <v>SUB-TOTAL</v>
          </cell>
        </row>
        <row r="82">
          <cell r="B82" t="str">
            <v>OBRAS COMPLEMENTARES</v>
          </cell>
        </row>
        <row r="83">
          <cell r="A83" t="str">
            <v>05.100.00</v>
          </cell>
          <cell r="B83" t="str">
            <v>Enleivamento</v>
          </cell>
          <cell r="C83" t="str">
            <v>DNER-ES341/97</v>
          </cell>
          <cell r="D83" t="str">
            <v xml:space="preserve"> </v>
          </cell>
          <cell r="E83" t="str">
            <v>m2</v>
          </cell>
          <cell r="F83">
            <v>2557</v>
          </cell>
          <cell r="G83">
            <v>2.06</v>
          </cell>
        </row>
        <row r="84">
          <cell r="A84" t="str">
            <v>P 06.030.00</v>
          </cell>
          <cell r="B84" t="str">
            <v>Barreira de segurança simples</v>
          </cell>
          <cell r="C84" t="str">
            <v xml:space="preserve"> </v>
          </cell>
          <cell r="D84" t="str">
            <v xml:space="preserve"> </v>
          </cell>
          <cell r="E84" t="str">
            <v>m</v>
          </cell>
          <cell r="F84">
            <v>1274</v>
          </cell>
          <cell r="G84">
            <v>52.16</v>
          </cell>
        </row>
        <row r="85">
          <cell r="A85" t="str">
            <v>PI 01</v>
          </cell>
          <cell r="B85" t="str">
            <v>Poste de aço galv. a fogo, c/ 20,0m de alt. p/ instal. tipo engastado</v>
          </cell>
          <cell r="C85" t="str">
            <v xml:space="preserve"> </v>
          </cell>
          <cell r="D85" t="str">
            <v xml:space="preserve"> </v>
          </cell>
          <cell r="E85" t="str">
            <v>un</v>
          </cell>
          <cell r="F85">
            <v>20</v>
          </cell>
          <cell r="G85">
            <v>2662.25</v>
          </cell>
        </row>
        <row r="86">
          <cell r="A86" t="str">
            <v>PI 03</v>
          </cell>
          <cell r="B86" t="str">
            <v xml:space="preserve">Luminária p/ iluminação pública ref.HRC-612 da Philips ou similar </v>
          </cell>
          <cell r="C86" t="str">
            <v xml:space="preserve"> </v>
          </cell>
          <cell r="D86" t="str">
            <v xml:space="preserve"> </v>
          </cell>
          <cell r="E86" t="str">
            <v>un</v>
          </cell>
          <cell r="F86">
            <v>83</v>
          </cell>
          <cell r="G86">
            <v>400</v>
          </cell>
        </row>
        <row r="87">
          <cell r="A87" t="str">
            <v>PI 04</v>
          </cell>
          <cell r="B87" t="str">
            <v xml:space="preserve">Luminária p/ iluminação pública ref.SRC-612 da Philips ou similar </v>
          </cell>
          <cell r="C87" t="str">
            <v xml:space="preserve"> </v>
          </cell>
          <cell r="D87" t="str">
            <v xml:space="preserve"> </v>
          </cell>
          <cell r="E87" t="str">
            <v>un</v>
          </cell>
          <cell r="F87">
            <v>4</v>
          </cell>
          <cell r="G87">
            <v>425.5</v>
          </cell>
        </row>
        <row r="88">
          <cell r="A88" t="str">
            <v>PI 07</v>
          </cell>
          <cell r="B88" t="str">
            <v>Suporte p/ luminária tipo ZGP402 da Philips ou similar</v>
          </cell>
          <cell r="C88" t="str">
            <v xml:space="preserve"> </v>
          </cell>
          <cell r="D88" t="str">
            <v xml:space="preserve"> </v>
          </cell>
          <cell r="E88" t="str">
            <v>un</v>
          </cell>
          <cell r="F88">
            <v>2</v>
          </cell>
          <cell r="G88">
            <v>100</v>
          </cell>
        </row>
        <row r="89">
          <cell r="A89" t="str">
            <v>PI 09</v>
          </cell>
          <cell r="B89" t="str">
            <v>Lâmpada a vapor de sódio 400W, alta pressão, base E40</v>
          </cell>
          <cell r="C89" t="str">
            <v xml:space="preserve"> </v>
          </cell>
          <cell r="D89" t="str">
            <v xml:space="preserve"> </v>
          </cell>
          <cell r="E89" t="str">
            <v>un</v>
          </cell>
          <cell r="F89">
            <v>4</v>
          </cell>
          <cell r="G89">
            <v>33.35</v>
          </cell>
        </row>
        <row r="90">
          <cell r="A90" t="str">
            <v>PI 10</v>
          </cell>
          <cell r="B90" t="str">
            <v>Lâmpada a vapor de mercúrio 250W, alta pressão, base E40</v>
          </cell>
          <cell r="C90" t="str">
            <v xml:space="preserve"> </v>
          </cell>
          <cell r="D90" t="str">
            <v xml:space="preserve"> </v>
          </cell>
          <cell r="E90" t="str">
            <v>un</v>
          </cell>
          <cell r="F90">
            <v>83</v>
          </cell>
          <cell r="G90">
            <v>28.75</v>
          </cell>
        </row>
        <row r="91">
          <cell r="A91" t="str">
            <v>PI 14</v>
          </cell>
          <cell r="B91" t="str">
            <v>Caixa de passagem para instalação aparente D=50mm, tipo T</v>
          </cell>
          <cell r="C91" t="str">
            <v xml:space="preserve"> </v>
          </cell>
          <cell r="D91" t="str">
            <v xml:space="preserve"> </v>
          </cell>
          <cell r="E91" t="str">
            <v>un</v>
          </cell>
          <cell r="F91">
            <v>4</v>
          </cell>
          <cell r="G91">
            <v>4.08</v>
          </cell>
        </row>
        <row r="92">
          <cell r="A92" t="str">
            <v>PI 15</v>
          </cell>
          <cell r="B92" t="str">
            <v>Caixa de passagem para instalação aparente D=20mm, tipo LB</v>
          </cell>
          <cell r="C92" t="str">
            <v xml:space="preserve"> </v>
          </cell>
          <cell r="D92" t="str">
            <v xml:space="preserve"> </v>
          </cell>
          <cell r="E92" t="str">
            <v>un</v>
          </cell>
          <cell r="F92">
            <v>4</v>
          </cell>
          <cell r="G92">
            <v>3.62</v>
          </cell>
        </row>
        <row r="93">
          <cell r="A93" t="str">
            <v>PI 20</v>
          </cell>
          <cell r="B93" t="str">
            <v>Poste de concreto duplo T 10m, 150 daN</v>
          </cell>
          <cell r="C93" t="str">
            <v xml:space="preserve"> </v>
          </cell>
          <cell r="D93" t="str">
            <v xml:space="preserve"> </v>
          </cell>
          <cell r="E93" t="str">
            <v>un</v>
          </cell>
          <cell r="F93">
            <v>29</v>
          </cell>
          <cell r="G93">
            <v>200</v>
          </cell>
        </row>
        <row r="94">
          <cell r="A94" t="str">
            <v>PI 22</v>
          </cell>
          <cell r="B94" t="str">
            <v>Base completa com fusível Diazed, 6A, retardado, incluíndo tampa, anel de proteção e ajuste</v>
          </cell>
          <cell r="C94" t="str">
            <v xml:space="preserve"> </v>
          </cell>
          <cell r="D94" t="str">
            <v xml:space="preserve"> </v>
          </cell>
          <cell r="E94" t="str">
            <v>un</v>
          </cell>
          <cell r="F94">
            <v>87</v>
          </cell>
          <cell r="G94">
            <v>8.6300000000000008</v>
          </cell>
        </row>
        <row r="95">
          <cell r="A95" t="str">
            <v>PI 23</v>
          </cell>
          <cell r="B95" t="str">
            <v>Contator tripolar a seco, p/ corrente alternada - 55 A, para uso em rede 380/220V - 60Hz</v>
          </cell>
          <cell r="C95" t="str">
            <v xml:space="preserve"> </v>
          </cell>
          <cell r="D95" t="str">
            <v xml:space="preserve"> </v>
          </cell>
          <cell r="E95" t="str">
            <v>un</v>
          </cell>
          <cell r="F95">
            <v>6</v>
          </cell>
          <cell r="G95">
            <v>234.6</v>
          </cell>
        </row>
        <row r="96">
          <cell r="A96" t="str">
            <v>PI 24</v>
          </cell>
          <cell r="B96" t="str">
            <v>Fita elétrica auto fusão a base de borracha EPR</v>
          </cell>
          <cell r="C96" t="str">
            <v xml:space="preserve"> </v>
          </cell>
          <cell r="D96" t="str">
            <v xml:space="preserve"> </v>
          </cell>
          <cell r="E96" t="str">
            <v>un</v>
          </cell>
          <cell r="F96">
            <v>8</v>
          </cell>
          <cell r="G96">
            <v>6.39</v>
          </cell>
        </row>
        <row r="97">
          <cell r="A97" t="str">
            <v>PI 25</v>
          </cell>
          <cell r="B97" t="str">
            <v>Fita adesiva plástica isolante</v>
          </cell>
          <cell r="C97" t="str">
            <v xml:space="preserve"> </v>
          </cell>
          <cell r="D97" t="str">
            <v xml:space="preserve"> </v>
          </cell>
          <cell r="E97" t="str">
            <v>un</v>
          </cell>
          <cell r="F97">
            <v>10</v>
          </cell>
          <cell r="G97">
            <v>3.84</v>
          </cell>
        </row>
        <row r="98">
          <cell r="A98" t="str">
            <v>PI 26</v>
          </cell>
          <cell r="B98" t="str">
            <v>Relé fotoelétrico c/ suporte para fixação galv. com furo 18mm</v>
          </cell>
          <cell r="C98" t="str">
            <v xml:space="preserve"> </v>
          </cell>
          <cell r="D98" t="str">
            <v xml:space="preserve"> </v>
          </cell>
          <cell r="E98" t="str">
            <v>un</v>
          </cell>
          <cell r="F98">
            <v>6</v>
          </cell>
          <cell r="G98">
            <v>11.5</v>
          </cell>
        </row>
        <row r="99">
          <cell r="A99" t="str">
            <v>PI 27</v>
          </cell>
          <cell r="B99" t="str">
            <v>Cabo isolado p/ 1000V, bitola 35mm²</v>
          </cell>
          <cell r="C99" t="str">
            <v xml:space="preserve"> </v>
          </cell>
          <cell r="D99" t="str">
            <v xml:space="preserve"> </v>
          </cell>
          <cell r="E99" t="str">
            <v>m</v>
          </cell>
          <cell r="F99">
            <v>100</v>
          </cell>
          <cell r="G99">
            <v>1.55</v>
          </cell>
        </row>
        <row r="100">
          <cell r="A100" t="str">
            <v>PI 28</v>
          </cell>
          <cell r="B100" t="str">
            <v>Eletroduto de aço tipo pesado 100mm</v>
          </cell>
          <cell r="C100" t="str">
            <v xml:space="preserve"> </v>
          </cell>
          <cell r="D100" t="str">
            <v xml:space="preserve"> </v>
          </cell>
          <cell r="E100" t="str">
            <v>m</v>
          </cell>
          <cell r="F100">
            <v>40</v>
          </cell>
          <cell r="G100">
            <v>28.55</v>
          </cell>
        </row>
        <row r="101">
          <cell r="A101" t="str">
            <v>PI 30</v>
          </cell>
          <cell r="B101" t="str">
            <v>Haste para aterramento aço-cobre D 13x2400mm</v>
          </cell>
          <cell r="C101" t="str">
            <v xml:space="preserve"> </v>
          </cell>
          <cell r="D101" t="str">
            <v xml:space="preserve"> </v>
          </cell>
          <cell r="E101" t="str">
            <v>un</v>
          </cell>
          <cell r="F101">
            <v>29</v>
          </cell>
          <cell r="G101">
            <v>6.04</v>
          </cell>
        </row>
        <row r="102">
          <cell r="A102" t="str">
            <v>PI 31</v>
          </cell>
          <cell r="B102" t="str">
            <v>Cabo de cobre nú meio duro, 7 fios 2AWG</v>
          </cell>
          <cell r="C102" t="str">
            <v xml:space="preserve"> </v>
          </cell>
          <cell r="D102" t="str">
            <v xml:space="preserve"> </v>
          </cell>
          <cell r="E102" t="str">
            <v>kg</v>
          </cell>
          <cell r="F102">
            <v>15</v>
          </cell>
          <cell r="G102">
            <v>7.02</v>
          </cell>
        </row>
        <row r="103">
          <cell r="A103" t="str">
            <v>PI 34</v>
          </cell>
          <cell r="B103" t="str">
            <v>Construção de caixa tipo SP, ou pré-instalada com as mesmas características</v>
          </cell>
          <cell r="C103" t="str">
            <v xml:space="preserve"> </v>
          </cell>
          <cell r="D103" t="str">
            <v xml:space="preserve"> </v>
          </cell>
          <cell r="E103" t="str">
            <v>un</v>
          </cell>
          <cell r="F103">
            <v>6</v>
          </cell>
          <cell r="G103">
            <v>180</v>
          </cell>
        </row>
        <row r="104">
          <cell r="A104" t="str">
            <v>PI 35</v>
          </cell>
          <cell r="B104" t="str">
            <v>Construção de embasamento p/ poste tipo engastado, 20m de altura</v>
          </cell>
          <cell r="C104" t="str">
            <v xml:space="preserve"> </v>
          </cell>
          <cell r="D104" t="str">
            <v xml:space="preserve"> </v>
          </cell>
          <cell r="E104" t="str">
            <v>un</v>
          </cell>
          <cell r="F104">
            <v>2</v>
          </cell>
          <cell r="G104">
            <v>494</v>
          </cell>
        </row>
        <row r="105">
          <cell r="A105" t="str">
            <v>PI 36</v>
          </cell>
          <cell r="B105" t="str">
            <v>Construção de embasamento p/ poste tipo engastado, concreto duplo T, 10m de altura</v>
          </cell>
          <cell r="C105" t="str">
            <v xml:space="preserve"> </v>
          </cell>
          <cell r="D105" t="str">
            <v xml:space="preserve"> </v>
          </cell>
          <cell r="E105" t="str">
            <v>un</v>
          </cell>
          <cell r="F105">
            <v>29</v>
          </cell>
          <cell r="G105">
            <v>285</v>
          </cell>
        </row>
        <row r="106">
          <cell r="A106" t="str">
            <v>PI 37</v>
          </cell>
          <cell r="B106" t="str">
            <v>Lançamento de cabos em dutos de aço, classe 1000V, circuito trifásico mais neutro, e monofásico</v>
          </cell>
          <cell r="C106" t="str">
            <v xml:space="preserve"> </v>
          </cell>
          <cell r="D106" t="str">
            <v xml:space="preserve"> </v>
          </cell>
          <cell r="E106" t="str">
            <v>m</v>
          </cell>
          <cell r="F106">
            <v>20</v>
          </cell>
          <cell r="G106">
            <v>4</v>
          </cell>
        </row>
        <row r="107">
          <cell r="A107" t="str">
            <v>PI 38</v>
          </cell>
          <cell r="B107" t="str">
            <v>Confecção de emendas retas ou derivação em cabos classe 1000V, c/ conector à compressão</v>
          </cell>
          <cell r="C107" t="str">
            <v xml:space="preserve"> </v>
          </cell>
          <cell r="D107" t="str">
            <v xml:space="preserve"> </v>
          </cell>
          <cell r="E107" t="str">
            <v>un</v>
          </cell>
          <cell r="F107">
            <v>4</v>
          </cell>
          <cell r="G107">
            <v>4.5</v>
          </cell>
        </row>
        <row r="108">
          <cell r="A108" t="str">
            <v>PI 39</v>
          </cell>
          <cell r="B108" t="str">
            <v>Fixação de haste de terra e conexão ao neutro</v>
          </cell>
          <cell r="C108" t="str">
            <v xml:space="preserve"> </v>
          </cell>
          <cell r="D108" t="str">
            <v xml:space="preserve"> </v>
          </cell>
          <cell r="E108" t="str">
            <v>un</v>
          </cell>
          <cell r="F108">
            <v>29</v>
          </cell>
          <cell r="G108">
            <v>35</v>
          </cell>
        </row>
        <row r="109">
          <cell r="A109" t="str">
            <v>PI 40</v>
          </cell>
          <cell r="B109" t="str">
            <v>Montagem eletromecân.de iluminação a 17,5m de alt., formada p/2 pétalas, c/ fixação dos equip.</v>
          </cell>
          <cell r="C109" t="str">
            <v xml:space="preserve"> </v>
          </cell>
          <cell r="D109" t="str">
            <v xml:space="preserve"> </v>
          </cell>
          <cell r="E109" t="str">
            <v>un</v>
          </cell>
          <cell r="F109">
            <v>4</v>
          </cell>
          <cell r="G109">
            <v>550</v>
          </cell>
        </row>
        <row r="110">
          <cell r="A110" t="str">
            <v>PI 41</v>
          </cell>
          <cell r="B110" t="str">
            <v>Instalação de tubo de aço vara de 6m e curva de entrada de cabos na lateral do poste c/ fix. dutos</v>
          </cell>
          <cell r="C110" t="str">
            <v xml:space="preserve"> </v>
          </cell>
          <cell r="D110" t="str">
            <v xml:space="preserve"> </v>
          </cell>
          <cell r="E110" t="str">
            <v>un</v>
          </cell>
          <cell r="F110">
            <v>3</v>
          </cell>
          <cell r="G110">
            <v>200</v>
          </cell>
        </row>
        <row r="111">
          <cell r="A111" t="str">
            <v>PI 42</v>
          </cell>
          <cell r="B111" t="str">
            <v>Instalação de poste de aço de 20m de altura engastado</v>
          </cell>
          <cell r="C111" t="str">
            <v xml:space="preserve"> </v>
          </cell>
          <cell r="D111" t="str">
            <v xml:space="preserve"> </v>
          </cell>
          <cell r="E111" t="str">
            <v>un</v>
          </cell>
          <cell r="F111">
            <v>2</v>
          </cell>
          <cell r="G111">
            <v>250</v>
          </cell>
        </row>
        <row r="112">
          <cell r="A112" t="str">
            <v>PI 43</v>
          </cell>
          <cell r="B112" t="str">
            <v>Travessia de pista asfáltica p/ lançamento dutos aço tipo pesado 100mm</v>
          </cell>
          <cell r="C112" t="str">
            <v xml:space="preserve"> </v>
          </cell>
          <cell r="D112" t="str">
            <v xml:space="preserve"> </v>
          </cell>
          <cell r="E112" t="str">
            <v>m</v>
          </cell>
          <cell r="F112">
            <v>40</v>
          </cell>
          <cell r="G112">
            <v>70</v>
          </cell>
        </row>
        <row r="113">
          <cell r="A113" t="str">
            <v>PI 44</v>
          </cell>
          <cell r="B113" t="str">
            <v>Montagem eletromecânica de luminária 10,0m de altura, c/ fixação dos equip.e conexões elétricos</v>
          </cell>
          <cell r="C113" t="str">
            <v xml:space="preserve"> </v>
          </cell>
          <cell r="D113" t="str">
            <v xml:space="preserve"> </v>
          </cell>
          <cell r="E113" t="str">
            <v>un</v>
          </cell>
          <cell r="F113">
            <v>83</v>
          </cell>
          <cell r="G113">
            <v>60</v>
          </cell>
        </row>
        <row r="114">
          <cell r="A114" t="str">
            <v>PI 48</v>
          </cell>
          <cell r="B114" t="str">
            <v>Armação secundária p/ 2 estribo</v>
          </cell>
          <cell r="C114" t="str">
            <v xml:space="preserve"> </v>
          </cell>
          <cell r="D114" t="str">
            <v xml:space="preserve"> </v>
          </cell>
          <cell r="E114" t="str">
            <v>un</v>
          </cell>
          <cell r="F114">
            <v>58</v>
          </cell>
          <cell r="G114">
            <v>7.5</v>
          </cell>
        </row>
        <row r="115">
          <cell r="A115" t="str">
            <v>PI 49</v>
          </cell>
          <cell r="B115" t="str">
            <v>Armação secundária p/ 1 estribo</v>
          </cell>
          <cell r="C115" t="str">
            <v xml:space="preserve"> </v>
          </cell>
          <cell r="D115" t="str">
            <v xml:space="preserve"> </v>
          </cell>
          <cell r="E115" t="str">
            <v>un</v>
          </cell>
          <cell r="F115">
            <v>29</v>
          </cell>
          <cell r="G115">
            <v>3.5</v>
          </cell>
        </row>
        <row r="116">
          <cell r="A116" t="str">
            <v>PI 50</v>
          </cell>
          <cell r="B116" t="str">
            <v>Cabo isolado, de alumínio singelo, bitola 4 mm² - estimada</v>
          </cell>
          <cell r="C116" t="str">
            <v xml:space="preserve"> </v>
          </cell>
          <cell r="D116" t="str">
            <v xml:space="preserve"> </v>
          </cell>
          <cell r="E116" t="str">
            <v>m</v>
          </cell>
          <cell r="F116">
            <v>120</v>
          </cell>
          <cell r="G116">
            <v>0.35</v>
          </cell>
        </row>
        <row r="117">
          <cell r="A117" t="str">
            <v>PI 51</v>
          </cell>
          <cell r="B117" t="str">
            <v>Eletoduto de PVC corrugado tipo Kanalex ou similar, 50 mm</v>
          </cell>
          <cell r="C117" t="str">
            <v xml:space="preserve"> </v>
          </cell>
          <cell r="D117" t="str">
            <v xml:space="preserve"> </v>
          </cell>
          <cell r="E117" t="str">
            <v>m</v>
          </cell>
          <cell r="F117">
            <v>20</v>
          </cell>
          <cell r="G117">
            <v>3.02</v>
          </cell>
        </row>
        <row r="118">
          <cell r="A118" t="str">
            <v>PI 52</v>
          </cell>
          <cell r="B118" t="str">
            <v>Luminária IMB C-300 ou similar</v>
          </cell>
          <cell r="C118" t="str">
            <v xml:space="preserve"> </v>
          </cell>
          <cell r="D118" t="str">
            <v xml:space="preserve"> </v>
          </cell>
          <cell r="E118" t="str">
            <v>un</v>
          </cell>
          <cell r="F118">
            <v>4</v>
          </cell>
          <cell r="G118">
            <v>410</v>
          </cell>
        </row>
        <row r="119">
          <cell r="A119" t="str">
            <v>PI 67</v>
          </cell>
          <cell r="B119" t="str">
            <v>Cabo isolado p/ 1000 V, 2,5 mm2 de alumínio</v>
          </cell>
          <cell r="C119" t="str">
            <v xml:space="preserve"> </v>
          </cell>
          <cell r="D119" t="str">
            <v xml:space="preserve"> </v>
          </cell>
          <cell r="E119" t="str">
            <v>m</v>
          </cell>
          <cell r="F119">
            <v>170</v>
          </cell>
          <cell r="G119">
            <v>0.6</v>
          </cell>
        </row>
        <row r="120">
          <cell r="A120" t="str">
            <v>PI 66</v>
          </cell>
          <cell r="B120" t="str">
            <v>Cabo isolado p/ 1000 V, 6 mm2 de alumínio</v>
          </cell>
          <cell r="C120" t="str">
            <v xml:space="preserve"> </v>
          </cell>
          <cell r="D120" t="str">
            <v xml:space="preserve"> </v>
          </cell>
          <cell r="E120" t="str">
            <v>m</v>
          </cell>
          <cell r="F120">
            <v>40</v>
          </cell>
          <cell r="G120">
            <v>1</v>
          </cell>
        </row>
        <row r="121">
          <cell r="A121" t="str">
            <v>PI 57</v>
          </cell>
          <cell r="B121" t="str">
            <v>Lançamento de cabos em eletroduto de PVC corrugado</v>
          </cell>
          <cell r="C121" t="str">
            <v xml:space="preserve"> </v>
          </cell>
          <cell r="D121" t="str">
            <v xml:space="preserve"> </v>
          </cell>
          <cell r="E121" t="str">
            <v>m</v>
          </cell>
          <cell r="F121">
            <v>20</v>
          </cell>
          <cell r="G121">
            <v>3</v>
          </cell>
        </row>
        <row r="122">
          <cell r="A122" t="str">
            <v>PI 58</v>
          </cell>
          <cell r="B122" t="str">
            <v>Fixação de caixas de passagem p/ instalação aparente D=20mm</v>
          </cell>
          <cell r="C122" t="str">
            <v xml:space="preserve"> </v>
          </cell>
          <cell r="D122" t="str">
            <v xml:space="preserve"> </v>
          </cell>
          <cell r="E122" t="str">
            <v>un</v>
          </cell>
          <cell r="F122">
            <v>4</v>
          </cell>
          <cell r="G122">
            <v>10</v>
          </cell>
        </row>
        <row r="123">
          <cell r="A123" t="str">
            <v>PI 59</v>
          </cell>
          <cell r="B123" t="str">
            <v>Instalação de luminária blindada para lâmpada a vapor de mercúrio 250W</v>
          </cell>
          <cell r="C123" t="str">
            <v xml:space="preserve"> </v>
          </cell>
          <cell r="D123" t="str">
            <v xml:space="preserve"> </v>
          </cell>
          <cell r="E123" t="str">
            <v>un</v>
          </cell>
          <cell r="F123">
            <v>4</v>
          </cell>
          <cell r="G123">
            <v>20</v>
          </cell>
        </row>
        <row r="124">
          <cell r="A124" t="str">
            <v>PI 61</v>
          </cell>
          <cell r="B124" t="str">
            <v>Isolador de roldana</v>
          </cell>
          <cell r="C124" t="str">
            <v xml:space="preserve"> </v>
          </cell>
          <cell r="D124" t="str">
            <v xml:space="preserve"> </v>
          </cell>
          <cell r="E124" t="str">
            <v>un</v>
          </cell>
          <cell r="F124">
            <v>145</v>
          </cell>
          <cell r="G124">
            <v>4.5</v>
          </cell>
        </row>
        <row r="125">
          <cell r="A125" t="str">
            <v>PI 65</v>
          </cell>
          <cell r="B125" t="str">
            <v>Cabo de alumínio 1/0</v>
          </cell>
          <cell r="C125" t="str">
            <v xml:space="preserve"> </v>
          </cell>
          <cell r="D125" t="str">
            <v xml:space="preserve"> </v>
          </cell>
          <cell r="E125" t="str">
            <v>m</v>
          </cell>
          <cell r="F125">
            <v>4625</v>
          </cell>
          <cell r="G125">
            <v>1.7</v>
          </cell>
        </row>
        <row r="126">
          <cell r="A126" t="str">
            <v>R1</v>
          </cell>
          <cell r="B126" t="str">
            <v>Remanejamento de Rede de Baixa Tensão (220/380V)</v>
          </cell>
          <cell r="C126" t="str">
            <v xml:space="preserve"> </v>
          </cell>
          <cell r="D126" t="str">
            <v xml:space="preserve"> </v>
          </cell>
          <cell r="E126" t="str">
            <v>m</v>
          </cell>
          <cell r="F126">
            <v>180</v>
          </cell>
          <cell r="G126">
            <v>4.7</v>
          </cell>
        </row>
        <row r="127">
          <cell r="A127" t="str">
            <v>R2</v>
          </cell>
          <cell r="B127" t="str">
            <v>Remanejamento de Rede de Alta Tensão (138kV)</v>
          </cell>
          <cell r="C127" t="str">
            <v xml:space="preserve"> </v>
          </cell>
          <cell r="D127" t="str">
            <v xml:space="preserve"> </v>
          </cell>
          <cell r="E127" t="str">
            <v>m</v>
          </cell>
          <cell r="F127">
            <v>450</v>
          </cell>
          <cell r="G127">
            <v>6.2</v>
          </cell>
        </row>
        <row r="128">
          <cell r="A128" t="str">
            <v>R10</v>
          </cell>
          <cell r="B128" t="str">
            <v>Remanejamento de Poste de Concreto 10/150</v>
          </cell>
          <cell r="C128" t="str">
            <v xml:space="preserve"> </v>
          </cell>
          <cell r="D128" t="str">
            <v xml:space="preserve"> </v>
          </cell>
          <cell r="E128" t="str">
            <v>un</v>
          </cell>
          <cell r="F128">
            <v>2</v>
          </cell>
          <cell r="G128">
            <v>75</v>
          </cell>
        </row>
        <row r="129">
          <cell r="A129" t="str">
            <v>R14</v>
          </cell>
          <cell r="B129" t="str">
            <v>Remanejamento de Poste de Concreto 11/300</v>
          </cell>
          <cell r="C129" t="str">
            <v xml:space="preserve"> </v>
          </cell>
          <cell r="D129" t="str">
            <v xml:space="preserve"> </v>
          </cell>
          <cell r="E129" t="str">
            <v>un</v>
          </cell>
          <cell r="F129">
            <v>2</v>
          </cell>
          <cell r="G129">
            <v>75</v>
          </cell>
        </row>
        <row r="130">
          <cell r="A130" t="str">
            <v>R15</v>
          </cell>
          <cell r="B130" t="str">
            <v>Remanejamento de Poste de Concreto 11/500</v>
          </cell>
          <cell r="C130" t="str">
            <v xml:space="preserve"> </v>
          </cell>
          <cell r="D130" t="str">
            <v xml:space="preserve"> </v>
          </cell>
          <cell r="E130" t="str">
            <v>un</v>
          </cell>
          <cell r="F130">
            <v>2</v>
          </cell>
          <cell r="G130">
            <v>75</v>
          </cell>
        </row>
        <row r="131">
          <cell r="A131" t="str">
            <v>R17</v>
          </cell>
          <cell r="B131" t="str">
            <v>Remanejamento de Poste de Concreto 10/150 c/ 2 pétala (400W) instalado</v>
          </cell>
          <cell r="C131" t="str">
            <v xml:space="preserve"> </v>
          </cell>
          <cell r="D131" t="str">
            <v xml:space="preserve"> </v>
          </cell>
          <cell r="E131" t="str">
            <v>un</v>
          </cell>
          <cell r="F131">
            <v>3</v>
          </cell>
          <cell r="G131">
            <v>200</v>
          </cell>
        </row>
        <row r="132">
          <cell r="A132" t="str">
            <v>R20A</v>
          </cell>
          <cell r="B132" t="str">
            <v>Remanejamento de Poste de Concreto 11/300 c/ 3 pétalas (400W) instalado</v>
          </cell>
          <cell r="C132" t="str">
            <v xml:space="preserve"> </v>
          </cell>
          <cell r="D132" t="str">
            <v xml:space="preserve"> </v>
          </cell>
          <cell r="E132" t="str">
            <v>un</v>
          </cell>
          <cell r="F132">
            <v>2</v>
          </cell>
          <cell r="G132">
            <v>250</v>
          </cell>
        </row>
        <row r="133">
          <cell r="A133" t="str">
            <v>R3</v>
          </cell>
          <cell r="B133" t="str">
            <v>Remanejamento de Rede de Telefonia</v>
          </cell>
          <cell r="C133" t="str">
            <v xml:space="preserve"> </v>
          </cell>
          <cell r="D133" t="str">
            <v xml:space="preserve"> </v>
          </cell>
          <cell r="E133" t="str">
            <v>m</v>
          </cell>
          <cell r="F133">
            <v>360</v>
          </cell>
          <cell r="G133">
            <v>2</v>
          </cell>
        </row>
      </sheetData>
      <sheetData sheetId="15">
        <row r="14">
          <cell r="A14" t="str">
            <v>01.000.00</v>
          </cell>
          <cell r="B14" t="str">
            <v>Desmatamento,destocamento e limpeza de área com árvore até 0,15m</v>
          </cell>
          <cell r="C14" t="str">
            <v>DNER-ES278/97</v>
          </cell>
          <cell r="D14" t="str">
            <v xml:space="preserve"> </v>
          </cell>
          <cell r="E14" t="str">
            <v>m2</v>
          </cell>
          <cell r="F14">
            <v>32976</v>
          </cell>
          <cell r="G14">
            <v>7.0000000000000007E-2</v>
          </cell>
        </row>
        <row r="15">
          <cell r="A15" t="str">
            <v>01.010.00</v>
          </cell>
          <cell r="B15" t="str">
            <v>Desmatamento e destocamento árvores de 0,15m a 0,30m</v>
          </cell>
          <cell r="C15" t="str">
            <v>DNER-ES278/97</v>
          </cell>
          <cell r="D15" t="str">
            <v xml:space="preserve"> </v>
          </cell>
          <cell r="E15" t="str">
            <v>un</v>
          </cell>
          <cell r="F15">
            <v>300</v>
          </cell>
          <cell r="G15">
            <v>8.92</v>
          </cell>
        </row>
        <row r="16">
          <cell r="A16" t="str">
            <v>01.011.00</v>
          </cell>
          <cell r="B16" t="str">
            <v>Desmatamento e destocamento árvores superior a 0,30m</v>
          </cell>
          <cell r="C16" t="str">
            <v>DNER-ES278/97</v>
          </cell>
          <cell r="D16" t="str">
            <v xml:space="preserve"> </v>
          </cell>
          <cell r="E16" t="str">
            <v>un</v>
          </cell>
          <cell r="F16">
            <v>100</v>
          </cell>
          <cell r="G16">
            <v>26.75</v>
          </cell>
        </row>
        <row r="17">
          <cell r="A17" t="str">
            <v>01.100.09</v>
          </cell>
          <cell r="B17" t="str">
            <v>Escavação,carga e transportes de material de 1a categoria DMT= 50 a 200m</v>
          </cell>
          <cell r="C17" t="str">
            <v>DNER-ES280/97</v>
          </cell>
          <cell r="D17" t="str">
            <v xml:space="preserve"> </v>
          </cell>
          <cell r="E17" t="str">
            <v>m3</v>
          </cell>
          <cell r="F17">
            <v>1549</v>
          </cell>
          <cell r="G17">
            <v>1.89</v>
          </cell>
        </row>
        <row r="18">
          <cell r="A18" t="str">
            <v>01.100.10</v>
          </cell>
          <cell r="B18" t="str">
            <v>Escavação,carga e transportes de material de 1a categoria DMT= 200 a 400m</v>
          </cell>
          <cell r="C18" t="str">
            <v>DNER-ES280/97</v>
          </cell>
          <cell r="D18" t="str">
            <v xml:space="preserve"> </v>
          </cell>
          <cell r="E18" t="str">
            <v>m3</v>
          </cell>
          <cell r="F18">
            <v>1285</v>
          </cell>
          <cell r="G18">
            <v>1.98</v>
          </cell>
        </row>
        <row r="19">
          <cell r="A19" t="str">
            <v>01.100.11</v>
          </cell>
          <cell r="B19" t="str">
            <v>Escavação,carga e transportes de material de 1a categoria DMT= 400 a 600m</v>
          </cell>
          <cell r="C19" t="str">
            <v>DNER-ES280/97</v>
          </cell>
          <cell r="D19" t="str">
            <v xml:space="preserve"> </v>
          </cell>
          <cell r="E19" t="str">
            <v>m3</v>
          </cell>
          <cell r="F19">
            <v>1718</v>
          </cell>
          <cell r="G19">
            <v>2.12</v>
          </cell>
        </row>
        <row r="20">
          <cell r="A20" t="str">
            <v>DER50290</v>
          </cell>
          <cell r="B20" t="str">
            <v>Esc.  Carga e Transp. de mat. 1a cat. c/ CB 8000&lt;DMT&lt;9000m</v>
          </cell>
          <cell r="C20" t="str">
            <v xml:space="preserve"> </v>
          </cell>
          <cell r="D20" t="str">
            <v xml:space="preserve"> </v>
          </cell>
          <cell r="E20" t="str">
            <v>m3</v>
          </cell>
          <cell r="F20">
            <v>49008</v>
          </cell>
          <cell r="G20">
            <v>5.79</v>
          </cell>
        </row>
        <row r="21">
          <cell r="A21" t="str">
            <v>DER50300</v>
          </cell>
          <cell r="B21" t="str">
            <v>Esc.  Carga e Transp. de mat. 1a cat. c/ CB 9000&lt;DMT&lt;10000m</v>
          </cell>
          <cell r="C21" t="str">
            <v xml:space="preserve"> </v>
          </cell>
          <cell r="D21" t="str">
            <v xml:space="preserve"> </v>
          </cell>
          <cell r="E21" t="str">
            <v>m3</v>
          </cell>
          <cell r="F21">
            <v>6244</v>
          </cell>
          <cell r="G21">
            <v>6.3</v>
          </cell>
        </row>
        <row r="22">
          <cell r="A22" t="str">
            <v>DER51280</v>
          </cell>
          <cell r="B22" t="str">
            <v>Escavação,carga e transportes de material de 2a categoria DMT 8000 a 9000m</v>
          </cell>
          <cell r="C22" t="str">
            <v xml:space="preserve"> </v>
          </cell>
          <cell r="D22" t="str">
            <v xml:space="preserve"> </v>
          </cell>
          <cell r="E22" t="str">
            <v>m3</v>
          </cell>
          <cell r="F22">
            <v>32672</v>
          </cell>
          <cell r="G22">
            <v>7.48</v>
          </cell>
        </row>
        <row r="23">
          <cell r="A23" t="str">
            <v>DER51290</v>
          </cell>
          <cell r="B23" t="str">
            <v>Escavação,carga e transportes de material de 2a categoria DMT 9000 a 10000m</v>
          </cell>
          <cell r="C23" t="str">
            <v xml:space="preserve"> </v>
          </cell>
          <cell r="D23" t="str">
            <v xml:space="preserve"> </v>
          </cell>
          <cell r="E23" t="str">
            <v>m3</v>
          </cell>
          <cell r="F23">
            <v>4162</v>
          </cell>
          <cell r="G23">
            <v>8.11</v>
          </cell>
        </row>
        <row r="24">
          <cell r="A24" t="str">
            <v>01.510.00</v>
          </cell>
          <cell r="B24" t="str">
            <v>Compactação de aterros a 95% Proctor Normal</v>
          </cell>
          <cell r="C24" t="str">
            <v>DNER-ES282/97</v>
          </cell>
          <cell r="D24" t="str">
            <v xml:space="preserve"> </v>
          </cell>
          <cell r="E24" t="str">
            <v>m3</v>
          </cell>
          <cell r="F24">
            <v>71860</v>
          </cell>
          <cell r="G24">
            <v>0.79</v>
          </cell>
        </row>
        <row r="25">
          <cell r="A25" t="str">
            <v>01.511.00</v>
          </cell>
          <cell r="B25" t="str">
            <v>Compactação de aterros a 100% Proctor Normal</v>
          </cell>
          <cell r="C25" t="str">
            <v>DNER-ES282/97</v>
          </cell>
          <cell r="D25" t="str">
            <v xml:space="preserve"> </v>
          </cell>
          <cell r="E25" t="str">
            <v>m3</v>
          </cell>
          <cell r="F25">
            <v>8672</v>
          </cell>
          <cell r="G25">
            <v>1.36</v>
          </cell>
        </row>
        <row r="26">
          <cell r="F26" t="str">
            <v>SUB-TOTAL</v>
          </cell>
        </row>
        <row r="28">
          <cell r="B28" t="str">
            <v>PAVIMENTAÇÃO</v>
          </cell>
        </row>
        <row r="29">
          <cell r="A29" t="str">
            <v>02.000.00</v>
          </cell>
          <cell r="B29" t="str">
            <v>Regularização do subleito</v>
          </cell>
          <cell r="C29" t="str">
            <v xml:space="preserve"> </v>
          </cell>
          <cell r="D29" t="str">
            <v xml:space="preserve"> </v>
          </cell>
          <cell r="E29" t="str">
            <v>m2</v>
          </cell>
          <cell r="F29">
            <v>40505</v>
          </cell>
          <cell r="G29">
            <v>0.3</v>
          </cell>
        </row>
        <row r="30">
          <cell r="A30" t="str">
            <v>DER53130</v>
          </cell>
          <cell r="B30" t="str">
            <v>Camada de macadame seco</v>
          </cell>
          <cell r="C30" t="str">
            <v xml:space="preserve"> </v>
          </cell>
          <cell r="D30" t="str">
            <v xml:space="preserve"> </v>
          </cell>
          <cell r="E30" t="str">
            <v>m3</v>
          </cell>
          <cell r="F30">
            <v>7888</v>
          </cell>
          <cell r="G30">
            <v>21.86</v>
          </cell>
        </row>
        <row r="31">
          <cell r="A31" t="str">
            <v>02.230.00</v>
          </cell>
          <cell r="B31" t="str">
            <v>Base brita graduada</v>
          </cell>
          <cell r="C31" t="str">
            <v>DNER-ES303/97</v>
          </cell>
          <cell r="D31" t="str">
            <v xml:space="preserve"> </v>
          </cell>
          <cell r="E31" t="str">
            <v>m3</v>
          </cell>
          <cell r="F31">
            <v>5636</v>
          </cell>
          <cell r="G31">
            <v>28.06</v>
          </cell>
        </row>
        <row r="32">
          <cell r="A32" t="str">
            <v>02.300.00</v>
          </cell>
          <cell r="B32" t="str">
            <v>Imprimação - Fornecimento, transporte e execução</v>
          </cell>
          <cell r="C32" t="str">
            <v>DNER-ES306/97</v>
          </cell>
          <cell r="D32" t="str">
            <v xml:space="preserve"> </v>
          </cell>
          <cell r="E32" t="str">
            <v>m2</v>
          </cell>
          <cell r="F32">
            <v>36771</v>
          </cell>
          <cell r="G32">
            <v>1.1100000000000001</v>
          </cell>
        </row>
        <row r="33">
          <cell r="A33" t="str">
            <v>02.400.00</v>
          </cell>
          <cell r="B33" t="str">
            <v>Pintura de ligação - Fornec., transporte e execução</v>
          </cell>
          <cell r="C33" t="str">
            <v>DNER-ES307/97</v>
          </cell>
          <cell r="D33" t="str">
            <v xml:space="preserve"> </v>
          </cell>
          <cell r="E33" t="str">
            <v>m2</v>
          </cell>
          <cell r="F33">
            <v>95149</v>
          </cell>
          <cell r="G33">
            <v>0.41</v>
          </cell>
        </row>
        <row r="34">
          <cell r="A34" t="str">
            <v>02.540.01</v>
          </cell>
          <cell r="B34" t="str">
            <v>Concreto betuminoso usinado a quente - usina 100/140 t/h</v>
          </cell>
          <cell r="C34" t="str">
            <v>DNER-ES313/97</v>
          </cell>
          <cell r="D34" t="str">
            <v xml:space="preserve"> </v>
          </cell>
          <cell r="E34" t="str">
            <v>t</v>
          </cell>
          <cell r="F34">
            <v>11655</v>
          </cell>
          <cell r="G34">
            <v>67.64</v>
          </cell>
        </row>
        <row r="35">
          <cell r="A35" t="str">
            <v>DER82200a</v>
          </cell>
          <cell r="B35" t="str">
            <v>Remoção de camada granular</v>
          </cell>
          <cell r="C35" t="str">
            <v xml:space="preserve"> </v>
          </cell>
          <cell r="D35" t="str">
            <v xml:space="preserve"> </v>
          </cell>
          <cell r="E35" t="str">
            <v>m3</v>
          </cell>
          <cell r="F35">
            <v>1540</v>
          </cell>
          <cell r="G35">
            <v>4.67</v>
          </cell>
        </row>
        <row r="36">
          <cell r="A36" t="str">
            <v>DER82200</v>
          </cell>
          <cell r="B36" t="str">
            <v>Remoção de revestimento de CBUQ</v>
          </cell>
          <cell r="C36" t="str">
            <v xml:space="preserve"> </v>
          </cell>
          <cell r="D36" t="str">
            <v xml:space="preserve"> </v>
          </cell>
          <cell r="E36" t="str">
            <v>m3</v>
          </cell>
          <cell r="F36">
            <v>1540</v>
          </cell>
          <cell r="G36">
            <v>5.73</v>
          </cell>
        </row>
        <row r="37">
          <cell r="F37" t="str">
            <v>SUB-TOTAL</v>
          </cell>
        </row>
        <row r="39">
          <cell r="B39" t="str">
            <v>DRENAGEM</v>
          </cell>
        </row>
        <row r="40">
          <cell r="A40" t="str">
            <v>04.000.00</v>
          </cell>
          <cell r="B40" t="str">
            <v>Escavação manual em material de 1a categoria</v>
          </cell>
          <cell r="C40" t="str">
            <v xml:space="preserve"> </v>
          </cell>
          <cell r="D40" t="str">
            <v xml:space="preserve"> </v>
          </cell>
          <cell r="E40" t="str">
            <v>m3</v>
          </cell>
          <cell r="F40">
            <v>86</v>
          </cell>
          <cell r="G40">
            <v>17.57</v>
          </cell>
        </row>
        <row r="41">
          <cell r="A41" t="str">
            <v>04.001.00</v>
          </cell>
          <cell r="B41" t="str">
            <v>Escavação mecânica em material de 1a categoria</v>
          </cell>
          <cell r="C41" t="str">
            <v xml:space="preserve"> </v>
          </cell>
          <cell r="D41" t="str">
            <v xml:space="preserve"> </v>
          </cell>
          <cell r="E41" t="str">
            <v>m3</v>
          </cell>
          <cell r="F41">
            <v>378</v>
          </cell>
          <cell r="G41">
            <v>2.09</v>
          </cell>
        </row>
        <row r="42">
          <cell r="A42" t="str">
            <v>04.001.01</v>
          </cell>
          <cell r="B42" t="str">
            <v>Escavação mecânica,reaterro e compactação (material de 1a categoria)</v>
          </cell>
          <cell r="C42" t="str">
            <v xml:space="preserve"> </v>
          </cell>
          <cell r="D42" t="str">
            <v xml:space="preserve"> </v>
          </cell>
          <cell r="E42" t="str">
            <v>m3</v>
          </cell>
          <cell r="F42">
            <v>543</v>
          </cell>
          <cell r="G42">
            <v>3.03</v>
          </cell>
        </row>
        <row r="43">
          <cell r="A43" t="str">
            <v>04.401.01</v>
          </cell>
          <cell r="B43" t="str">
            <v>Valeta de prot. de aterro c/ revest. vegetal VPA 01</v>
          </cell>
          <cell r="C43" t="str">
            <v xml:space="preserve"> </v>
          </cell>
          <cell r="D43" t="str">
            <v xml:space="preserve"> </v>
          </cell>
          <cell r="E43" t="str">
            <v>m</v>
          </cell>
          <cell r="F43">
            <v>1683</v>
          </cell>
          <cell r="G43">
            <v>31.98</v>
          </cell>
        </row>
        <row r="44">
          <cell r="A44" t="str">
            <v>04.510.03</v>
          </cell>
          <cell r="B44" t="str">
            <v>Dreno sub- superficial- DSS 03</v>
          </cell>
          <cell r="C44" t="str">
            <v>DNER-ES294/97</v>
          </cell>
          <cell r="D44" t="str">
            <v xml:space="preserve"> </v>
          </cell>
          <cell r="E44" t="str">
            <v>m</v>
          </cell>
          <cell r="F44">
            <v>115</v>
          </cell>
          <cell r="G44">
            <v>3.71</v>
          </cell>
        </row>
        <row r="45">
          <cell r="A45" t="str">
            <v>04.511.01</v>
          </cell>
          <cell r="B45" t="str">
            <v>Boca de saída p/ dreno sub-superficial-BSD 03</v>
          </cell>
          <cell r="C45" t="str">
            <v xml:space="preserve"> </v>
          </cell>
          <cell r="D45" t="str">
            <v xml:space="preserve"> </v>
          </cell>
          <cell r="E45" t="str">
            <v>un</v>
          </cell>
          <cell r="F45">
            <v>6</v>
          </cell>
          <cell r="G45">
            <v>20.86</v>
          </cell>
        </row>
        <row r="46">
          <cell r="A46" t="str">
            <v>04.900.21</v>
          </cell>
          <cell r="B46" t="str">
            <v>Sarjeta de cant. central de concreto-SCC 01</v>
          </cell>
          <cell r="C46" t="str">
            <v>DNER-ES288/97</v>
          </cell>
          <cell r="D46" t="str">
            <v xml:space="preserve"> </v>
          </cell>
          <cell r="E46" t="str">
            <v>m</v>
          </cell>
          <cell r="F46">
            <v>1694</v>
          </cell>
          <cell r="G46">
            <v>13.85</v>
          </cell>
        </row>
        <row r="47">
          <cell r="A47" t="str">
            <v>04.900.22</v>
          </cell>
          <cell r="B47" t="str">
            <v>Sarjeta de cant. central de concreto-SCC 02</v>
          </cell>
          <cell r="C47" t="str">
            <v>DNER-ES288/97</v>
          </cell>
          <cell r="D47" t="str">
            <v xml:space="preserve"> </v>
          </cell>
          <cell r="E47" t="str">
            <v>m</v>
          </cell>
          <cell r="F47">
            <v>616</v>
          </cell>
          <cell r="G47">
            <v>19.170000000000002</v>
          </cell>
        </row>
        <row r="48">
          <cell r="A48" t="str">
            <v>04.910.05</v>
          </cell>
          <cell r="B48" t="str">
            <v>Meio-fio de concreto-MFC 05</v>
          </cell>
          <cell r="C48" t="str">
            <v>DNER-ES290/97</v>
          </cell>
          <cell r="D48" t="str">
            <v xml:space="preserve"> </v>
          </cell>
          <cell r="E48" t="str">
            <v>m</v>
          </cell>
          <cell r="F48">
            <v>132</v>
          </cell>
          <cell r="G48">
            <v>10.54</v>
          </cell>
        </row>
        <row r="49">
          <cell r="A49" t="str">
            <v>DER78150b</v>
          </cell>
          <cell r="B49" t="str">
            <v>Caixa coletora de sarjeta - CCS, D=40cm E H=1,00m</v>
          </cell>
          <cell r="C49" t="str">
            <v xml:space="preserve"> </v>
          </cell>
          <cell r="D49" t="str">
            <v xml:space="preserve"> </v>
          </cell>
          <cell r="E49" t="str">
            <v>un</v>
          </cell>
          <cell r="F49">
            <v>3</v>
          </cell>
          <cell r="G49">
            <v>382.07</v>
          </cell>
        </row>
        <row r="50">
          <cell r="A50" t="str">
            <v>DER78150c</v>
          </cell>
          <cell r="B50" t="str">
            <v>Caixa coletora de sarjeta - CCS, D=40cm E H=1,50m</v>
          </cell>
          <cell r="C50" t="str">
            <v xml:space="preserve"> </v>
          </cell>
          <cell r="D50" t="str">
            <v xml:space="preserve"> </v>
          </cell>
          <cell r="E50" t="str">
            <v>un</v>
          </cell>
          <cell r="F50">
            <v>1</v>
          </cell>
          <cell r="G50">
            <v>503.68</v>
          </cell>
        </row>
        <row r="51">
          <cell r="A51" t="str">
            <v>DER78150</v>
          </cell>
          <cell r="B51" t="str">
            <v>Caixa coletora de sarjeta - CCS, D=60cm e H = 1,00m</v>
          </cell>
          <cell r="C51" t="str">
            <v xml:space="preserve"> </v>
          </cell>
          <cell r="D51" t="str">
            <v xml:space="preserve"> </v>
          </cell>
          <cell r="E51" t="str">
            <v>un</v>
          </cell>
          <cell r="F51">
            <v>1</v>
          </cell>
          <cell r="G51">
            <v>313.7</v>
          </cell>
        </row>
        <row r="52">
          <cell r="A52" t="str">
            <v>04.930.01</v>
          </cell>
          <cell r="B52" t="str">
            <v>Caixa coletora de sarjeta-CCS 01</v>
          </cell>
          <cell r="C52" t="str">
            <v>DNER-ES287/97</v>
          </cell>
          <cell r="D52" t="str">
            <v xml:space="preserve"> </v>
          </cell>
          <cell r="E52" t="str">
            <v>un</v>
          </cell>
          <cell r="F52">
            <v>1</v>
          </cell>
          <cell r="G52">
            <v>568.85</v>
          </cell>
        </row>
        <row r="53">
          <cell r="A53" t="str">
            <v>04.930.02</v>
          </cell>
          <cell r="B53" t="str">
            <v>Caixa coletora de sarjeta-CCS 02</v>
          </cell>
          <cell r="C53" t="str">
            <v>DNER-ES287/97</v>
          </cell>
          <cell r="D53" t="str">
            <v xml:space="preserve"> </v>
          </cell>
          <cell r="E53" t="str">
            <v>un</v>
          </cell>
          <cell r="F53">
            <v>1</v>
          </cell>
          <cell r="G53">
            <v>555.63</v>
          </cell>
        </row>
        <row r="54">
          <cell r="A54" t="str">
            <v>P 04.100.08</v>
          </cell>
          <cell r="B54" t="str">
            <v>Execução de galerias D=0,40 c/ lastro de concreto</v>
          </cell>
          <cell r="C54" t="str">
            <v xml:space="preserve"> </v>
          </cell>
          <cell r="D54" t="str">
            <v xml:space="preserve"> </v>
          </cell>
          <cell r="E54" t="str">
            <v>m</v>
          </cell>
          <cell r="F54">
            <v>28</v>
          </cell>
          <cell r="G54">
            <v>58.65</v>
          </cell>
        </row>
        <row r="55">
          <cell r="A55" t="str">
            <v>P 04.100.10</v>
          </cell>
          <cell r="B55" t="str">
            <v>Execução de galerias D=0,60 c/ lastro de concreto</v>
          </cell>
          <cell r="C55" t="str">
            <v xml:space="preserve"> </v>
          </cell>
          <cell r="D55" t="str">
            <v xml:space="preserve"> </v>
          </cell>
          <cell r="E55" t="str">
            <v>m</v>
          </cell>
          <cell r="F55">
            <v>70</v>
          </cell>
          <cell r="G55">
            <v>131.66</v>
          </cell>
        </row>
        <row r="56">
          <cell r="A56" t="str">
            <v>P 04.100.40</v>
          </cell>
          <cell r="B56" t="str">
            <v>Execução de galerias D=0,80m c/ lastro de concreto</v>
          </cell>
          <cell r="C56" t="str">
            <v xml:space="preserve"> </v>
          </cell>
          <cell r="D56" t="str">
            <v xml:space="preserve"> </v>
          </cell>
          <cell r="E56" t="str">
            <v>m</v>
          </cell>
          <cell r="F56">
            <v>12</v>
          </cell>
          <cell r="G56">
            <v>197.36</v>
          </cell>
        </row>
        <row r="57">
          <cell r="A57" t="str">
            <v>DER72350b</v>
          </cell>
          <cell r="B57" t="str">
            <v>Boca para BSTC D=40cm - Normal</v>
          </cell>
          <cell r="C57" t="str">
            <v xml:space="preserve"> </v>
          </cell>
          <cell r="D57" t="str">
            <v xml:space="preserve"> </v>
          </cell>
          <cell r="E57" t="str">
            <v>un</v>
          </cell>
          <cell r="F57">
            <v>3</v>
          </cell>
          <cell r="G57">
            <v>147.57</v>
          </cell>
        </row>
        <row r="58">
          <cell r="A58" t="str">
            <v>04.101.01</v>
          </cell>
          <cell r="B58" t="str">
            <v>Boca de BSTC D=0.60m-normal</v>
          </cell>
          <cell r="C58" t="str">
            <v>DNER-ES284/97</v>
          </cell>
          <cell r="D58" t="str">
            <v xml:space="preserve"> </v>
          </cell>
          <cell r="E58" t="str">
            <v>un</v>
          </cell>
          <cell r="F58">
            <v>2</v>
          </cell>
          <cell r="G58">
            <v>299.62</v>
          </cell>
        </row>
        <row r="59">
          <cell r="A59" t="str">
            <v>P 04.100.06</v>
          </cell>
          <cell r="B59" t="str">
            <v>Galeria D=0,40m envelopada</v>
          </cell>
          <cell r="C59" t="str">
            <v xml:space="preserve"> </v>
          </cell>
          <cell r="D59" t="str">
            <v xml:space="preserve"> </v>
          </cell>
          <cell r="E59" t="str">
            <v>m</v>
          </cell>
          <cell r="F59">
            <v>40</v>
          </cell>
          <cell r="G59">
            <v>103.37</v>
          </cell>
        </row>
        <row r="60">
          <cell r="F60" t="str">
            <v>SUB-TOTAL</v>
          </cell>
        </row>
        <row r="62">
          <cell r="B62" t="str">
            <v>OBRAS DE ARTE CORRENTES</v>
          </cell>
        </row>
        <row r="63">
          <cell r="A63" t="str">
            <v>04.001.01</v>
          </cell>
          <cell r="B63" t="str">
            <v>Escavação mecânica,reaterro e compactação (material de 1a categoria)</v>
          </cell>
          <cell r="C63" t="str">
            <v xml:space="preserve"> </v>
          </cell>
          <cell r="D63" t="str">
            <v xml:space="preserve"> </v>
          </cell>
          <cell r="E63" t="str">
            <v>m3</v>
          </cell>
          <cell r="F63">
            <v>2170.4</v>
          </cell>
          <cell r="G63">
            <v>3.03</v>
          </cell>
        </row>
        <row r="64">
          <cell r="A64" t="str">
            <v>DER66050</v>
          </cell>
          <cell r="B64" t="str">
            <v>Corpo de BSTC D=50cm c/ lastro de brita</v>
          </cell>
          <cell r="C64" t="str">
            <v xml:space="preserve"> </v>
          </cell>
          <cell r="D64" t="str">
            <v xml:space="preserve"> </v>
          </cell>
          <cell r="E64" t="str">
            <v>m</v>
          </cell>
          <cell r="F64">
            <v>27</v>
          </cell>
          <cell r="G64">
            <v>54.42</v>
          </cell>
        </row>
        <row r="65">
          <cell r="A65" t="str">
            <v>04.100.02</v>
          </cell>
          <cell r="B65" t="str">
            <v>Corpo de BSTC D=0.80m</v>
          </cell>
          <cell r="C65" t="str">
            <v>DNER-ES284/97</v>
          </cell>
          <cell r="D65" t="str">
            <v xml:space="preserve"> </v>
          </cell>
          <cell r="E65" t="str">
            <v xml:space="preserve">m </v>
          </cell>
          <cell r="F65">
            <v>113</v>
          </cell>
          <cell r="G65">
            <v>201.98</v>
          </cell>
        </row>
        <row r="66">
          <cell r="A66" t="str">
            <v>DER72350a</v>
          </cell>
          <cell r="B66" t="str">
            <v>Boca para BSTC D=50cm - Normal</v>
          </cell>
          <cell r="C66" t="str">
            <v xml:space="preserve"> </v>
          </cell>
          <cell r="D66" t="str">
            <v xml:space="preserve"> </v>
          </cell>
          <cell r="E66" t="str">
            <v>un</v>
          </cell>
          <cell r="F66">
            <v>1</v>
          </cell>
          <cell r="G66">
            <v>157.56</v>
          </cell>
        </row>
        <row r="67">
          <cell r="A67" t="str">
            <v>04.101.02</v>
          </cell>
          <cell r="B67" t="str">
            <v>Boca de BSTC D=0.80m-normal</v>
          </cell>
          <cell r="C67" t="str">
            <v>DNER-ES284/97</v>
          </cell>
          <cell r="D67" t="str">
            <v xml:space="preserve"> </v>
          </cell>
          <cell r="E67" t="str">
            <v>un</v>
          </cell>
          <cell r="F67">
            <v>4</v>
          </cell>
          <cell r="G67">
            <v>494.05</v>
          </cell>
        </row>
        <row r="68">
          <cell r="A68" t="str">
            <v>04.101.05</v>
          </cell>
          <cell r="B68" t="str">
            <v>Boca de BSTC D=1.50m-normal</v>
          </cell>
          <cell r="C68" t="str">
            <v>DNER-ES284/97</v>
          </cell>
          <cell r="D68" t="str">
            <v xml:space="preserve"> </v>
          </cell>
          <cell r="E68" t="str">
            <v>un</v>
          </cell>
          <cell r="F68">
            <v>2</v>
          </cell>
          <cell r="G68">
            <v>1942.12</v>
          </cell>
        </row>
        <row r="69">
          <cell r="A69" t="str">
            <v>04.110.01</v>
          </cell>
          <cell r="B69" t="str">
            <v>Corpo de BDTC D=1.00m</v>
          </cell>
          <cell r="C69" t="str">
            <v>DNER-ES284/97</v>
          </cell>
          <cell r="D69" t="str">
            <v xml:space="preserve"> </v>
          </cell>
          <cell r="E69" t="str">
            <v>m</v>
          </cell>
          <cell r="F69">
            <v>118</v>
          </cell>
          <cell r="G69">
            <v>572.14</v>
          </cell>
        </row>
        <row r="70">
          <cell r="A70" t="str">
            <v>04.111.01</v>
          </cell>
          <cell r="B70" t="str">
            <v>Boca de BDTC D=1.00m-normal</v>
          </cell>
          <cell r="C70" t="str">
            <v>DNER-ES284/97</v>
          </cell>
          <cell r="D70" t="str">
            <v xml:space="preserve"> </v>
          </cell>
          <cell r="E70" t="str">
            <v>un</v>
          </cell>
          <cell r="F70">
            <v>4</v>
          </cell>
          <cell r="G70">
            <v>1056.6199999999999</v>
          </cell>
        </row>
        <row r="71">
          <cell r="A71" t="str">
            <v>DER67700</v>
          </cell>
          <cell r="B71" t="str">
            <v>Corpo de BTTC D=0.80m c/enrocamento e laje</v>
          </cell>
          <cell r="C71" t="str">
            <v xml:space="preserve"> </v>
          </cell>
          <cell r="D71" t="str">
            <v xml:space="preserve"> </v>
          </cell>
          <cell r="E71" t="str">
            <v>m</v>
          </cell>
          <cell r="F71">
            <v>51</v>
          </cell>
          <cell r="G71">
            <v>599.96</v>
          </cell>
        </row>
        <row r="72">
          <cell r="A72" t="str">
            <v>DER73550</v>
          </cell>
          <cell r="B72" t="str">
            <v>Boca de BTTC D=0,80m-normal</v>
          </cell>
          <cell r="C72" t="str">
            <v xml:space="preserve"> </v>
          </cell>
          <cell r="D72" t="str">
            <v xml:space="preserve"> </v>
          </cell>
          <cell r="E72" t="str">
            <v>un</v>
          </cell>
          <cell r="F72">
            <v>2</v>
          </cell>
          <cell r="G72">
            <v>685.42</v>
          </cell>
        </row>
        <row r="73">
          <cell r="A73" t="str">
            <v>04.999.01</v>
          </cell>
          <cell r="B73" t="str">
            <v>Remoção de bueiros existentes</v>
          </cell>
          <cell r="C73" t="str">
            <v xml:space="preserve"> </v>
          </cell>
          <cell r="D73" t="str">
            <v xml:space="preserve"> </v>
          </cell>
          <cell r="E73" t="str">
            <v>m</v>
          </cell>
          <cell r="F73">
            <v>143</v>
          </cell>
          <cell r="G73">
            <v>13.06</v>
          </cell>
        </row>
        <row r="74">
          <cell r="A74" t="str">
            <v>04.999.02</v>
          </cell>
          <cell r="B74" t="str">
            <v>Demolição de dispositivos de concreto</v>
          </cell>
          <cell r="C74" t="str">
            <v>DNER-ES296/97</v>
          </cell>
          <cell r="D74" t="str">
            <v xml:space="preserve"> </v>
          </cell>
          <cell r="E74" t="str">
            <v>m3</v>
          </cell>
          <cell r="F74">
            <v>48.8</v>
          </cell>
          <cell r="G74">
            <v>12.58</v>
          </cell>
        </row>
        <row r="75">
          <cell r="A75" t="str">
            <v>P 04.100.23</v>
          </cell>
          <cell r="B75" t="str">
            <v>Bueiro Met.Corrug.circular, T.Armco,  c/Epoxy-bonded, MP-100, D=1,50 m, E=2,0mm</v>
          </cell>
          <cell r="C75" t="str">
            <v xml:space="preserve"> </v>
          </cell>
          <cell r="D75" t="str">
            <v xml:space="preserve"> </v>
          </cell>
          <cell r="E75" t="str">
            <v>m</v>
          </cell>
          <cell r="F75">
            <v>60</v>
          </cell>
          <cell r="G75">
            <v>510.8</v>
          </cell>
        </row>
        <row r="76">
          <cell r="F76" t="str">
            <v>SUB-TOTAL</v>
          </cell>
        </row>
        <row r="78">
          <cell r="B78" t="str">
            <v>OBRAS DE ARTE ESPECIAIS</v>
          </cell>
        </row>
        <row r="79">
          <cell r="B79" t="str">
            <v>(Quatro tabuleiros)</v>
          </cell>
        </row>
        <row r="80">
          <cell r="B80" t="str">
            <v>Infra e Mesoestrutura</v>
          </cell>
        </row>
        <row r="81">
          <cell r="A81" t="str">
            <v>03.000.02</v>
          </cell>
          <cell r="B81" t="str">
            <v>Escavação manual de cavas em mat. 1a  categoria</v>
          </cell>
          <cell r="C81" t="str">
            <v xml:space="preserve"> </v>
          </cell>
          <cell r="D81" t="str">
            <v xml:space="preserve"> </v>
          </cell>
          <cell r="E81" t="str">
            <v>m3</v>
          </cell>
          <cell r="F81">
            <v>65</v>
          </cell>
          <cell r="G81">
            <v>19.760000000000002</v>
          </cell>
        </row>
        <row r="82">
          <cell r="A82" t="str">
            <v>OAE5</v>
          </cell>
          <cell r="B82" t="str">
            <v>Estaca metálica - tipo CS 300 x 130 - Fornecimento e cravação</v>
          </cell>
          <cell r="C82" t="str">
            <v xml:space="preserve"> </v>
          </cell>
          <cell r="D82" t="str">
            <v xml:space="preserve"> </v>
          </cell>
          <cell r="E82" t="str">
            <v>m</v>
          </cell>
          <cell r="F82">
            <v>480</v>
          </cell>
          <cell r="G82">
            <v>176.68</v>
          </cell>
        </row>
        <row r="83">
          <cell r="A83" t="str">
            <v>03.371.01</v>
          </cell>
          <cell r="B83" t="str">
            <v>Formas de placa compensada resinada</v>
          </cell>
          <cell r="C83" t="str">
            <v xml:space="preserve"> </v>
          </cell>
          <cell r="D83" t="str">
            <v xml:space="preserve"> </v>
          </cell>
          <cell r="E83" t="str">
            <v>m2</v>
          </cell>
          <cell r="F83">
            <v>284</v>
          </cell>
          <cell r="G83">
            <v>21.86</v>
          </cell>
        </row>
        <row r="84">
          <cell r="A84" t="str">
            <v>03.353.00</v>
          </cell>
          <cell r="B84" t="str">
            <v>Forn., preparo e colocação nas formas, de aço CA-50</v>
          </cell>
          <cell r="C84" t="str">
            <v xml:space="preserve"> </v>
          </cell>
          <cell r="D84" t="str">
            <v xml:space="preserve"> </v>
          </cell>
          <cell r="E84" t="str">
            <v>kg</v>
          </cell>
          <cell r="F84">
            <v>7377</v>
          </cell>
          <cell r="G84">
            <v>2.59</v>
          </cell>
        </row>
        <row r="85">
          <cell r="A85" t="str">
            <v>P 03.327.01</v>
          </cell>
          <cell r="B85" t="str">
            <v xml:space="preserve">Concreto fck= 25 MPa-contr. raz. uso ger. </v>
          </cell>
          <cell r="C85" t="str">
            <v xml:space="preserve"> </v>
          </cell>
          <cell r="D85" t="str">
            <v xml:space="preserve"> </v>
          </cell>
          <cell r="E85" t="str">
            <v>m3</v>
          </cell>
          <cell r="F85">
            <v>99</v>
          </cell>
          <cell r="G85">
            <v>163.22</v>
          </cell>
        </row>
        <row r="86">
          <cell r="B86" t="str">
            <v>Superestrutura</v>
          </cell>
        </row>
        <row r="87">
          <cell r="A87" t="str">
            <v>03.371.02</v>
          </cell>
          <cell r="B87" t="str">
            <v>Formas de placa compensada plastificada</v>
          </cell>
          <cell r="C87" t="str">
            <v xml:space="preserve"> </v>
          </cell>
          <cell r="D87" t="str">
            <v xml:space="preserve"> </v>
          </cell>
          <cell r="E87" t="str">
            <v>m2</v>
          </cell>
          <cell r="F87">
            <v>2564</v>
          </cell>
          <cell r="G87">
            <v>30.76</v>
          </cell>
        </row>
        <row r="88">
          <cell r="A88" t="str">
            <v>03.353.00</v>
          </cell>
          <cell r="B88" t="str">
            <v>Forn., preparo e colocação nas formas, de aço CA-50</v>
          </cell>
          <cell r="C88" t="str">
            <v xml:space="preserve"> </v>
          </cell>
          <cell r="D88" t="str">
            <v xml:space="preserve"> </v>
          </cell>
          <cell r="E88" t="str">
            <v>kg</v>
          </cell>
          <cell r="F88">
            <v>71840</v>
          </cell>
          <cell r="G88">
            <v>2.59</v>
          </cell>
        </row>
        <row r="89">
          <cell r="A89" t="str">
            <v>OAE17</v>
          </cell>
          <cell r="B89" t="str">
            <v>Transporte e lançamento de pré-lages</v>
          </cell>
          <cell r="C89" t="str">
            <v xml:space="preserve"> </v>
          </cell>
          <cell r="D89" t="str">
            <v xml:space="preserve"> </v>
          </cell>
          <cell r="E89" t="str">
            <v>un</v>
          </cell>
          <cell r="F89">
            <v>684</v>
          </cell>
          <cell r="G89">
            <v>23.47</v>
          </cell>
        </row>
        <row r="90">
          <cell r="A90" t="str">
            <v>OAE18</v>
          </cell>
          <cell r="B90" t="str">
            <v>Transporte e lançamento de vigas pré-moldadas</v>
          </cell>
          <cell r="C90" t="str">
            <v xml:space="preserve"> </v>
          </cell>
          <cell r="D90" t="str">
            <v xml:space="preserve"> </v>
          </cell>
          <cell r="E90" t="str">
            <v>un</v>
          </cell>
          <cell r="F90">
            <v>40</v>
          </cell>
          <cell r="G90">
            <v>1281.27</v>
          </cell>
        </row>
        <row r="91">
          <cell r="A91" t="str">
            <v>03.330.00</v>
          </cell>
          <cell r="B91" t="str">
            <v>Concreto fck= 35 MPa-contr. raz. uso ger.</v>
          </cell>
          <cell r="C91" t="str">
            <v xml:space="preserve"> </v>
          </cell>
          <cell r="D91" t="str">
            <v xml:space="preserve"> </v>
          </cell>
          <cell r="E91" t="str">
            <v>m3</v>
          </cell>
          <cell r="F91">
            <v>378</v>
          </cell>
          <cell r="G91">
            <v>166.78</v>
          </cell>
        </row>
        <row r="92">
          <cell r="B92" t="str">
            <v>Diversos</v>
          </cell>
        </row>
        <row r="93">
          <cell r="B93" t="str">
            <v>Barreiras de segurança (C.A.) Tipo New Jersey (156 m)</v>
          </cell>
        </row>
        <row r="94">
          <cell r="A94" t="str">
            <v>03.371.00</v>
          </cell>
          <cell r="B94" t="str">
            <v>Formas de madeira compensada</v>
          </cell>
          <cell r="C94" t="str">
            <v xml:space="preserve"> </v>
          </cell>
          <cell r="D94" t="str">
            <v xml:space="preserve"> </v>
          </cell>
          <cell r="E94" t="str">
            <v>m2</v>
          </cell>
          <cell r="F94">
            <v>280</v>
          </cell>
          <cell r="G94">
            <v>21.86</v>
          </cell>
        </row>
        <row r="95">
          <cell r="A95" t="str">
            <v>03.353.00</v>
          </cell>
          <cell r="B95" t="str">
            <v>Forn., preparo e colocação nas formas, de aço CA-50</v>
          </cell>
          <cell r="C95" t="str">
            <v xml:space="preserve"> </v>
          </cell>
          <cell r="D95" t="str">
            <v xml:space="preserve"> </v>
          </cell>
          <cell r="E95" t="str">
            <v>kg</v>
          </cell>
          <cell r="F95">
            <v>2328</v>
          </cell>
          <cell r="G95">
            <v>2.59</v>
          </cell>
        </row>
        <row r="96">
          <cell r="A96" t="str">
            <v>P 03.327.01</v>
          </cell>
          <cell r="B96" t="str">
            <v xml:space="preserve">Concreto fck= 25 MPa-contr. raz. uso ger. </v>
          </cell>
          <cell r="C96" t="str">
            <v xml:space="preserve"> </v>
          </cell>
          <cell r="D96" t="str">
            <v xml:space="preserve"> </v>
          </cell>
          <cell r="E96" t="str">
            <v>m3</v>
          </cell>
          <cell r="F96">
            <v>36</v>
          </cell>
          <cell r="G96">
            <v>163.22</v>
          </cell>
        </row>
        <row r="97">
          <cell r="B97" t="str">
            <v>Placas de aproximação( 04 unidades) (dimensão 4,0m x 11,2m x 0,3m)</v>
          </cell>
        </row>
        <row r="98">
          <cell r="A98" t="str">
            <v>03.371.00</v>
          </cell>
          <cell r="B98" t="str">
            <v>Formas de madeira compensada</v>
          </cell>
          <cell r="C98" t="str">
            <v xml:space="preserve"> </v>
          </cell>
          <cell r="D98" t="str">
            <v xml:space="preserve"> </v>
          </cell>
          <cell r="E98" t="str">
            <v>m2</v>
          </cell>
          <cell r="F98">
            <v>37</v>
          </cell>
          <cell r="G98">
            <v>21.86</v>
          </cell>
        </row>
        <row r="99">
          <cell r="A99" t="str">
            <v>03.353.00</v>
          </cell>
          <cell r="B99" t="str">
            <v>Forn., preparo e colocação nas formas, de aço CA-50</v>
          </cell>
          <cell r="C99" t="str">
            <v xml:space="preserve"> </v>
          </cell>
          <cell r="D99" t="str">
            <v xml:space="preserve"> </v>
          </cell>
          <cell r="E99" t="str">
            <v>kg</v>
          </cell>
          <cell r="F99">
            <v>3716</v>
          </cell>
          <cell r="G99">
            <v>2.59</v>
          </cell>
        </row>
        <row r="100">
          <cell r="A100" t="str">
            <v>P 03.327.01</v>
          </cell>
          <cell r="B100" t="str">
            <v xml:space="preserve">Concreto fck= 25 MPa-contr. raz. uso ger. </v>
          </cell>
          <cell r="C100" t="str">
            <v xml:space="preserve"> </v>
          </cell>
          <cell r="D100" t="str">
            <v xml:space="preserve"> </v>
          </cell>
          <cell r="E100" t="str">
            <v>m3</v>
          </cell>
          <cell r="F100">
            <v>54</v>
          </cell>
          <cell r="G100">
            <v>163.22</v>
          </cell>
        </row>
        <row r="101">
          <cell r="B101" t="str">
            <v>Drenos</v>
          </cell>
        </row>
        <row r="102">
          <cell r="A102" t="str">
            <v>P 03.991.01f</v>
          </cell>
          <cell r="B102" t="str">
            <v>Dreno de FF D= 150 mm x 400mm</v>
          </cell>
          <cell r="C102" t="str">
            <v xml:space="preserve"> </v>
          </cell>
          <cell r="D102" t="str">
            <v xml:space="preserve"> </v>
          </cell>
          <cell r="E102" t="str">
            <v>un</v>
          </cell>
          <cell r="F102">
            <v>18</v>
          </cell>
          <cell r="G102">
            <v>20.37</v>
          </cell>
        </row>
        <row r="103">
          <cell r="F103" t="str">
            <v>SUB-TOTAL</v>
          </cell>
        </row>
        <row r="105">
          <cell r="B105" t="str">
            <v>OBRAS COMPLEMENTARES</v>
          </cell>
        </row>
        <row r="106">
          <cell r="A106" t="str">
            <v>05.100.00</v>
          </cell>
          <cell r="B106" t="str">
            <v>Enleivamento</v>
          </cell>
          <cell r="C106" t="str">
            <v>DNER-ES341/97</v>
          </cell>
          <cell r="D106" t="str">
            <v xml:space="preserve"> </v>
          </cell>
          <cell r="E106" t="str">
            <v>m2</v>
          </cell>
          <cell r="F106">
            <v>37800</v>
          </cell>
          <cell r="G106">
            <v>2.06</v>
          </cell>
        </row>
        <row r="107">
          <cell r="A107" t="str">
            <v>DER53460a</v>
          </cell>
          <cell r="B107" t="str">
            <v>Calçamento com briquetes de 6 cm</v>
          </cell>
          <cell r="C107" t="str">
            <v xml:space="preserve"> </v>
          </cell>
          <cell r="D107" t="str">
            <v xml:space="preserve"> </v>
          </cell>
          <cell r="E107" t="str">
            <v>m2</v>
          </cell>
          <cell r="F107">
            <v>700</v>
          </cell>
          <cell r="G107">
            <v>20.48</v>
          </cell>
        </row>
        <row r="108">
          <cell r="A108" t="str">
            <v>P 05.100.01</v>
          </cell>
          <cell r="B108" t="str">
            <v>Fornecimento e plantio de lírio amarelo</v>
          </cell>
          <cell r="C108" t="str">
            <v xml:space="preserve"> </v>
          </cell>
          <cell r="D108" t="str">
            <v xml:space="preserve"> </v>
          </cell>
          <cell r="E108" t="str">
            <v>m2</v>
          </cell>
          <cell r="F108">
            <v>544</v>
          </cell>
          <cell r="G108">
            <v>14.14</v>
          </cell>
        </row>
        <row r="109">
          <cell r="A109" t="str">
            <v>P 05.100.02</v>
          </cell>
          <cell r="B109" t="str">
            <v>Fornecimento e plantio de árvore selecionada</v>
          </cell>
          <cell r="C109" t="str">
            <v xml:space="preserve"> </v>
          </cell>
          <cell r="D109" t="str">
            <v xml:space="preserve"> </v>
          </cell>
          <cell r="E109" t="str">
            <v>un</v>
          </cell>
          <cell r="F109">
            <v>404</v>
          </cell>
          <cell r="G109">
            <v>6.02</v>
          </cell>
        </row>
        <row r="110">
          <cell r="A110" t="str">
            <v>05.102.00</v>
          </cell>
          <cell r="B110" t="str">
            <v>Hidrossemeadura</v>
          </cell>
          <cell r="C110" t="str">
            <v>DNER-ES341/97</v>
          </cell>
          <cell r="D110" t="str">
            <v xml:space="preserve"> </v>
          </cell>
          <cell r="E110" t="str">
            <v>m2</v>
          </cell>
          <cell r="F110">
            <v>3618</v>
          </cell>
          <cell r="G110">
            <v>0.49</v>
          </cell>
        </row>
        <row r="111">
          <cell r="A111" t="str">
            <v>PI 60</v>
          </cell>
          <cell r="B111" t="str">
            <v>Lâmpada a vapor de mercúrio 250W</v>
          </cell>
          <cell r="C111" t="str">
            <v xml:space="preserve"> </v>
          </cell>
          <cell r="D111" t="str">
            <v xml:space="preserve"> </v>
          </cell>
          <cell r="E111" t="str">
            <v>un</v>
          </cell>
          <cell r="F111">
            <v>20</v>
          </cell>
          <cell r="G111">
            <v>16.3</v>
          </cell>
        </row>
        <row r="112">
          <cell r="A112" t="str">
            <v>PI 52</v>
          </cell>
          <cell r="B112" t="str">
            <v>Luminária IMB C-300 ou similar</v>
          </cell>
          <cell r="C112" t="str">
            <v xml:space="preserve"> </v>
          </cell>
          <cell r="D112" t="str">
            <v xml:space="preserve"> </v>
          </cell>
          <cell r="E112" t="str">
            <v>un</v>
          </cell>
          <cell r="F112">
            <v>4</v>
          </cell>
          <cell r="G112">
            <v>410</v>
          </cell>
        </row>
        <row r="113">
          <cell r="A113" t="str">
            <v>PI 13</v>
          </cell>
          <cell r="B113" t="str">
            <v>Eletroduto de aço 20mm, vara de 3m</v>
          </cell>
          <cell r="C113" t="str">
            <v xml:space="preserve"> </v>
          </cell>
          <cell r="D113" t="str">
            <v xml:space="preserve"> </v>
          </cell>
          <cell r="E113" t="str">
            <v>un</v>
          </cell>
          <cell r="F113">
            <v>8</v>
          </cell>
          <cell r="G113">
            <v>14.49</v>
          </cell>
        </row>
        <row r="114">
          <cell r="A114" t="str">
            <v>PI 62</v>
          </cell>
          <cell r="B114" t="str">
            <v>Caixa de passagem para instalação aparente D=20mm, tipo T</v>
          </cell>
          <cell r="C114" t="str">
            <v xml:space="preserve"> </v>
          </cell>
          <cell r="D114" t="str">
            <v xml:space="preserve"> </v>
          </cell>
          <cell r="E114" t="str">
            <v>un</v>
          </cell>
          <cell r="F114">
            <v>4</v>
          </cell>
          <cell r="G114">
            <v>20</v>
          </cell>
        </row>
        <row r="115">
          <cell r="A115" t="str">
            <v>PI 15</v>
          </cell>
          <cell r="B115" t="str">
            <v>Caixa de passagem para instalação aparente D=20mm, tipo LB</v>
          </cell>
          <cell r="C115" t="str">
            <v xml:space="preserve"> </v>
          </cell>
          <cell r="D115" t="str">
            <v xml:space="preserve"> </v>
          </cell>
          <cell r="E115" t="str">
            <v>un</v>
          </cell>
          <cell r="F115">
            <v>2</v>
          </cell>
          <cell r="G115">
            <v>3.62</v>
          </cell>
        </row>
        <row r="116">
          <cell r="A116" t="str">
            <v>PI 18</v>
          </cell>
          <cell r="B116" t="str">
            <v>Braço curvo p/ iluminação pública padrão CELESC</v>
          </cell>
          <cell r="C116" t="str">
            <v xml:space="preserve"> </v>
          </cell>
          <cell r="D116" t="str">
            <v xml:space="preserve"> </v>
          </cell>
          <cell r="E116" t="str">
            <v>un</v>
          </cell>
          <cell r="F116">
            <v>20</v>
          </cell>
          <cell r="G116">
            <v>6.33</v>
          </cell>
        </row>
        <row r="117">
          <cell r="A117" t="str">
            <v>PI 22</v>
          </cell>
          <cell r="B117" t="str">
            <v>Base completa com fusível Diazed, 6A, retardado, incluíndo tampa, anel de proteção e ajuste</v>
          </cell>
          <cell r="C117" t="str">
            <v xml:space="preserve"> </v>
          </cell>
          <cell r="D117" t="str">
            <v xml:space="preserve"> </v>
          </cell>
          <cell r="E117" t="str">
            <v>un</v>
          </cell>
          <cell r="F117">
            <v>22</v>
          </cell>
          <cell r="G117">
            <v>8.6300000000000008</v>
          </cell>
        </row>
        <row r="118">
          <cell r="A118" t="str">
            <v>PI 23</v>
          </cell>
          <cell r="B118" t="str">
            <v>Contator tripolar a seco, p/ corrente alternada - 55 A, para uso em rede 380/220V - 60Hz</v>
          </cell>
          <cell r="C118" t="str">
            <v xml:space="preserve"> </v>
          </cell>
          <cell r="D118" t="str">
            <v xml:space="preserve"> </v>
          </cell>
          <cell r="E118" t="str">
            <v>un</v>
          </cell>
          <cell r="F118">
            <v>2</v>
          </cell>
          <cell r="G118">
            <v>234.6</v>
          </cell>
        </row>
        <row r="119">
          <cell r="A119" t="str">
            <v>PI 24</v>
          </cell>
          <cell r="B119" t="str">
            <v>Fita elétrica auto fusão a base de borracha EPR</v>
          </cell>
          <cell r="C119" t="str">
            <v xml:space="preserve"> </v>
          </cell>
          <cell r="D119" t="str">
            <v xml:space="preserve"> </v>
          </cell>
          <cell r="E119" t="str">
            <v>un</v>
          </cell>
          <cell r="F119">
            <v>4</v>
          </cell>
          <cell r="G119">
            <v>6.39</v>
          </cell>
        </row>
        <row r="120">
          <cell r="A120" t="str">
            <v>PI 25</v>
          </cell>
          <cell r="B120" t="str">
            <v>Fita adesiva plástica isolante</v>
          </cell>
          <cell r="C120" t="str">
            <v xml:space="preserve"> </v>
          </cell>
          <cell r="D120" t="str">
            <v xml:space="preserve"> </v>
          </cell>
          <cell r="E120" t="str">
            <v>un</v>
          </cell>
          <cell r="F120">
            <v>6</v>
          </cell>
          <cell r="G120">
            <v>3.84</v>
          </cell>
        </row>
        <row r="121">
          <cell r="A121" t="str">
            <v>PI 26</v>
          </cell>
          <cell r="B121" t="str">
            <v>Relé fotoelétrico c/ suporte para fixação galv. com furo 18mm</v>
          </cell>
          <cell r="C121" t="str">
            <v xml:space="preserve"> </v>
          </cell>
          <cell r="D121" t="str">
            <v xml:space="preserve"> </v>
          </cell>
          <cell r="E121" t="str">
            <v>un</v>
          </cell>
          <cell r="F121">
            <v>22</v>
          </cell>
          <cell r="G121">
            <v>11.5</v>
          </cell>
        </row>
        <row r="122">
          <cell r="A122" t="str">
            <v>PI 56</v>
          </cell>
          <cell r="B122" t="str">
            <v>Cabo isolado p/ 1000V, 4 mm² de alumínio</v>
          </cell>
          <cell r="C122" t="str">
            <v xml:space="preserve"> </v>
          </cell>
          <cell r="D122" t="str">
            <v xml:space="preserve"> </v>
          </cell>
          <cell r="E122" t="str">
            <v>m</v>
          </cell>
          <cell r="F122">
            <v>110</v>
          </cell>
          <cell r="G122">
            <v>0.37</v>
          </cell>
        </row>
        <row r="123">
          <cell r="A123" t="str">
            <v>PI 28</v>
          </cell>
          <cell r="B123" t="str">
            <v>Eletroduto de aço tipo pesado 100mm</v>
          </cell>
          <cell r="C123" t="str">
            <v xml:space="preserve"> </v>
          </cell>
          <cell r="D123" t="str">
            <v xml:space="preserve"> </v>
          </cell>
          <cell r="E123" t="str">
            <v>m</v>
          </cell>
          <cell r="F123">
            <v>140</v>
          </cell>
          <cell r="G123">
            <v>28.55</v>
          </cell>
        </row>
        <row r="124">
          <cell r="A124" t="str">
            <v>PI 29</v>
          </cell>
          <cell r="B124" t="str">
            <v>Curva em alumínio fundido de alta resistência, fixação por encaixe,50mm</v>
          </cell>
          <cell r="C124" t="str">
            <v xml:space="preserve"> </v>
          </cell>
          <cell r="D124" t="str">
            <v xml:space="preserve"> </v>
          </cell>
          <cell r="E124" t="str">
            <v>un</v>
          </cell>
          <cell r="F124">
            <v>2</v>
          </cell>
          <cell r="G124">
            <v>18.75</v>
          </cell>
        </row>
        <row r="125">
          <cell r="A125" t="str">
            <v>PI 30</v>
          </cell>
          <cell r="B125" t="str">
            <v>Haste para aterramento aço-cobre D 13x2400mm</v>
          </cell>
          <cell r="C125" t="str">
            <v xml:space="preserve"> </v>
          </cell>
          <cell r="D125" t="str">
            <v xml:space="preserve"> </v>
          </cell>
          <cell r="E125" t="str">
            <v>un</v>
          </cell>
          <cell r="F125">
            <v>12</v>
          </cell>
          <cell r="G125">
            <v>6.04</v>
          </cell>
        </row>
        <row r="126">
          <cell r="A126" t="str">
            <v>PI 31</v>
          </cell>
          <cell r="B126" t="str">
            <v>Cabo de cobre nú meio duro, 7 fios 2AWG</v>
          </cell>
          <cell r="C126" t="str">
            <v xml:space="preserve"> </v>
          </cell>
          <cell r="D126" t="str">
            <v xml:space="preserve"> </v>
          </cell>
          <cell r="E126" t="str">
            <v>kg</v>
          </cell>
          <cell r="F126">
            <v>4</v>
          </cell>
          <cell r="G126">
            <v>7.02</v>
          </cell>
        </row>
        <row r="127">
          <cell r="A127" t="str">
            <v>PI 32</v>
          </cell>
          <cell r="B127" t="str">
            <v>Conetor paralelo, liga alumínio tronco 1/0-4 AWG e derivação 2-4AWG</v>
          </cell>
          <cell r="C127" t="str">
            <v xml:space="preserve"> </v>
          </cell>
          <cell r="D127" t="str">
            <v xml:space="preserve"> </v>
          </cell>
          <cell r="E127" t="str">
            <v>un</v>
          </cell>
          <cell r="F127">
            <v>5</v>
          </cell>
          <cell r="G127">
            <v>1.04</v>
          </cell>
        </row>
        <row r="128">
          <cell r="A128" t="str">
            <v>PI 20</v>
          </cell>
          <cell r="B128" t="str">
            <v>Poste de concreto duplo T 10m, 150 daN</v>
          </cell>
          <cell r="C128" t="str">
            <v xml:space="preserve"> </v>
          </cell>
          <cell r="D128" t="str">
            <v xml:space="preserve"> </v>
          </cell>
          <cell r="E128" t="str">
            <v>un</v>
          </cell>
          <cell r="F128">
            <v>10</v>
          </cell>
          <cell r="G128">
            <v>200</v>
          </cell>
        </row>
        <row r="129">
          <cell r="A129" t="str">
            <v>PI 48</v>
          </cell>
          <cell r="B129" t="str">
            <v>Armação secundária p/ 2 estribo</v>
          </cell>
          <cell r="C129" t="str">
            <v xml:space="preserve"> </v>
          </cell>
          <cell r="D129" t="str">
            <v xml:space="preserve"> </v>
          </cell>
          <cell r="E129" t="str">
            <v>un</v>
          </cell>
          <cell r="F129">
            <v>20</v>
          </cell>
          <cell r="G129">
            <v>7.5</v>
          </cell>
        </row>
        <row r="130">
          <cell r="A130" t="str">
            <v>PI 49</v>
          </cell>
          <cell r="B130" t="str">
            <v>Armação secundária p/ 1 estribo</v>
          </cell>
          <cell r="C130" t="str">
            <v xml:space="preserve"> </v>
          </cell>
          <cell r="D130" t="str">
            <v xml:space="preserve"> </v>
          </cell>
          <cell r="E130" t="str">
            <v>un</v>
          </cell>
          <cell r="F130">
            <v>10</v>
          </cell>
          <cell r="G130">
            <v>3.5</v>
          </cell>
        </row>
        <row r="131">
          <cell r="A131" t="str">
            <v>PI 33</v>
          </cell>
          <cell r="B131" t="str">
            <v>Tubo de aço galvanizado, vara de 6m e 50mm</v>
          </cell>
          <cell r="C131" t="str">
            <v xml:space="preserve"> </v>
          </cell>
          <cell r="D131" t="str">
            <v xml:space="preserve"> </v>
          </cell>
          <cell r="E131" t="str">
            <v>un</v>
          </cell>
          <cell r="F131">
            <v>2</v>
          </cell>
          <cell r="G131">
            <v>74.06</v>
          </cell>
        </row>
        <row r="132">
          <cell r="A132" t="str">
            <v>PI 34</v>
          </cell>
          <cell r="B132" t="str">
            <v>Construção de caixa tipo SP, ou pré-instalada com as mesmas características</v>
          </cell>
          <cell r="C132" t="str">
            <v xml:space="preserve"> </v>
          </cell>
          <cell r="D132" t="str">
            <v xml:space="preserve"> </v>
          </cell>
          <cell r="E132" t="str">
            <v>un</v>
          </cell>
          <cell r="F132">
            <v>6</v>
          </cell>
          <cell r="G132">
            <v>180</v>
          </cell>
        </row>
        <row r="133">
          <cell r="A133" t="str">
            <v>PI 36</v>
          </cell>
          <cell r="B133" t="str">
            <v>Construção de embasamento p/ poste tipo engastado, concreto duplo T, 10m de altura</v>
          </cell>
          <cell r="C133" t="str">
            <v xml:space="preserve"> </v>
          </cell>
          <cell r="D133" t="str">
            <v xml:space="preserve"> </v>
          </cell>
          <cell r="E133" t="str">
            <v>un</v>
          </cell>
          <cell r="F133">
            <v>10</v>
          </cell>
          <cell r="G133">
            <v>285</v>
          </cell>
        </row>
        <row r="134">
          <cell r="A134" t="str">
            <v>PI 37</v>
          </cell>
          <cell r="B134" t="str">
            <v>Lançamento de cabos em dutos de aço, classe 1000V, circuito trifásico mais neutro, e monofásico</v>
          </cell>
          <cell r="C134" t="str">
            <v xml:space="preserve"> </v>
          </cell>
          <cell r="D134" t="str">
            <v xml:space="preserve"> </v>
          </cell>
          <cell r="E134" t="str">
            <v>m</v>
          </cell>
          <cell r="F134">
            <v>70</v>
          </cell>
          <cell r="G134">
            <v>4</v>
          </cell>
        </row>
        <row r="135">
          <cell r="A135" t="str">
            <v>PI 38</v>
          </cell>
          <cell r="B135" t="str">
            <v>Confecção de emendas retas ou derivação em cabos classe 1000V, c/ conector à compressão</v>
          </cell>
          <cell r="C135" t="str">
            <v xml:space="preserve"> </v>
          </cell>
          <cell r="D135" t="str">
            <v xml:space="preserve"> </v>
          </cell>
          <cell r="E135" t="str">
            <v>un</v>
          </cell>
          <cell r="F135">
            <v>2</v>
          </cell>
          <cell r="G135">
            <v>4.5</v>
          </cell>
        </row>
        <row r="136">
          <cell r="A136" t="str">
            <v>PI 39</v>
          </cell>
          <cell r="B136" t="str">
            <v>Fixação de haste de terra e conexão ao neutro</v>
          </cell>
          <cell r="C136" t="str">
            <v xml:space="preserve"> </v>
          </cell>
          <cell r="D136" t="str">
            <v xml:space="preserve"> </v>
          </cell>
          <cell r="E136" t="str">
            <v>un</v>
          </cell>
          <cell r="F136">
            <v>12</v>
          </cell>
          <cell r="G136">
            <v>35</v>
          </cell>
        </row>
        <row r="137">
          <cell r="A137" t="str">
            <v>PI 41</v>
          </cell>
          <cell r="B137" t="str">
            <v>Instalação de tubo de aço vara de 6m e curva de entrada de cabos na lateral do poste c/ fix. dutos</v>
          </cell>
          <cell r="C137" t="str">
            <v xml:space="preserve"> </v>
          </cell>
          <cell r="D137" t="str">
            <v xml:space="preserve"> </v>
          </cell>
          <cell r="E137" t="str">
            <v>un</v>
          </cell>
          <cell r="F137">
            <v>2</v>
          </cell>
          <cell r="G137">
            <v>200</v>
          </cell>
        </row>
        <row r="138">
          <cell r="A138" t="str">
            <v>PI 43</v>
          </cell>
          <cell r="B138" t="str">
            <v>Travessia de pista asfáltica p/ lançamento dutos aço tipo pesado 100mm</v>
          </cell>
          <cell r="C138" t="str">
            <v xml:space="preserve"> </v>
          </cell>
          <cell r="D138" t="str">
            <v xml:space="preserve"> </v>
          </cell>
          <cell r="E138" t="str">
            <v>m</v>
          </cell>
          <cell r="F138">
            <v>70</v>
          </cell>
          <cell r="G138">
            <v>70</v>
          </cell>
        </row>
        <row r="139">
          <cell r="A139" t="str">
            <v>PI 44</v>
          </cell>
          <cell r="B139" t="str">
            <v>Montagem eletromecânica de luminária 10,0m de altura, c/ fixação dos equip.e conexões elétricos</v>
          </cell>
          <cell r="C139" t="str">
            <v xml:space="preserve"> </v>
          </cell>
          <cell r="D139" t="str">
            <v xml:space="preserve"> </v>
          </cell>
          <cell r="E139" t="str">
            <v>un</v>
          </cell>
          <cell r="F139">
            <v>10</v>
          </cell>
          <cell r="G139">
            <v>60</v>
          </cell>
        </row>
        <row r="140">
          <cell r="A140" t="str">
            <v>PI 58</v>
          </cell>
          <cell r="B140" t="str">
            <v>Fixação de caixas de passagem p/ instalação aparente D=20mm</v>
          </cell>
          <cell r="C140" t="str">
            <v xml:space="preserve"> </v>
          </cell>
          <cell r="D140" t="str">
            <v xml:space="preserve"> </v>
          </cell>
          <cell r="E140" t="str">
            <v>un</v>
          </cell>
          <cell r="F140">
            <v>4</v>
          </cell>
          <cell r="G140">
            <v>10</v>
          </cell>
        </row>
        <row r="141">
          <cell r="A141" t="str">
            <v>PI 59</v>
          </cell>
          <cell r="B141" t="str">
            <v>Instalação de luminária blindada para lâmpada a vapor de mercúrio 250W</v>
          </cell>
          <cell r="C141" t="str">
            <v xml:space="preserve"> </v>
          </cell>
          <cell r="D141" t="str">
            <v xml:space="preserve"> </v>
          </cell>
          <cell r="E141" t="str">
            <v>un</v>
          </cell>
          <cell r="F141">
            <v>4</v>
          </cell>
          <cell r="G141">
            <v>20</v>
          </cell>
        </row>
        <row r="142">
          <cell r="A142" t="str">
            <v>PI 01</v>
          </cell>
          <cell r="B142" t="str">
            <v>Poste de aço galv. a fogo, c/ 20,0m de alt. p/ instal. tipo engastado</v>
          </cell>
          <cell r="C142" t="str">
            <v xml:space="preserve"> </v>
          </cell>
          <cell r="D142" t="str">
            <v xml:space="preserve"> </v>
          </cell>
          <cell r="E142" t="str">
            <v>un</v>
          </cell>
          <cell r="F142">
            <v>1</v>
          </cell>
          <cell r="G142">
            <v>2662.25</v>
          </cell>
        </row>
        <row r="143">
          <cell r="A143" t="str">
            <v>PI 07</v>
          </cell>
          <cell r="B143" t="str">
            <v>Suporte p/ luminária tipo ZGP402 da Philips ou similar</v>
          </cell>
          <cell r="C143" t="str">
            <v xml:space="preserve"> </v>
          </cell>
          <cell r="D143" t="str">
            <v xml:space="preserve"> </v>
          </cell>
          <cell r="E143" t="str">
            <v>un</v>
          </cell>
          <cell r="F143">
            <v>1</v>
          </cell>
          <cell r="G143">
            <v>100</v>
          </cell>
        </row>
        <row r="144">
          <cell r="A144" t="str">
            <v>PI 04</v>
          </cell>
          <cell r="B144" t="str">
            <v xml:space="preserve">Luminária p/ iluminação pública ref.SRC-612 da Philips ou similar </v>
          </cell>
          <cell r="C144" t="str">
            <v xml:space="preserve"> </v>
          </cell>
          <cell r="D144" t="str">
            <v xml:space="preserve"> </v>
          </cell>
          <cell r="E144" t="str">
            <v>un</v>
          </cell>
          <cell r="F144">
            <v>2</v>
          </cell>
          <cell r="G144">
            <v>425.5</v>
          </cell>
        </row>
        <row r="145">
          <cell r="A145" t="str">
            <v>PI 03</v>
          </cell>
          <cell r="B145" t="str">
            <v xml:space="preserve">Luminária p/ iluminação pública ref.HRC-612 da Philips ou similar </v>
          </cell>
          <cell r="C145" t="str">
            <v xml:space="preserve"> </v>
          </cell>
          <cell r="D145" t="str">
            <v xml:space="preserve"> </v>
          </cell>
          <cell r="E145" t="str">
            <v>un</v>
          </cell>
          <cell r="F145">
            <v>20</v>
          </cell>
          <cell r="G145">
            <v>400</v>
          </cell>
        </row>
        <row r="146">
          <cell r="A146" t="str">
            <v>PI 09</v>
          </cell>
          <cell r="B146" t="str">
            <v>Lâmpada a vapor de sódio 400W, alta pressão, base E40</v>
          </cell>
          <cell r="C146" t="str">
            <v xml:space="preserve"> </v>
          </cell>
          <cell r="D146" t="str">
            <v xml:space="preserve"> </v>
          </cell>
          <cell r="E146" t="str">
            <v>un</v>
          </cell>
          <cell r="F146">
            <v>2</v>
          </cell>
          <cell r="G146">
            <v>33.35</v>
          </cell>
        </row>
        <row r="147">
          <cell r="A147" t="str">
            <v>PI 35</v>
          </cell>
          <cell r="B147" t="str">
            <v>Construção de embasamento p/ poste tipo engastado, 20m de altura</v>
          </cell>
          <cell r="C147" t="str">
            <v xml:space="preserve"> </v>
          </cell>
          <cell r="D147" t="str">
            <v xml:space="preserve"> </v>
          </cell>
          <cell r="E147" t="str">
            <v>un</v>
          </cell>
          <cell r="F147">
            <v>1</v>
          </cell>
          <cell r="G147">
            <v>494</v>
          </cell>
        </row>
        <row r="148">
          <cell r="A148" t="str">
            <v>PI 42</v>
          </cell>
          <cell r="B148" t="str">
            <v>Instalação de poste de aço de 20m de altura engastado</v>
          </cell>
          <cell r="C148" t="str">
            <v xml:space="preserve"> </v>
          </cell>
          <cell r="D148" t="str">
            <v xml:space="preserve"> </v>
          </cell>
          <cell r="E148" t="str">
            <v>un</v>
          </cell>
          <cell r="F148">
            <v>1</v>
          </cell>
          <cell r="G148">
            <v>250</v>
          </cell>
        </row>
        <row r="149">
          <cell r="A149" t="str">
            <v>PI 69</v>
          </cell>
          <cell r="B149" t="str">
            <v>Instalação de poste concreto duplo T, 10m de altura, engastado</v>
          </cell>
          <cell r="C149" t="str">
            <v xml:space="preserve"> </v>
          </cell>
          <cell r="D149" t="str">
            <v xml:space="preserve"> </v>
          </cell>
          <cell r="E149" t="str">
            <v>un</v>
          </cell>
          <cell r="F149">
            <v>10</v>
          </cell>
          <cell r="G149">
            <v>200</v>
          </cell>
        </row>
        <row r="150">
          <cell r="A150" t="str">
            <v>PI 27</v>
          </cell>
          <cell r="B150" t="str">
            <v>Cabo isolado p/ 1000V, bitola 35mm²</v>
          </cell>
          <cell r="C150" t="str">
            <v xml:space="preserve"> </v>
          </cell>
          <cell r="D150" t="str">
            <v xml:space="preserve"> </v>
          </cell>
          <cell r="E150" t="str">
            <v>m</v>
          </cell>
          <cell r="F150">
            <v>200</v>
          </cell>
          <cell r="G150">
            <v>1.55</v>
          </cell>
        </row>
        <row r="151">
          <cell r="A151" t="str">
            <v>PI 65</v>
          </cell>
          <cell r="B151" t="str">
            <v>Cabo de alumínio 1/0</v>
          </cell>
          <cell r="C151" t="str">
            <v xml:space="preserve"> </v>
          </cell>
          <cell r="D151" t="str">
            <v xml:space="preserve"> </v>
          </cell>
          <cell r="E151" t="str">
            <v>m</v>
          </cell>
          <cell r="F151">
            <v>2650</v>
          </cell>
          <cell r="G151">
            <v>1.7</v>
          </cell>
        </row>
        <row r="152">
          <cell r="A152" t="str">
            <v>PI 66</v>
          </cell>
          <cell r="B152" t="str">
            <v>Cabo isolado p/ 1000 V, 6 mm2 de alumínio</v>
          </cell>
          <cell r="C152" t="str">
            <v xml:space="preserve"> </v>
          </cell>
          <cell r="D152" t="str">
            <v xml:space="preserve"> </v>
          </cell>
          <cell r="E152" t="str">
            <v>m</v>
          </cell>
          <cell r="F152">
            <v>20</v>
          </cell>
          <cell r="G152">
            <v>1</v>
          </cell>
        </row>
        <row r="153">
          <cell r="A153" t="str">
            <v>PI 67</v>
          </cell>
          <cell r="B153" t="str">
            <v>Cabo isolado p/ 1000 V, 2,5 mm2 de alumínio</v>
          </cell>
          <cell r="C153" t="str">
            <v xml:space="preserve"> </v>
          </cell>
          <cell r="D153" t="str">
            <v xml:space="preserve"> </v>
          </cell>
          <cell r="E153" t="str">
            <v>m</v>
          </cell>
          <cell r="F153">
            <v>60</v>
          </cell>
          <cell r="G153">
            <v>0.6</v>
          </cell>
        </row>
        <row r="154">
          <cell r="A154" t="str">
            <v>R1</v>
          </cell>
          <cell r="B154" t="str">
            <v>Remanejamento de Rede de Baixa Tensão (220/380V)</v>
          </cell>
          <cell r="C154" t="str">
            <v xml:space="preserve"> </v>
          </cell>
          <cell r="D154" t="str">
            <v xml:space="preserve"> </v>
          </cell>
          <cell r="E154" t="str">
            <v>m</v>
          </cell>
          <cell r="F154">
            <v>100</v>
          </cell>
          <cell r="G154">
            <v>4.7</v>
          </cell>
        </row>
        <row r="155">
          <cell r="A155" t="str">
            <v>R2</v>
          </cell>
          <cell r="B155" t="str">
            <v>Remanejamento de Rede de Alta Tensão (138kV)</v>
          </cell>
          <cell r="C155" t="str">
            <v xml:space="preserve"> </v>
          </cell>
          <cell r="D155" t="str">
            <v xml:space="preserve"> </v>
          </cell>
          <cell r="E155" t="str">
            <v>m</v>
          </cell>
          <cell r="F155">
            <v>120</v>
          </cell>
          <cell r="G155">
            <v>6.2</v>
          </cell>
        </row>
        <row r="156">
          <cell r="A156" t="str">
            <v>R10</v>
          </cell>
          <cell r="B156" t="str">
            <v>Remanejamento de Poste de Concreto 10/150</v>
          </cell>
          <cell r="C156" t="str">
            <v xml:space="preserve"> </v>
          </cell>
          <cell r="D156" t="str">
            <v xml:space="preserve"> </v>
          </cell>
          <cell r="E156" t="str">
            <v>un</v>
          </cell>
          <cell r="F156">
            <v>2</v>
          </cell>
          <cell r="G156">
            <v>75</v>
          </cell>
        </row>
        <row r="157">
          <cell r="A157" t="str">
            <v>R11</v>
          </cell>
          <cell r="B157" t="str">
            <v>Remanejamento de Poste de Concreto 10/300</v>
          </cell>
          <cell r="C157" t="str">
            <v xml:space="preserve"> </v>
          </cell>
          <cell r="D157" t="str">
            <v xml:space="preserve"> </v>
          </cell>
          <cell r="E157" t="str">
            <v>un</v>
          </cell>
          <cell r="F157">
            <v>2</v>
          </cell>
          <cell r="G157">
            <v>75</v>
          </cell>
        </row>
      </sheetData>
      <sheetData sheetId="16"/>
      <sheetData sheetId="17"/>
      <sheetData sheetId="18">
        <row r="16">
          <cell r="A16" t="str">
            <v>DER90150</v>
          </cell>
          <cell r="B16" t="str">
            <v>Escavação em tubulão a céu aberto em material de 1ªcateg.</v>
          </cell>
          <cell r="C16" t="str">
            <v xml:space="preserve"> </v>
          </cell>
          <cell r="D16" t="str">
            <v xml:space="preserve"> </v>
          </cell>
          <cell r="E16" t="str">
            <v>m3</v>
          </cell>
          <cell r="F16">
            <v>22</v>
          </cell>
          <cell r="G16">
            <v>184.89</v>
          </cell>
        </row>
        <row r="17">
          <cell r="A17" t="str">
            <v>DER90160</v>
          </cell>
          <cell r="B17" t="str">
            <v>Escavação em tubulão a céu aberto em material de 3ªcateg.</v>
          </cell>
          <cell r="C17" t="str">
            <v xml:space="preserve"> </v>
          </cell>
          <cell r="D17" t="str">
            <v xml:space="preserve"> </v>
          </cell>
          <cell r="E17" t="str">
            <v>m3</v>
          </cell>
          <cell r="F17">
            <v>1</v>
          </cell>
          <cell r="G17">
            <v>640.85</v>
          </cell>
        </row>
        <row r="18">
          <cell r="A18" t="str">
            <v>DER90170</v>
          </cell>
          <cell r="B18" t="str">
            <v>Escavação em tubulão sob ar comprimido em material de 1ªcateg.</v>
          </cell>
          <cell r="C18" t="str">
            <v xml:space="preserve"> </v>
          </cell>
          <cell r="D18" t="str">
            <v xml:space="preserve"> </v>
          </cell>
          <cell r="E18" t="str">
            <v>m3</v>
          </cell>
          <cell r="F18">
            <v>1</v>
          </cell>
          <cell r="G18">
            <v>742.04</v>
          </cell>
        </row>
        <row r="19">
          <cell r="A19" t="str">
            <v>DER90180</v>
          </cell>
          <cell r="B19" t="str">
            <v>Escavação em tubulão sob ar comprimido em material de 3ªcateg.</v>
          </cell>
          <cell r="C19" t="str">
            <v xml:space="preserve"> </v>
          </cell>
          <cell r="D19" t="str">
            <v xml:space="preserve"> </v>
          </cell>
          <cell r="E19" t="str">
            <v>m3</v>
          </cell>
          <cell r="F19">
            <v>33</v>
          </cell>
          <cell r="G19">
            <v>1154.25</v>
          </cell>
        </row>
        <row r="20">
          <cell r="A20" t="str">
            <v>03.010.01</v>
          </cell>
          <cell r="B20" t="str">
            <v>Escavação em cavas de fundação com esgotamento</v>
          </cell>
          <cell r="C20" t="str">
            <v xml:space="preserve"> </v>
          </cell>
          <cell r="D20" t="str">
            <v xml:space="preserve"> </v>
          </cell>
          <cell r="E20" t="str">
            <v>m3</v>
          </cell>
          <cell r="F20">
            <v>173</v>
          </cell>
          <cell r="G20">
            <v>22.39</v>
          </cell>
        </row>
        <row r="21">
          <cell r="A21" t="str">
            <v>03.119.01</v>
          </cell>
          <cell r="B21" t="str">
            <v>Escoramento</v>
          </cell>
          <cell r="C21" t="str">
            <v xml:space="preserve"> </v>
          </cell>
          <cell r="D21" t="str">
            <v xml:space="preserve"> </v>
          </cell>
          <cell r="E21" t="str">
            <v>m3</v>
          </cell>
          <cell r="F21">
            <v>204</v>
          </cell>
          <cell r="G21">
            <v>19.190000000000001</v>
          </cell>
        </row>
        <row r="22">
          <cell r="A22" t="str">
            <v>03.371.00</v>
          </cell>
          <cell r="B22" t="str">
            <v>Formas de madeira compensada</v>
          </cell>
          <cell r="C22" t="str">
            <v xml:space="preserve"> </v>
          </cell>
          <cell r="D22" t="str">
            <v xml:space="preserve"> </v>
          </cell>
          <cell r="E22" t="str">
            <v>m2</v>
          </cell>
          <cell r="F22">
            <v>223</v>
          </cell>
          <cell r="G22">
            <v>21.86</v>
          </cell>
        </row>
        <row r="23">
          <cell r="A23" t="str">
            <v>03.371.02</v>
          </cell>
          <cell r="B23" t="str">
            <v>Formas de placa compensada plastificada</v>
          </cell>
          <cell r="C23" t="str">
            <v xml:space="preserve"> </v>
          </cell>
          <cell r="D23" t="str">
            <v xml:space="preserve"> </v>
          </cell>
          <cell r="E23" t="str">
            <v>m2</v>
          </cell>
          <cell r="F23">
            <v>261</v>
          </cell>
          <cell r="G23">
            <v>30.76</v>
          </cell>
        </row>
        <row r="24">
          <cell r="A24" t="str">
            <v>03.353.00</v>
          </cell>
          <cell r="B24" t="str">
            <v>Forn., preparo e colocação nas formas, de aço CA-50</v>
          </cell>
          <cell r="C24" t="str">
            <v xml:space="preserve"> </v>
          </cell>
          <cell r="D24" t="str">
            <v xml:space="preserve"> </v>
          </cell>
          <cell r="E24" t="str">
            <v>kg</v>
          </cell>
          <cell r="F24">
            <v>5462</v>
          </cell>
          <cell r="G24">
            <v>2.59</v>
          </cell>
        </row>
        <row r="25">
          <cell r="A25" t="str">
            <v>03.326.00</v>
          </cell>
          <cell r="B25" t="str">
            <v xml:space="preserve">Concreto fck= 20 MPa-contr. raz. uso ger. </v>
          </cell>
          <cell r="C25" t="str">
            <v xml:space="preserve"> </v>
          </cell>
          <cell r="D25" t="str">
            <v xml:space="preserve"> </v>
          </cell>
          <cell r="E25" t="str">
            <v>m3</v>
          </cell>
          <cell r="F25">
            <v>117</v>
          </cell>
          <cell r="G25">
            <v>149.19999999999999</v>
          </cell>
        </row>
        <row r="26">
          <cell r="B26" t="str">
            <v>Superestrutura</v>
          </cell>
        </row>
        <row r="27">
          <cell r="A27" t="str">
            <v>03.371.02</v>
          </cell>
          <cell r="B27" t="str">
            <v>Formas de placa compensada plastificada</v>
          </cell>
          <cell r="C27" t="str">
            <v xml:space="preserve"> </v>
          </cell>
          <cell r="D27" t="str">
            <v xml:space="preserve"> </v>
          </cell>
          <cell r="E27" t="str">
            <v>m2</v>
          </cell>
          <cell r="F27">
            <v>1745</v>
          </cell>
          <cell r="G27">
            <v>30.76</v>
          </cell>
        </row>
        <row r="28">
          <cell r="A28" t="str">
            <v>OAE6</v>
          </cell>
          <cell r="B28" t="str">
            <v>Escoramento metálico comum (cimbramento)</v>
          </cell>
          <cell r="C28" t="str">
            <v xml:space="preserve"> </v>
          </cell>
          <cell r="D28" t="str">
            <v xml:space="preserve"> </v>
          </cell>
          <cell r="E28" t="str">
            <v>m3</v>
          </cell>
          <cell r="F28">
            <v>1725</v>
          </cell>
          <cell r="G28">
            <v>27.58</v>
          </cell>
        </row>
        <row r="29">
          <cell r="A29" t="str">
            <v>03.353.00</v>
          </cell>
          <cell r="B29" t="str">
            <v>Forn., preparo e colocação nas formas, de aço CA-50</v>
          </cell>
          <cell r="C29" t="str">
            <v xml:space="preserve"> </v>
          </cell>
          <cell r="D29" t="str">
            <v xml:space="preserve"> </v>
          </cell>
          <cell r="E29" t="str">
            <v>kg</v>
          </cell>
          <cell r="F29">
            <v>20346</v>
          </cell>
          <cell r="G29">
            <v>2.59</v>
          </cell>
        </row>
        <row r="30">
          <cell r="A30" t="str">
            <v>03.354.00</v>
          </cell>
          <cell r="B30" t="str">
            <v>Forn., preparo e colocação nas formas, de aço CA-60</v>
          </cell>
          <cell r="C30" t="str">
            <v xml:space="preserve"> </v>
          </cell>
          <cell r="D30" t="str">
            <v xml:space="preserve"> </v>
          </cell>
          <cell r="E30" t="str">
            <v>kg</v>
          </cell>
          <cell r="F30">
            <v>2058</v>
          </cell>
          <cell r="G30">
            <v>2.85</v>
          </cell>
        </row>
        <row r="31">
          <cell r="A31" t="str">
            <v>03.359.01</v>
          </cell>
          <cell r="B31" t="str">
            <v>Forn., preparo e colocação nas formas, de aço CA-25</v>
          </cell>
          <cell r="C31" t="str">
            <v xml:space="preserve"> </v>
          </cell>
          <cell r="D31" t="str">
            <v xml:space="preserve"> </v>
          </cell>
          <cell r="E31" t="str">
            <v>kg</v>
          </cell>
          <cell r="F31">
            <v>114</v>
          </cell>
          <cell r="G31">
            <v>2.4300000000000002</v>
          </cell>
        </row>
        <row r="32">
          <cell r="A32" t="str">
            <v>03.330.00</v>
          </cell>
          <cell r="B32" t="str">
            <v>Concreto fck= 35 MPa-contr. raz. uso ger.</v>
          </cell>
          <cell r="C32" t="str">
            <v xml:space="preserve"> </v>
          </cell>
          <cell r="D32" t="str">
            <v xml:space="preserve"> </v>
          </cell>
          <cell r="E32" t="str">
            <v>m3</v>
          </cell>
          <cell r="F32">
            <v>130</v>
          </cell>
          <cell r="G32">
            <v>166.78</v>
          </cell>
        </row>
        <row r="33">
          <cell r="A33" t="str">
            <v>03.326.00</v>
          </cell>
          <cell r="B33" t="str">
            <v xml:space="preserve">Concreto fck= 20 MPa-contr. raz. uso ger. </v>
          </cell>
          <cell r="C33" t="str">
            <v xml:space="preserve"> </v>
          </cell>
          <cell r="D33" t="str">
            <v xml:space="preserve"> </v>
          </cell>
          <cell r="E33" t="str">
            <v>m3</v>
          </cell>
          <cell r="F33">
            <v>33</v>
          </cell>
          <cell r="G33">
            <v>149.19999999999999</v>
          </cell>
        </row>
        <row r="34">
          <cell r="B34" t="str">
            <v>Diversos</v>
          </cell>
        </row>
        <row r="35">
          <cell r="A35" t="str">
            <v>03.510.00</v>
          </cell>
          <cell r="B35" t="str">
            <v>Aparelho de apoio em neoprene</v>
          </cell>
          <cell r="C35" t="str">
            <v xml:space="preserve"> </v>
          </cell>
          <cell r="D35" t="str">
            <v xml:space="preserve"> </v>
          </cell>
          <cell r="E35" t="str">
            <v>kg</v>
          </cell>
          <cell r="F35">
            <v>50</v>
          </cell>
          <cell r="G35">
            <v>86.94</v>
          </cell>
        </row>
        <row r="36">
          <cell r="A36" t="str">
            <v>P 03.991.01b</v>
          </cell>
          <cell r="B36" t="str">
            <v>Dreno de FF D= 50 mm x 500mm</v>
          </cell>
          <cell r="C36" t="str">
            <v xml:space="preserve"> </v>
          </cell>
          <cell r="D36" t="str">
            <v xml:space="preserve"> </v>
          </cell>
          <cell r="E36" t="str">
            <v>un</v>
          </cell>
          <cell r="F36">
            <v>42</v>
          </cell>
          <cell r="G36">
            <v>6.63</v>
          </cell>
        </row>
        <row r="37">
          <cell r="F37" t="str">
            <v>SUB-TOTAL OAE</v>
          </cell>
        </row>
        <row r="38">
          <cell r="B38" t="str">
            <v>OBRAS COMPLEMENTARES</v>
          </cell>
        </row>
        <row r="39">
          <cell r="B39" t="str">
            <v>Iluminação das passarelas</v>
          </cell>
        </row>
        <row r="40">
          <cell r="A40" t="str">
            <v>PI 02a</v>
          </cell>
          <cell r="B40" t="str">
            <v>Poste de aço galvanizado a fogo, c/ 5,0m de alt. p/instal.na lat. das passarelas</v>
          </cell>
          <cell r="C40" t="str">
            <v xml:space="preserve"> </v>
          </cell>
          <cell r="D40" t="str">
            <v xml:space="preserve"> </v>
          </cell>
          <cell r="E40" t="str">
            <v>un</v>
          </cell>
          <cell r="F40">
            <v>4</v>
          </cell>
          <cell r="G40">
            <v>300</v>
          </cell>
        </row>
        <row r="41">
          <cell r="A41" t="str">
            <v>PI 03</v>
          </cell>
          <cell r="B41" t="str">
            <v xml:space="preserve">Luminária p/ iluminação pública ref.HRC-612 da Philips ou similar </v>
          </cell>
          <cell r="C41" t="str">
            <v xml:space="preserve"> </v>
          </cell>
          <cell r="D41" t="str">
            <v xml:space="preserve"> </v>
          </cell>
          <cell r="E41" t="str">
            <v>un</v>
          </cell>
          <cell r="F41">
            <v>4</v>
          </cell>
          <cell r="G41">
            <v>400</v>
          </cell>
        </row>
        <row r="42">
          <cell r="A42" t="str">
            <v>PI 08</v>
          </cell>
          <cell r="B42" t="str">
            <v>Suporte p/ luminária tipo ZGP401 da Philips ou similar</v>
          </cell>
          <cell r="C42" t="str">
            <v xml:space="preserve"> </v>
          </cell>
          <cell r="D42" t="str">
            <v xml:space="preserve"> </v>
          </cell>
          <cell r="E42" t="str">
            <v>un</v>
          </cell>
          <cell r="F42">
            <v>4</v>
          </cell>
          <cell r="G42">
            <v>81.650000000000006</v>
          </cell>
        </row>
        <row r="43">
          <cell r="A43" t="str">
            <v>PI 10</v>
          </cell>
          <cell r="B43" t="str">
            <v>Lâmpada a vapor de mercúrio 250W, alta pressão, base E40</v>
          </cell>
          <cell r="C43" t="str">
            <v xml:space="preserve"> </v>
          </cell>
          <cell r="D43" t="str">
            <v xml:space="preserve"> </v>
          </cell>
          <cell r="E43" t="str">
            <v>un</v>
          </cell>
          <cell r="F43">
            <v>4</v>
          </cell>
          <cell r="G43">
            <v>28.75</v>
          </cell>
        </row>
        <row r="44">
          <cell r="A44" t="str">
            <v>PI 71</v>
          </cell>
          <cell r="B44" t="str">
            <v>Cabo isolado p/ 1000V, de alumínio, singelo, cor preto, bitola 25 mm² (XLPE) est.</v>
          </cell>
          <cell r="C44" t="str">
            <v xml:space="preserve"> </v>
          </cell>
          <cell r="D44" t="str">
            <v xml:space="preserve"> </v>
          </cell>
          <cell r="E44" t="str">
            <v>m</v>
          </cell>
          <cell r="F44">
            <v>100</v>
          </cell>
          <cell r="G44">
            <v>4.62</v>
          </cell>
        </row>
        <row r="45">
          <cell r="A45" t="str">
            <v>PI 67</v>
          </cell>
          <cell r="B45" t="str">
            <v>Cabo isolado p/ 1000 V, 2,5 mm2 de alumínio</v>
          </cell>
          <cell r="C45" t="str">
            <v xml:space="preserve"> </v>
          </cell>
          <cell r="D45" t="str">
            <v xml:space="preserve"> </v>
          </cell>
          <cell r="E45" t="str">
            <v>m</v>
          </cell>
          <cell r="F45">
            <v>40</v>
          </cell>
          <cell r="G45">
            <v>0.6</v>
          </cell>
        </row>
        <row r="46">
          <cell r="A46" t="str">
            <v>PI 72</v>
          </cell>
          <cell r="B46" t="str">
            <v>Eletroduto de aço 1.1/4" (vara de 3m), na passarela, conforme projeto</v>
          </cell>
          <cell r="C46">
            <v>0</v>
          </cell>
          <cell r="D46">
            <v>0</v>
          </cell>
          <cell r="E46" t="str">
            <v>m</v>
          </cell>
          <cell r="F46">
            <v>50</v>
          </cell>
          <cell r="G46">
            <v>18</v>
          </cell>
        </row>
        <row r="47">
          <cell r="A47" t="str">
            <v>PI 30</v>
          </cell>
          <cell r="B47" t="str">
            <v>Haste para aterramento aço-cobre D 13x2400mm</v>
          </cell>
          <cell r="C47" t="str">
            <v xml:space="preserve"> </v>
          </cell>
          <cell r="D47" t="str">
            <v xml:space="preserve"> </v>
          </cell>
          <cell r="E47" t="str">
            <v>un</v>
          </cell>
          <cell r="F47">
            <v>1</v>
          </cell>
          <cell r="G47">
            <v>6.04</v>
          </cell>
        </row>
        <row r="48">
          <cell r="A48" t="str">
            <v>PI 31</v>
          </cell>
          <cell r="B48" t="str">
            <v>Cabo de cobre nú meio duro, 7 fios 2AWG</v>
          </cell>
          <cell r="C48" t="str">
            <v xml:space="preserve"> </v>
          </cell>
          <cell r="D48" t="str">
            <v xml:space="preserve"> </v>
          </cell>
          <cell r="E48" t="str">
            <v>kg</v>
          </cell>
          <cell r="F48">
            <v>4</v>
          </cell>
          <cell r="G48">
            <v>7.02</v>
          </cell>
        </row>
        <row r="49">
          <cell r="A49" t="str">
            <v>PI 39</v>
          </cell>
          <cell r="B49" t="str">
            <v>Fixação de haste de terra e conexão ao neutro</v>
          </cell>
          <cell r="C49" t="str">
            <v xml:space="preserve"> </v>
          </cell>
          <cell r="D49" t="str">
            <v xml:space="preserve"> </v>
          </cell>
          <cell r="E49" t="str">
            <v>un</v>
          </cell>
          <cell r="F49">
            <v>4</v>
          </cell>
          <cell r="G49">
            <v>35</v>
          </cell>
        </row>
        <row r="50">
          <cell r="A50" t="str">
            <v>PI 37</v>
          </cell>
          <cell r="B50" t="str">
            <v>Lançamento de cabos em dutos de aço, classe 1000V, circuito trifásico mais neutro, e monofásico</v>
          </cell>
          <cell r="C50" t="str">
            <v xml:space="preserve"> </v>
          </cell>
          <cell r="D50" t="str">
            <v xml:space="preserve"> </v>
          </cell>
          <cell r="E50" t="str">
            <v>m</v>
          </cell>
          <cell r="F50">
            <v>100</v>
          </cell>
          <cell r="G50">
            <v>4</v>
          </cell>
        </row>
        <row r="51">
          <cell r="A51" t="str">
            <v>PI 73</v>
          </cell>
          <cell r="B51" t="str">
            <v>Reator de alto fator externo c/ignitor p/ lâmpada a vapor de mercúrio,  da Entral ou similar</v>
          </cell>
          <cell r="C51">
            <v>0</v>
          </cell>
          <cell r="D51">
            <v>0</v>
          </cell>
          <cell r="E51" t="str">
            <v>un</v>
          </cell>
          <cell r="F51">
            <v>4</v>
          </cell>
          <cell r="G51">
            <v>37</v>
          </cell>
        </row>
        <row r="52">
          <cell r="A52" t="str">
            <v>PI 74</v>
          </cell>
          <cell r="B52" t="str">
            <v>Chave de iluminação pública</v>
          </cell>
          <cell r="C52">
            <v>0</v>
          </cell>
          <cell r="D52">
            <v>0</v>
          </cell>
          <cell r="E52" t="str">
            <v>un</v>
          </cell>
          <cell r="F52">
            <v>1</v>
          </cell>
          <cell r="G52">
            <v>95</v>
          </cell>
        </row>
        <row r="53">
          <cell r="A53" t="str">
            <v>PI 75</v>
          </cell>
          <cell r="B53" t="str">
            <v>Montagem eletromecânica de luminária 5m de altura, c/fixação dos equipam.e conexões elét.</v>
          </cell>
          <cell r="C53">
            <v>0</v>
          </cell>
          <cell r="D53">
            <v>0</v>
          </cell>
          <cell r="E53" t="str">
            <v>un</v>
          </cell>
          <cell r="F53">
            <v>4</v>
          </cell>
          <cell r="G53">
            <v>67.08</v>
          </cell>
        </row>
        <row r="54">
          <cell r="A54" t="str">
            <v>PI 22</v>
          </cell>
          <cell r="B54" t="str">
            <v>Base completa com fusível Diazed, 6A, retardado, incluíndo tampa, anel de proteção e ajuste</v>
          </cell>
          <cell r="C54" t="str">
            <v xml:space="preserve"> </v>
          </cell>
          <cell r="D54" t="str">
            <v xml:space="preserve"> </v>
          </cell>
          <cell r="E54" t="str">
            <v>un</v>
          </cell>
          <cell r="F54">
            <v>4</v>
          </cell>
          <cell r="G54">
            <v>8.6300000000000008</v>
          </cell>
        </row>
        <row r="55">
          <cell r="A55" t="str">
            <v>PI 26</v>
          </cell>
          <cell r="B55" t="str">
            <v>Relé fotoelétrico c/ suporte para fixação galv. com furo 18mm</v>
          </cell>
          <cell r="C55" t="str">
            <v xml:space="preserve"> </v>
          </cell>
          <cell r="D55" t="str">
            <v xml:space="preserve"> </v>
          </cell>
          <cell r="E55" t="str">
            <v>un</v>
          </cell>
          <cell r="F55">
            <v>1</v>
          </cell>
          <cell r="G55">
            <v>11.5</v>
          </cell>
        </row>
        <row r="56">
          <cell r="A56" t="str">
            <v>PI 24</v>
          </cell>
          <cell r="B56" t="str">
            <v>Fita elétrica auto fusão a base de borracha EPR</v>
          </cell>
          <cell r="C56" t="str">
            <v xml:space="preserve"> </v>
          </cell>
          <cell r="D56" t="str">
            <v xml:space="preserve"> </v>
          </cell>
          <cell r="E56" t="str">
            <v>un</v>
          </cell>
          <cell r="F56">
            <v>2</v>
          </cell>
          <cell r="G56">
            <v>6.39</v>
          </cell>
        </row>
        <row r="57">
          <cell r="A57" t="str">
            <v>PI 25</v>
          </cell>
          <cell r="B57" t="str">
            <v>Fita adesiva plástica isolante</v>
          </cell>
          <cell r="C57" t="str">
            <v xml:space="preserve"> </v>
          </cell>
          <cell r="D57" t="str">
            <v xml:space="preserve"> </v>
          </cell>
          <cell r="E57" t="str">
            <v>un</v>
          </cell>
          <cell r="F57">
            <v>2</v>
          </cell>
          <cell r="G57">
            <v>3.84</v>
          </cell>
        </row>
        <row r="58">
          <cell r="A58" t="str">
            <v>PI 38</v>
          </cell>
          <cell r="B58" t="str">
            <v>Confecção de emendas retas ou derivação em cabos classe 1000V, c/ conector à compressão</v>
          </cell>
          <cell r="C58" t="str">
            <v xml:space="preserve"> </v>
          </cell>
          <cell r="D58" t="str">
            <v xml:space="preserve"> </v>
          </cell>
          <cell r="E58" t="str">
            <v>un</v>
          </cell>
          <cell r="F58">
            <v>12</v>
          </cell>
          <cell r="G58">
            <v>4.5</v>
          </cell>
        </row>
        <row r="59">
          <cell r="F59" t="str">
            <v>SUB-TOTAL - OBRAS COMPLEMENTARES</v>
          </cell>
        </row>
        <row r="61">
          <cell r="F61" t="str">
            <v>SUB-TOTAL - Passarela do Km 4+700/391+700</v>
          </cell>
        </row>
        <row r="63">
          <cell r="B63" t="str">
            <v>Passarela do Km 9+680/396+680</v>
          </cell>
        </row>
        <row r="64">
          <cell r="B64" t="str">
            <v>OBRAS DE ARTE ESPECIAIS</v>
          </cell>
        </row>
        <row r="65">
          <cell r="B65" t="str">
            <v>Infra e Mesoestrutura</v>
          </cell>
        </row>
        <row r="66">
          <cell r="A66" t="str">
            <v>DER90150</v>
          </cell>
          <cell r="B66" t="str">
            <v>Escavação em tubulão a céu aberto em material de 1ªcateg.</v>
          </cell>
          <cell r="C66" t="str">
            <v xml:space="preserve"> </v>
          </cell>
          <cell r="D66" t="str">
            <v xml:space="preserve"> </v>
          </cell>
          <cell r="E66" t="str">
            <v>m3</v>
          </cell>
          <cell r="F66">
            <v>31</v>
          </cell>
          <cell r="G66">
            <v>184.89</v>
          </cell>
        </row>
        <row r="67">
          <cell r="A67" t="str">
            <v>DER90160</v>
          </cell>
          <cell r="B67" t="str">
            <v>Escavação em tubulão a céu aberto em material de 3ªcateg.</v>
          </cell>
          <cell r="C67" t="str">
            <v xml:space="preserve"> </v>
          </cell>
          <cell r="D67" t="str">
            <v xml:space="preserve"> </v>
          </cell>
          <cell r="E67" t="str">
            <v>m3</v>
          </cell>
          <cell r="F67">
            <v>1</v>
          </cell>
          <cell r="G67">
            <v>640.85</v>
          </cell>
        </row>
        <row r="68">
          <cell r="A68" t="str">
            <v>DER90170</v>
          </cell>
          <cell r="B68" t="str">
            <v>Escavação em tubulão sob ar comprimido em material de 1ªcateg.</v>
          </cell>
          <cell r="C68" t="str">
            <v xml:space="preserve"> </v>
          </cell>
          <cell r="D68" t="str">
            <v xml:space="preserve"> </v>
          </cell>
          <cell r="E68" t="str">
            <v>m3</v>
          </cell>
          <cell r="F68">
            <v>1</v>
          </cell>
          <cell r="G68">
            <v>742.04</v>
          </cell>
        </row>
        <row r="69">
          <cell r="A69" t="str">
            <v>DER90180</v>
          </cell>
          <cell r="B69" t="str">
            <v>Escavação em tubulão sob ar comprimido em material de 3ªcateg.</v>
          </cell>
          <cell r="C69" t="str">
            <v xml:space="preserve"> </v>
          </cell>
          <cell r="D69" t="str">
            <v xml:space="preserve"> </v>
          </cell>
          <cell r="E69" t="str">
            <v>m3</v>
          </cell>
          <cell r="F69">
            <v>46</v>
          </cell>
          <cell r="G69">
            <v>1154.25</v>
          </cell>
        </row>
        <row r="70">
          <cell r="A70" t="str">
            <v>03.010.01</v>
          </cell>
          <cell r="B70" t="str">
            <v>Escavação em cavas de fundação com esgotamento</v>
          </cell>
          <cell r="C70" t="str">
            <v xml:space="preserve"> </v>
          </cell>
          <cell r="D70" t="str">
            <v xml:space="preserve"> </v>
          </cell>
          <cell r="E70" t="str">
            <v>m3</v>
          </cell>
          <cell r="F70">
            <v>17</v>
          </cell>
          <cell r="G70">
            <v>22.39</v>
          </cell>
        </row>
        <row r="71">
          <cell r="A71" t="str">
            <v>03.371.00</v>
          </cell>
          <cell r="B71" t="str">
            <v>Formas de madeira compensada</v>
          </cell>
          <cell r="C71" t="str">
            <v xml:space="preserve"> </v>
          </cell>
          <cell r="D71" t="str">
            <v xml:space="preserve"> </v>
          </cell>
          <cell r="E71" t="str">
            <v>m2</v>
          </cell>
          <cell r="F71">
            <v>263</v>
          </cell>
          <cell r="G71">
            <v>21.86</v>
          </cell>
        </row>
        <row r="72">
          <cell r="A72" t="str">
            <v>03.371.02</v>
          </cell>
          <cell r="B72" t="str">
            <v>Formas de placa compensada plastificada</v>
          </cell>
          <cell r="C72" t="str">
            <v xml:space="preserve"> </v>
          </cell>
          <cell r="D72" t="str">
            <v xml:space="preserve"> </v>
          </cell>
          <cell r="E72" t="str">
            <v>m2</v>
          </cell>
          <cell r="F72">
            <v>203</v>
          </cell>
          <cell r="G72">
            <v>30.76</v>
          </cell>
        </row>
        <row r="73">
          <cell r="A73" t="str">
            <v>03.353.00</v>
          </cell>
          <cell r="B73" t="str">
            <v>Forn., preparo e colocação nas formas, de aço CA-50</v>
          </cell>
          <cell r="C73" t="str">
            <v xml:space="preserve"> </v>
          </cell>
          <cell r="D73" t="str">
            <v xml:space="preserve"> </v>
          </cell>
          <cell r="E73" t="str">
            <v>kg</v>
          </cell>
          <cell r="F73">
            <v>5616</v>
          </cell>
          <cell r="G73">
            <v>2.59</v>
          </cell>
        </row>
        <row r="74">
          <cell r="A74" t="str">
            <v>03.326.00</v>
          </cell>
          <cell r="B74" t="str">
            <v xml:space="preserve">Concreto fck= 20 MPa-contr. raz. uso ger. </v>
          </cell>
          <cell r="C74" t="str">
            <v xml:space="preserve"> </v>
          </cell>
          <cell r="D74" t="str">
            <v xml:space="preserve"> </v>
          </cell>
          <cell r="E74" t="str">
            <v>m3</v>
          </cell>
          <cell r="F74">
            <v>124</v>
          </cell>
          <cell r="G74">
            <v>149.19999999999999</v>
          </cell>
        </row>
        <row r="75">
          <cell r="B75" t="str">
            <v>Superestrutura</v>
          </cell>
        </row>
        <row r="76">
          <cell r="A76" t="str">
            <v>03.371.02</v>
          </cell>
          <cell r="B76" t="str">
            <v>Formas de placa compensada plastificada</v>
          </cell>
          <cell r="C76" t="str">
            <v xml:space="preserve"> </v>
          </cell>
          <cell r="D76" t="str">
            <v xml:space="preserve"> </v>
          </cell>
          <cell r="E76" t="str">
            <v>m2</v>
          </cell>
          <cell r="F76">
            <v>1450</v>
          </cell>
          <cell r="G76">
            <v>30.76</v>
          </cell>
        </row>
        <row r="77">
          <cell r="A77" t="str">
            <v>OAE6</v>
          </cell>
          <cell r="B77" t="str">
            <v>Escoramento metálico comum (cimbramento)</v>
          </cell>
          <cell r="C77" t="str">
            <v xml:space="preserve"> </v>
          </cell>
          <cell r="D77" t="str">
            <v xml:space="preserve"> </v>
          </cell>
          <cell r="E77" t="str">
            <v>m3</v>
          </cell>
          <cell r="F77">
            <v>1124</v>
          </cell>
          <cell r="G77">
            <v>27.58</v>
          </cell>
        </row>
        <row r="78">
          <cell r="A78" t="str">
            <v>03.353.00</v>
          </cell>
          <cell r="B78" t="str">
            <v>Forn., preparo e colocação nas formas, de aço CA-50</v>
          </cell>
          <cell r="C78" t="str">
            <v xml:space="preserve"> </v>
          </cell>
          <cell r="D78" t="str">
            <v xml:space="preserve"> </v>
          </cell>
          <cell r="E78" t="str">
            <v>kg</v>
          </cell>
          <cell r="F78">
            <v>13768</v>
          </cell>
          <cell r="G78">
            <v>2.59</v>
          </cell>
        </row>
        <row r="79">
          <cell r="A79" t="str">
            <v>03.354.00</v>
          </cell>
          <cell r="B79" t="str">
            <v>Forn., preparo e colocação nas formas, de aço CA-60</v>
          </cell>
          <cell r="C79" t="str">
            <v xml:space="preserve"> </v>
          </cell>
          <cell r="D79" t="str">
            <v xml:space="preserve"> </v>
          </cell>
          <cell r="E79" t="str">
            <v>kg</v>
          </cell>
          <cell r="F79">
            <v>1517</v>
          </cell>
          <cell r="G79">
            <v>2.85</v>
          </cell>
        </row>
        <row r="80">
          <cell r="A80" t="str">
            <v>03.359.01</v>
          </cell>
          <cell r="B80" t="str">
            <v>Forn., preparo e colocação nas formas, de aço CA-25</v>
          </cell>
          <cell r="C80" t="str">
            <v xml:space="preserve"> </v>
          </cell>
          <cell r="D80" t="str">
            <v xml:space="preserve"> </v>
          </cell>
          <cell r="E80" t="str">
            <v>kg</v>
          </cell>
          <cell r="F80">
            <v>99</v>
          </cell>
          <cell r="G80">
            <v>2.4300000000000002</v>
          </cell>
        </row>
        <row r="81">
          <cell r="A81" t="str">
            <v>03.330.00</v>
          </cell>
          <cell r="B81" t="str">
            <v>Concreto fck= 35 MPa-contr. raz. uso ger.</v>
          </cell>
          <cell r="C81" t="str">
            <v xml:space="preserve"> </v>
          </cell>
          <cell r="D81" t="str">
            <v xml:space="preserve"> </v>
          </cell>
          <cell r="E81" t="str">
            <v>m3</v>
          </cell>
          <cell r="F81">
            <v>102</v>
          </cell>
          <cell r="G81">
            <v>166.78</v>
          </cell>
        </row>
        <row r="82">
          <cell r="A82" t="str">
            <v>03.326.00</v>
          </cell>
          <cell r="B82" t="str">
            <v xml:space="preserve">Concreto fck= 20 MPa-contr. raz. uso ger. </v>
          </cell>
          <cell r="C82" t="str">
            <v xml:space="preserve"> </v>
          </cell>
          <cell r="D82" t="str">
            <v xml:space="preserve"> </v>
          </cell>
          <cell r="E82" t="str">
            <v>m3</v>
          </cell>
          <cell r="F82">
            <v>27</v>
          </cell>
          <cell r="G82">
            <v>149.19999999999999</v>
          </cell>
        </row>
        <row r="83">
          <cell r="B83" t="str">
            <v>Diversos</v>
          </cell>
        </row>
        <row r="84">
          <cell r="A84" t="str">
            <v>03.510.00</v>
          </cell>
          <cell r="B84" t="str">
            <v>Aparelho de apoio em neoprene</v>
          </cell>
          <cell r="C84" t="str">
            <v xml:space="preserve"> </v>
          </cell>
          <cell r="D84" t="str">
            <v xml:space="preserve"> </v>
          </cell>
          <cell r="E84" t="str">
            <v>kg</v>
          </cell>
          <cell r="F84">
            <v>33</v>
          </cell>
          <cell r="G84">
            <v>86.94</v>
          </cell>
        </row>
        <row r="85">
          <cell r="A85" t="str">
            <v>P 03.991.01b</v>
          </cell>
          <cell r="B85" t="str">
            <v>Dreno de FF D= 50 mm x 500mm</v>
          </cell>
          <cell r="C85" t="str">
            <v xml:space="preserve"> </v>
          </cell>
          <cell r="D85" t="str">
            <v xml:space="preserve"> </v>
          </cell>
          <cell r="E85" t="str">
            <v>un</v>
          </cell>
          <cell r="F85">
            <v>20</v>
          </cell>
          <cell r="G85">
            <v>6.63</v>
          </cell>
        </row>
        <row r="86">
          <cell r="F86" t="str">
            <v>SUB-TOTAL OAE</v>
          </cell>
        </row>
        <row r="87">
          <cell r="B87" t="str">
            <v>OBRAS COMPLEMENTARES</v>
          </cell>
        </row>
        <row r="88">
          <cell r="B88" t="str">
            <v>Iluminação das passarelas</v>
          </cell>
        </row>
        <row r="89">
          <cell r="A89" t="str">
            <v>PI 02a</v>
          </cell>
          <cell r="B89" t="str">
            <v>Poste de aço galvanizado a fogo, c/ 5,0m de alt. p/instal.na lat. das passarelas</v>
          </cell>
          <cell r="C89" t="str">
            <v xml:space="preserve"> </v>
          </cell>
          <cell r="D89" t="str">
            <v xml:space="preserve"> </v>
          </cell>
          <cell r="E89" t="str">
            <v>un</v>
          </cell>
          <cell r="F89">
            <v>4</v>
          </cell>
          <cell r="G89">
            <v>300</v>
          </cell>
        </row>
        <row r="90">
          <cell r="A90" t="str">
            <v>PI 03</v>
          </cell>
          <cell r="B90" t="str">
            <v xml:space="preserve">Luminária p/ iluminação pública ref.HRC-612 da Philips ou similar </v>
          </cell>
          <cell r="C90" t="str">
            <v xml:space="preserve"> </v>
          </cell>
          <cell r="D90" t="str">
            <v xml:space="preserve"> </v>
          </cell>
          <cell r="E90" t="str">
            <v>un</v>
          </cell>
          <cell r="F90">
            <v>4</v>
          </cell>
          <cell r="G90">
            <v>400</v>
          </cell>
        </row>
        <row r="91">
          <cell r="A91" t="str">
            <v>PI 08</v>
          </cell>
          <cell r="B91" t="str">
            <v>Suporte p/ luminária tipo ZGP401 da Philips ou similar</v>
          </cell>
          <cell r="C91" t="str">
            <v xml:space="preserve"> </v>
          </cell>
          <cell r="D91" t="str">
            <v xml:space="preserve"> </v>
          </cell>
          <cell r="E91" t="str">
            <v>un</v>
          </cell>
          <cell r="F91">
            <v>4</v>
          </cell>
          <cell r="G91">
            <v>81.650000000000006</v>
          </cell>
        </row>
        <row r="92">
          <cell r="A92" t="str">
            <v>PI 10</v>
          </cell>
          <cell r="B92" t="str">
            <v>Lâmpada a vapor de mercúrio 250W, alta pressão, base E40</v>
          </cell>
          <cell r="C92" t="str">
            <v xml:space="preserve"> </v>
          </cell>
          <cell r="D92" t="str">
            <v xml:space="preserve"> </v>
          </cell>
          <cell r="E92" t="str">
            <v>un</v>
          </cell>
          <cell r="F92">
            <v>4</v>
          </cell>
          <cell r="G92">
            <v>28.75</v>
          </cell>
        </row>
        <row r="93">
          <cell r="A93" t="str">
            <v>PI 71</v>
          </cell>
          <cell r="B93" t="str">
            <v>Cabo isolado p/ 1000V, de alumínio, singelo, cor preto, bitola 25 mm² (XLPE) est.</v>
          </cell>
          <cell r="C93" t="str">
            <v xml:space="preserve"> </v>
          </cell>
          <cell r="D93" t="str">
            <v xml:space="preserve"> </v>
          </cell>
          <cell r="E93" t="str">
            <v>m</v>
          </cell>
          <cell r="F93">
            <v>100</v>
          </cell>
          <cell r="G93">
            <v>4.62</v>
          </cell>
        </row>
        <row r="94">
          <cell r="A94" t="str">
            <v>PI 67</v>
          </cell>
          <cell r="B94" t="str">
            <v>Cabo isolado p/ 1000 V, 2,5 mm2 de alumínio</v>
          </cell>
          <cell r="C94" t="str">
            <v xml:space="preserve"> </v>
          </cell>
          <cell r="D94" t="str">
            <v xml:space="preserve"> </v>
          </cell>
          <cell r="E94" t="str">
            <v>m</v>
          </cell>
          <cell r="F94">
            <v>40</v>
          </cell>
          <cell r="G94">
            <v>0.6</v>
          </cell>
        </row>
        <row r="95">
          <cell r="A95" t="str">
            <v>PI 72</v>
          </cell>
          <cell r="B95" t="str">
            <v>Eletroduto de aço 1.1/4" (vara de 3m), na passarela, conforme projeto</v>
          </cell>
          <cell r="C95">
            <v>0</v>
          </cell>
          <cell r="D95">
            <v>0</v>
          </cell>
          <cell r="E95" t="str">
            <v>m</v>
          </cell>
          <cell r="F95">
            <v>50</v>
          </cell>
          <cell r="G95">
            <v>18</v>
          </cell>
        </row>
        <row r="96">
          <cell r="A96" t="str">
            <v>PI 30</v>
          </cell>
          <cell r="B96" t="str">
            <v>Haste para aterramento aço-cobre D 13x2400mm</v>
          </cell>
          <cell r="C96" t="str">
            <v xml:space="preserve"> </v>
          </cell>
          <cell r="D96" t="str">
            <v xml:space="preserve"> </v>
          </cell>
          <cell r="E96" t="str">
            <v>un</v>
          </cell>
          <cell r="F96">
            <v>1</v>
          </cell>
          <cell r="G96">
            <v>6.04</v>
          </cell>
        </row>
        <row r="97">
          <cell r="A97" t="str">
            <v>PI 31</v>
          </cell>
          <cell r="B97" t="str">
            <v>Cabo de cobre nú meio duro, 7 fios 2AWG</v>
          </cell>
          <cell r="C97" t="str">
            <v xml:space="preserve"> </v>
          </cell>
          <cell r="D97" t="str">
            <v xml:space="preserve"> </v>
          </cell>
          <cell r="E97" t="str">
            <v>kg</v>
          </cell>
          <cell r="F97">
            <v>4</v>
          </cell>
          <cell r="G97">
            <v>7.02</v>
          </cell>
        </row>
        <row r="98">
          <cell r="A98" t="str">
            <v>PI 39</v>
          </cell>
          <cell r="B98" t="str">
            <v>Fixação de haste de terra e conexão ao neutro</v>
          </cell>
          <cell r="C98" t="str">
            <v xml:space="preserve"> </v>
          </cell>
          <cell r="D98" t="str">
            <v xml:space="preserve"> </v>
          </cell>
          <cell r="E98" t="str">
            <v>un</v>
          </cell>
          <cell r="F98">
            <v>4</v>
          </cell>
          <cell r="G98">
            <v>35</v>
          </cell>
        </row>
        <row r="99">
          <cell r="A99" t="str">
            <v>PI 37</v>
          </cell>
          <cell r="B99" t="str">
            <v>Lançamento de cabos em dutos de aço, classe 1000V, circuito trifásico mais neutro, e monofásico</v>
          </cell>
          <cell r="C99" t="str">
            <v xml:space="preserve"> </v>
          </cell>
          <cell r="D99" t="str">
            <v xml:space="preserve"> </v>
          </cell>
          <cell r="E99" t="str">
            <v>m</v>
          </cell>
          <cell r="F99">
            <v>100</v>
          </cell>
          <cell r="G99">
            <v>4</v>
          </cell>
        </row>
        <row r="100">
          <cell r="A100" t="str">
            <v>PI 73</v>
          </cell>
          <cell r="B100" t="str">
            <v>Reator de alto fator externo c/ignitor p/ lâmpada a vapor de mercúrio,  da Entral ou similar</v>
          </cell>
          <cell r="C100">
            <v>0</v>
          </cell>
          <cell r="D100">
            <v>0</v>
          </cell>
          <cell r="E100" t="str">
            <v>un</v>
          </cell>
          <cell r="F100">
            <v>4</v>
          </cell>
          <cell r="G100">
            <v>37</v>
          </cell>
        </row>
        <row r="101">
          <cell r="A101" t="str">
            <v>PI 74</v>
          </cell>
          <cell r="B101" t="str">
            <v>Chave de iluminação pública</v>
          </cell>
          <cell r="C101">
            <v>0</v>
          </cell>
          <cell r="D101">
            <v>0</v>
          </cell>
          <cell r="E101" t="str">
            <v>un</v>
          </cell>
          <cell r="F101">
            <v>1</v>
          </cell>
          <cell r="G101">
            <v>95</v>
          </cell>
        </row>
        <row r="102">
          <cell r="A102" t="str">
            <v>PI 75</v>
          </cell>
          <cell r="B102" t="str">
            <v>Montagem eletromecânica de luminária 5m de altura, c/fixação dos equipam.e conexões elét.</v>
          </cell>
          <cell r="C102">
            <v>0</v>
          </cell>
          <cell r="D102">
            <v>0</v>
          </cell>
          <cell r="E102" t="str">
            <v>un</v>
          </cell>
          <cell r="F102">
            <v>4</v>
          </cell>
          <cell r="G102">
            <v>67.08</v>
          </cell>
        </row>
        <row r="103">
          <cell r="A103" t="str">
            <v>PI 22</v>
          </cell>
          <cell r="B103" t="str">
            <v>Base completa com fusível Diazed, 6A, retardado, incluíndo tampa, anel de proteção e ajuste</v>
          </cell>
          <cell r="C103" t="str">
            <v xml:space="preserve"> </v>
          </cell>
          <cell r="D103" t="str">
            <v xml:space="preserve"> </v>
          </cell>
          <cell r="E103" t="str">
            <v>un</v>
          </cell>
          <cell r="F103">
            <v>4</v>
          </cell>
          <cell r="G103">
            <v>8.6300000000000008</v>
          </cell>
        </row>
        <row r="104">
          <cell r="A104" t="str">
            <v>PI 26</v>
          </cell>
          <cell r="B104" t="str">
            <v>Relé fotoelétrico c/ suporte para fixação galv. com furo 18mm</v>
          </cell>
          <cell r="C104" t="str">
            <v xml:space="preserve"> </v>
          </cell>
          <cell r="D104" t="str">
            <v xml:space="preserve"> </v>
          </cell>
          <cell r="E104" t="str">
            <v>un</v>
          </cell>
          <cell r="F104">
            <v>1</v>
          </cell>
          <cell r="G104">
            <v>11.5</v>
          </cell>
        </row>
        <row r="105">
          <cell r="A105" t="str">
            <v>PI 24</v>
          </cell>
          <cell r="B105" t="str">
            <v>Fita elétrica auto fusão a base de borracha EPR</v>
          </cell>
          <cell r="C105" t="str">
            <v xml:space="preserve"> </v>
          </cell>
          <cell r="D105" t="str">
            <v xml:space="preserve"> </v>
          </cell>
          <cell r="E105" t="str">
            <v>un</v>
          </cell>
          <cell r="F105">
            <v>2</v>
          </cell>
          <cell r="G105">
            <v>6.39</v>
          </cell>
        </row>
        <row r="106">
          <cell r="A106" t="str">
            <v>PI 25</v>
          </cell>
          <cell r="B106" t="str">
            <v>Fita adesiva plástica isolante</v>
          </cell>
          <cell r="C106" t="str">
            <v xml:space="preserve"> </v>
          </cell>
          <cell r="D106" t="str">
            <v xml:space="preserve"> </v>
          </cell>
          <cell r="E106" t="str">
            <v>un</v>
          </cell>
          <cell r="F106">
            <v>2</v>
          </cell>
          <cell r="G106">
            <v>3.84</v>
          </cell>
        </row>
        <row r="107">
          <cell r="A107" t="str">
            <v>PI 38</v>
          </cell>
          <cell r="B107" t="str">
            <v>Confecção de emendas retas ou derivação em cabos classe 1000V, c/ conector à compressão</v>
          </cell>
          <cell r="C107" t="str">
            <v xml:space="preserve"> </v>
          </cell>
          <cell r="D107" t="str">
            <v xml:space="preserve"> </v>
          </cell>
          <cell r="E107" t="str">
            <v>un</v>
          </cell>
          <cell r="F107">
            <v>12</v>
          </cell>
          <cell r="G107">
            <v>4.5</v>
          </cell>
        </row>
        <row r="108">
          <cell r="F108" t="str">
            <v>SUB-TOTAL - OBRAS COMPLEMENTARES</v>
          </cell>
        </row>
        <row r="110">
          <cell r="F110" t="str">
            <v>SUB-TOTAL - Passarela do Km 9+680/396+680</v>
          </cell>
        </row>
        <row r="112">
          <cell r="B112" t="str">
            <v>Passarela do Km 14+733/401+733</v>
          </cell>
        </row>
        <row r="113">
          <cell r="B113" t="str">
            <v>OBRAS DE ARTE ESPECIAIS</v>
          </cell>
        </row>
        <row r="114">
          <cell r="B114" t="str">
            <v>Infra e Mesoestrutura</v>
          </cell>
        </row>
        <row r="115">
          <cell r="A115" t="str">
            <v>03.010.01</v>
          </cell>
          <cell r="B115" t="str">
            <v>Escavação em cavas de fundação com esgotamento</v>
          </cell>
          <cell r="C115" t="str">
            <v xml:space="preserve"> </v>
          </cell>
          <cell r="D115" t="str">
            <v xml:space="preserve"> </v>
          </cell>
          <cell r="E115" t="str">
            <v>m3</v>
          </cell>
          <cell r="F115">
            <v>62</v>
          </cell>
          <cell r="G115">
            <v>22.39</v>
          </cell>
        </row>
        <row r="116">
          <cell r="A116" t="str">
            <v>03.371.00</v>
          </cell>
          <cell r="B116" t="str">
            <v>Formas de madeira compensada</v>
          </cell>
          <cell r="C116" t="str">
            <v xml:space="preserve"> </v>
          </cell>
          <cell r="D116" t="str">
            <v xml:space="preserve"> </v>
          </cell>
          <cell r="E116" t="str">
            <v>m2</v>
          </cell>
          <cell r="F116">
            <v>57</v>
          </cell>
          <cell r="G116">
            <v>21.86</v>
          </cell>
        </row>
        <row r="117">
          <cell r="A117" t="str">
            <v>03.371.02</v>
          </cell>
          <cell r="B117" t="str">
            <v>Formas de placa compensada plastificada</v>
          </cell>
          <cell r="C117" t="str">
            <v xml:space="preserve"> </v>
          </cell>
          <cell r="D117" t="str">
            <v xml:space="preserve"> </v>
          </cell>
          <cell r="E117" t="str">
            <v>m2</v>
          </cell>
          <cell r="F117">
            <v>209</v>
          </cell>
          <cell r="G117">
            <v>30.76</v>
          </cell>
        </row>
        <row r="118">
          <cell r="A118" t="str">
            <v>03.353.00</v>
          </cell>
          <cell r="B118" t="str">
            <v>Forn., preparo e colocação nas formas, de aço CA-50</v>
          </cell>
          <cell r="C118" t="str">
            <v xml:space="preserve"> </v>
          </cell>
          <cell r="D118" t="str">
            <v xml:space="preserve"> </v>
          </cell>
          <cell r="E118" t="str">
            <v>kg</v>
          </cell>
          <cell r="F118">
            <v>2992</v>
          </cell>
          <cell r="G118">
            <v>2.59</v>
          </cell>
        </row>
        <row r="119">
          <cell r="A119" t="str">
            <v>03.326.00</v>
          </cell>
          <cell r="B119" t="str">
            <v xml:space="preserve">Concreto fck= 20 MPa-contr. raz. uso ger. </v>
          </cell>
          <cell r="C119" t="str">
            <v xml:space="preserve"> </v>
          </cell>
          <cell r="D119" t="str">
            <v xml:space="preserve"> </v>
          </cell>
          <cell r="E119" t="str">
            <v>m3</v>
          </cell>
          <cell r="F119">
            <v>41</v>
          </cell>
          <cell r="G119">
            <v>149.19999999999999</v>
          </cell>
        </row>
        <row r="120">
          <cell r="A120" t="str">
            <v>OAE5a</v>
          </cell>
          <cell r="B120" t="str">
            <v>Estaca metálica - tipo CS 250 X 52 - Fornecimento e cravação</v>
          </cell>
          <cell r="C120" t="str">
            <v xml:space="preserve"> </v>
          </cell>
          <cell r="D120" t="str">
            <v xml:space="preserve"> </v>
          </cell>
          <cell r="E120" t="str">
            <v>m</v>
          </cell>
          <cell r="F120">
            <v>152</v>
          </cell>
          <cell r="G120">
            <v>97.23</v>
          </cell>
        </row>
        <row r="121">
          <cell r="A121" t="str">
            <v>OAE5b</v>
          </cell>
          <cell r="B121" t="str">
            <v>Estaca metálica - tipo CS 300 x 77 - Fornecimento e cravação</v>
          </cell>
          <cell r="C121" t="str">
            <v xml:space="preserve"> </v>
          </cell>
          <cell r="D121" t="str">
            <v xml:space="preserve"> </v>
          </cell>
          <cell r="E121" t="str">
            <v>m</v>
          </cell>
          <cell r="F121">
            <v>152</v>
          </cell>
          <cell r="G121">
            <v>122.7</v>
          </cell>
        </row>
        <row r="122">
          <cell r="A122" t="str">
            <v>OAE5c</v>
          </cell>
          <cell r="B122" t="str">
            <v>Estaca metálica - tipo CS 300 x 116 - Fornecimento e cravação</v>
          </cell>
          <cell r="C122" t="str">
            <v xml:space="preserve"> </v>
          </cell>
          <cell r="D122" t="str">
            <v xml:space="preserve"> </v>
          </cell>
          <cell r="E122" t="str">
            <v>m</v>
          </cell>
          <cell r="F122">
            <v>76</v>
          </cell>
          <cell r="G122">
            <v>162.41999999999999</v>
          </cell>
        </row>
        <row r="123">
          <cell r="B123" t="str">
            <v>Superestrutura</v>
          </cell>
        </row>
        <row r="124">
          <cell r="A124" t="str">
            <v>03.371.02</v>
          </cell>
          <cell r="B124" t="str">
            <v>Formas de placa compensada plastificada</v>
          </cell>
          <cell r="C124" t="str">
            <v xml:space="preserve"> </v>
          </cell>
          <cell r="D124" t="str">
            <v xml:space="preserve"> </v>
          </cell>
          <cell r="E124" t="str">
            <v>m2</v>
          </cell>
          <cell r="F124">
            <v>1939</v>
          </cell>
          <cell r="G124">
            <v>30.76</v>
          </cell>
        </row>
        <row r="125">
          <cell r="A125" t="str">
            <v>OAE6</v>
          </cell>
          <cell r="B125" t="str">
            <v>Escoramento metálico comum (cimbramento)</v>
          </cell>
          <cell r="C125" t="str">
            <v xml:space="preserve"> </v>
          </cell>
          <cell r="D125" t="str">
            <v xml:space="preserve"> </v>
          </cell>
          <cell r="E125" t="str">
            <v>m3</v>
          </cell>
          <cell r="F125">
            <v>1503</v>
          </cell>
          <cell r="G125">
            <v>27.58</v>
          </cell>
        </row>
        <row r="126">
          <cell r="A126" t="str">
            <v>03.353.00</v>
          </cell>
          <cell r="B126" t="str">
            <v>Forn., preparo e colocação nas formas, de aço CA-50</v>
          </cell>
          <cell r="C126" t="str">
            <v xml:space="preserve"> </v>
          </cell>
          <cell r="D126" t="str">
            <v xml:space="preserve"> </v>
          </cell>
          <cell r="E126" t="str">
            <v>kg</v>
          </cell>
          <cell r="F126">
            <v>17581</v>
          </cell>
          <cell r="G126">
            <v>2.59</v>
          </cell>
        </row>
        <row r="127">
          <cell r="A127" t="str">
            <v>03.354.00</v>
          </cell>
          <cell r="B127" t="str">
            <v>Forn., preparo e colocação nas formas, de aço CA-60</v>
          </cell>
          <cell r="C127" t="str">
            <v xml:space="preserve"> </v>
          </cell>
          <cell r="D127" t="str">
            <v xml:space="preserve"> </v>
          </cell>
          <cell r="E127" t="str">
            <v>kg</v>
          </cell>
          <cell r="F127">
            <v>1877</v>
          </cell>
          <cell r="G127">
            <v>2.85</v>
          </cell>
        </row>
        <row r="128">
          <cell r="A128" t="str">
            <v>03.359.01</v>
          </cell>
          <cell r="B128" t="str">
            <v>Forn., preparo e colocação nas formas, de aço CA-25</v>
          </cell>
          <cell r="C128" t="str">
            <v xml:space="preserve"> </v>
          </cell>
          <cell r="D128" t="str">
            <v xml:space="preserve"> </v>
          </cell>
          <cell r="E128" t="str">
            <v>kg</v>
          </cell>
          <cell r="F128">
            <v>104</v>
          </cell>
          <cell r="G128">
            <v>2.4300000000000002</v>
          </cell>
        </row>
        <row r="129">
          <cell r="A129" t="str">
            <v>03.330.00</v>
          </cell>
          <cell r="B129" t="str">
            <v>Concreto fck= 35 MPa-contr. raz. uso ger.</v>
          </cell>
          <cell r="C129" t="str">
            <v xml:space="preserve"> </v>
          </cell>
          <cell r="D129" t="str">
            <v xml:space="preserve"> </v>
          </cell>
          <cell r="E129" t="str">
            <v>m3</v>
          </cell>
          <cell r="F129">
            <v>161</v>
          </cell>
          <cell r="G129">
            <v>166.78</v>
          </cell>
        </row>
        <row r="130">
          <cell r="A130" t="str">
            <v>03.326.00</v>
          </cell>
          <cell r="B130" t="str">
            <v xml:space="preserve">Concreto fck= 20 MPa-contr. raz. uso ger. </v>
          </cell>
          <cell r="C130" t="str">
            <v xml:space="preserve"> </v>
          </cell>
          <cell r="D130" t="str">
            <v xml:space="preserve"> </v>
          </cell>
          <cell r="E130" t="str">
            <v>m3</v>
          </cell>
          <cell r="F130">
            <v>29</v>
          </cell>
          <cell r="G130">
            <v>149.19999999999999</v>
          </cell>
        </row>
        <row r="131">
          <cell r="B131" t="str">
            <v>Diversos</v>
          </cell>
        </row>
        <row r="132">
          <cell r="A132" t="str">
            <v>03.510.00</v>
          </cell>
          <cell r="B132" t="str">
            <v>Aparelho de apoio em neoprene</v>
          </cell>
          <cell r="C132" t="str">
            <v xml:space="preserve"> </v>
          </cell>
          <cell r="D132" t="str">
            <v xml:space="preserve"> </v>
          </cell>
          <cell r="E132" t="str">
            <v>kg</v>
          </cell>
          <cell r="F132">
            <v>51</v>
          </cell>
          <cell r="G132">
            <v>86.94</v>
          </cell>
        </row>
        <row r="133">
          <cell r="A133" t="str">
            <v>P 03.991.01b</v>
          </cell>
          <cell r="B133" t="str">
            <v>Dreno de FF D= 50 mm x 500mm</v>
          </cell>
          <cell r="C133" t="str">
            <v xml:space="preserve"> </v>
          </cell>
          <cell r="D133" t="str">
            <v xml:space="preserve"> </v>
          </cell>
          <cell r="E133" t="str">
            <v>un</v>
          </cell>
          <cell r="F133">
            <v>34</v>
          </cell>
          <cell r="G133">
            <v>6.63</v>
          </cell>
        </row>
        <row r="134">
          <cell r="F134" t="str">
            <v>SUB-TOTAL OAE</v>
          </cell>
        </row>
        <row r="135">
          <cell r="B135" t="str">
            <v>OBRAS COMPLEMENTARES</v>
          </cell>
        </row>
        <row r="136">
          <cell r="B136" t="str">
            <v>Iluminação das passarelas</v>
          </cell>
        </row>
        <row r="137">
          <cell r="A137" t="str">
            <v>PI 02a</v>
          </cell>
          <cell r="B137" t="str">
            <v>Poste de aço galvanizado a fogo, c/ 5,0m de alt. p/instal.na lat. das passarelas</v>
          </cell>
          <cell r="C137" t="str">
            <v xml:space="preserve"> </v>
          </cell>
          <cell r="D137" t="str">
            <v xml:space="preserve"> </v>
          </cell>
          <cell r="E137" t="str">
            <v>un</v>
          </cell>
          <cell r="F137">
            <v>4</v>
          </cell>
          <cell r="G137">
            <v>300</v>
          </cell>
        </row>
        <row r="138">
          <cell r="A138" t="str">
            <v>PI 03</v>
          </cell>
          <cell r="B138" t="str">
            <v xml:space="preserve">Luminária p/ iluminação pública ref.HRC-612 da Philips ou similar </v>
          </cell>
          <cell r="C138" t="str">
            <v xml:space="preserve"> </v>
          </cell>
          <cell r="D138" t="str">
            <v xml:space="preserve"> </v>
          </cell>
          <cell r="E138" t="str">
            <v>un</v>
          </cell>
          <cell r="F138">
            <v>4</v>
          </cell>
          <cell r="G138">
            <v>400</v>
          </cell>
        </row>
        <row r="139">
          <cell r="A139" t="str">
            <v>PI 08</v>
          </cell>
          <cell r="B139" t="str">
            <v>Suporte p/ luminária tipo ZGP401 da Philips ou similar</v>
          </cell>
          <cell r="C139" t="str">
            <v xml:space="preserve"> </v>
          </cell>
          <cell r="D139" t="str">
            <v xml:space="preserve"> </v>
          </cell>
          <cell r="E139" t="str">
            <v>un</v>
          </cell>
          <cell r="F139">
            <v>4</v>
          </cell>
          <cell r="G139">
            <v>81.650000000000006</v>
          </cell>
        </row>
        <row r="140">
          <cell r="A140" t="str">
            <v>PI 10</v>
          </cell>
          <cell r="B140" t="str">
            <v>Lâmpada a vapor de mercúrio 250W, alta pressão, base E40</v>
          </cell>
          <cell r="C140" t="str">
            <v xml:space="preserve"> </v>
          </cell>
          <cell r="D140" t="str">
            <v xml:space="preserve"> </v>
          </cell>
          <cell r="E140" t="str">
            <v>un</v>
          </cell>
          <cell r="F140">
            <v>4</v>
          </cell>
          <cell r="G140">
            <v>28.75</v>
          </cell>
        </row>
        <row r="141">
          <cell r="A141" t="str">
            <v>PI 71</v>
          </cell>
          <cell r="B141" t="str">
            <v>Cabo isolado p/ 1000V, de alumínio, singelo, cor preto, bitola 25 mm² (XLPE) est.</v>
          </cell>
          <cell r="C141" t="str">
            <v xml:space="preserve"> </v>
          </cell>
          <cell r="D141" t="str">
            <v xml:space="preserve"> </v>
          </cell>
          <cell r="E141" t="str">
            <v>m</v>
          </cell>
          <cell r="F141">
            <v>100</v>
          </cell>
          <cell r="G141">
            <v>4.62</v>
          </cell>
        </row>
        <row r="142">
          <cell r="A142" t="str">
            <v>PI 67</v>
          </cell>
          <cell r="B142" t="str">
            <v>Cabo isolado p/ 1000 V, 2,5 mm2 de alumínio</v>
          </cell>
          <cell r="C142" t="str">
            <v xml:space="preserve"> </v>
          </cell>
          <cell r="D142" t="str">
            <v xml:space="preserve"> </v>
          </cell>
          <cell r="E142" t="str">
            <v>m</v>
          </cell>
          <cell r="F142">
            <v>40</v>
          </cell>
          <cell r="G142">
            <v>0.6</v>
          </cell>
        </row>
        <row r="143">
          <cell r="A143" t="str">
            <v>PI 72</v>
          </cell>
          <cell r="B143" t="str">
            <v>Eletroduto de aço 1.1/4" (vara de 3m), na passarela, conforme projeto</v>
          </cell>
          <cell r="C143">
            <v>0</v>
          </cell>
          <cell r="D143">
            <v>0</v>
          </cell>
          <cell r="E143" t="str">
            <v>m</v>
          </cell>
          <cell r="F143">
            <v>50</v>
          </cell>
          <cell r="G143">
            <v>18</v>
          </cell>
        </row>
        <row r="144">
          <cell r="A144" t="str">
            <v>PI 30</v>
          </cell>
          <cell r="B144" t="str">
            <v>Haste para aterramento aço-cobre D 13x2400mm</v>
          </cell>
          <cell r="C144" t="str">
            <v xml:space="preserve"> </v>
          </cell>
          <cell r="D144" t="str">
            <v xml:space="preserve"> </v>
          </cell>
          <cell r="E144" t="str">
            <v>un</v>
          </cell>
          <cell r="F144">
            <v>1</v>
          </cell>
          <cell r="G144">
            <v>6.04</v>
          </cell>
        </row>
        <row r="145">
          <cell r="A145" t="str">
            <v>PI 31</v>
          </cell>
          <cell r="B145" t="str">
            <v>Cabo de cobre nú meio duro, 7 fios 2AWG</v>
          </cell>
          <cell r="C145" t="str">
            <v xml:space="preserve"> </v>
          </cell>
          <cell r="D145" t="str">
            <v xml:space="preserve"> </v>
          </cell>
          <cell r="E145" t="str">
            <v>kg</v>
          </cell>
          <cell r="F145">
            <v>4</v>
          </cell>
          <cell r="G145">
            <v>7.02</v>
          </cell>
        </row>
        <row r="146">
          <cell r="A146" t="str">
            <v>PI 39</v>
          </cell>
          <cell r="B146" t="str">
            <v>Fixação de haste de terra e conexão ao neutro</v>
          </cell>
          <cell r="C146" t="str">
            <v xml:space="preserve"> </v>
          </cell>
          <cell r="D146" t="str">
            <v xml:space="preserve"> </v>
          </cell>
          <cell r="E146" t="str">
            <v>un</v>
          </cell>
          <cell r="F146">
            <v>4</v>
          </cell>
          <cell r="G146">
            <v>35</v>
          </cell>
        </row>
        <row r="147">
          <cell r="A147" t="str">
            <v>PI 37</v>
          </cell>
          <cell r="B147" t="str">
            <v>Lançamento de cabos em dutos de aço, classe 1000V, circuito trifásico mais neutro, e monofásico</v>
          </cell>
          <cell r="C147" t="str">
            <v xml:space="preserve"> </v>
          </cell>
          <cell r="D147" t="str">
            <v xml:space="preserve"> </v>
          </cell>
          <cell r="E147" t="str">
            <v>m</v>
          </cell>
          <cell r="F147">
            <v>100</v>
          </cell>
          <cell r="G147">
            <v>4</v>
          </cell>
        </row>
        <row r="148">
          <cell r="A148" t="str">
            <v>PI 73</v>
          </cell>
          <cell r="B148" t="str">
            <v>Reator de alto fator externo c/ignitor p/ lâmpada a vapor de mercúrio,  da Entral ou similar</v>
          </cell>
          <cell r="C148">
            <v>0</v>
          </cell>
          <cell r="D148">
            <v>0</v>
          </cell>
          <cell r="E148" t="str">
            <v>un</v>
          </cell>
          <cell r="F148">
            <v>4</v>
          </cell>
          <cell r="G148">
            <v>37</v>
          </cell>
        </row>
        <row r="149">
          <cell r="A149" t="str">
            <v>PI 74</v>
          </cell>
          <cell r="B149" t="str">
            <v>Chave de iluminação pública</v>
          </cell>
          <cell r="C149">
            <v>0</v>
          </cell>
          <cell r="D149">
            <v>0</v>
          </cell>
          <cell r="E149" t="str">
            <v>un</v>
          </cell>
          <cell r="F149">
            <v>1</v>
          </cell>
          <cell r="G149">
            <v>95</v>
          </cell>
        </row>
        <row r="150">
          <cell r="A150" t="str">
            <v>PI 75</v>
          </cell>
          <cell r="B150" t="str">
            <v>Montagem eletromecânica de luminária 5m de altura, c/fixação dos equipam.e conexões elét.</v>
          </cell>
          <cell r="C150">
            <v>0</v>
          </cell>
          <cell r="D150">
            <v>0</v>
          </cell>
          <cell r="E150" t="str">
            <v>un</v>
          </cell>
          <cell r="F150">
            <v>4</v>
          </cell>
          <cell r="G150">
            <v>67.08</v>
          </cell>
        </row>
        <row r="151">
          <cell r="A151" t="str">
            <v>PI 22</v>
          </cell>
          <cell r="B151" t="str">
            <v>Base completa com fusível Diazed, 6A, retardado, incluíndo tampa, anel de proteção e ajuste</v>
          </cell>
          <cell r="C151" t="str">
            <v xml:space="preserve"> </v>
          </cell>
          <cell r="D151" t="str">
            <v xml:space="preserve"> </v>
          </cell>
          <cell r="E151" t="str">
            <v>un</v>
          </cell>
          <cell r="F151">
            <v>4</v>
          </cell>
          <cell r="G151">
            <v>8.6300000000000008</v>
          </cell>
        </row>
        <row r="152">
          <cell r="A152" t="str">
            <v>PI 26</v>
          </cell>
          <cell r="B152" t="str">
            <v>Relé fotoelétrico c/ suporte para fixação galv. com furo 18mm</v>
          </cell>
          <cell r="C152" t="str">
            <v xml:space="preserve"> </v>
          </cell>
          <cell r="D152" t="str">
            <v xml:space="preserve"> </v>
          </cell>
          <cell r="E152" t="str">
            <v>un</v>
          </cell>
          <cell r="F152">
            <v>1</v>
          </cell>
          <cell r="G152">
            <v>11.5</v>
          </cell>
        </row>
        <row r="153">
          <cell r="A153" t="str">
            <v>PI 24</v>
          </cell>
          <cell r="B153" t="str">
            <v>Fita elétrica auto fusão a base de borracha EPR</v>
          </cell>
          <cell r="C153" t="str">
            <v xml:space="preserve"> </v>
          </cell>
          <cell r="D153" t="str">
            <v xml:space="preserve"> </v>
          </cell>
          <cell r="E153" t="str">
            <v>un</v>
          </cell>
          <cell r="F153">
            <v>2</v>
          </cell>
          <cell r="G153">
            <v>6.39</v>
          </cell>
        </row>
        <row r="154">
          <cell r="A154" t="str">
            <v>PI 25</v>
          </cell>
          <cell r="B154" t="str">
            <v>Fita adesiva plástica isolante</v>
          </cell>
          <cell r="C154" t="str">
            <v xml:space="preserve"> </v>
          </cell>
          <cell r="D154" t="str">
            <v xml:space="preserve"> </v>
          </cell>
          <cell r="E154" t="str">
            <v>un</v>
          </cell>
          <cell r="F154">
            <v>2</v>
          </cell>
          <cell r="G154">
            <v>3.84</v>
          </cell>
        </row>
        <row r="155">
          <cell r="A155" t="str">
            <v>PI 38</v>
          </cell>
          <cell r="B155" t="str">
            <v>Confecção de emendas retas ou derivação em cabos classe 1000V, c/ conector à compressão</v>
          </cell>
          <cell r="C155" t="str">
            <v xml:space="preserve"> </v>
          </cell>
          <cell r="D155" t="str">
            <v xml:space="preserve"> </v>
          </cell>
          <cell r="E155" t="str">
            <v>un</v>
          </cell>
          <cell r="F155">
            <v>12</v>
          </cell>
          <cell r="G155">
            <v>4.5</v>
          </cell>
        </row>
        <row r="156">
          <cell r="F156" t="str">
            <v>SUB-TOTAL - OBRAS COMPLEMENTARES</v>
          </cell>
        </row>
        <row r="158">
          <cell r="F158" t="str">
            <v>SUB-TOTAL - Passarela do Km 14+733/401+733</v>
          </cell>
        </row>
        <row r="160">
          <cell r="B160" t="str">
            <v>Passarela do Km 16+401/Km 403+410</v>
          </cell>
        </row>
        <row r="161">
          <cell r="B161" t="str">
            <v>OBRAS DE ARTE ESPECIAIS</v>
          </cell>
        </row>
        <row r="162">
          <cell r="B162" t="str">
            <v>Infra e Mesoestrutura</v>
          </cell>
        </row>
        <row r="163">
          <cell r="A163" t="str">
            <v>03.010.01</v>
          </cell>
          <cell r="B163" t="str">
            <v>Escavação em cavas de fundação com esgotamento</v>
          </cell>
          <cell r="C163" t="str">
            <v xml:space="preserve"> </v>
          </cell>
          <cell r="D163" t="str">
            <v xml:space="preserve"> </v>
          </cell>
          <cell r="E163" t="str">
            <v>m3</v>
          </cell>
          <cell r="F163">
            <v>62</v>
          </cell>
          <cell r="G163">
            <v>22.39</v>
          </cell>
        </row>
        <row r="164">
          <cell r="A164" t="str">
            <v>03.371.01</v>
          </cell>
          <cell r="B164" t="str">
            <v>Formas de placa compensada resinada</v>
          </cell>
          <cell r="C164" t="str">
            <v xml:space="preserve"> </v>
          </cell>
          <cell r="D164" t="str">
            <v xml:space="preserve"> </v>
          </cell>
          <cell r="E164" t="str">
            <v>m2</v>
          </cell>
          <cell r="F164">
            <v>57</v>
          </cell>
          <cell r="G164">
            <v>21.86</v>
          </cell>
        </row>
        <row r="165">
          <cell r="A165" t="str">
            <v>03.371.02</v>
          </cell>
          <cell r="B165" t="str">
            <v>Formas de placa compensada plastificada</v>
          </cell>
          <cell r="C165" t="str">
            <v xml:space="preserve"> </v>
          </cell>
          <cell r="D165" t="str">
            <v xml:space="preserve"> </v>
          </cell>
          <cell r="E165" t="str">
            <v>m2</v>
          </cell>
          <cell r="F165">
            <v>180</v>
          </cell>
          <cell r="G165">
            <v>30.76</v>
          </cell>
        </row>
        <row r="166">
          <cell r="A166" t="str">
            <v>03.353.00</v>
          </cell>
          <cell r="B166" t="str">
            <v>Forn., preparo e colocação nas formas, de aço CA-50</v>
          </cell>
          <cell r="C166" t="str">
            <v xml:space="preserve"> </v>
          </cell>
          <cell r="D166" t="str">
            <v xml:space="preserve"> </v>
          </cell>
          <cell r="E166" t="str">
            <v>kg</v>
          </cell>
          <cell r="F166">
            <v>2456</v>
          </cell>
          <cell r="G166">
            <v>2.59</v>
          </cell>
        </row>
        <row r="167">
          <cell r="A167" t="str">
            <v>03.326.00</v>
          </cell>
          <cell r="B167" t="str">
            <v xml:space="preserve">Concreto fck= 20 MPa-contr. raz. uso ger. </v>
          </cell>
          <cell r="C167" t="str">
            <v xml:space="preserve"> </v>
          </cell>
          <cell r="D167" t="str">
            <v xml:space="preserve"> </v>
          </cell>
          <cell r="E167" t="str">
            <v>m3</v>
          </cell>
          <cell r="F167">
            <v>37</v>
          </cell>
          <cell r="G167">
            <v>149.19999999999999</v>
          </cell>
        </row>
        <row r="168">
          <cell r="A168" t="str">
            <v>OAE5a</v>
          </cell>
          <cell r="B168" t="str">
            <v>Estaca metálica - tipo CS 250 X 52 - Fornecimento e cravação</v>
          </cell>
          <cell r="C168" t="str">
            <v xml:space="preserve"> </v>
          </cell>
          <cell r="D168" t="str">
            <v xml:space="preserve"> </v>
          </cell>
          <cell r="E168" t="str">
            <v>m</v>
          </cell>
          <cell r="F168">
            <v>136</v>
          </cell>
          <cell r="G168">
            <v>97.23</v>
          </cell>
        </row>
        <row r="169">
          <cell r="A169" t="str">
            <v>OAE5b</v>
          </cell>
          <cell r="B169" t="str">
            <v>Estaca metálica - tipo CS 300 x 77 - Fornecimento e cravação</v>
          </cell>
          <cell r="C169" t="str">
            <v xml:space="preserve"> </v>
          </cell>
          <cell r="D169" t="str">
            <v xml:space="preserve"> </v>
          </cell>
          <cell r="E169" t="str">
            <v>m</v>
          </cell>
          <cell r="F169">
            <v>136</v>
          </cell>
          <cell r="G169">
            <v>122.7</v>
          </cell>
        </row>
        <row r="170">
          <cell r="A170" t="str">
            <v>OAE5c</v>
          </cell>
          <cell r="B170" t="str">
            <v>Estaca metálica - tipo CS 300 x 116 - Fornecimento e cravação</v>
          </cell>
          <cell r="C170" t="str">
            <v xml:space="preserve"> </v>
          </cell>
          <cell r="D170" t="str">
            <v xml:space="preserve"> </v>
          </cell>
          <cell r="E170" t="str">
            <v>m</v>
          </cell>
          <cell r="F170">
            <v>68</v>
          </cell>
          <cell r="G170">
            <v>162.41999999999999</v>
          </cell>
        </row>
        <row r="171">
          <cell r="B171" t="str">
            <v>Superestrutura</v>
          </cell>
        </row>
        <row r="172">
          <cell r="A172" t="str">
            <v>03.371.02</v>
          </cell>
          <cell r="B172" t="str">
            <v>Formas de placa compensada plastificada</v>
          </cell>
          <cell r="C172" t="str">
            <v xml:space="preserve"> </v>
          </cell>
          <cell r="D172" t="str">
            <v xml:space="preserve"> </v>
          </cell>
          <cell r="E172" t="str">
            <v>m2</v>
          </cell>
          <cell r="F172">
            <v>1734</v>
          </cell>
          <cell r="G172">
            <v>30.76</v>
          </cell>
        </row>
        <row r="173">
          <cell r="A173" t="str">
            <v>OAE6</v>
          </cell>
          <cell r="B173" t="str">
            <v>Escoramento metálico comum (cimbramento)</v>
          </cell>
          <cell r="C173" t="str">
            <v xml:space="preserve"> </v>
          </cell>
          <cell r="D173" t="str">
            <v xml:space="preserve"> </v>
          </cell>
          <cell r="E173" t="str">
            <v>m3</v>
          </cell>
          <cell r="F173">
            <v>1118</v>
          </cell>
          <cell r="G173">
            <v>27.58</v>
          </cell>
        </row>
        <row r="174">
          <cell r="A174" t="str">
            <v>03.353.00</v>
          </cell>
          <cell r="B174" t="str">
            <v>Forn., preparo e colocação nas formas, de aço CA-50</v>
          </cell>
          <cell r="C174" t="str">
            <v xml:space="preserve"> </v>
          </cell>
          <cell r="D174" t="str">
            <v xml:space="preserve"> </v>
          </cell>
          <cell r="E174" t="str">
            <v>kg</v>
          </cell>
          <cell r="F174">
            <v>15155</v>
          </cell>
          <cell r="G174">
            <v>2.59</v>
          </cell>
        </row>
        <row r="175">
          <cell r="A175" t="str">
            <v>03.354.00</v>
          </cell>
          <cell r="B175" t="str">
            <v>Forn., preparo e colocação nas formas, de aço CA-60</v>
          </cell>
          <cell r="C175" t="str">
            <v xml:space="preserve"> </v>
          </cell>
          <cell r="D175" t="str">
            <v xml:space="preserve"> </v>
          </cell>
          <cell r="E175" t="str">
            <v>kg</v>
          </cell>
          <cell r="F175">
            <v>1086</v>
          </cell>
          <cell r="G175">
            <v>2.85</v>
          </cell>
        </row>
        <row r="176">
          <cell r="A176" t="str">
            <v>03.359.01</v>
          </cell>
          <cell r="B176" t="str">
            <v>Forn., preparo e colocação nas formas, de aço CA-25</v>
          </cell>
          <cell r="C176" t="str">
            <v xml:space="preserve"> </v>
          </cell>
          <cell r="D176" t="str">
            <v xml:space="preserve"> </v>
          </cell>
          <cell r="E176" t="str">
            <v>kg</v>
          </cell>
          <cell r="F176">
            <v>89</v>
          </cell>
          <cell r="G176">
            <v>2.4300000000000002</v>
          </cell>
        </row>
        <row r="177">
          <cell r="A177" t="str">
            <v>03.330.00</v>
          </cell>
          <cell r="B177" t="str">
            <v>Concreto fck= 35 MPa-contr. raz. uso ger.</v>
          </cell>
          <cell r="C177" t="str">
            <v xml:space="preserve"> </v>
          </cell>
          <cell r="D177" t="str">
            <v xml:space="preserve"> </v>
          </cell>
          <cell r="E177" t="str">
            <v>m3</v>
          </cell>
          <cell r="F177">
            <v>145</v>
          </cell>
          <cell r="G177">
            <v>166.78</v>
          </cell>
        </row>
        <row r="178">
          <cell r="A178" t="str">
            <v>03.326.00</v>
          </cell>
          <cell r="B178" t="str">
            <v xml:space="preserve">Concreto fck= 20 MPa-contr. raz. uso ger. </v>
          </cell>
          <cell r="C178" t="str">
            <v xml:space="preserve"> </v>
          </cell>
          <cell r="D178" t="str">
            <v xml:space="preserve"> </v>
          </cell>
          <cell r="E178" t="str">
            <v>m3</v>
          </cell>
          <cell r="F178">
            <v>26</v>
          </cell>
          <cell r="G178">
            <v>149.19999999999999</v>
          </cell>
        </row>
        <row r="179">
          <cell r="B179" t="str">
            <v>Diversos</v>
          </cell>
        </row>
        <row r="180">
          <cell r="A180" t="str">
            <v>03.510.00</v>
          </cell>
          <cell r="B180" t="str">
            <v>Aparelho de apoio em neoprene</v>
          </cell>
          <cell r="C180" t="str">
            <v xml:space="preserve"> </v>
          </cell>
          <cell r="D180" t="str">
            <v xml:space="preserve"> </v>
          </cell>
          <cell r="E180" t="str">
            <v>kg</v>
          </cell>
          <cell r="F180">
            <v>51</v>
          </cell>
          <cell r="G180">
            <v>86.94</v>
          </cell>
        </row>
        <row r="181">
          <cell r="A181" t="str">
            <v>P 03.991.01b</v>
          </cell>
          <cell r="B181" t="str">
            <v>Dreno de FF D= 50 mm x 500mm</v>
          </cell>
          <cell r="C181" t="str">
            <v xml:space="preserve"> </v>
          </cell>
          <cell r="D181" t="str">
            <v xml:space="preserve"> </v>
          </cell>
          <cell r="E181" t="str">
            <v>un</v>
          </cell>
          <cell r="F181">
            <v>34</v>
          </cell>
          <cell r="G181">
            <v>6.63</v>
          </cell>
        </row>
      </sheetData>
      <sheetData sheetId="19">
        <row r="13">
          <cell r="A13" t="str">
            <v>06.100.21</v>
          </cell>
          <cell r="B13" t="str">
            <v>Pintura de faixa - tinta acrílica - 2 anos</v>
          </cell>
          <cell r="C13" t="str">
            <v>DNER-EM371-372-373/97</v>
          </cell>
          <cell r="D13" t="str">
            <v xml:space="preserve"> </v>
          </cell>
          <cell r="E13" t="str">
            <v>m2</v>
          </cell>
          <cell r="F13">
            <v>33650</v>
          </cell>
          <cell r="G13">
            <v>7.08</v>
          </cell>
        </row>
        <row r="14">
          <cell r="A14" t="str">
            <v>06.110.02</v>
          </cell>
          <cell r="B14" t="str">
            <v>Pint. setas e zebrados - termopl. - 3 anos</v>
          </cell>
          <cell r="C14" t="str">
            <v>DNER-EM371-372-373/97</v>
          </cell>
          <cell r="D14" t="str">
            <v xml:space="preserve"> </v>
          </cell>
          <cell r="E14" t="str">
            <v>m2</v>
          </cell>
          <cell r="F14">
            <v>1700</v>
          </cell>
          <cell r="G14">
            <v>31.52</v>
          </cell>
        </row>
        <row r="15">
          <cell r="A15" t="str">
            <v>06.200.02</v>
          </cell>
          <cell r="B15" t="str">
            <v>Placa de sinalização tot. refletiva (forn/impl)</v>
          </cell>
          <cell r="C15" t="str">
            <v>DNER-EM371-372-373/97</v>
          </cell>
          <cell r="D15" t="str">
            <v xml:space="preserve"> </v>
          </cell>
          <cell r="E15" t="str">
            <v>m2</v>
          </cell>
          <cell r="F15">
            <v>540</v>
          </cell>
          <cell r="G15">
            <v>211.92</v>
          </cell>
        </row>
        <row r="16">
          <cell r="A16" t="str">
            <v>06.210.01</v>
          </cell>
          <cell r="B16" t="str">
            <v>Pórtico metálico</v>
          </cell>
          <cell r="C16" t="str">
            <v xml:space="preserve"> </v>
          </cell>
          <cell r="D16" t="str">
            <v xml:space="preserve"> </v>
          </cell>
          <cell r="E16" t="str">
            <v>un</v>
          </cell>
          <cell r="F16">
            <v>19</v>
          </cell>
          <cell r="G16">
            <v>27044.98</v>
          </cell>
        </row>
        <row r="17">
          <cell r="A17" t="str">
            <v>P06.210.02</v>
          </cell>
          <cell r="B17" t="str">
            <v>Bandeira simples 5,10 x 6,50m</v>
          </cell>
          <cell r="C17" t="str">
            <v xml:space="preserve"> </v>
          </cell>
          <cell r="D17" t="str">
            <v xml:space="preserve"> </v>
          </cell>
          <cell r="E17" t="str">
            <v>un</v>
          </cell>
          <cell r="F17">
            <v>33</v>
          </cell>
          <cell r="G17">
            <v>7876.4</v>
          </cell>
        </row>
        <row r="18">
          <cell r="A18" t="str">
            <v>06.120.01</v>
          </cell>
          <cell r="B18" t="str">
            <v>Tacha refletiva monodirecional (forn/coloc)</v>
          </cell>
          <cell r="C18" t="str">
            <v>DNER-EM371-372-373/97</v>
          </cell>
          <cell r="D18" t="str">
            <v xml:space="preserve"> </v>
          </cell>
          <cell r="E18" t="str">
            <v>und</v>
          </cell>
          <cell r="F18">
            <v>9050</v>
          </cell>
          <cell r="G18">
            <v>9.3699999999999992</v>
          </cell>
        </row>
        <row r="19">
          <cell r="A19" t="str">
            <v>06.010.01</v>
          </cell>
          <cell r="B19" t="str">
            <v>Defensa semi-maleável simples (forn / impl)</v>
          </cell>
          <cell r="C19" t="str">
            <v xml:space="preserve"> </v>
          </cell>
          <cell r="D19" t="str">
            <v xml:space="preserve"> </v>
          </cell>
          <cell r="E19" t="str">
            <v>m</v>
          </cell>
          <cell r="F19">
            <v>40841</v>
          </cell>
          <cell r="G19">
            <v>74.150000000000006</v>
          </cell>
        </row>
        <row r="20">
          <cell r="A20" t="str">
            <v>06.010.11</v>
          </cell>
          <cell r="B20" t="str">
            <v>Defensa semi-maleável dupla (forn / impl)</v>
          </cell>
          <cell r="C20" t="str">
            <v xml:space="preserve"> </v>
          </cell>
          <cell r="D20" t="str">
            <v xml:space="preserve"> </v>
          </cell>
          <cell r="E20" t="str">
            <v>m</v>
          </cell>
          <cell r="F20">
            <v>10435</v>
          </cell>
          <cell r="G20">
            <v>125.57</v>
          </cell>
        </row>
        <row r="21">
          <cell r="A21" t="str">
            <v>06.030.01</v>
          </cell>
          <cell r="B21" t="str">
            <v>Barreira de segurança dupla - DNER PRO 176/86</v>
          </cell>
          <cell r="C21" t="str">
            <v xml:space="preserve"> </v>
          </cell>
          <cell r="D21" t="str">
            <v xml:space="preserve"> </v>
          </cell>
          <cell r="E21" t="str">
            <v>m</v>
          </cell>
          <cell r="F21">
            <v>5759</v>
          </cell>
          <cell r="G21">
            <v>79.48</v>
          </cell>
        </row>
        <row r="22">
          <cell r="F22" t="str">
            <v>SUB-TOTAL</v>
          </cell>
        </row>
        <row r="23">
          <cell r="B23" t="str">
            <v>SINALIZAÇÃO PROVISÓRIA</v>
          </cell>
        </row>
        <row r="24">
          <cell r="A24" t="str">
            <v>06.200.01</v>
          </cell>
          <cell r="B24" t="str">
            <v>Placa de sinalização semi-refletiva (forn/impl)</v>
          </cell>
          <cell r="C24" t="str">
            <v>DNER-EM371-372-373/97</v>
          </cell>
          <cell r="D24" t="str">
            <v xml:space="preserve"> </v>
          </cell>
          <cell r="E24" t="str">
            <v>m2</v>
          </cell>
          <cell r="F24">
            <v>992</v>
          </cell>
          <cell r="G24">
            <v>133.07</v>
          </cell>
        </row>
        <row r="25">
          <cell r="A25" t="str">
            <v>P06.200.01j</v>
          </cell>
          <cell r="B25" t="str">
            <v>Sinalizador intermitente</v>
          </cell>
          <cell r="C25" t="str">
            <v xml:space="preserve"> </v>
          </cell>
          <cell r="D25" t="str">
            <v xml:space="preserve"> </v>
          </cell>
          <cell r="E25" t="str">
            <v>un</v>
          </cell>
          <cell r="F25">
            <v>16</v>
          </cell>
          <cell r="G25">
            <v>16.3</v>
          </cell>
        </row>
        <row r="26">
          <cell r="A26" t="str">
            <v>P06.200.01k</v>
          </cell>
          <cell r="B26" t="str">
            <v>Sinalizador (balde)</v>
          </cell>
          <cell r="C26" t="str">
            <v xml:space="preserve"> </v>
          </cell>
          <cell r="D26" t="str">
            <v xml:space="preserve"> </v>
          </cell>
          <cell r="E26" t="str">
            <v>un</v>
          </cell>
          <cell r="F26">
            <v>1550</v>
          </cell>
          <cell r="G26">
            <v>9.51</v>
          </cell>
        </row>
        <row r="27">
          <cell r="A27" t="str">
            <v>P 06.030.02</v>
          </cell>
          <cell r="B27" t="str">
            <v>Barreira Classe II</v>
          </cell>
          <cell r="C27" t="str">
            <v xml:space="preserve"> </v>
          </cell>
          <cell r="D27" t="str">
            <v xml:space="preserve"> </v>
          </cell>
          <cell r="E27" t="str">
            <v>un</v>
          </cell>
          <cell r="F27">
            <v>212</v>
          </cell>
          <cell r="G27">
            <v>52.27</v>
          </cell>
        </row>
        <row r="28">
          <cell r="A28" t="str">
            <v>P 06.030.03</v>
          </cell>
          <cell r="B28" t="str">
            <v>Barreira Classe III</v>
          </cell>
          <cell r="C28" t="str">
            <v xml:space="preserve"> </v>
          </cell>
          <cell r="D28" t="str">
            <v xml:space="preserve"> </v>
          </cell>
          <cell r="E28" t="str">
            <v>un</v>
          </cell>
          <cell r="F28">
            <v>19</v>
          </cell>
          <cell r="G28">
            <v>70.48</v>
          </cell>
        </row>
        <row r="29">
          <cell r="A29" t="str">
            <v>P06.200.01l</v>
          </cell>
          <cell r="B29" t="str">
            <v>Sinalizador com bandeira</v>
          </cell>
          <cell r="C29" t="str">
            <v xml:space="preserve"> </v>
          </cell>
          <cell r="D29" t="str">
            <v xml:space="preserve"> </v>
          </cell>
          <cell r="E29" t="str">
            <v>homxh</v>
          </cell>
          <cell r="F29">
            <v>25000</v>
          </cell>
          <cell r="G29">
            <v>5.01</v>
          </cell>
        </row>
        <row r="30">
          <cell r="A30" t="str">
            <v>06.100.12</v>
          </cell>
          <cell r="B30" t="str">
            <v>Pintura setas e zebrado - tinta alquidica - 1 ano</v>
          </cell>
          <cell r="C30" t="str">
            <v>DNER-EM371-372-373/97</v>
          </cell>
          <cell r="D30" t="str">
            <v xml:space="preserve"> </v>
          </cell>
          <cell r="E30" t="str">
            <v>m2</v>
          </cell>
          <cell r="F30">
            <v>220</v>
          </cell>
          <cell r="G30">
            <v>6.55</v>
          </cell>
        </row>
        <row r="31">
          <cell r="A31" t="str">
            <v>06.100.11</v>
          </cell>
          <cell r="B31" t="str">
            <v>Pintura de faixa - tinta alquidica - 1 ano</v>
          </cell>
          <cell r="C31" t="str">
            <v>DNER-EM371-372-373/97</v>
          </cell>
          <cell r="D31" t="str">
            <v xml:space="preserve"> </v>
          </cell>
          <cell r="E31" t="str">
            <v>m2</v>
          </cell>
          <cell r="F31">
            <v>10600</v>
          </cell>
          <cell r="G31">
            <v>4.03</v>
          </cell>
        </row>
        <row r="32">
          <cell r="A32" t="str">
            <v>06.121.11</v>
          </cell>
          <cell r="B32" t="str">
            <v>Tachão refletivo bidirecional (forn/coloc)</v>
          </cell>
          <cell r="C32" t="str">
            <v>DNER-EM371-372-373/97</v>
          </cell>
          <cell r="D32" t="str">
            <v xml:space="preserve"> </v>
          </cell>
          <cell r="E32" t="str">
            <v>und</v>
          </cell>
          <cell r="F32">
            <v>3000</v>
          </cell>
          <cell r="G32">
            <v>31.13</v>
          </cell>
        </row>
        <row r="33">
          <cell r="A33" t="str">
            <v>06.120.11</v>
          </cell>
          <cell r="B33" t="str">
            <v>Tachão refletivo monodirecional (forn/coloc)</v>
          </cell>
          <cell r="C33" t="str">
            <v>DNER-EM371-372-373/97</v>
          </cell>
          <cell r="D33" t="str">
            <v xml:space="preserve"> </v>
          </cell>
          <cell r="E33" t="str">
            <v>und</v>
          </cell>
          <cell r="F33">
            <v>3000</v>
          </cell>
          <cell r="G33">
            <v>25.9</v>
          </cell>
        </row>
        <row r="34">
          <cell r="A34" t="str">
            <v>06.121.01</v>
          </cell>
          <cell r="B34" t="str">
            <v>Tacha refletiva bidirecional (forn/coloc)</v>
          </cell>
          <cell r="C34" t="str">
            <v>DNER-EM371-372-373/97</v>
          </cell>
          <cell r="D34" t="str">
            <v xml:space="preserve"> </v>
          </cell>
          <cell r="E34" t="str">
            <v>und</v>
          </cell>
          <cell r="F34">
            <v>1560</v>
          </cell>
          <cell r="G34">
            <v>10.47</v>
          </cell>
        </row>
      </sheetData>
      <sheetData sheetId="20">
        <row r="14">
          <cell r="A14" t="str">
            <v>P02.999.10</v>
          </cell>
          <cell r="B14" t="str">
            <v>Frezagem de revestimento em CAUQ e&lt;= 8 cm c/transporte até 2km</v>
          </cell>
          <cell r="C14" t="str">
            <v xml:space="preserve"> </v>
          </cell>
          <cell r="D14" t="str">
            <v xml:space="preserve"> </v>
          </cell>
          <cell r="E14" t="str">
            <v>m3</v>
          </cell>
          <cell r="F14">
            <v>4008</v>
          </cell>
          <cell r="G14">
            <v>24.96</v>
          </cell>
        </row>
        <row r="15">
          <cell r="A15" t="str">
            <v>02.400.00</v>
          </cell>
          <cell r="B15" t="str">
            <v>Pintura de ligação - Fornec., transporte e execução</v>
          </cell>
          <cell r="C15" t="str">
            <v>DNER-ES307/97</v>
          </cell>
          <cell r="D15" t="str">
            <v xml:space="preserve"> </v>
          </cell>
          <cell r="E15" t="str">
            <v>m2</v>
          </cell>
          <cell r="F15">
            <v>267192</v>
          </cell>
          <cell r="G15">
            <v>0.41</v>
          </cell>
        </row>
        <row r="16">
          <cell r="A16" t="str">
            <v>02.540.01</v>
          </cell>
          <cell r="B16" t="str">
            <v>Concreto betuminoso usinado a quente - usina 100/140 t/h</v>
          </cell>
          <cell r="C16" t="str">
            <v>DNER-ES313/97</v>
          </cell>
          <cell r="D16" t="str">
            <v xml:space="preserve"> </v>
          </cell>
          <cell r="E16" t="str">
            <v>t</v>
          </cell>
          <cell r="F16">
            <v>32063</v>
          </cell>
          <cell r="G16">
            <v>67.64</v>
          </cell>
        </row>
      </sheetData>
      <sheetData sheetId="21">
        <row r="14">
          <cell r="A14" t="str">
            <v>01.000.00</v>
          </cell>
          <cell r="B14" t="str">
            <v>Desmatamento,destocamento e limpeza de área com árvore até 0,15m</v>
          </cell>
          <cell r="C14" t="str">
            <v>DNER-ES278/97</v>
          </cell>
          <cell r="D14" t="str">
            <v xml:space="preserve"> </v>
          </cell>
          <cell r="E14" t="str">
            <v>m2</v>
          </cell>
          <cell r="F14">
            <v>221400</v>
          </cell>
          <cell r="G14">
            <v>7.0000000000000007E-2</v>
          </cell>
        </row>
        <row r="15">
          <cell r="A15" t="str">
            <v>01.010.00</v>
          </cell>
          <cell r="B15" t="str">
            <v>Desmatamento e destocamento árvores de 0,15m a 0,30m</v>
          </cell>
          <cell r="C15" t="str">
            <v>DNER-ES278/97</v>
          </cell>
          <cell r="D15" t="str">
            <v xml:space="preserve"> </v>
          </cell>
          <cell r="E15" t="str">
            <v>un</v>
          </cell>
          <cell r="F15">
            <v>2214</v>
          </cell>
          <cell r="G15">
            <v>8.92</v>
          </cell>
        </row>
        <row r="16">
          <cell r="A16" t="str">
            <v>01.011.00</v>
          </cell>
          <cell r="B16" t="str">
            <v>Desmatamento e destocamento árvores superior a 0,30m</v>
          </cell>
          <cell r="C16" t="str">
            <v>DNER-ES278/97</v>
          </cell>
          <cell r="D16" t="str">
            <v xml:space="preserve"> </v>
          </cell>
          <cell r="E16" t="str">
            <v>un</v>
          </cell>
          <cell r="F16">
            <v>4428</v>
          </cell>
          <cell r="G16">
            <v>26.75</v>
          </cell>
        </row>
        <row r="17">
          <cell r="A17" t="str">
            <v>01.100.01</v>
          </cell>
          <cell r="B17" t="str">
            <v>Escavação,carga e transportes de material de 1a  categoria DMT &lt;= 50m</v>
          </cell>
          <cell r="C17" t="str">
            <v>DNER-ES280/97</v>
          </cell>
          <cell r="D17" t="str">
            <v xml:space="preserve"> </v>
          </cell>
          <cell r="E17" t="str">
            <v>m3</v>
          </cell>
          <cell r="F17">
            <v>1000</v>
          </cell>
          <cell r="G17">
            <v>0.62</v>
          </cell>
        </row>
        <row r="18">
          <cell r="A18" t="str">
            <v>01.100.09</v>
          </cell>
          <cell r="B18" t="str">
            <v>Escavação,carga e transportes de material de 1a categoria DMT= 50 a 200m</v>
          </cell>
          <cell r="C18" t="str">
            <v>DNER-ES280/97</v>
          </cell>
          <cell r="D18" t="str">
            <v xml:space="preserve"> </v>
          </cell>
          <cell r="E18" t="str">
            <v>m3</v>
          </cell>
          <cell r="F18">
            <v>2624</v>
          </cell>
          <cell r="G18">
            <v>1.89</v>
          </cell>
        </row>
        <row r="19">
          <cell r="A19" t="str">
            <v>01.100.10</v>
          </cell>
          <cell r="B19" t="str">
            <v>Escavação,carga e transportes de material de 1a categoria DMT= 200 a 400m</v>
          </cell>
          <cell r="C19" t="str">
            <v>DNER-ES280/97</v>
          </cell>
          <cell r="D19" t="str">
            <v xml:space="preserve"> </v>
          </cell>
          <cell r="E19" t="str">
            <v>m3</v>
          </cell>
          <cell r="F19">
            <v>1478</v>
          </cell>
          <cell r="G19">
            <v>1.98</v>
          </cell>
        </row>
        <row r="20">
          <cell r="A20" t="str">
            <v>01.100.11</v>
          </cell>
          <cell r="B20" t="str">
            <v>Escavação,carga e transportes de material de 1a categoria DMT= 400 a 600m</v>
          </cell>
          <cell r="C20" t="str">
            <v>DNER-ES280/97</v>
          </cell>
          <cell r="D20" t="str">
            <v xml:space="preserve"> </v>
          </cell>
          <cell r="E20" t="str">
            <v>m3</v>
          </cell>
          <cell r="F20">
            <v>1002</v>
          </cell>
          <cell r="G20">
            <v>2.12</v>
          </cell>
        </row>
        <row r="21">
          <cell r="A21" t="str">
            <v>01.100.12</v>
          </cell>
          <cell r="B21" t="str">
            <v>Escavação,carga e transportes de material de 1a categoria DMT= 600 a 800m</v>
          </cell>
          <cell r="C21" t="str">
            <v>DNER-ES280/97</v>
          </cell>
          <cell r="D21" t="str">
            <v xml:space="preserve"> </v>
          </cell>
          <cell r="E21" t="str">
            <v>m3</v>
          </cell>
          <cell r="F21">
            <v>4665</v>
          </cell>
          <cell r="G21">
            <v>2.19</v>
          </cell>
        </row>
        <row r="22">
          <cell r="A22" t="str">
            <v>01.100.13</v>
          </cell>
          <cell r="B22" t="str">
            <v>Escavação,carga e transportes de material de 1a categoria DMT= 800 a 1000m</v>
          </cell>
          <cell r="C22" t="str">
            <v>DNER-ES280/97</v>
          </cell>
          <cell r="D22" t="str">
            <v xml:space="preserve"> </v>
          </cell>
          <cell r="E22" t="str">
            <v>m3</v>
          </cell>
          <cell r="F22">
            <v>1693</v>
          </cell>
          <cell r="G22">
            <v>2.36</v>
          </cell>
        </row>
        <row r="23">
          <cell r="A23" t="str">
            <v>01.100.14</v>
          </cell>
          <cell r="B23" t="str">
            <v>Escavação,carga e transportes de material de 1a categoria DMT= 1000 a 1200m</v>
          </cell>
          <cell r="C23" t="str">
            <v>DNER-ES280/97</v>
          </cell>
          <cell r="D23" t="str">
            <v xml:space="preserve"> </v>
          </cell>
          <cell r="E23" t="str">
            <v>m3</v>
          </cell>
          <cell r="F23">
            <v>292</v>
          </cell>
          <cell r="G23">
            <v>2.4</v>
          </cell>
        </row>
        <row r="24">
          <cell r="A24" t="str">
            <v>01.100.15</v>
          </cell>
          <cell r="B24" t="str">
            <v>Escavação,carga e transportes de material de 1a categoria DMT= 1200 a 1400m</v>
          </cell>
          <cell r="C24" t="str">
            <v>DNER-ES280/97</v>
          </cell>
          <cell r="D24" t="str">
            <v xml:space="preserve"> </v>
          </cell>
          <cell r="E24" t="str">
            <v>m3</v>
          </cell>
          <cell r="F24">
            <v>2861</v>
          </cell>
          <cell r="G24">
            <v>2.62</v>
          </cell>
        </row>
        <row r="25">
          <cell r="A25" t="str">
            <v>01.100.18</v>
          </cell>
          <cell r="B25" t="str">
            <v>Escavação,carga e transportes de material de 1a categoria DMT= 1800 a 2000m</v>
          </cell>
          <cell r="C25" t="str">
            <v>DNER-ES280/97</v>
          </cell>
          <cell r="D25" t="str">
            <v xml:space="preserve"> </v>
          </cell>
          <cell r="E25" t="str">
            <v>m3</v>
          </cell>
          <cell r="F25">
            <v>1131</v>
          </cell>
          <cell r="G25">
            <v>2.92</v>
          </cell>
        </row>
        <row r="26">
          <cell r="A26" t="str">
            <v>01.100.19</v>
          </cell>
          <cell r="B26" t="str">
            <v>Escavação,carga e transportes de material de 1a categoria DMT= 2000 a 3000m</v>
          </cell>
          <cell r="C26" t="str">
            <v>DNER-ES280/97</v>
          </cell>
          <cell r="D26" t="str">
            <v xml:space="preserve"> </v>
          </cell>
          <cell r="E26" t="str">
            <v>m3</v>
          </cell>
          <cell r="F26">
            <v>99</v>
          </cell>
          <cell r="G26">
            <v>3.26</v>
          </cell>
        </row>
        <row r="27">
          <cell r="A27" t="str">
            <v>DER50265</v>
          </cell>
          <cell r="B27" t="str">
            <v>Esc.  Carga e Transp. de mat. 1a cat. c/ CB 4000&lt;DMT&lt;5000m</v>
          </cell>
          <cell r="C27" t="str">
            <v xml:space="preserve"> </v>
          </cell>
          <cell r="D27" t="str">
            <v xml:space="preserve"> </v>
          </cell>
          <cell r="E27" t="str">
            <v>m3</v>
          </cell>
          <cell r="F27">
            <v>14245</v>
          </cell>
          <cell r="G27">
            <v>3.76</v>
          </cell>
        </row>
        <row r="28">
          <cell r="A28" t="str">
            <v>DER50260</v>
          </cell>
          <cell r="B28" t="str">
            <v>Esc.  Carga e Transp. de mat. 1a cat. c/ CB 5000&lt;DMT&lt;6000m</v>
          </cell>
          <cell r="C28" t="str">
            <v xml:space="preserve"> </v>
          </cell>
          <cell r="D28" t="str">
            <v xml:space="preserve"> </v>
          </cell>
          <cell r="E28" t="str">
            <v>m3</v>
          </cell>
          <cell r="F28">
            <v>6163</v>
          </cell>
          <cell r="G28">
            <v>4.29</v>
          </cell>
        </row>
        <row r="29">
          <cell r="A29" t="str">
            <v>DER50270</v>
          </cell>
          <cell r="B29" t="str">
            <v>Esc.  Carga e Transp. de mat. 1a cat. c/ CB 6000&lt;DMT&lt;7000m</v>
          </cell>
          <cell r="C29" t="str">
            <v xml:space="preserve"> </v>
          </cell>
          <cell r="D29" t="str">
            <v xml:space="preserve"> </v>
          </cell>
          <cell r="E29" t="str">
            <v>m3</v>
          </cell>
          <cell r="F29">
            <v>8063</v>
          </cell>
          <cell r="G29">
            <v>4.79</v>
          </cell>
        </row>
        <row r="30">
          <cell r="A30" t="str">
            <v>DER50325</v>
          </cell>
          <cell r="B30" t="str">
            <v>Esc.  Carga e Transp. de mat. 1a cat. c/ CB 14000&lt;DMT&lt;16000m</v>
          </cell>
          <cell r="C30" t="str">
            <v xml:space="preserve"> </v>
          </cell>
          <cell r="D30" t="str">
            <v xml:space="preserve"> </v>
          </cell>
          <cell r="E30" t="str">
            <v>m3</v>
          </cell>
          <cell r="F30">
            <v>23987</v>
          </cell>
          <cell r="G30">
            <v>9</v>
          </cell>
        </row>
        <row r="31">
          <cell r="A31" t="str">
            <v>DER50335</v>
          </cell>
          <cell r="B31" t="str">
            <v>Esc.  Carga e Transp. de mat. 1a cat. c/ CB 16000&lt;DMT&lt;18000m</v>
          </cell>
          <cell r="C31" t="str">
            <v xml:space="preserve"> </v>
          </cell>
          <cell r="D31" t="str">
            <v xml:space="preserve"> </v>
          </cell>
          <cell r="E31" t="str">
            <v>m3</v>
          </cell>
          <cell r="F31">
            <v>2816</v>
          </cell>
          <cell r="G31">
            <v>10.08</v>
          </cell>
        </row>
        <row r="32">
          <cell r="A32" t="str">
            <v>DER50365</v>
          </cell>
          <cell r="B32" t="str">
            <v>Esc.  Carga e Transp. de mat. 1a cat. c/ CB 22000&lt;DMT&lt;24000m</v>
          </cell>
          <cell r="C32" t="str">
            <v xml:space="preserve"> </v>
          </cell>
          <cell r="D32" t="str">
            <v xml:space="preserve"> </v>
          </cell>
          <cell r="E32" t="str">
            <v>m3</v>
          </cell>
          <cell r="F32">
            <v>12280</v>
          </cell>
          <cell r="G32">
            <v>13.06</v>
          </cell>
        </row>
        <row r="33">
          <cell r="A33" t="str">
            <v>DER50375</v>
          </cell>
          <cell r="B33" t="str">
            <v>Esc.  Carga e Transp. de mat. 1a cat. c/ CB 24000&lt;DMT&lt;26000m</v>
          </cell>
          <cell r="C33" t="str">
            <v xml:space="preserve"> </v>
          </cell>
          <cell r="D33" t="str">
            <v xml:space="preserve"> </v>
          </cell>
          <cell r="E33" t="str">
            <v>m3</v>
          </cell>
          <cell r="F33">
            <v>8549</v>
          </cell>
          <cell r="G33">
            <v>14.08</v>
          </cell>
        </row>
        <row r="34">
          <cell r="A34" t="str">
            <v>01.101.10</v>
          </cell>
          <cell r="B34" t="str">
            <v>Escavação,carga e transportes de material de 2a categoria,c/CB,  DMT 200 a 400m</v>
          </cell>
          <cell r="C34" t="str">
            <v>DNER-ES280/97</v>
          </cell>
          <cell r="D34" t="str">
            <v xml:space="preserve"> </v>
          </cell>
          <cell r="E34" t="str">
            <v>m3</v>
          </cell>
          <cell r="F34">
            <v>904</v>
          </cell>
          <cell r="G34">
            <v>2.97</v>
          </cell>
        </row>
        <row r="35">
          <cell r="A35" t="str">
            <v>01.101.13</v>
          </cell>
          <cell r="B35" t="str">
            <v>Escavação,carga e transportes de material de 2a categoria,c/CB,  DMT 800 a 1 000m</v>
          </cell>
          <cell r="C35" t="str">
            <v>DNER-ES280/97</v>
          </cell>
          <cell r="D35" t="str">
            <v xml:space="preserve"> </v>
          </cell>
          <cell r="E35" t="str">
            <v>m3</v>
          </cell>
          <cell r="F35">
            <v>837</v>
          </cell>
          <cell r="G35">
            <v>3.42</v>
          </cell>
        </row>
        <row r="36">
          <cell r="A36" t="str">
            <v>01.101.14</v>
          </cell>
          <cell r="B36" t="str">
            <v>Escavação,carga e transportes de material de 2a categoria,c/CB,  DMT 1000 a 1200m</v>
          </cell>
          <cell r="C36" t="str">
            <v>DNER-ES280/97</v>
          </cell>
          <cell r="D36" t="str">
            <v xml:space="preserve"> </v>
          </cell>
          <cell r="E36" t="str">
            <v>m3</v>
          </cell>
          <cell r="F36">
            <v>479</v>
          </cell>
          <cell r="G36">
            <v>3.49</v>
          </cell>
        </row>
        <row r="37">
          <cell r="A37" t="str">
            <v>01.101.19</v>
          </cell>
          <cell r="B37" t="str">
            <v>Escavação,carga e transportes de material de 2a categoria,c/CB,  DMT 2000 a 3000m</v>
          </cell>
          <cell r="C37" t="str">
            <v>DNER-ES280/97</v>
          </cell>
          <cell r="D37" t="str">
            <v xml:space="preserve"> </v>
          </cell>
          <cell r="E37" t="str">
            <v>m3</v>
          </cell>
          <cell r="F37">
            <v>231</v>
          </cell>
          <cell r="G37">
            <v>4.51</v>
          </cell>
        </row>
        <row r="38">
          <cell r="A38" t="str">
            <v>DER51235</v>
          </cell>
          <cell r="B38" t="str">
            <v>Escavação,carga e transportes de material de 2a categoria DMT 4000 a 5000m</v>
          </cell>
          <cell r="C38" t="str">
            <v xml:space="preserve"> </v>
          </cell>
          <cell r="D38" t="str">
            <v xml:space="preserve"> </v>
          </cell>
          <cell r="E38" t="str">
            <v>m3</v>
          </cell>
          <cell r="F38">
            <v>5988</v>
          </cell>
          <cell r="G38">
            <v>5.15</v>
          </cell>
        </row>
        <row r="39">
          <cell r="A39" t="str">
            <v>DER52087</v>
          </cell>
          <cell r="B39" t="str">
            <v>Esc. Carga e Transp. de solos moles 400&lt;DMT&lt;=600m</v>
          </cell>
          <cell r="C39" t="str">
            <v xml:space="preserve"> </v>
          </cell>
          <cell r="D39" t="str">
            <v xml:space="preserve"> </v>
          </cell>
          <cell r="E39" t="str">
            <v>m3</v>
          </cell>
          <cell r="F39">
            <v>1558</v>
          </cell>
          <cell r="G39">
            <v>4.5999999999999996</v>
          </cell>
        </row>
        <row r="40">
          <cell r="A40" t="str">
            <v>DER52090</v>
          </cell>
          <cell r="B40" t="str">
            <v>Esc. Carga e Transp. de solos moles 600&lt;DMT&lt;=800m</v>
          </cell>
          <cell r="C40" t="str">
            <v xml:space="preserve"> </v>
          </cell>
          <cell r="D40" t="str">
            <v xml:space="preserve"> </v>
          </cell>
          <cell r="E40" t="str">
            <v>m3</v>
          </cell>
          <cell r="F40">
            <v>12066</v>
          </cell>
          <cell r="G40">
            <v>4.6399999999999997</v>
          </cell>
        </row>
        <row r="41">
          <cell r="A41" t="str">
            <v>DER52095</v>
          </cell>
          <cell r="B41" t="str">
            <v>Esc. Carga e Transp. de solos moles 800&lt;DMT&lt;=1000m</v>
          </cell>
          <cell r="C41" t="str">
            <v xml:space="preserve"> </v>
          </cell>
          <cell r="D41" t="str">
            <v xml:space="preserve"> </v>
          </cell>
          <cell r="E41" t="str">
            <v>m3</v>
          </cell>
          <cell r="F41">
            <v>9412</v>
          </cell>
          <cell r="G41">
            <v>4.7</v>
          </cell>
        </row>
        <row r="42">
          <cell r="A42" t="str">
            <v>DER52100</v>
          </cell>
          <cell r="B42" t="str">
            <v>Esc. Carga e Transp. de solos moles 1000&lt;DMT&lt;=1200m</v>
          </cell>
          <cell r="C42" t="str">
            <v xml:space="preserve"> </v>
          </cell>
          <cell r="D42" t="str">
            <v xml:space="preserve"> </v>
          </cell>
          <cell r="E42" t="str">
            <v>m3</v>
          </cell>
          <cell r="F42">
            <v>960</v>
          </cell>
          <cell r="G42">
            <v>4.71</v>
          </cell>
        </row>
        <row r="43">
          <cell r="A43" t="str">
            <v>DER52101</v>
          </cell>
          <cell r="B43" t="str">
            <v>Esc. Carga e Transp. de solos moles 1200&lt;DMT&lt;=1400m</v>
          </cell>
          <cell r="C43" t="str">
            <v xml:space="preserve"> </v>
          </cell>
          <cell r="D43" t="str">
            <v xml:space="preserve"> </v>
          </cell>
          <cell r="E43" t="str">
            <v>m3</v>
          </cell>
          <cell r="F43">
            <v>2575</v>
          </cell>
          <cell r="G43">
            <v>4.74</v>
          </cell>
        </row>
        <row r="44">
          <cell r="A44" t="str">
            <v>DER52102</v>
          </cell>
          <cell r="B44" t="str">
            <v>Esc. Carga e Transp. de solos moles 1400&lt;DMT&lt;=1600m</v>
          </cell>
          <cell r="C44" t="str">
            <v xml:space="preserve"> </v>
          </cell>
          <cell r="D44" t="str">
            <v xml:space="preserve"> </v>
          </cell>
          <cell r="E44" t="str">
            <v>m3</v>
          </cell>
          <cell r="F44">
            <v>2321</v>
          </cell>
          <cell r="G44">
            <v>4.8099999999999996</v>
          </cell>
        </row>
        <row r="45">
          <cell r="A45" t="str">
            <v>01.510.00</v>
          </cell>
          <cell r="B45" t="str">
            <v>Compactação de aterros a 95% Proctor Normal</v>
          </cell>
          <cell r="C45" t="str">
            <v>DNER-ES282/97</v>
          </cell>
          <cell r="D45" t="str">
            <v xml:space="preserve"> </v>
          </cell>
          <cell r="E45" t="str">
            <v>m3</v>
          </cell>
          <cell r="F45">
            <v>45560</v>
          </cell>
          <cell r="G45">
            <v>0.79</v>
          </cell>
        </row>
        <row r="46">
          <cell r="A46" t="str">
            <v>01.511.00</v>
          </cell>
          <cell r="B46" t="str">
            <v>Compactação de aterros a 100% Proctor Normal</v>
          </cell>
          <cell r="C46" t="str">
            <v>DNER-ES282/97</v>
          </cell>
          <cell r="D46" t="str">
            <v xml:space="preserve"> </v>
          </cell>
          <cell r="E46" t="str">
            <v>m3</v>
          </cell>
          <cell r="F46">
            <v>13303</v>
          </cell>
          <cell r="G46">
            <v>1.36</v>
          </cell>
        </row>
        <row r="47">
          <cell r="F47" t="str">
            <v>SUB-TOTAL</v>
          </cell>
        </row>
        <row r="49">
          <cell r="B49" t="str">
            <v>PAVIMENTAÇÃO</v>
          </cell>
        </row>
        <row r="50">
          <cell r="A50" t="str">
            <v>02.000.00</v>
          </cell>
          <cell r="B50" t="str">
            <v>Regularização do subleito</v>
          </cell>
          <cell r="C50" t="str">
            <v xml:space="preserve"> </v>
          </cell>
          <cell r="D50" t="str">
            <v xml:space="preserve"> </v>
          </cell>
          <cell r="E50" t="str">
            <v>m2</v>
          </cell>
          <cell r="F50">
            <v>62658</v>
          </cell>
          <cell r="G50">
            <v>0.3</v>
          </cell>
        </row>
        <row r="51">
          <cell r="A51" t="str">
            <v>DER53110</v>
          </cell>
          <cell r="B51" t="str">
            <v>Camada de seixo classificado</v>
          </cell>
          <cell r="C51" t="str">
            <v xml:space="preserve"> </v>
          </cell>
          <cell r="D51" t="str">
            <v xml:space="preserve"> </v>
          </cell>
          <cell r="E51" t="str">
            <v>m3</v>
          </cell>
          <cell r="F51">
            <v>12034</v>
          </cell>
          <cell r="G51">
            <v>16.09</v>
          </cell>
        </row>
        <row r="52">
          <cell r="F52" t="str">
            <v>SUB-TOTAL</v>
          </cell>
        </row>
        <row r="54">
          <cell r="B54" t="str">
            <v>DRENAGEM</v>
          </cell>
        </row>
        <row r="55">
          <cell r="A55" t="str">
            <v>04.000.00</v>
          </cell>
          <cell r="B55" t="str">
            <v>Escavação manual em material de 1a categoria</v>
          </cell>
          <cell r="C55" t="str">
            <v xml:space="preserve"> </v>
          </cell>
          <cell r="D55" t="str">
            <v xml:space="preserve"> </v>
          </cell>
          <cell r="E55" t="str">
            <v>m3</v>
          </cell>
          <cell r="F55">
            <v>146</v>
          </cell>
          <cell r="G55">
            <v>17.57</v>
          </cell>
        </row>
        <row r="56">
          <cell r="A56" t="str">
            <v>04.001.00</v>
          </cell>
          <cell r="B56" t="str">
            <v>Escavação mecânica em material de 1a categoria</v>
          </cell>
          <cell r="C56" t="str">
            <v xml:space="preserve"> </v>
          </cell>
          <cell r="D56" t="str">
            <v xml:space="preserve"> </v>
          </cell>
          <cell r="E56" t="str">
            <v>m3</v>
          </cell>
          <cell r="F56">
            <v>332</v>
          </cell>
          <cell r="G56">
            <v>2.09</v>
          </cell>
        </row>
        <row r="57">
          <cell r="A57" t="str">
            <v>04.001.01</v>
          </cell>
          <cell r="B57" t="str">
            <v>Escavação mecânica,reaterro e compactação (material de 1a categoria)</v>
          </cell>
          <cell r="C57" t="str">
            <v xml:space="preserve"> </v>
          </cell>
          <cell r="D57" t="str">
            <v xml:space="preserve"> </v>
          </cell>
          <cell r="E57" t="str">
            <v>m3</v>
          </cell>
          <cell r="F57">
            <v>524</v>
          </cell>
          <cell r="G57">
            <v>3.03</v>
          </cell>
        </row>
        <row r="58">
          <cell r="A58" t="str">
            <v>04.011.00</v>
          </cell>
          <cell r="B58" t="str">
            <v>Escavação mecânica em material de 2a categoria</v>
          </cell>
          <cell r="C58" t="str">
            <v xml:space="preserve"> </v>
          </cell>
          <cell r="D58" t="str">
            <v xml:space="preserve"> </v>
          </cell>
          <cell r="E58" t="str">
            <v>m3</v>
          </cell>
          <cell r="F58">
            <v>291</v>
          </cell>
          <cell r="G58">
            <v>0.9</v>
          </cell>
        </row>
        <row r="59">
          <cell r="A59" t="str">
            <v>04.401.02</v>
          </cell>
          <cell r="B59" t="str">
            <v>Valeta de prot. de aterro c/ revest. vegetal VPA 02</v>
          </cell>
          <cell r="C59" t="str">
            <v xml:space="preserve"> </v>
          </cell>
          <cell r="D59" t="str">
            <v xml:space="preserve"> </v>
          </cell>
          <cell r="E59" t="str">
            <v>m</v>
          </cell>
          <cell r="F59">
            <v>7590</v>
          </cell>
          <cell r="G59">
            <v>24.32</v>
          </cell>
        </row>
        <row r="60">
          <cell r="A60" t="str">
            <v>04.900.21</v>
          </cell>
          <cell r="B60" t="str">
            <v>Sarjeta de cant. central de concreto-SCC 01</v>
          </cell>
          <cell r="C60" t="str">
            <v>DNER-ES288/97</v>
          </cell>
          <cell r="D60" t="str">
            <v xml:space="preserve"> </v>
          </cell>
          <cell r="E60" t="str">
            <v>m</v>
          </cell>
          <cell r="F60">
            <v>3531</v>
          </cell>
          <cell r="G60">
            <v>13.85</v>
          </cell>
        </row>
        <row r="61">
          <cell r="A61" t="str">
            <v>04.900.22</v>
          </cell>
          <cell r="B61" t="str">
            <v>Sarjeta de cant. central de concreto-SCC 02</v>
          </cell>
          <cell r="C61" t="str">
            <v>DNER-ES288/97</v>
          </cell>
          <cell r="D61" t="str">
            <v xml:space="preserve"> </v>
          </cell>
          <cell r="E61" t="str">
            <v>m</v>
          </cell>
          <cell r="F61">
            <v>110</v>
          </cell>
          <cell r="G61">
            <v>19.170000000000002</v>
          </cell>
        </row>
        <row r="62">
          <cell r="A62" t="str">
            <v>04.900.33</v>
          </cell>
          <cell r="B62" t="str">
            <v>Sarjeta triangular de grama-STG 03</v>
          </cell>
          <cell r="C62" t="str">
            <v xml:space="preserve"> </v>
          </cell>
          <cell r="D62" t="str">
            <v xml:space="preserve"> </v>
          </cell>
          <cell r="E62" t="str">
            <v>m</v>
          </cell>
          <cell r="F62">
            <v>66</v>
          </cell>
          <cell r="G62">
            <v>10.61</v>
          </cell>
        </row>
        <row r="63">
          <cell r="A63" t="str">
            <v>04.900.34</v>
          </cell>
          <cell r="B63" t="str">
            <v>Sarjeta triangular de grama-STG 04</v>
          </cell>
          <cell r="C63" t="str">
            <v xml:space="preserve"> </v>
          </cell>
          <cell r="D63" t="str">
            <v xml:space="preserve"> </v>
          </cell>
          <cell r="E63" t="str">
            <v>m</v>
          </cell>
          <cell r="F63">
            <v>2326</v>
          </cell>
          <cell r="G63">
            <v>8.4700000000000006</v>
          </cell>
        </row>
        <row r="64">
          <cell r="A64" t="str">
            <v>DER78150a</v>
          </cell>
          <cell r="B64" t="str">
            <v>Caixa coletora de sarjeta - CCS, D=60cm E H=1,5m</v>
          </cell>
          <cell r="C64" t="str">
            <v xml:space="preserve"> </v>
          </cell>
          <cell r="D64" t="str">
            <v xml:space="preserve"> </v>
          </cell>
          <cell r="E64" t="str">
            <v>un</v>
          </cell>
          <cell r="F64">
            <v>7</v>
          </cell>
          <cell r="G64">
            <v>500.45</v>
          </cell>
        </row>
        <row r="65">
          <cell r="A65" t="str">
            <v>04.930.01</v>
          </cell>
          <cell r="B65" t="str">
            <v>Caixa coletora de sarjeta-CCS 01</v>
          </cell>
          <cell r="C65" t="str">
            <v>DNER-ES287/97</v>
          </cell>
          <cell r="D65" t="str">
            <v xml:space="preserve"> </v>
          </cell>
          <cell r="E65" t="str">
            <v>un</v>
          </cell>
          <cell r="F65">
            <v>1</v>
          </cell>
          <cell r="G65">
            <v>568.85</v>
          </cell>
        </row>
        <row r="66">
          <cell r="A66" t="str">
            <v>P 04.100.08</v>
          </cell>
          <cell r="B66" t="str">
            <v>Execução de galerias D=0,40 c/ lastro de concreto</v>
          </cell>
          <cell r="C66" t="str">
            <v xml:space="preserve"> </v>
          </cell>
          <cell r="D66" t="str">
            <v xml:space="preserve"> </v>
          </cell>
          <cell r="E66" t="str">
            <v>m</v>
          </cell>
          <cell r="F66">
            <v>48</v>
          </cell>
          <cell r="G66">
            <v>58.65</v>
          </cell>
        </row>
        <row r="67">
          <cell r="A67" t="str">
            <v>P 04.100.10</v>
          </cell>
          <cell r="B67" t="str">
            <v>Execução de galerias D=0,60 c/ lastro de concreto</v>
          </cell>
          <cell r="C67" t="str">
            <v xml:space="preserve"> </v>
          </cell>
          <cell r="D67" t="str">
            <v xml:space="preserve"> </v>
          </cell>
          <cell r="E67" t="str">
            <v>m</v>
          </cell>
          <cell r="F67">
            <v>146</v>
          </cell>
          <cell r="G67">
            <v>131.66</v>
          </cell>
        </row>
        <row r="68">
          <cell r="A68" t="str">
            <v>P 04.100.40</v>
          </cell>
          <cell r="B68" t="str">
            <v>Execução de galerias D=0,80m c/ lastro de concreto</v>
          </cell>
          <cell r="C68" t="str">
            <v xml:space="preserve"> </v>
          </cell>
          <cell r="D68" t="str">
            <v xml:space="preserve"> </v>
          </cell>
          <cell r="E68" t="str">
            <v>m</v>
          </cell>
          <cell r="F68">
            <v>10</v>
          </cell>
          <cell r="G68">
            <v>197.36</v>
          </cell>
        </row>
        <row r="69">
          <cell r="A69" t="str">
            <v>DER72350b</v>
          </cell>
          <cell r="B69" t="str">
            <v>Boca para BSTC D=40cm - Normal</v>
          </cell>
          <cell r="C69" t="str">
            <v xml:space="preserve"> </v>
          </cell>
          <cell r="D69" t="str">
            <v xml:space="preserve"> </v>
          </cell>
          <cell r="E69" t="str">
            <v>un</v>
          </cell>
          <cell r="F69">
            <v>2</v>
          </cell>
          <cell r="G69">
            <v>147.57</v>
          </cell>
        </row>
        <row r="70">
          <cell r="A70" t="str">
            <v>04.101.01</v>
          </cell>
          <cell r="B70" t="str">
            <v>Boca de BSTC D=0.60m-normal</v>
          </cell>
          <cell r="C70" t="str">
            <v>DNER-ES284/97</v>
          </cell>
          <cell r="D70" t="str">
            <v xml:space="preserve"> </v>
          </cell>
          <cell r="E70" t="str">
            <v>un</v>
          </cell>
          <cell r="F70">
            <v>4</v>
          </cell>
          <cell r="G70">
            <v>299.62</v>
          </cell>
        </row>
        <row r="71">
          <cell r="F71" t="str">
            <v>SUB-TOTAL</v>
          </cell>
        </row>
        <row r="73">
          <cell r="B73" t="str">
            <v>OBRAS DE ARTE CORRENTES</v>
          </cell>
        </row>
        <row r="74">
          <cell r="A74" t="str">
            <v>04.001.01</v>
          </cell>
          <cell r="B74" t="str">
            <v>Escavação mecânica,reaterro e compactação (material de 1a categoria)</v>
          </cell>
          <cell r="C74" t="str">
            <v xml:space="preserve"> </v>
          </cell>
          <cell r="D74" t="str">
            <v xml:space="preserve"> </v>
          </cell>
          <cell r="E74" t="str">
            <v>m3</v>
          </cell>
          <cell r="F74">
            <v>2095</v>
          </cell>
          <cell r="G74">
            <v>3.03</v>
          </cell>
        </row>
        <row r="75">
          <cell r="A75" t="str">
            <v>04.100.01</v>
          </cell>
          <cell r="B75" t="str">
            <v>Corpo de BSTC D=0.60m</v>
          </cell>
          <cell r="C75" t="str">
            <v>DNER-ES284/97</v>
          </cell>
          <cell r="D75" t="str">
            <v xml:space="preserve"> </v>
          </cell>
          <cell r="E75" t="str">
            <v xml:space="preserve">m </v>
          </cell>
          <cell r="F75">
            <v>20</v>
          </cell>
          <cell r="G75">
            <v>139.21</v>
          </cell>
        </row>
        <row r="76">
          <cell r="A76" t="str">
            <v>04.100.02</v>
          </cell>
          <cell r="B76" t="str">
            <v>Corpo de BSTC D=0.80m</v>
          </cell>
          <cell r="C76" t="str">
            <v>DNER-ES284/97</v>
          </cell>
          <cell r="D76" t="str">
            <v xml:space="preserve"> </v>
          </cell>
          <cell r="E76" t="str">
            <v xml:space="preserve">m </v>
          </cell>
          <cell r="F76">
            <v>44</v>
          </cell>
          <cell r="G76">
            <v>201.98</v>
          </cell>
        </row>
        <row r="77">
          <cell r="A77" t="str">
            <v>04.100.03</v>
          </cell>
          <cell r="B77" t="str">
            <v>Corpo de BSTC D=1.00m</v>
          </cell>
          <cell r="C77" t="str">
            <v>DNER-ES284/97</v>
          </cell>
          <cell r="D77" t="str">
            <v xml:space="preserve"> </v>
          </cell>
          <cell r="E77" t="str">
            <v xml:space="preserve">m </v>
          </cell>
          <cell r="F77">
            <v>63</v>
          </cell>
          <cell r="G77">
            <v>280.33</v>
          </cell>
        </row>
        <row r="78">
          <cell r="A78" t="str">
            <v>04.101.01</v>
          </cell>
          <cell r="B78" t="str">
            <v>Boca de BSTC D=0.60m-normal</v>
          </cell>
          <cell r="C78" t="str">
            <v>DNER-ES284/97</v>
          </cell>
          <cell r="D78" t="str">
            <v xml:space="preserve"> </v>
          </cell>
          <cell r="E78" t="str">
            <v>un</v>
          </cell>
          <cell r="F78">
            <v>2</v>
          </cell>
          <cell r="G78">
            <v>299.62</v>
          </cell>
        </row>
        <row r="79">
          <cell r="A79" t="str">
            <v>04.101.02</v>
          </cell>
          <cell r="B79" t="str">
            <v>Boca de BSTC D=0.80m-normal</v>
          </cell>
          <cell r="C79" t="str">
            <v>DNER-ES284/97</v>
          </cell>
          <cell r="D79" t="str">
            <v xml:space="preserve"> </v>
          </cell>
          <cell r="E79" t="str">
            <v>un</v>
          </cell>
          <cell r="F79">
            <v>7</v>
          </cell>
          <cell r="G79">
            <v>494.05</v>
          </cell>
        </row>
        <row r="80">
          <cell r="A80" t="str">
            <v>04.101.03</v>
          </cell>
          <cell r="B80" t="str">
            <v>Boca de BSTC D=1.00m-normal</v>
          </cell>
          <cell r="C80" t="str">
            <v>DNER-ES284/97</v>
          </cell>
          <cell r="D80" t="str">
            <v xml:space="preserve"> </v>
          </cell>
          <cell r="E80" t="str">
            <v>un</v>
          </cell>
          <cell r="F80">
            <v>8</v>
          </cell>
          <cell r="G80">
            <v>757.56</v>
          </cell>
        </row>
        <row r="81">
          <cell r="A81" t="str">
            <v>04.110.01</v>
          </cell>
          <cell r="B81" t="str">
            <v>Corpo de BDTC D=1.00m</v>
          </cell>
          <cell r="C81" t="str">
            <v>DNER-ES284/97</v>
          </cell>
          <cell r="D81" t="str">
            <v xml:space="preserve"> </v>
          </cell>
          <cell r="E81" t="str">
            <v>m</v>
          </cell>
          <cell r="F81">
            <v>40</v>
          </cell>
          <cell r="G81">
            <v>572.14</v>
          </cell>
        </row>
        <row r="82">
          <cell r="A82" t="str">
            <v>04.111.01</v>
          </cell>
          <cell r="B82" t="str">
            <v>Boca de BDTC D=1.00m-normal</v>
          </cell>
          <cell r="C82" t="str">
            <v>DNER-ES284/97</v>
          </cell>
          <cell r="D82" t="str">
            <v xml:space="preserve"> </v>
          </cell>
          <cell r="E82" t="str">
            <v>un</v>
          </cell>
          <cell r="F82">
            <v>5</v>
          </cell>
          <cell r="G82">
            <v>1056.6199999999999</v>
          </cell>
        </row>
        <row r="83">
          <cell r="A83" t="str">
            <v>04.200.01</v>
          </cell>
          <cell r="B83" t="str">
            <v>Corpo de BSCC 1.50x1.50m-H=0 a 1.00m</v>
          </cell>
          <cell r="C83" t="str">
            <v>DNER-ES286/97</v>
          </cell>
          <cell r="D83" t="str">
            <v xml:space="preserve"> </v>
          </cell>
          <cell r="E83" t="str">
            <v>m</v>
          </cell>
          <cell r="F83">
            <v>11</v>
          </cell>
          <cell r="G83">
            <v>528.09</v>
          </cell>
        </row>
        <row r="84">
          <cell r="A84" t="str">
            <v>04.200.02</v>
          </cell>
          <cell r="B84" t="str">
            <v>Corpo de BSCC 2.00x2.00m-H=0 a 1.00m</v>
          </cell>
          <cell r="C84" t="str">
            <v>DNER-ES286/97</v>
          </cell>
          <cell r="D84" t="str">
            <v xml:space="preserve"> </v>
          </cell>
          <cell r="E84" t="str">
            <v>m</v>
          </cell>
          <cell r="F84">
            <v>12</v>
          </cell>
          <cell r="G84">
            <v>737.8</v>
          </cell>
        </row>
        <row r="85">
          <cell r="A85" t="str">
            <v>04.200.06</v>
          </cell>
          <cell r="B85" t="str">
            <v>Corpo de BSCC 2.00x2.00m-H=1.00 a 2.50m</v>
          </cell>
          <cell r="C85" t="str">
            <v>DNER-ES286/97</v>
          </cell>
          <cell r="D85" t="str">
            <v xml:space="preserve"> </v>
          </cell>
          <cell r="E85" t="str">
            <v>m</v>
          </cell>
          <cell r="F85">
            <v>13</v>
          </cell>
          <cell r="G85">
            <v>661.97</v>
          </cell>
        </row>
        <row r="86">
          <cell r="A86" t="str">
            <v>04.200.07</v>
          </cell>
          <cell r="B86" t="str">
            <v>Corpo de BSCC 2.50x2.50m-H=1.00 a 2.50m</v>
          </cell>
          <cell r="C86" t="str">
            <v>DNER-ES286/97</v>
          </cell>
          <cell r="D86" t="str">
            <v xml:space="preserve"> </v>
          </cell>
          <cell r="E86" t="str">
            <v>m</v>
          </cell>
          <cell r="F86">
            <v>48</v>
          </cell>
          <cell r="G86">
            <v>975.93</v>
          </cell>
        </row>
        <row r="87">
          <cell r="A87" t="str">
            <v>04.201.01</v>
          </cell>
          <cell r="B87" t="str">
            <v>Boca de BSCC 1.50x1.50m - normal</v>
          </cell>
          <cell r="C87" t="str">
            <v xml:space="preserve"> </v>
          </cell>
          <cell r="D87" t="str">
            <v xml:space="preserve"> </v>
          </cell>
          <cell r="E87" t="str">
            <v>un</v>
          </cell>
          <cell r="F87">
            <v>2</v>
          </cell>
          <cell r="G87">
            <v>3149.41</v>
          </cell>
        </row>
        <row r="88">
          <cell r="A88" t="str">
            <v>04.201.02</v>
          </cell>
          <cell r="B88" t="str">
            <v>Boca de BSCC 2.00x2.00m - normal</v>
          </cell>
          <cell r="C88" t="str">
            <v xml:space="preserve"> </v>
          </cell>
          <cell r="D88" t="str">
            <v xml:space="preserve"> </v>
          </cell>
          <cell r="E88" t="str">
            <v>un</v>
          </cell>
          <cell r="F88">
            <v>4</v>
          </cell>
          <cell r="G88">
            <v>4874.24</v>
          </cell>
        </row>
        <row r="89">
          <cell r="A89" t="str">
            <v>04.201.03</v>
          </cell>
          <cell r="B89" t="str">
            <v>Boca de BSCC 2.50x2.50m - normal</v>
          </cell>
          <cell r="C89" t="str">
            <v xml:space="preserve"> </v>
          </cell>
          <cell r="D89" t="str">
            <v xml:space="preserve"> </v>
          </cell>
          <cell r="E89" t="str">
            <v>un</v>
          </cell>
          <cell r="F89">
            <v>8</v>
          </cell>
          <cell r="G89">
            <v>6579.56</v>
          </cell>
        </row>
        <row r="90">
          <cell r="A90" t="str">
            <v>04.210.01</v>
          </cell>
          <cell r="B90" t="str">
            <v>Corpo de BDCC 1.50x1.50m-H=0 a 1.00m</v>
          </cell>
          <cell r="C90" t="str">
            <v>DNER-ES286/97</v>
          </cell>
          <cell r="D90" t="str">
            <v xml:space="preserve"> </v>
          </cell>
          <cell r="E90" t="str">
            <v>m</v>
          </cell>
          <cell r="F90">
            <v>22</v>
          </cell>
          <cell r="G90">
            <v>864.14</v>
          </cell>
        </row>
        <row r="91">
          <cell r="A91" t="str">
            <v>04.211.01</v>
          </cell>
          <cell r="B91" t="str">
            <v>Boca de BDCC 1.50x1.50m - normal</v>
          </cell>
          <cell r="C91" t="str">
            <v xml:space="preserve"> </v>
          </cell>
          <cell r="D91" t="str">
            <v xml:space="preserve"> </v>
          </cell>
          <cell r="E91" t="str">
            <v>un</v>
          </cell>
          <cell r="F91">
            <v>3</v>
          </cell>
          <cell r="G91">
            <v>3642.66</v>
          </cell>
        </row>
        <row r="92">
          <cell r="A92" t="str">
            <v>04.999.01</v>
          </cell>
          <cell r="B92" t="str">
            <v>Remoção de bueiros existentes</v>
          </cell>
          <cell r="C92" t="str">
            <v xml:space="preserve"> </v>
          </cell>
          <cell r="D92" t="str">
            <v xml:space="preserve"> </v>
          </cell>
          <cell r="E92" t="str">
            <v>m</v>
          </cell>
          <cell r="F92">
            <v>57</v>
          </cell>
          <cell r="G92">
            <v>13.06</v>
          </cell>
        </row>
        <row r="93">
          <cell r="A93" t="str">
            <v>04.999.02</v>
          </cell>
          <cell r="B93" t="str">
            <v>Demolição de dispositivos de concreto</v>
          </cell>
          <cell r="C93" t="str">
            <v>DNER-ES296/97</v>
          </cell>
          <cell r="D93" t="str">
            <v xml:space="preserve"> </v>
          </cell>
          <cell r="E93" t="str">
            <v>m3</v>
          </cell>
          <cell r="F93">
            <v>38</v>
          </cell>
          <cell r="G93">
            <v>12.58</v>
          </cell>
        </row>
        <row r="94">
          <cell r="A94" t="str">
            <v>P 04.100.22</v>
          </cell>
          <cell r="B94" t="str">
            <v>Bueiro Met.Corrug.circular, T.Armco,  c/Epoxy-bonded, MP-100, D=1,40 m, E=2,0mm</v>
          </cell>
          <cell r="C94" t="str">
            <v xml:space="preserve"> </v>
          </cell>
          <cell r="D94" t="str">
            <v xml:space="preserve"> </v>
          </cell>
          <cell r="E94" t="str">
            <v>m</v>
          </cell>
          <cell r="F94">
            <v>12</v>
          </cell>
          <cell r="G94">
            <v>486.03</v>
          </cell>
        </row>
        <row r="95">
          <cell r="A95" t="str">
            <v>DER72450a</v>
          </cell>
          <cell r="B95" t="str">
            <v>Boca para BSTM D=140cm - Normal</v>
          </cell>
          <cell r="C95" t="str">
            <v xml:space="preserve"> </v>
          </cell>
          <cell r="D95" t="str">
            <v xml:space="preserve"> </v>
          </cell>
          <cell r="E95" t="str">
            <v>un</v>
          </cell>
          <cell r="F95">
            <v>2</v>
          </cell>
          <cell r="G95">
            <v>690.23</v>
          </cell>
        </row>
        <row r="96">
          <cell r="F96" t="str">
            <v>SUB-TOTAL</v>
          </cell>
        </row>
        <row r="97">
          <cell r="B97" t="str">
            <v>OBRAS COMPLEMENTARES</v>
          </cell>
        </row>
        <row r="98">
          <cell r="A98" t="str">
            <v>05.100.00</v>
          </cell>
          <cell r="B98" t="str">
            <v>Enleivamento</v>
          </cell>
          <cell r="C98" t="str">
            <v>DNER-ES341/97</v>
          </cell>
          <cell r="D98" t="str">
            <v xml:space="preserve"> </v>
          </cell>
          <cell r="E98" t="str">
            <v>m2</v>
          </cell>
          <cell r="F98">
            <v>30953</v>
          </cell>
          <cell r="G98">
            <v>2.06</v>
          </cell>
        </row>
        <row r="99">
          <cell r="A99" t="str">
            <v>05.102.00</v>
          </cell>
          <cell r="B99" t="str">
            <v>Hidrossemeadura</v>
          </cell>
          <cell r="C99" t="str">
            <v>DNER-ES341/97</v>
          </cell>
          <cell r="D99" t="str">
            <v xml:space="preserve"> </v>
          </cell>
          <cell r="E99" t="str">
            <v>m2</v>
          </cell>
          <cell r="F99">
            <v>10630</v>
          </cell>
          <cell r="G99">
            <v>0.49</v>
          </cell>
        </row>
        <row r="100">
          <cell r="A100" t="str">
            <v>P 05.100.02</v>
          </cell>
          <cell r="B100" t="str">
            <v>Fornecimento e plantio de árvore selecionada</v>
          </cell>
          <cell r="C100" t="str">
            <v xml:space="preserve"> </v>
          </cell>
          <cell r="D100" t="str">
            <v xml:space="preserve"> </v>
          </cell>
          <cell r="E100" t="str">
            <v>un</v>
          </cell>
          <cell r="F100">
            <v>329</v>
          </cell>
          <cell r="G100">
            <v>6.02</v>
          </cell>
        </row>
        <row r="101">
          <cell r="A101" t="str">
            <v>R1</v>
          </cell>
          <cell r="B101" t="str">
            <v>Remanejamento de Rede de Baixa Tensão (220/380V)</v>
          </cell>
          <cell r="C101" t="str">
            <v xml:space="preserve"> </v>
          </cell>
          <cell r="D101" t="str">
            <v xml:space="preserve"> </v>
          </cell>
          <cell r="E101" t="str">
            <v>m</v>
          </cell>
          <cell r="F101">
            <v>480</v>
          </cell>
          <cell r="G101">
            <v>4.7</v>
          </cell>
        </row>
        <row r="102">
          <cell r="A102" t="str">
            <v>R2</v>
          </cell>
          <cell r="B102" t="str">
            <v>Remanejamento de Rede de Alta Tensão (138kV)</v>
          </cell>
          <cell r="C102" t="str">
            <v xml:space="preserve"> </v>
          </cell>
          <cell r="D102" t="str">
            <v xml:space="preserve"> </v>
          </cell>
          <cell r="E102" t="str">
            <v>m</v>
          </cell>
          <cell r="F102">
            <v>480</v>
          </cell>
          <cell r="G102">
            <v>6.2</v>
          </cell>
        </row>
        <row r="103">
          <cell r="A103" t="str">
            <v>R10</v>
          </cell>
          <cell r="B103" t="str">
            <v>Remanejamento de Poste de Concreto 10/150</v>
          </cell>
          <cell r="C103" t="str">
            <v xml:space="preserve"> </v>
          </cell>
          <cell r="D103" t="str">
            <v xml:space="preserve"> </v>
          </cell>
          <cell r="E103" t="str">
            <v>un</v>
          </cell>
          <cell r="F103">
            <v>5</v>
          </cell>
          <cell r="G103">
            <v>75</v>
          </cell>
        </row>
        <row r="104">
          <cell r="A104" t="str">
            <v>R27</v>
          </cell>
          <cell r="B104" t="str">
            <v>Remanejamento de Poste de Madeira</v>
          </cell>
          <cell r="C104" t="str">
            <v xml:space="preserve"> </v>
          </cell>
          <cell r="D104" t="str">
            <v xml:space="preserve"> </v>
          </cell>
          <cell r="E104" t="str">
            <v>un</v>
          </cell>
          <cell r="F104">
            <v>2</v>
          </cell>
          <cell r="G104">
            <v>70</v>
          </cell>
        </row>
      </sheetData>
      <sheetData sheetId="22">
        <row r="14">
          <cell r="A14" t="str">
            <v>02.000.00</v>
          </cell>
          <cell r="B14" t="str">
            <v>Regularização do subleito</v>
          </cell>
          <cell r="C14" t="str">
            <v xml:space="preserve"> </v>
          </cell>
          <cell r="D14" t="str">
            <v xml:space="preserve"> </v>
          </cell>
          <cell r="E14" t="str">
            <v>m2</v>
          </cell>
          <cell r="F14">
            <v>1137</v>
          </cell>
          <cell r="G14">
            <v>0.3</v>
          </cell>
        </row>
        <row r="15">
          <cell r="A15" t="str">
            <v>DER53130</v>
          </cell>
          <cell r="B15" t="str">
            <v>Camada de macadame seco</v>
          </cell>
          <cell r="C15" t="str">
            <v xml:space="preserve"> </v>
          </cell>
          <cell r="D15" t="str">
            <v xml:space="preserve"> </v>
          </cell>
          <cell r="E15" t="str">
            <v>m3</v>
          </cell>
          <cell r="F15">
            <v>177</v>
          </cell>
          <cell r="G15">
            <v>21.86</v>
          </cell>
        </row>
        <row r="16">
          <cell r="A16" t="str">
            <v>02.230.00</v>
          </cell>
          <cell r="B16" t="str">
            <v>Base brita graduada</v>
          </cell>
          <cell r="C16" t="str">
            <v>DNER-ES303/97</v>
          </cell>
          <cell r="D16" t="str">
            <v xml:space="preserve"> </v>
          </cell>
          <cell r="E16" t="str">
            <v>m3</v>
          </cell>
          <cell r="F16">
            <v>149</v>
          </cell>
          <cell r="G16">
            <v>28.06</v>
          </cell>
        </row>
        <row r="17">
          <cell r="A17" t="str">
            <v>02.300.00</v>
          </cell>
          <cell r="B17" t="str">
            <v>Imprimação - Fornecimento, transporte e execução</v>
          </cell>
          <cell r="C17" t="str">
            <v>DNER-ES306/97</v>
          </cell>
          <cell r="D17" t="str">
            <v xml:space="preserve"> </v>
          </cell>
          <cell r="E17" t="str">
            <v>m2</v>
          </cell>
          <cell r="F17">
            <v>993</v>
          </cell>
          <cell r="G17">
            <v>1.1100000000000001</v>
          </cell>
        </row>
        <row r="18">
          <cell r="A18" t="str">
            <v>02.400.00</v>
          </cell>
          <cell r="B18" t="str">
            <v>Pintura de ligação - Fornec., transporte e execução</v>
          </cell>
          <cell r="C18" t="str">
            <v>DNER-ES307/97</v>
          </cell>
          <cell r="D18" t="str">
            <v xml:space="preserve"> </v>
          </cell>
          <cell r="E18" t="str">
            <v>m2</v>
          </cell>
          <cell r="F18">
            <v>1784</v>
          </cell>
          <cell r="G18">
            <v>0.41</v>
          </cell>
        </row>
        <row r="19">
          <cell r="A19" t="str">
            <v>02.540.01</v>
          </cell>
          <cell r="B19" t="str">
            <v>Concreto betuminoso usinado a quente - usina 100/140 t/h</v>
          </cell>
          <cell r="C19" t="str">
            <v>DNER-ES313/97</v>
          </cell>
          <cell r="D19" t="str">
            <v xml:space="preserve"> </v>
          </cell>
          <cell r="E19" t="str">
            <v>t</v>
          </cell>
          <cell r="F19">
            <v>198</v>
          </cell>
          <cell r="G19">
            <v>67.64</v>
          </cell>
        </row>
        <row r="20">
          <cell r="F20" t="str">
            <v>SUB-TOTAL</v>
          </cell>
        </row>
        <row r="22">
          <cell r="B22" t="str">
            <v>DRENAGEM</v>
          </cell>
        </row>
        <row r="23">
          <cell r="A23" t="str">
            <v>04.000.00</v>
          </cell>
          <cell r="B23" t="str">
            <v>Escavação manual em material de 1a categoria</v>
          </cell>
          <cell r="C23" t="str">
            <v xml:space="preserve"> </v>
          </cell>
          <cell r="D23" t="str">
            <v xml:space="preserve"> </v>
          </cell>
          <cell r="E23" t="str">
            <v>m3</v>
          </cell>
          <cell r="F23">
            <v>10</v>
          </cell>
          <cell r="G23">
            <v>17.57</v>
          </cell>
        </row>
        <row r="24">
          <cell r="A24" t="str">
            <v>04.001.00</v>
          </cell>
          <cell r="B24" t="str">
            <v>Escavação mecânica em material de 1a categoria</v>
          </cell>
          <cell r="C24" t="str">
            <v xml:space="preserve"> </v>
          </cell>
          <cell r="D24" t="str">
            <v xml:space="preserve"> </v>
          </cell>
          <cell r="E24" t="str">
            <v>m3</v>
          </cell>
          <cell r="F24">
            <v>20</v>
          </cell>
          <cell r="G24">
            <v>2.09</v>
          </cell>
        </row>
        <row r="25">
          <cell r="A25" t="str">
            <v>04.001.01</v>
          </cell>
          <cell r="B25" t="str">
            <v>Escavação mecânica,reaterro e compactação (material de 1a categoria)</v>
          </cell>
          <cell r="C25" t="str">
            <v xml:space="preserve"> </v>
          </cell>
          <cell r="D25" t="str">
            <v xml:space="preserve"> </v>
          </cell>
          <cell r="E25" t="str">
            <v>m3</v>
          </cell>
          <cell r="F25">
            <v>107</v>
          </cell>
          <cell r="G25">
            <v>3.03</v>
          </cell>
        </row>
        <row r="26">
          <cell r="A26" t="str">
            <v>04.401.02</v>
          </cell>
          <cell r="B26" t="str">
            <v>Valeta de prot. de aterro c/ revest. vegetal VPA 02</v>
          </cell>
          <cell r="C26" t="str">
            <v xml:space="preserve"> </v>
          </cell>
          <cell r="D26" t="str">
            <v xml:space="preserve"> </v>
          </cell>
          <cell r="E26" t="str">
            <v>m</v>
          </cell>
          <cell r="F26">
            <v>165</v>
          </cell>
          <cell r="G26">
            <v>24.32</v>
          </cell>
        </row>
        <row r="27">
          <cell r="A27" t="str">
            <v>04.900.21</v>
          </cell>
          <cell r="B27" t="str">
            <v>Sarjeta de cant. central de concreto-SCC 01</v>
          </cell>
          <cell r="C27" t="str">
            <v>DNER-ES288/97</v>
          </cell>
          <cell r="D27" t="str">
            <v xml:space="preserve"> </v>
          </cell>
          <cell r="E27" t="str">
            <v>m</v>
          </cell>
          <cell r="F27">
            <v>132</v>
          </cell>
          <cell r="G27">
            <v>13.85</v>
          </cell>
        </row>
        <row r="28">
          <cell r="A28" t="str">
            <v>04.910.05</v>
          </cell>
          <cell r="B28" t="str">
            <v>Meio-fio de concreto-MFC 05</v>
          </cell>
          <cell r="C28" t="str">
            <v>DNER-ES290/97</v>
          </cell>
          <cell r="D28" t="str">
            <v xml:space="preserve"> </v>
          </cell>
          <cell r="E28" t="str">
            <v>m</v>
          </cell>
          <cell r="F28">
            <v>35</v>
          </cell>
          <cell r="G28">
            <v>10.54</v>
          </cell>
        </row>
        <row r="29">
          <cell r="A29" t="str">
            <v>DER78150a</v>
          </cell>
          <cell r="B29" t="str">
            <v>Caixa coletora de sarjeta - CCS, D=60cm E H=1,5m</v>
          </cell>
          <cell r="C29" t="str">
            <v xml:space="preserve"> </v>
          </cell>
          <cell r="D29" t="str">
            <v xml:space="preserve"> </v>
          </cell>
          <cell r="E29" t="str">
            <v>un</v>
          </cell>
          <cell r="F29">
            <v>1</v>
          </cell>
          <cell r="G29">
            <v>500.45</v>
          </cell>
        </row>
        <row r="30">
          <cell r="A30" t="str">
            <v>P 04.100.08</v>
          </cell>
          <cell r="B30" t="str">
            <v>Execução de galerias D=0,40 c/ lastro de concreto</v>
          </cell>
          <cell r="C30" t="str">
            <v xml:space="preserve"> </v>
          </cell>
          <cell r="D30" t="str">
            <v xml:space="preserve"> </v>
          </cell>
          <cell r="E30" t="str">
            <v>m</v>
          </cell>
          <cell r="F30">
            <v>13</v>
          </cell>
          <cell r="G30">
            <v>58.65</v>
          </cell>
        </row>
        <row r="31">
          <cell r="A31" t="str">
            <v>P 04.100.10</v>
          </cell>
          <cell r="B31" t="str">
            <v>Execução de galerias D=0,60 c/ lastro de concreto</v>
          </cell>
          <cell r="C31" t="str">
            <v xml:space="preserve"> </v>
          </cell>
          <cell r="D31" t="str">
            <v xml:space="preserve"> </v>
          </cell>
          <cell r="E31" t="str">
            <v>m</v>
          </cell>
          <cell r="F31">
            <v>17</v>
          </cell>
          <cell r="G31">
            <v>131.66</v>
          </cell>
        </row>
        <row r="32">
          <cell r="A32" t="str">
            <v>DER72350b</v>
          </cell>
          <cell r="B32" t="str">
            <v>Boca para BSTC D=40cm - Normal</v>
          </cell>
          <cell r="C32" t="str">
            <v xml:space="preserve"> </v>
          </cell>
          <cell r="D32" t="str">
            <v xml:space="preserve"> </v>
          </cell>
          <cell r="E32" t="str">
            <v>un</v>
          </cell>
          <cell r="F32">
            <v>1</v>
          </cell>
          <cell r="G32">
            <v>147.57</v>
          </cell>
        </row>
        <row r="33">
          <cell r="A33" t="str">
            <v>04.101.01</v>
          </cell>
          <cell r="B33" t="str">
            <v>Boca de BSTC D=0.60m-normal</v>
          </cell>
          <cell r="C33" t="str">
            <v>DNER-ES284/97</v>
          </cell>
          <cell r="D33" t="str">
            <v xml:space="preserve"> </v>
          </cell>
          <cell r="E33" t="str">
            <v>un</v>
          </cell>
          <cell r="F33">
            <v>1</v>
          </cell>
          <cell r="G33">
            <v>299.62</v>
          </cell>
        </row>
      </sheetData>
      <sheetData sheetId="23">
        <row r="16">
          <cell r="A16" t="str">
            <v>03.010.01</v>
          </cell>
          <cell r="B16" t="str">
            <v>Escavação em cavas de fundação com esgotamento</v>
          </cell>
          <cell r="C16" t="str">
            <v xml:space="preserve"> </v>
          </cell>
          <cell r="D16" t="str">
            <v xml:space="preserve"> </v>
          </cell>
          <cell r="E16" t="str">
            <v>m3</v>
          </cell>
          <cell r="F16">
            <v>62</v>
          </cell>
          <cell r="G16">
            <v>22.39</v>
          </cell>
        </row>
        <row r="17">
          <cell r="A17" t="str">
            <v>03.371.01</v>
          </cell>
          <cell r="B17" t="str">
            <v>Formas de placa compensada resinada</v>
          </cell>
          <cell r="C17" t="str">
            <v xml:space="preserve"> </v>
          </cell>
          <cell r="D17" t="str">
            <v xml:space="preserve"> </v>
          </cell>
          <cell r="E17" t="str">
            <v>m2</v>
          </cell>
          <cell r="F17">
            <v>57</v>
          </cell>
          <cell r="G17">
            <v>21.86</v>
          </cell>
        </row>
        <row r="18">
          <cell r="A18" t="str">
            <v>03.371.02</v>
          </cell>
          <cell r="B18" t="str">
            <v>Formas de placa compensada plastificada</v>
          </cell>
          <cell r="C18" t="str">
            <v xml:space="preserve"> </v>
          </cell>
          <cell r="D18" t="str">
            <v xml:space="preserve"> </v>
          </cell>
          <cell r="E18" t="str">
            <v>m2</v>
          </cell>
          <cell r="F18">
            <v>194</v>
          </cell>
          <cell r="G18">
            <v>30.76</v>
          </cell>
        </row>
        <row r="19">
          <cell r="A19" t="str">
            <v>03.353.00</v>
          </cell>
          <cell r="B19" t="str">
            <v>Forn., preparo e colocação nas formas, de aço CA-50</v>
          </cell>
          <cell r="C19" t="str">
            <v xml:space="preserve"> </v>
          </cell>
          <cell r="D19" t="str">
            <v xml:space="preserve"> </v>
          </cell>
          <cell r="E19" t="str">
            <v>kg</v>
          </cell>
          <cell r="F19">
            <v>2950</v>
          </cell>
          <cell r="G19">
            <v>2.59</v>
          </cell>
        </row>
        <row r="20">
          <cell r="A20" t="str">
            <v>03.326.00</v>
          </cell>
          <cell r="B20" t="str">
            <v xml:space="preserve">Concreto fck= 20 MPa-contr. raz. uso ger. </v>
          </cell>
          <cell r="C20" t="str">
            <v xml:space="preserve"> </v>
          </cell>
          <cell r="D20" t="str">
            <v xml:space="preserve"> </v>
          </cell>
          <cell r="E20" t="str">
            <v>m3</v>
          </cell>
          <cell r="F20">
            <v>39</v>
          </cell>
          <cell r="G20">
            <v>149.19999999999999</v>
          </cell>
        </row>
        <row r="21">
          <cell r="A21" t="str">
            <v>OAE5a</v>
          </cell>
          <cell r="B21" t="str">
            <v>Estaca metálica - tipo CS 250 X 52 - Fornecimento e cravação</v>
          </cell>
          <cell r="C21" t="str">
            <v xml:space="preserve"> </v>
          </cell>
          <cell r="D21" t="str">
            <v xml:space="preserve"> </v>
          </cell>
          <cell r="E21" t="str">
            <v>m</v>
          </cell>
          <cell r="F21">
            <v>64</v>
          </cell>
          <cell r="G21">
            <v>97.23</v>
          </cell>
        </row>
        <row r="22">
          <cell r="A22" t="str">
            <v>OAE5b</v>
          </cell>
          <cell r="B22" t="str">
            <v>Estaca metálica - tipo CS 300 x 77 - Fornecimento e cravação</v>
          </cell>
          <cell r="C22" t="str">
            <v xml:space="preserve"> </v>
          </cell>
          <cell r="D22" t="str">
            <v xml:space="preserve"> </v>
          </cell>
          <cell r="E22" t="str">
            <v>m</v>
          </cell>
          <cell r="F22">
            <v>192</v>
          </cell>
          <cell r="G22">
            <v>122.7</v>
          </cell>
        </row>
        <row r="23">
          <cell r="A23" t="str">
            <v>OAE5c</v>
          </cell>
          <cell r="B23" t="str">
            <v>Estaca metálica - tipo CS 300 x 116 - Fornecimento e cravação</v>
          </cell>
          <cell r="C23" t="str">
            <v xml:space="preserve"> </v>
          </cell>
          <cell r="D23" t="str">
            <v xml:space="preserve"> </v>
          </cell>
          <cell r="E23" t="str">
            <v>m</v>
          </cell>
          <cell r="F23">
            <v>64</v>
          </cell>
          <cell r="G23">
            <v>162.41999999999999</v>
          </cell>
        </row>
        <row r="24">
          <cell r="B24" t="str">
            <v>Superestrutura</v>
          </cell>
        </row>
        <row r="25">
          <cell r="A25" t="str">
            <v>03.371.02</v>
          </cell>
          <cell r="B25" t="str">
            <v>Formas de placa compensada plastificada</v>
          </cell>
          <cell r="C25" t="str">
            <v xml:space="preserve"> </v>
          </cell>
          <cell r="D25" t="str">
            <v xml:space="preserve"> </v>
          </cell>
          <cell r="E25" t="str">
            <v>m2</v>
          </cell>
          <cell r="F25">
            <v>2100</v>
          </cell>
          <cell r="G25">
            <v>30.76</v>
          </cell>
        </row>
        <row r="26">
          <cell r="A26" t="str">
            <v>OAE6</v>
          </cell>
          <cell r="B26" t="str">
            <v>Escoramento metálico comum (cimbramento)</v>
          </cell>
          <cell r="C26" t="str">
            <v xml:space="preserve"> </v>
          </cell>
          <cell r="D26" t="str">
            <v xml:space="preserve"> </v>
          </cell>
          <cell r="E26" t="str">
            <v>m3</v>
          </cell>
          <cell r="F26">
            <v>1630</v>
          </cell>
          <cell r="G26">
            <v>27.58</v>
          </cell>
        </row>
        <row r="27">
          <cell r="A27" t="str">
            <v>03.353.00</v>
          </cell>
          <cell r="B27" t="str">
            <v>Forn., preparo e colocação nas formas, de aço CA-50</v>
          </cell>
          <cell r="C27" t="str">
            <v xml:space="preserve"> </v>
          </cell>
          <cell r="D27" t="str">
            <v xml:space="preserve"> </v>
          </cell>
          <cell r="E27" t="str">
            <v>kg</v>
          </cell>
          <cell r="F27">
            <v>19390</v>
          </cell>
          <cell r="G27">
            <v>2.59</v>
          </cell>
        </row>
        <row r="28">
          <cell r="A28" t="str">
            <v>03.354.00</v>
          </cell>
          <cell r="B28" t="str">
            <v>Forn., preparo e colocação nas formas, de aço CA-60</v>
          </cell>
          <cell r="C28" t="str">
            <v xml:space="preserve"> </v>
          </cell>
          <cell r="D28" t="str">
            <v xml:space="preserve"> </v>
          </cell>
          <cell r="E28" t="str">
            <v>kg</v>
          </cell>
          <cell r="F28">
            <v>2200</v>
          </cell>
          <cell r="G28">
            <v>2.85</v>
          </cell>
        </row>
        <row r="29">
          <cell r="A29" t="str">
            <v>03.359.01</v>
          </cell>
          <cell r="B29" t="str">
            <v>Forn., preparo e colocação nas formas, de aço CA-25</v>
          </cell>
          <cell r="C29" t="str">
            <v xml:space="preserve"> </v>
          </cell>
          <cell r="D29" t="str">
            <v xml:space="preserve"> </v>
          </cell>
          <cell r="E29" t="str">
            <v>kg</v>
          </cell>
          <cell r="F29">
            <v>115</v>
          </cell>
          <cell r="G29">
            <v>2.4300000000000002</v>
          </cell>
        </row>
        <row r="30">
          <cell r="A30" t="str">
            <v>03.330.00</v>
          </cell>
          <cell r="B30" t="str">
            <v>Concreto fck= 35 MPa-contr. raz. uso ger.</v>
          </cell>
          <cell r="C30" t="str">
            <v xml:space="preserve"> </v>
          </cell>
          <cell r="D30" t="str">
            <v xml:space="preserve"> </v>
          </cell>
          <cell r="E30" t="str">
            <v>m3</v>
          </cell>
          <cell r="F30">
            <v>173</v>
          </cell>
          <cell r="G30">
            <v>166.78</v>
          </cell>
        </row>
        <row r="31">
          <cell r="A31" t="str">
            <v>03.326.00</v>
          </cell>
          <cell r="B31" t="str">
            <v xml:space="preserve">Concreto fck= 20 MPa-contr. raz. uso ger. </v>
          </cell>
          <cell r="C31" t="str">
            <v xml:space="preserve"> </v>
          </cell>
          <cell r="D31" t="str">
            <v xml:space="preserve"> </v>
          </cell>
          <cell r="E31" t="str">
            <v>m3</v>
          </cell>
          <cell r="F31">
            <v>32</v>
          </cell>
          <cell r="G31">
            <v>149.19999999999999</v>
          </cell>
        </row>
        <row r="32">
          <cell r="B32" t="str">
            <v>Diversos</v>
          </cell>
        </row>
        <row r="33">
          <cell r="A33" t="str">
            <v>03.510.00</v>
          </cell>
          <cell r="B33" t="str">
            <v>Aparelho de apoio em neoprene</v>
          </cell>
          <cell r="C33" t="str">
            <v xml:space="preserve"> </v>
          </cell>
          <cell r="D33" t="str">
            <v xml:space="preserve"> </v>
          </cell>
          <cell r="E33" t="str">
            <v>kg</v>
          </cell>
          <cell r="F33">
            <v>47</v>
          </cell>
          <cell r="G33">
            <v>86.94</v>
          </cell>
        </row>
        <row r="34">
          <cell r="A34" t="str">
            <v>P 03.991.01b</v>
          </cell>
          <cell r="B34" t="str">
            <v>Dreno de FF D= 50 mm x 500mm</v>
          </cell>
          <cell r="C34" t="str">
            <v xml:space="preserve"> </v>
          </cell>
          <cell r="D34" t="str">
            <v xml:space="preserve"> </v>
          </cell>
          <cell r="E34" t="str">
            <v>un</v>
          </cell>
          <cell r="F34">
            <v>36</v>
          </cell>
          <cell r="G34">
            <v>6.63</v>
          </cell>
        </row>
        <row r="35">
          <cell r="F35" t="str">
            <v>SUB-TOTAL OAE</v>
          </cell>
        </row>
        <row r="36">
          <cell r="B36" t="str">
            <v>OBRAS COMPLEMENTARES</v>
          </cell>
        </row>
        <row r="37">
          <cell r="B37" t="str">
            <v>Iluminação das passarelas</v>
          </cell>
        </row>
        <row r="38">
          <cell r="A38" t="str">
            <v>PI 02a</v>
          </cell>
          <cell r="B38" t="str">
            <v>Poste de aço galvanizado a fogo, c/ 5,0m de alt. p/instal.na lat. das passarelas</v>
          </cell>
          <cell r="C38" t="str">
            <v xml:space="preserve"> </v>
          </cell>
          <cell r="D38" t="str">
            <v xml:space="preserve"> </v>
          </cell>
          <cell r="E38" t="str">
            <v>un</v>
          </cell>
          <cell r="F38">
            <v>4</v>
          </cell>
          <cell r="G38">
            <v>300</v>
          </cell>
        </row>
        <row r="39">
          <cell r="A39" t="str">
            <v>PI 03</v>
          </cell>
          <cell r="B39" t="str">
            <v xml:space="preserve">Luminária p/ iluminação pública ref.HRC-612 da Philips ou similar </v>
          </cell>
          <cell r="C39" t="str">
            <v xml:space="preserve"> </v>
          </cell>
          <cell r="D39" t="str">
            <v xml:space="preserve"> </v>
          </cell>
          <cell r="E39" t="str">
            <v>un</v>
          </cell>
          <cell r="F39">
            <v>4</v>
          </cell>
          <cell r="G39">
            <v>400</v>
          </cell>
        </row>
        <row r="40">
          <cell r="A40" t="str">
            <v>PI 08</v>
          </cell>
          <cell r="B40" t="str">
            <v>Suporte p/ luminária tipo ZGP401 da Philips ou similar</v>
          </cell>
          <cell r="C40" t="str">
            <v xml:space="preserve"> </v>
          </cell>
          <cell r="D40" t="str">
            <v xml:space="preserve"> </v>
          </cell>
          <cell r="E40" t="str">
            <v>un</v>
          </cell>
          <cell r="F40">
            <v>4</v>
          </cell>
          <cell r="G40">
            <v>81.650000000000006</v>
          </cell>
        </row>
        <row r="41">
          <cell r="A41" t="str">
            <v>PI 10</v>
          </cell>
          <cell r="B41" t="str">
            <v>Lâmpada a vapor de mercúrio 250W, alta pressão, base E40</v>
          </cell>
          <cell r="C41" t="str">
            <v xml:space="preserve"> </v>
          </cell>
          <cell r="D41" t="str">
            <v xml:space="preserve"> </v>
          </cell>
          <cell r="E41" t="str">
            <v>un</v>
          </cell>
          <cell r="F41">
            <v>4</v>
          </cell>
          <cell r="G41">
            <v>28.75</v>
          </cell>
        </row>
        <row r="42">
          <cell r="A42" t="str">
            <v>PI 71</v>
          </cell>
          <cell r="B42" t="str">
            <v>Cabo isolado p/ 1000V, de alumínio, singelo, cor preto, bitola 25 mm² (XLPE) est.</v>
          </cell>
          <cell r="C42" t="str">
            <v xml:space="preserve"> </v>
          </cell>
          <cell r="D42" t="str">
            <v xml:space="preserve"> </v>
          </cell>
          <cell r="E42" t="str">
            <v>m</v>
          </cell>
          <cell r="F42">
            <v>100</v>
          </cell>
          <cell r="G42">
            <v>4.62</v>
          </cell>
        </row>
        <row r="43">
          <cell r="A43" t="str">
            <v>PI 67</v>
          </cell>
          <cell r="B43" t="str">
            <v>Cabo isolado p/ 1000 V, 2,5 mm2 de alumínio</v>
          </cell>
          <cell r="C43" t="str">
            <v xml:space="preserve"> </v>
          </cell>
          <cell r="D43" t="str">
            <v xml:space="preserve"> </v>
          </cell>
          <cell r="E43" t="str">
            <v>m</v>
          </cell>
          <cell r="F43">
            <v>40</v>
          </cell>
          <cell r="G43">
            <v>0.6</v>
          </cell>
        </row>
        <row r="44">
          <cell r="A44" t="str">
            <v>PI 72</v>
          </cell>
          <cell r="B44" t="str">
            <v>Eletroduto de aço 1.1/4" (vara de 3m), na passarela, conforme projeto</v>
          </cell>
          <cell r="C44">
            <v>0</v>
          </cell>
          <cell r="D44">
            <v>0</v>
          </cell>
          <cell r="E44" t="str">
            <v>m</v>
          </cell>
          <cell r="F44">
            <v>50</v>
          </cell>
          <cell r="G44">
            <v>18</v>
          </cell>
        </row>
        <row r="45">
          <cell r="A45" t="str">
            <v>PI 30</v>
          </cell>
          <cell r="B45" t="str">
            <v>Haste para aterramento aço-cobre D 13x2400mm</v>
          </cell>
          <cell r="C45" t="str">
            <v xml:space="preserve"> </v>
          </cell>
          <cell r="D45" t="str">
            <v xml:space="preserve"> </v>
          </cell>
          <cell r="E45" t="str">
            <v>un</v>
          </cell>
          <cell r="F45">
            <v>1</v>
          </cell>
          <cell r="G45">
            <v>6.04</v>
          </cell>
        </row>
        <row r="46">
          <cell r="A46" t="str">
            <v>PI 31</v>
          </cell>
          <cell r="B46" t="str">
            <v>Cabo de cobre nú meio duro, 7 fios 2AWG</v>
          </cell>
          <cell r="C46" t="str">
            <v xml:space="preserve"> </v>
          </cell>
          <cell r="D46" t="str">
            <v xml:space="preserve"> </v>
          </cell>
          <cell r="E46" t="str">
            <v>kg</v>
          </cell>
          <cell r="F46">
            <v>4</v>
          </cell>
          <cell r="G46">
            <v>7.02</v>
          </cell>
        </row>
        <row r="47">
          <cell r="A47" t="str">
            <v>PI 39</v>
          </cell>
          <cell r="B47" t="str">
            <v>Fixação de haste de terra e conexão ao neutro</v>
          </cell>
          <cell r="C47" t="str">
            <v xml:space="preserve"> </v>
          </cell>
          <cell r="D47" t="str">
            <v xml:space="preserve"> </v>
          </cell>
          <cell r="E47" t="str">
            <v>un</v>
          </cell>
          <cell r="F47">
            <v>4</v>
          </cell>
          <cell r="G47">
            <v>35</v>
          </cell>
        </row>
        <row r="48">
          <cell r="A48" t="str">
            <v>PI 37</v>
          </cell>
          <cell r="B48" t="str">
            <v>Lançamento de cabos em dutos de aço, classe 1000V, circuito trifásico mais neutro, e monofásico</v>
          </cell>
          <cell r="C48" t="str">
            <v xml:space="preserve"> </v>
          </cell>
          <cell r="D48" t="str">
            <v xml:space="preserve"> </v>
          </cell>
          <cell r="E48" t="str">
            <v>m</v>
          </cell>
          <cell r="F48">
            <v>100</v>
          </cell>
          <cell r="G48">
            <v>4</v>
          </cell>
        </row>
        <row r="49">
          <cell r="A49" t="str">
            <v>PI 73</v>
          </cell>
          <cell r="B49" t="str">
            <v>Reator de alto fator externo c/ignitor p/ lâmpada a vapor de mercúrio,  da Entral ou similar</v>
          </cell>
          <cell r="C49">
            <v>0</v>
          </cell>
          <cell r="D49">
            <v>0</v>
          </cell>
          <cell r="E49" t="str">
            <v>un</v>
          </cell>
          <cell r="F49">
            <v>4</v>
          </cell>
          <cell r="G49">
            <v>37</v>
          </cell>
        </row>
        <row r="50">
          <cell r="A50" t="str">
            <v>PI 74</v>
          </cell>
          <cell r="B50" t="str">
            <v>Chave de iluminação pública</v>
          </cell>
          <cell r="C50">
            <v>0</v>
          </cell>
          <cell r="D50">
            <v>0</v>
          </cell>
          <cell r="E50" t="str">
            <v>un</v>
          </cell>
          <cell r="F50">
            <v>1</v>
          </cell>
          <cell r="G50">
            <v>95</v>
          </cell>
        </row>
        <row r="51">
          <cell r="A51" t="str">
            <v>PI 75</v>
          </cell>
          <cell r="B51" t="str">
            <v>Montagem eletromecânica de luminária 5m de altura, c/fixação dos equipam.e conexões elét.</v>
          </cell>
          <cell r="C51">
            <v>0</v>
          </cell>
          <cell r="D51">
            <v>0</v>
          </cell>
          <cell r="E51" t="str">
            <v>un</v>
          </cell>
          <cell r="F51">
            <v>4</v>
          </cell>
          <cell r="G51">
            <v>67.08</v>
          </cell>
        </row>
        <row r="52">
          <cell r="A52" t="str">
            <v>PI 22</v>
          </cell>
          <cell r="B52" t="str">
            <v>Base completa com fusível Diazed, 6A, retardado, incluíndo tampa, anel de proteção e ajuste</v>
          </cell>
          <cell r="C52" t="str">
            <v xml:space="preserve"> </v>
          </cell>
          <cell r="D52" t="str">
            <v xml:space="preserve"> </v>
          </cell>
          <cell r="E52" t="str">
            <v>un</v>
          </cell>
          <cell r="F52">
            <v>4</v>
          </cell>
          <cell r="G52">
            <v>8.6300000000000008</v>
          </cell>
        </row>
        <row r="53">
          <cell r="A53" t="str">
            <v>PI 26</v>
          </cell>
          <cell r="B53" t="str">
            <v>Relé fotoelétrico c/ suporte para fixação galv. com furo 18mm</v>
          </cell>
          <cell r="C53" t="str">
            <v xml:space="preserve"> </v>
          </cell>
          <cell r="D53" t="str">
            <v xml:space="preserve"> </v>
          </cell>
          <cell r="E53" t="str">
            <v>un</v>
          </cell>
          <cell r="F53">
            <v>1</v>
          </cell>
          <cell r="G53">
            <v>11.5</v>
          </cell>
        </row>
        <row r="54">
          <cell r="A54" t="str">
            <v>PI 24</v>
          </cell>
          <cell r="B54" t="str">
            <v>Fita elétrica auto fusão a base de borracha EPR</v>
          </cell>
          <cell r="C54" t="str">
            <v xml:space="preserve"> </v>
          </cell>
          <cell r="D54" t="str">
            <v xml:space="preserve"> </v>
          </cell>
          <cell r="E54" t="str">
            <v>un</v>
          </cell>
          <cell r="F54">
            <v>2</v>
          </cell>
          <cell r="G54">
            <v>6.39</v>
          </cell>
        </row>
        <row r="55">
          <cell r="A55" t="str">
            <v>PI 25</v>
          </cell>
          <cell r="B55" t="str">
            <v>Fita adesiva plástica isolante</v>
          </cell>
          <cell r="C55" t="str">
            <v xml:space="preserve"> </v>
          </cell>
          <cell r="D55" t="str">
            <v xml:space="preserve"> </v>
          </cell>
          <cell r="E55" t="str">
            <v>un</v>
          </cell>
          <cell r="F55">
            <v>2</v>
          </cell>
          <cell r="G55">
            <v>3.84</v>
          </cell>
        </row>
        <row r="56">
          <cell r="A56" t="str">
            <v>PI 38</v>
          </cell>
          <cell r="B56" t="str">
            <v>Confecção de emendas retas ou derivação em cabos classe 1000V, c/ conector à compressão</v>
          </cell>
          <cell r="C56" t="str">
            <v xml:space="preserve"> </v>
          </cell>
          <cell r="D56" t="str">
            <v xml:space="preserve"> </v>
          </cell>
          <cell r="E56" t="str">
            <v>un</v>
          </cell>
          <cell r="F56">
            <v>12</v>
          </cell>
          <cell r="G56">
            <v>4.5</v>
          </cell>
        </row>
        <row r="57">
          <cell r="F57" t="str">
            <v>SUB-TOTAL - OBRAS COMPLEMENTARES</v>
          </cell>
        </row>
        <row r="58">
          <cell r="F58" t="str">
            <v>SUB-TOTAL - Passarela do Km 14+000/Km 401+000</v>
          </cell>
        </row>
        <row r="60">
          <cell r="B60" t="str">
            <v>Passarela do Km 15+527/Km 402+527</v>
          </cell>
        </row>
        <row r="61">
          <cell r="B61" t="str">
            <v>OBRAS DE ARTE ESPECIAIS</v>
          </cell>
        </row>
        <row r="62">
          <cell r="B62" t="str">
            <v>Infra e Mesoestrutura</v>
          </cell>
        </row>
        <row r="63">
          <cell r="A63" t="str">
            <v>03.010.01</v>
          </cell>
          <cell r="B63" t="str">
            <v>Escavação em cavas de fundação com esgotamento</v>
          </cell>
          <cell r="C63" t="str">
            <v xml:space="preserve"> </v>
          </cell>
          <cell r="D63" t="str">
            <v xml:space="preserve"> </v>
          </cell>
          <cell r="E63" t="str">
            <v>m3</v>
          </cell>
          <cell r="F63">
            <v>40</v>
          </cell>
          <cell r="G63">
            <v>22.39</v>
          </cell>
        </row>
        <row r="64">
          <cell r="A64" t="str">
            <v>03.371.01</v>
          </cell>
          <cell r="B64" t="str">
            <v>Formas de placa compensada resinada</v>
          </cell>
          <cell r="C64" t="str">
            <v xml:space="preserve"> </v>
          </cell>
          <cell r="D64" t="str">
            <v xml:space="preserve"> </v>
          </cell>
          <cell r="E64" t="str">
            <v>m2</v>
          </cell>
          <cell r="F64">
            <v>36</v>
          </cell>
          <cell r="G64">
            <v>21.86</v>
          </cell>
        </row>
        <row r="65">
          <cell r="A65" t="str">
            <v>03.371.02</v>
          </cell>
          <cell r="B65" t="str">
            <v>Formas de placa compensada plastificada</v>
          </cell>
          <cell r="C65" t="str">
            <v xml:space="preserve"> </v>
          </cell>
          <cell r="D65" t="str">
            <v xml:space="preserve"> </v>
          </cell>
          <cell r="E65" t="str">
            <v>m2</v>
          </cell>
          <cell r="F65">
            <v>94</v>
          </cell>
          <cell r="G65">
            <v>30.76</v>
          </cell>
        </row>
        <row r="66">
          <cell r="A66" t="str">
            <v>03.353.00</v>
          </cell>
          <cell r="B66" t="str">
            <v>Forn., preparo e colocação nas formas, de aço CA-50</v>
          </cell>
          <cell r="C66" t="str">
            <v xml:space="preserve"> </v>
          </cell>
          <cell r="D66" t="str">
            <v xml:space="preserve"> </v>
          </cell>
          <cell r="E66" t="str">
            <v>kg</v>
          </cell>
          <cell r="F66">
            <v>1694</v>
          </cell>
          <cell r="G66">
            <v>2.59</v>
          </cell>
        </row>
        <row r="67">
          <cell r="A67" t="str">
            <v>03.326.00</v>
          </cell>
          <cell r="B67" t="str">
            <v xml:space="preserve">Concreto fck= 20 MPa-contr. raz. uso ger. </v>
          </cell>
          <cell r="C67" t="str">
            <v xml:space="preserve"> </v>
          </cell>
          <cell r="D67" t="str">
            <v xml:space="preserve"> </v>
          </cell>
          <cell r="E67" t="str">
            <v>m3</v>
          </cell>
          <cell r="F67">
            <v>20</v>
          </cell>
          <cell r="G67">
            <v>149.19999999999999</v>
          </cell>
        </row>
        <row r="68">
          <cell r="A68" t="str">
            <v>OAE5a</v>
          </cell>
          <cell r="B68" t="str">
            <v>Estaca metálica - tipo CS 250 X 52 - Fornecimento e cravação</v>
          </cell>
          <cell r="C68" t="str">
            <v xml:space="preserve"> </v>
          </cell>
          <cell r="D68" t="str">
            <v xml:space="preserve"> </v>
          </cell>
          <cell r="E68" t="str">
            <v>m</v>
          </cell>
          <cell r="F68">
            <v>60</v>
          </cell>
          <cell r="G68">
            <v>97.23</v>
          </cell>
        </row>
        <row r="69">
          <cell r="A69" t="str">
            <v>OAE5</v>
          </cell>
          <cell r="B69" t="str">
            <v>Estaca metálica - tipo CS 300 x 130 - Fornecimento e cravação</v>
          </cell>
          <cell r="C69" t="str">
            <v xml:space="preserve"> </v>
          </cell>
          <cell r="D69" t="str">
            <v xml:space="preserve"> </v>
          </cell>
          <cell r="E69" t="str">
            <v>m</v>
          </cell>
          <cell r="F69">
            <v>120</v>
          </cell>
          <cell r="G69">
            <v>176.68</v>
          </cell>
        </row>
        <row r="70">
          <cell r="B70" t="str">
            <v>Superestrutura</v>
          </cell>
        </row>
        <row r="71">
          <cell r="A71" t="str">
            <v>03.371.02</v>
          </cell>
          <cell r="B71" t="str">
            <v>Formas de placa compensada plastificada</v>
          </cell>
          <cell r="C71" t="str">
            <v xml:space="preserve"> </v>
          </cell>
          <cell r="D71" t="str">
            <v xml:space="preserve"> </v>
          </cell>
          <cell r="E71" t="str">
            <v>m2</v>
          </cell>
          <cell r="F71">
            <v>1674</v>
          </cell>
          <cell r="G71">
            <v>30.76</v>
          </cell>
        </row>
        <row r="72">
          <cell r="A72" t="str">
            <v>OAE6</v>
          </cell>
          <cell r="B72" t="str">
            <v>Escoramento metálico comum (cimbramento)</v>
          </cell>
          <cell r="C72" t="str">
            <v xml:space="preserve"> </v>
          </cell>
          <cell r="D72" t="str">
            <v xml:space="preserve"> </v>
          </cell>
          <cell r="E72" t="str">
            <v>m3</v>
          </cell>
          <cell r="F72">
            <v>1160</v>
          </cell>
          <cell r="G72">
            <v>27.58</v>
          </cell>
        </row>
        <row r="73">
          <cell r="A73" t="str">
            <v>03.353.00</v>
          </cell>
          <cell r="B73" t="str">
            <v>Forn., preparo e colocação nas formas, de aço CA-50</v>
          </cell>
          <cell r="C73" t="str">
            <v xml:space="preserve"> </v>
          </cell>
          <cell r="D73" t="str">
            <v xml:space="preserve"> </v>
          </cell>
          <cell r="E73" t="str">
            <v>kg</v>
          </cell>
          <cell r="F73">
            <v>18873</v>
          </cell>
          <cell r="G73">
            <v>2.59</v>
          </cell>
        </row>
        <row r="74">
          <cell r="A74" t="str">
            <v>03.354.00</v>
          </cell>
          <cell r="B74" t="str">
            <v>Forn., preparo e colocação nas formas, de aço CA-60</v>
          </cell>
          <cell r="C74" t="str">
            <v xml:space="preserve"> </v>
          </cell>
          <cell r="D74" t="str">
            <v xml:space="preserve"> </v>
          </cell>
          <cell r="E74" t="str">
            <v>kg</v>
          </cell>
          <cell r="F74">
            <v>1654</v>
          </cell>
          <cell r="G74">
            <v>2.85</v>
          </cell>
        </row>
        <row r="75">
          <cell r="A75" t="str">
            <v>03.359.01</v>
          </cell>
          <cell r="B75" t="str">
            <v>Forn., preparo e colocação nas formas, de aço CA-25</v>
          </cell>
          <cell r="C75" t="str">
            <v xml:space="preserve"> </v>
          </cell>
          <cell r="D75" t="str">
            <v xml:space="preserve"> </v>
          </cell>
          <cell r="E75" t="str">
            <v>kg</v>
          </cell>
          <cell r="F75">
            <v>95</v>
          </cell>
          <cell r="G75">
            <v>2.4300000000000002</v>
          </cell>
        </row>
        <row r="76">
          <cell r="A76" t="str">
            <v>03.330.00</v>
          </cell>
          <cell r="B76" t="str">
            <v>Concreto fck= 35 MPa-contr. raz. uso ger.</v>
          </cell>
          <cell r="C76" t="str">
            <v xml:space="preserve"> </v>
          </cell>
          <cell r="D76" t="str">
            <v xml:space="preserve"> </v>
          </cell>
          <cell r="E76" t="str">
            <v>m3</v>
          </cell>
          <cell r="F76">
            <v>138</v>
          </cell>
          <cell r="G76">
            <v>166.78</v>
          </cell>
        </row>
        <row r="77">
          <cell r="A77" t="str">
            <v>03.326.00</v>
          </cell>
          <cell r="B77" t="str">
            <v xml:space="preserve">Concreto fck= 20 MPa-contr. raz. uso ger. </v>
          </cell>
          <cell r="C77" t="str">
            <v xml:space="preserve"> </v>
          </cell>
          <cell r="D77" t="str">
            <v xml:space="preserve"> </v>
          </cell>
          <cell r="E77" t="str">
            <v>m3</v>
          </cell>
          <cell r="F77">
            <v>25</v>
          </cell>
          <cell r="G77">
            <v>149.19999999999999</v>
          </cell>
        </row>
        <row r="78">
          <cell r="B78" t="str">
            <v>Diversos</v>
          </cell>
        </row>
        <row r="79">
          <cell r="A79" t="str">
            <v>03.510.00</v>
          </cell>
          <cell r="B79" t="str">
            <v>Aparelho de apoio em neoprene</v>
          </cell>
          <cell r="C79" t="str">
            <v xml:space="preserve"> </v>
          </cell>
          <cell r="D79" t="str">
            <v xml:space="preserve"> </v>
          </cell>
          <cell r="E79" t="str">
            <v>kg</v>
          </cell>
          <cell r="F79">
            <v>30</v>
          </cell>
          <cell r="G79">
            <v>86.94</v>
          </cell>
        </row>
        <row r="80">
          <cell r="A80" t="str">
            <v>P 03.991.01b</v>
          </cell>
          <cell r="B80" t="str">
            <v>Dreno de FF D= 50 mm x 500mm</v>
          </cell>
          <cell r="C80" t="str">
            <v xml:space="preserve"> </v>
          </cell>
          <cell r="D80" t="str">
            <v xml:space="preserve"> </v>
          </cell>
          <cell r="E80" t="str">
            <v>un</v>
          </cell>
          <cell r="F80">
            <v>52</v>
          </cell>
          <cell r="G80">
            <v>6.63</v>
          </cell>
        </row>
        <row r="84">
          <cell r="A84" t="str">
            <v>PI 02a</v>
          </cell>
        </row>
        <row r="85">
          <cell r="A85" t="str">
            <v>PI 03</v>
          </cell>
        </row>
        <row r="86">
          <cell r="A86" t="str">
            <v>PI 08</v>
          </cell>
        </row>
        <row r="87">
          <cell r="A87" t="str">
            <v>PI 10</v>
          </cell>
        </row>
        <row r="88">
          <cell r="A88" t="str">
            <v>PI 71</v>
          </cell>
        </row>
        <row r="89">
          <cell r="A89" t="str">
            <v>PI 67</v>
          </cell>
        </row>
        <row r="90">
          <cell r="A90" t="str">
            <v>PI 72</v>
          </cell>
        </row>
        <row r="91">
          <cell r="A91" t="str">
            <v>PI 30</v>
          </cell>
        </row>
        <row r="92">
          <cell r="A92" t="str">
            <v>PI 31</v>
          </cell>
        </row>
        <row r="93">
          <cell r="A93" t="str">
            <v>PI 39</v>
          </cell>
        </row>
        <row r="94">
          <cell r="A94" t="str">
            <v>PI 37</v>
          </cell>
        </row>
        <row r="95">
          <cell r="A95" t="str">
            <v>PI 73</v>
          </cell>
        </row>
        <row r="96">
          <cell r="A96" t="str">
            <v>PI 74</v>
          </cell>
        </row>
        <row r="97">
          <cell r="A97" t="str">
            <v>PI 75</v>
          </cell>
        </row>
        <row r="98">
          <cell r="A98" t="str">
            <v>PI 22</v>
          </cell>
        </row>
        <row r="99">
          <cell r="A99" t="str">
            <v>PI 26</v>
          </cell>
        </row>
        <row r="100">
          <cell r="A100" t="str">
            <v>PI 24</v>
          </cell>
        </row>
        <row r="101">
          <cell r="A101" t="str">
            <v>PI 25</v>
          </cell>
        </row>
        <row r="102">
          <cell r="A102" t="str">
            <v>PI 38</v>
          </cell>
        </row>
      </sheetData>
      <sheetData sheetId="24">
        <row r="14">
          <cell r="A14" t="str">
            <v>01.000.00</v>
          </cell>
          <cell r="B14" t="str">
            <v>Desmatamento,destocamento e limpeza de área com árvore até 0,15m</v>
          </cell>
          <cell r="C14" t="str">
            <v>DNER-ES278/97</v>
          </cell>
          <cell r="D14" t="str">
            <v xml:space="preserve"> </v>
          </cell>
          <cell r="E14" t="str">
            <v>m2</v>
          </cell>
          <cell r="F14">
            <v>348300</v>
          </cell>
          <cell r="G14">
            <v>7.0000000000000007E-2</v>
          </cell>
        </row>
        <row r="15">
          <cell r="A15" t="str">
            <v>01.010.00</v>
          </cell>
          <cell r="B15" t="str">
            <v>Desmatamento e destocamento árvores de 0,15m a 0,30m</v>
          </cell>
          <cell r="C15" t="str">
            <v>DNER-ES278/97</v>
          </cell>
          <cell r="D15" t="str">
            <v xml:space="preserve"> </v>
          </cell>
          <cell r="E15" t="str">
            <v>un</v>
          </cell>
          <cell r="F15">
            <v>3483</v>
          </cell>
          <cell r="G15">
            <v>8.92</v>
          </cell>
        </row>
        <row r="16">
          <cell r="A16" t="str">
            <v>01.011.00</v>
          </cell>
          <cell r="B16" t="str">
            <v>Desmatamento e destocamento árvores superior a 0,30m</v>
          </cell>
          <cell r="C16" t="str">
            <v>DNER-ES278/97</v>
          </cell>
          <cell r="D16" t="str">
            <v xml:space="preserve"> </v>
          </cell>
          <cell r="E16" t="str">
            <v>un</v>
          </cell>
          <cell r="F16">
            <v>1741</v>
          </cell>
          <cell r="G16">
            <v>26.75</v>
          </cell>
        </row>
        <row r="17">
          <cell r="A17" t="str">
            <v>01.100.01</v>
          </cell>
          <cell r="B17" t="str">
            <v>Escavação,carga e transportes de material de 1a  categoria DMT &lt;= 50m</v>
          </cell>
          <cell r="C17" t="str">
            <v>DNER-ES280/97</v>
          </cell>
          <cell r="D17" t="str">
            <v xml:space="preserve"> </v>
          </cell>
          <cell r="E17" t="str">
            <v>m3</v>
          </cell>
          <cell r="F17">
            <v>1000</v>
          </cell>
          <cell r="G17">
            <v>0.62</v>
          </cell>
        </row>
        <row r="18">
          <cell r="A18" t="str">
            <v>01.100.09</v>
          </cell>
          <cell r="B18" t="str">
            <v>Escavação,carga e transportes de material de 1a categoria DMT= 50 a 200m</v>
          </cell>
          <cell r="C18" t="str">
            <v>DNER-ES280/97</v>
          </cell>
          <cell r="D18" t="str">
            <v xml:space="preserve"> </v>
          </cell>
          <cell r="E18" t="str">
            <v>m3</v>
          </cell>
          <cell r="F18">
            <v>1484</v>
          </cell>
          <cell r="G18">
            <v>1.89</v>
          </cell>
        </row>
        <row r="19">
          <cell r="A19" t="str">
            <v>01.100.10</v>
          </cell>
          <cell r="B19" t="str">
            <v>Escavação,carga e transportes de material de 1a categoria DMT= 200 a 400m</v>
          </cell>
          <cell r="C19" t="str">
            <v>DNER-ES280/97</v>
          </cell>
          <cell r="D19" t="str">
            <v xml:space="preserve"> </v>
          </cell>
          <cell r="E19" t="str">
            <v>m3</v>
          </cell>
          <cell r="F19">
            <v>1250</v>
          </cell>
          <cell r="G19">
            <v>1.98</v>
          </cell>
        </row>
        <row r="20">
          <cell r="A20" t="str">
            <v>01.100.11</v>
          </cell>
          <cell r="B20" t="str">
            <v>Escavação,carga e transportes de material de 1a categoria DMT= 400 a 600m</v>
          </cell>
          <cell r="C20" t="str">
            <v>DNER-ES280/97</v>
          </cell>
          <cell r="D20" t="str">
            <v xml:space="preserve"> </v>
          </cell>
          <cell r="E20" t="str">
            <v>m3</v>
          </cell>
          <cell r="F20">
            <v>3925</v>
          </cell>
          <cell r="G20">
            <v>2.12</v>
          </cell>
        </row>
        <row r="21">
          <cell r="A21" t="str">
            <v>01.100.12</v>
          </cell>
          <cell r="B21" t="str">
            <v>Escavação,carga e transportes de material de 1a categoria DMT= 600 a 800m</v>
          </cell>
          <cell r="C21" t="str">
            <v>DNER-ES280/97</v>
          </cell>
          <cell r="D21" t="str">
            <v xml:space="preserve"> </v>
          </cell>
          <cell r="E21" t="str">
            <v>m3</v>
          </cell>
          <cell r="F21">
            <v>1512</v>
          </cell>
          <cell r="G21">
            <v>2.19</v>
          </cell>
        </row>
        <row r="22">
          <cell r="A22" t="str">
            <v>01.100.13</v>
          </cell>
          <cell r="B22" t="str">
            <v>Escavação,carga e transportes de material de 1a categoria DMT= 800 a 1000m</v>
          </cell>
          <cell r="C22" t="str">
            <v>DNER-ES280/97</v>
          </cell>
          <cell r="D22" t="str">
            <v xml:space="preserve"> </v>
          </cell>
          <cell r="E22" t="str">
            <v>m3</v>
          </cell>
          <cell r="F22">
            <v>1019</v>
          </cell>
          <cell r="G22">
            <v>2.36</v>
          </cell>
        </row>
        <row r="23">
          <cell r="A23" t="str">
            <v>01.100.14</v>
          </cell>
          <cell r="B23" t="str">
            <v>Escavação,carga e transportes de material de 1a categoria DMT= 1000 a 1200m</v>
          </cell>
          <cell r="C23" t="str">
            <v>DNER-ES280/97</v>
          </cell>
          <cell r="D23" t="str">
            <v xml:space="preserve"> </v>
          </cell>
          <cell r="E23" t="str">
            <v>m3</v>
          </cell>
          <cell r="F23">
            <v>8380</v>
          </cell>
          <cell r="G23">
            <v>2.4</v>
          </cell>
        </row>
        <row r="24">
          <cell r="A24" t="str">
            <v>01.100.15</v>
          </cell>
          <cell r="B24" t="str">
            <v>Escavação,carga e transportes de material de 1a categoria DMT= 1200 a 1400m</v>
          </cell>
          <cell r="C24" t="str">
            <v>DNER-ES280/97</v>
          </cell>
          <cell r="D24" t="str">
            <v xml:space="preserve"> </v>
          </cell>
          <cell r="E24" t="str">
            <v>m3</v>
          </cell>
          <cell r="F24">
            <v>4445</v>
          </cell>
          <cell r="G24">
            <v>2.62</v>
          </cell>
        </row>
        <row r="25">
          <cell r="A25" t="str">
            <v>01.100.16</v>
          </cell>
          <cell r="B25" t="str">
            <v>Escavação,carga e transportes de material de 1a  categoria DMT 1400 a 1600m</v>
          </cell>
          <cell r="C25" t="str">
            <v>DNER-ES280/97</v>
          </cell>
          <cell r="D25" t="str">
            <v xml:space="preserve"> </v>
          </cell>
          <cell r="E25" t="str">
            <v>m3</v>
          </cell>
          <cell r="F25">
            <v>10739</v>
          </cell>
          <cell r="G25">
            <v>2.73</v>
          </cell>
        </row>
        <row r="26">
          <cell r="A26" t="str">
            <v>01.100.17</v>
          </cell>
          <cell r="B26" t="str">
            <v>Escavação,carga e transportes de material de 1a categoria DMT= 1600 a 1800m</v>
          </cell>
          <cell r="C26" t="str">
            <v>DNER-ES280/97</v>
          </cell>
          <cell r="D26" t="str">
            <v xml:space="preserve"> </v>
          </cell>
          <cell r="E26" t="str">
            <v>m3</v>
          </cell>
          <cell r="F26">
            <v>1768</v>
          </cell>
          <cell r="G26">
            <v>2.84</v>
          </cell>
        </row>
        <row r="27">
          <cell r="A27" t="str">
            <v>01.100.19</v>
          </cell>
          <cell r="B27" t="str">
            <v>Escavação,carga e transportes de material de 1a categoria DMT= 2000 a 3000m</v>
          </cell>
          <cell r="C27" t="str">
            <v>DNER-ES280/97</v>
          </cell>
          <cell r="D27" t="str">
            <v xml:space="preserve"> </v>
          </cell>
          <cell r="E27" t="str">
            <v>m3</v>
          </cell>
          <cell r="F27">
            <v>11011</v>
          </cell>
          <cell r="G27">
            <v>3.26</v>
          </cell>
        </row>
        <row r="28">
          <cell r="A28" t="str">
            <v>DER50255</v>
          </cell>
          <cell r="B28" t="str">
            <v>Esc.  Carga e Transp. de mat. 1a cat. c/ CB 3000&lt;DMT&lt;4000m</v>
          </cell>
          <cell r="C28" t="str">
            <v xml:space="preserve"> </v>
          </cell>
          <cell r="D28" t="str">
            <v xml:space="preserve"> </v>
          </cell>
          <cell r="E28" t="str">
            <v>m3</v>
          </cell>
          <cell r="F28">
            <v>8863</v>
          </cell>
          <cell r="G28">
            <v>3.3</v>
          </cell>
        </row>
        <row r="29">
          <cell r="A29" t="str">
            <v>DER50265</v>
          </cell>
          <cell r="B29" t="str">
            <v>Esc.  Carga e Transp. de mat. 1a cat. c/ CB 4000&lt;DMT&lt;5000m</v>
          </cell>
          <cell r="C29" t="str">
            <v xml:space="preserve"> </v>
          </cell>
          <cell r="D29" t="str">
            <v xml:space="preserve"> </v>
          </cell>
          <cell r="E29" t="str">
            <v>m3</v>
          </cell>
          <cell r="F29">
            <v>5413</v>
          </cell>
          <cell r="G29">
            <v>3.76</v>
          </cell>
        </row>
        <row r="30">
          <cell r="A30" t="str">
            <v>DER50260</v>
          </cell>
          <cell r="B30" t="str">
            <v>Esc.  Carga e Transp. de mat. 1a cat. c/ CB 5000&lt;DMT&lt;6000m</v>
          </cell>
          <cell r="C30" t="str">
            <v xml:space="preserve"> </v>
          </cell>
          <cell r="D30" t="str">
            <v xml:space="preserve"> </v>
          </cell>
          <cell r="E30" t="str">
            <v>m3</v>
          </cell>
          <cell r="F30">
            <v>2698</v>
          </cell>
          <cell r="G30">
            <v>4.29</v>
          </cell>
        </row>
        <row r="31">
          <cell r="A31" t="str">
            <v>DER50270</v>
          </cell>
          <cell r="B31" t="str">
            <v>Esc.  Carga e Transp. de mat. 1a cat. c/ CB 6000&lt;DMT&lt;7000m</v>
          </cell>
          <cell r="C31" t="str">
            <v xml:space="preserve"> </v>
          </cell>
          <cell r="D31" t="str">
            <v xml:space="preserve"> </v>
          </cell>
          <cell r="E31" t="str">
            <v>m3</v>
          </cell>
          <cell r="F31">
            <v>2091</v>
          </cell>
          <cell r="G31">
            <v>4.79</v>
          </cell>
        </row>
        <row r="32">
          <cell r="A32" t="str">
            <v>DER50280</v>
          </cell>
          <cell r="B32" t="str">
            <v>Esc.  Carga e Transp. de mat. 1a cat. c/ CB 7000&lt;DMT&lt;8000m</v>
          </cell>
          <cell r="C32" t="str">
            <v xml:space="preserve"> </v>
          </cell>
          <cell r="D32" t="str">
            <v xml:space="preserve"> </v>
          </cell>
          <cell r="E32" t="str">
            <v>m3</v>
          </cell>
          <cell r="F32">
            <v>13314</v>
          </cell>
          <cell r="G32">
            <v>5.27</v>
          </cell>
        </row>
        <row r="33">
          <cell r="A33" t="str">
            <v>DER50300</v>
          </cell>
          <cell r="B33" t="str">
            <v>Esc.  Carga e Transp. de mat. 1a cat. c/ CB 9000&lt;DMT&lt;10000m</v>
          </cell>
          <cell r="C33" t="str">
            <v xml:space="preserve"> </v>
          </cell>
          <cell r="D33" t="str">
            <v xml:space="preserve"> </v>
          </cell>
          <cell r="E33" t="str">
            <v>m3</v>
          </cell>
          <cell r="F33">
            <v>10102</v>
          </cell>
          <cell r="G33">
            <v>6.3</v>
          </cell>
        </row>
        <row r="34">
          <cell r="A34" t="str">
            <v>DER50305</v>
          </cell>
          <cell r="B34" t="str">
            <v>Esc.  Carga e Transp. de mat. 1a cat. c/ CB 10000&lt;DMT&lt;12000m</v>
          </cell>
          <cell r="C34" t="str">
            <v xml:space="preserve"> </v>
          </cell>
          <cell r="D34" t="str">
            <v xml:space="preserve"> </v>
          </cell>
          <cell r="E34" t="str">
            <v>m3</v>
          </cell>
          <cell r="F34">
            <v>14258</v>
          </cell>
          <cell r="G34">
            <v>7.05</v>
          </cell>
        </row>
        <row r="35">
          <cell r="A35" t="str">
            <v>01.101.11</v>
          </cell>
          <cell r="B35" t="str">
            <v>Escavação,carga e transportes de material de 2a categoria,c/CB,  DMT 400 a 600m</v>
          </cell>
          <cell r="C35" t="str">
            <v>DNER-ES280/97</v>
          </cell>
          <cell r="D35" t="str">
            <v xml:space="preserve"> </v>
          </cell>
          <cell r="E35" t="str">
            <v>m3</v>
          </cell>
          <cell r="F35">
            <v>1631</v>
          </cell>
          <cell r="G35">
            <v>3.15</v>
          </cell>
        </row>
        <row r="36">
          <cell r="A36" t="str">
            <v>01.101.12</v>
          </cell>
          <cell r="B36" t="str">
            <v>Escavação,carga e transportes de material de 2a categoria,c/CB,  DMT 600 a 800m</v>
          </cell>
          <cell r="C36" t="str">
            <v>DNER-ES280/97</v>
          </cell>
          <cell r="D36" t="str">
            <v xml:space="preserve"> </v>
          </cell>
          <cell r="E36" t="str">
            <v>m3</v>
          </cell>
          <cell r="F36">
            <v>3757</v>
          </cell>
          <cell r="G36">
            <v>3.23</v>
          </cell>
        </row>
        <row r="37">
          <cell r="A37" t="str">
            <v>01.101.14</v>
          </cell>
          <cell r="B37" t="str">
            <v>Escavação,carga e transportes de material de 2a categoria,c/CB,  DMT 1000 a 1200m</v>
          </cell>
          <cell r="C37" t="str">
            <v>DNER-ES280/97</v>
          </cell>
          <cell r="D37" t="str">
            <v xml:space="preserve"> </v>
          </cell>
          <cell r="E37" t="str">
            <v>m3</v>
          </cell>
          <cell r="F37">
            <v>1333</v>
          </cell>
          <cell r="G37">
            <v>3.49</v>
          </cell>
        </row>
        <row r="38">
          <cell r="A38" t="str">
            <v>01.101.15</v>
          </cell>
          <cell r="B38" t="str">
            <v>Escavação,carga e transportes de material de 2a categoria,c/CB,  DMT 1200 a 1400m</v>
          </cell>
          <cell r="C38" t="str">
            <v>DNER-ES280/97</v>
          </cell>
          <cell r="D38" t="str">
            <v xml:space="preserve"> </v>
          </cell>
          <cell r="E38" t="str">
            <v>m3</v>
          </cell>
          <cell r="F38">
            <v>1404</v>
          </cell>
          <cell r="G38">
            <v>3.73</v>
          </cell>
        </row>
        <row r="39">
          <cell r="A39" t="str">
            <v>01.101.16</v>
          </cell>
          <cell r="B39" t="str">
            <v>Escavação,carga e transportes de material de 2a categoria,c/CB,  DMT 1400 a 1600m</v>
          </cell>
          <cell r="C39" t="str">
            <v>DNER-ES280/97</v>
          </cell>
          <cell r="D39" t="str">
            <v xml:space="preserve"> </v>
          </cell>
          <cell r="E39" t="str">
            <v>m3</v>
          </cell>
          <cell r="F39">
            <v>2888</v>
          </cell>
          <cell r="G39">
            <v>3.87</v>
          </cell>
        </row>
        <row r="40">
          <cell r="A40" t="str">
            <v>01.101.19</v>
          </cell>
          <cell r="B40" t="str">
            <v>Escavação,carga e transportes de material de 2a categoria,c/CB,  DMT 2000 a 3000m</v>
          </cell>
          <cell r="C40" t="str">
            <v>DNER-ES280/97</v>
          </cell>
          <cell r="D40" t="str">
            <v xml:space="preserve"> </v>
          </cell>
          <cell r="E40" t="str">
            <v>m3</v>
          </cell>
          <cell r="F40">
            <v>6541</v>
          </cell>
          <cell r="G40">
            <v>4.51</v>
          </cell>
        </row>
        <row r="41">
          <cell r="A41" t="str">
            <v>DER51225</v>
          </cell>
          <cell r="B41" t="str">
            <v>Escavação,carga e transportes de material de 2a categoria DMT 3000 a 4000m</v>
          </cell>
          <cell r="C41" t="str">
            <v xml:space="preserve"> </v>
          </cell>
          <cell r="D41" t="str">
            <v xml:space="preserve"> </v>
          </cell>
          <cell r="E41" t="str">
            <v>m3</v>
          </cell>
          <cell r="F41">
            <v>2216</v>
          </cell>
          <cell r="G41">
            <v>4.5599999999999996</v>
          </cell>
        </row>
        <row r="42">
          <cell r="A42" t="str">
            <v>DER51235</v>
          </cell>
          <cell r="B42" t="str">
            <v>Escavação,carga e transportes de material de 2a categoria DMT 4000 a 5000m</v>
          </cell>
          <cell r="C42" t="str">
            <v xml:space="preserve"> </v>
          </cell>
          <cell r="D42" t="str">
            <v xml:space="preserve"> </v>
          </cell>
          <cell r="E42" t="str">
            <v>m3</v>
          </cell>
          <cell r="F42">
            <v>1163</v>
          </cell>
          <cell r="G42">
            <v>5.15</v>
          </cell>
        </row>
        <row r="43">
          <cell r="A43" t="str">
            <v>DER51270</v>
          </cell>
          <cell r="B43" t="str">
            <v>Escavação,carga e transportes de material de 2a categoria DMT 7000 a 8000m</v>
          </cell>
          <cell r="C43" t="str">
            <v xml:space="preserve"> </v>
          </cell>
          <cell r="D43" t="str">
            <v xml:space="preserve"> </v>
          </cell>
          <cell r="E43" t="str">
            <v>m3</v>
          </cell>
          <cell r="F43">
            <v>1969</v>
          </cell>
          <cell r="G43">
            <v>6.93</v>
          </cell>
        </row>
        <row r="44">
          <cell r="A44" t="str">
            <v>DER51330</v>
          </cell>
          <cell r="B44" t="str">
            <v>Escavação,carga e transportes de material de 2a categoria DMT 16000 a 18000m</v>
          </cell>
          <cell r="C44" t="str">
            <v xml:space="preserve"> </v>
          </cell>
          <cell r="D44" t="str">
            <v xml:space="preserve"> </v>
          </cell>
          <cell r="E44" t="str">
            <v>m3</v>
          </cell>
          <cell r="F44">
            <v>5909</v>
          </cell>
          <cell r="G44">
            <v>12.53</v>
          </cell>
        </row>
        <row r="45">
          <cell r="A45" t="str">
            <v>DER51340</v>
          </cell>
          <cell r="B45" t="str">
            <v>Escavação,carga e transportes de material de 2a categoria DMT 18000 a 20000m</v>
          </cell>
          <cell r="C45" t="str">
            <v xml:space="preserve"> </v>
          </cell>
          <cell r="D45" t="str">
            <v xml:space="preserve"> </v>
          </cell>
          <cell r="E45" t="str">
            <v>m3</v>
          </cell>
          <cell r="F45">
            <v>6828</v>
          </cell>
          <cell r="G45">
            <v>13.65</v>
          </cell>
        </row>
        <row r="46">
          <cell r="A46" t="str">
            <v>DER52070</v>
          </cell>
          <cell r="B46" t="str">
            <v>Esc. Carga e Transp. de solos moles 100&lt;DMT&lt;=200m</v>
          </cell>
          <cell r="C46" t="str">
            <v xml:space="preserve"> </v>
          </cell>
          <cell r="D46" t="str">
            <v xml:space="preserve"> </v>
          </cell>
          <cell r="E46" t="str">
            <v>m3</v>
          </cell>
          <cell r="F46">
            <v>592</v>
          </cell>
          <cell r="G46">
            <v>3.95</v>
          </cell>
        </row>
        <row r="47">
          <cell r="A47" t="str">
            <v>DER52082</v>
          </cell>
          <cell r="B47" t="str">
            <v>Esc. Carga e Transp. de solos moles 200&lt;DMT&lt;=400m</v>
          </cell>
          <cell r="C47" t="str">
            <v xml:space="preserve"> </v>
          </cell>
          <cell r="D47" t="str">
            <v xml:space="preserve"> </v>
          </cell>
          <cell r="E47" t="str">
            <v>m3</v>
          </cell>
          <cell r="F47">
            <v>1203</v>
          </cell>
          <cell r="G47">
            <v>4.03</v>
          </cell>
        </row>
        <row r="48">
          <cell r="A48" t="str">
            <v>DER52087</v>
          </cell>
          <cell r="B48" t="str">
            <v>Esc. Carga e Transp. de solos moles 400&lt;DMT&lt;=600m</v>
          </cell>
          <cell r="C48" t="str">
            <v xml:space="preserve"> </v>
          </cell>
          <cell r="D48" t="str">
            <v xml:space="preserve"> </v>
          </cell>
          <cell r="E48" t="str">
            <v>m3</v>
          </cell>
          <cell r="F48">
            <v>8307</v>
          </cell>
          <cell r="G48">
            <v>4.5999999999999996</v>
          </cell>
        </row>
        <row r="49">
          <cell r="A49" t="str">
            <v>DER52090</v>
          </cell>
          <cell r="B49" t="str">
            <v>Esc. Carga e Transp. de solos moles 600&lt;DMT&lt;=800m</v>
          </cell>
          <cell r="C49" t="str">
            <v xml:space="preserve"> </v>
          </cell>
          <cell r="D49" t="str">
            <v xml:space="preserve"> </v>
          </cell>
          <cell r="E49" t="str">
            <v>m3</v>
          </cell>
          <cell r="F49">
            <v>1430</v>
          </cell>
          <cell r="G49">
            <v>4.6399999999999997</v>
          </cell>
        </row>
        <row r="50">
          <cell r="A50" t="str">
            <v>DER52095</v>
          </cell>
          <cell r="B50" t="str">
            <v>Esc. Carga e Transp. de solos moles 800&lt;DMT&lt;=1000m</v>
          </cell>
          <cell r="C50" t="str">
            <v xml:space="preserve"> </v>
          </cell>
          <cell r="D50" t="str">
            <v xml:space="preserve"> </v>
          </cell>
          <cell r="E50" t="str">
            <v>m3</v>
          </cell>
          <cell r="F50">
            <v>2650</v>
          </cell>
          <cell r="G50">
            <v>4.7</v>
          </cell>
        </row>
        <row r="51">
          <cell r="A51" t="str">
            <v>DER52100</v>
          </cell>
          <cell r="B51" t="str">
            <v>Esc. Carga e Transp. de solos moles 1000&lt;DMT&lt;=1200m</v>
          </cell>
          <cell r="C51" t="str">
            <v xml:space="preserve"> </v>
          </cell>
          <cell r="D51" t="str">
            <v xml:space="preserve"> </v>
          </cell>
          <cell r="E51" t="str">
            <v>m3</v>
          </cell>
          <cell r="F51">
            <v>3238</v>
          </cell>
          <cell r="G51">
            <v>4.71</v>
          </cell>
        </row>
        <row r="52">
          <cell r="A52" t="str">
            <v>DER52101</v>
          </cell>
          <cell r="B52" t="str">
            <v>Esc. Carga e Transp. de solos moles 1200&lt;DMT&lt;=1400m</v>
          </cell>
          <cell r="C52" t="str">
            <v xml:space="preserve"> </v>
          </cell>
          <cell r="D52" t="str">
            <v xml:space="preserve"> </v>
          </cell>
          <cell r="E52" t="str">
            <v>m3</v>
          </cell>
          <cell r="F52">
            <v>762</v>
          </cell>
          <cell r="G52">
            <v>4.74</v>
          </cell>
        </row>
        <row r="53">
          <cell r="A53" t="str">
            <v>DER52102</v>
          </cell>
          <cell r="B53" t="str">
            <v>Esc. Carga e Transp. de solos moles 1400&lt;DMT&lt;=1600m</v>
          </cell>
          <cell r="C53" t="str">
            <v xml:space="preserve"> </v>
          </cell>
          <cell r="D53" t="str">
            <v xml:space="preserve"> </v>
          </cell>
          <cell r="E53" t="str">
            <v>m3</v>
          </cell>
          <cell r="F53">
            <v>1375</v>
          </cell>
          <cell r="G53">
            <v>4.8099999999999996</v>
          </cell>
        </row>
        <row r="54">
          <cell r="A54" t="str">
            <v>DER52103</v>
          </cell>
          <cell r="B54" t="str">
            <v>Esc. Carga e Transp. de solos moles 1600&lt;DMT&lt;=1800m</v>
          </cell>
          <cell r="C54" t="str">
            <v xml:space="preserve"> </v>
          </cell>
          <cell r="D54" t="str">
            <v xml:space="preserve"> </v>
          </cell>
          <cell r="E54" t="str">
            <v>m3</v>
          </cell>
          <cell r="F54">
            <v>1388</v>
          </cell>
          <cell r="G54">
            <v>4.8600000000000003</v>
          </cell>
        </row>
        <row r="55">
          <cell r="A55" t="str">
            <v>DER52105</v>
          </cell>
          <cell r="B55" t="str">
            <v>Esc. Carga e Transp. de solos moles 2000&lt;DMT&lt;=3000m</v>
          </cell>
          <cell r="C55" t="str">
            <v xml:space="preserve"> </v>
          </cell>
          <cell r="D55" t="str">
            <v xml:space="preserve"> </v>
          </cell>
          <cell r="E55" t="str">
            <v>m3</v>
          </cell>
          <cell r="F55">
            <v>15176</v>
          </cell>
          <cell r="G55">
            <v>5.77</v>
          </cell>
        </row>
        <row r="56">
          <cell r="A56" t="str">
            <v>01.510.00</v>
          </cell>
          <cell r="B56" t="str">
            <v>Compactação de aterros a 95% Proctor Normal</v>
          </cell>
          <cell r="C56" t="str">
            <v>DNER-ES282/97</v>
          </cell>
          <cell r="D56" t="str">
            <v xml:space="preserve"> </v>
          </cell>
          <cell r="E56" t="str">
            <v>m3</v>
          </cell>
          <cell r="F56">
            <v>62802</v>
          </cell>
          <cell r="G56">
            <v>0.79</v>
          </cell>
        </row>
        <row r="57">
          <cell r="A57" t="str">
            <v>01.511.00</v>
          </cell>
          <cell r="B57" t="str">
            <v>Compactação de aterros a 100% Proctor Normal</v>
          </cell>
          <cell r="C57" t="str">
            <v>DNER-ES282/97</v>
          </cell>
          <cell r="D57" t="str">
            <v xml:space="preserve"> </v>
          </cell>
          <cell r="E57" t="str">
            <v>m3</v>
          </cell>
          <cell r="F57">
            <v>42418</v>
          </cell>
          <cell r="G57">
            <v>1.36</v>
          </cell>
        </row>
        <row r="58">
          <cell r="F58" t="str">
            <v>SUB-TOTAL</v>
          </cell>
        </row>
        <row r="60">
          <cell r="B60" t="str">
            <v>PAVIMENTAÇÃO</v>
          </cell>
        </row>
        <row r="61">
          <cell r="A61" t="str">
            <v>02.000.00</v>
          </cell>
          <cell r="B61" t="str">
            <v>Regularização do subleito</v>
          </cell>
          <cell r="C61" t="str">
            <v xml:space="preserve"> </v>
          </cell>
          <cell r="D61" t="str">
            <v xml:space="preserve"> </v>
          </cell>
          <cell r="E61" t="str">
            <v>m2</v>
          </cell>
          <cell r="F61">
            <v>95629</v>
          </cell>
          <cell r="G61">
            <v>0.3</v>
          </cell>
        </row>
        <row r="62">
          <cell r="A62" t="str">
            <v>DER53110</v>
          </cell>
          <cell r="B62" t="str">
            <v>Camada de seixo classificado</v>
          </cell>
          <cell r="C62" t="str">
            <v xml:space="preserve"> </v>
          </cell>
          <cell r="D62" t="str">
            <v xml:space="preserve"> </v>
          </cell>
          <cell r="E62" t="str">
            <v>m3</v>
          </cell>
          <cell r="F62">
            <v>18370</v>
          </cell>
          <cell r="G62">
            <v>16.09</v>
          </cell>
        </row>
        <row r="63">
          <cell r="F63" t="str">
            <v>SUB-TOTAL</v>
          </cell>
        </row>
        <row r="65">
          <cell r="B65" t="str">
            <v>DRENAGEM</v>
          </cell>
        </row>
        <row r="66">
          <cell r="A66" t="str">
            <v>04.000.00</v>
          </cell>
          <cell r="B66" t="str">
            <v>Escavação manual em material de 1a categoria</v>
          </cell>
          <cell r="C66" t="str">
            <v xml:space="preserve"> </v>
          </cell>
          <cell r="D66" t="str">
            <v xml:space="preserve"> </v>
          </cell>
          <cell r="E66" t="str">
            <v>m3</v>
          </cell>
          <cell r="F66">
            <v>161</v>
          </cell>
          <cell r="G66">
            <v>17.57</v>
          </cell>
        </row>
        <row r="67">
          <cell r="A67" t="str">
            <v>04.001.00</v>
          </cell>
          <cell r="B67" t="str">
            <v>Escavação mecânica em material de 1a categoria</v>
          </cell>
          <cell r="C67" t="str">
            <v xml:space="preserve"> </v>
          </cell>
          <cell r="D67" t="str">
            <v xml:space="preserve"> </v>
          </cell>
          <cell r="E67" t="str">
            <v>m3</v>
          </cell>
          <cell r="F67">
            <v>824</v>
          </cell>
          <cell r="G67">
            <v>2.09</v>
          </cell>
        </row>
        <row r="68">
          <cell r="A68" t="str">
            <v>04.001.01</v>
          </cell>
          <cell r="B68" t="str">
            <v>Escavação mecânica,reaterro e compactação (material de 1a categoria)</v>
          </cell>
          <cell r="C68" t="str">
            <v xml:space="preserve"> </v>
          </cell>
          <cell r="D68" t="str">
            <v xml:space="preserve"> </v>
          </cell>
          <cell r="E68" t="str">
            <v>m3</v>
          </cell>
          <cell r="F68">
            <v>658.80000000000007</v>
          </cell>
          <cell r="G68">
            <v>3.03</v>
          </cell>
        </row>
        <row r="69">
          <cell r="A69" t="str">
            <v>04.400.02</v>
          </cell>
          <cell r="B69" t="str">
            <v>Valeta de prot. de cortes c/ revest. vegetal VPC 02</v>
          </cell>
          <cell r="C69" t="str">
            <v xml:space="preserve"> </v>
          </cell>
          <cell r="D69" t="str">
            <v xml:space="preserve"> </v>
          </cell>
          <cell r="E69" t="str">
            <v>m</v>
          </cell>
          <cell r="F69">
            <v>3333</v>
          </cell>
          <cell r="G69">
            <v>23.24</v>
          </cell>
        </row>
        <row r="70">
          <cell r="A70" t="str">
            <v>04.401.01</v>
          </cell>
          <cell r="B70" t="str">
            <v>Valeta de prot. de aterro c/ revest. vegetal VPA 01</v>
          </cell>
          <cell r="C70" t="str">
            <v xml:space="preserve"> </v>
          </cell>
          <cell r="D70" t="str">
            <v xml:space="preserve"> </v>
          </cell>
          <cell r="E70" t="str">
            <v>m</v>
          </cell>
          <cell r="F70">
            <v>2294</v>
          </cell>
          <cell r="G70">
            <v>31.98</v>
          </cell>
        </row>
        <row r="71">
          <cell r="A71" t="str">
            <v>04.401.02</v>
          </cell>
          <cell r="B71" t="str">
            <v>Valeta de prot. de aterro c/ revest. vegetal VPA 02</v>
          </cell>
          <cell r="C71" t="str">
            <v xml:space="preserve"> </v>
          </cell>
          <cell r="D71" t="str">
            <v xml:space="preserve"> </v>
          </cell>
          <cell r="E71" t="str">
            <v>m</v>
          </cell>
          <cell r="F71">
            <v>5351</v>
          </cell>
          <cell r="G71">
            <v>24.32</v>
          </cell>
        </row>
        <row r="72">
          <cell r="A72" t="str">
            <v>04.900.21</v>
          </cell>
          <cell r="B72" t="str">
            <v>Sarjeta de cant. central de concreto-SCC 01</v>
          </cell>
          <cell r="C72" t="str">
            <v>DNER-ES288/97</v>
          </cell>
          <cell r="D72" t="str">
            <v xml:space="preserve"> </v>
          </cell>
          <cell r="E72" t="str">
            <v>m</v>
          </cell>
          <cell r="F72">
            <v>5269</v>
          </cell>
          <cell r="G72">
            <v>13.85</v>
          </cell>
        </row>
        <row r="73">
          <cell r="A73" t="str">
            <v>04.900.22</v>
          </cell>
          <cell r="B73" t="str">
            <v>Sarjeta de cant. central de concreto-SCC 02</v>
          </cell>
          <cell r="C73" t="str">
            <v>DNER-ES288/97</v>
          </cell>
          <cell r="D73" t="str">
            <v xml:space="preserve"> </v>
          </cell>
          <cell r="E73" t="str">
            <v>m</v>
          </cell>
          <cell r="F73">
            <v>484</v>
          </cell>
          <cell r="G73">
            <v>19.170000000000002</v>
          </cell>
        </row>
        <row r="74">
          <cell r="A74" t="str">
            <v>04.900.32</v>
          </cell>
          <cell r="B74" t="str">
            <v>Sarjeta triangular de grama-STG 02</v>
          </cell>
          <cell r="C74" t="str">
            <v xml:space="preserve"> </v>
          </cell>
          <cell r="D74" t="str">
            <v xml:space="preserve"> </v>
          </cell>
          <cell r="E74" t="str">
            <v>m</v>
          </cell>
          <cell r="F74">
            <v>319</v>
          </cell>
          <cell r="G74">
            <v>12.14</v>
          </cell>
        </row>
        <row r="75">
          <cell r="A75" t="str">
            <v>04.900.33</v>
          </cell>
          <cell r="B75" t="str">
            <v>Sarjeta triangular de grama-STG 03</v>
          </cell>
          <cell r="C75" t="str">
            <v xml:space="preserve"> </v>
          </cell>
          <cell r="D75" t="str">
            <v xml:space="preserve"> </v>
          </cell>
          <cell r="E75" t="str">
            <v>m</v>
          </cell>
          <cell r="F75">
            <v>341</v>
          </cell>
          <cell r="G75">
            <v>10.61</v>
          </cell>
        </row>
        <row r="76">
          <cell r="A76" t="str">
            <v>04.900.34</v>
          </cell>
          <cell r="B76" t="str">
            <v>Sarjeta triangular de grama-STG 04</v>
          </cell>
          <cell r="C76" t="str">
            <v xml:space="preserve"> </v>
          </cell>
          <cell r="D76" t="str">
            <v xml:space="preserve"> </v>
          </cell>
          <cell r="E76" t="str">
            <v>m</v>
          </cell>
          <cell r="F76">
            <v>3872</v>
          </cell>
          <cell r="G76">
            <v>8.4700000000000006</v>
          </cell>
        </row>
        <row r="77">
          <cell r="A77" t="str">
            <v>DER78150b</v>
          </cell>
          <cell r="B77" t="str">
            <v>Caixa coletora de sarjeta - CCS, D=40cm E H=1,00m</v>
          </cell>
          <cell r="C77" t="str">
            <v xml:space="preserve"> </v>
          </cell>
          <cell r="D77" t="str">
            <v xml:space="preserve"> </v>
          </cell>
          <cell r="E77" t="str">
            <v>un</v>
          </cell>
          <cell r="F77">
            <v>5</v>
          </cell>
          <cell r="G77">
            <v>382.07</v>
          </cell>
        </row>
        <row r="78">
          <cell r="A78" t="str">
            <v>DER78150a</v>
          </cell>
          <cell r="B78" t="str">
            <v>Caixa coletora de sarjeta - CCS, D=60cm E H=1,5m</v>
          </cell>
          <cell r="C78" t="str">
            <v xml:space="preserve"> </v>
          </cell>
          <cell r="D78" t="str">
            <v xml:space="preserve"> </v>
          </cell>
          <cell r="E78" t="str">
            <v>un</v>
          </cell>
          <cell r="F78">
            <v>6</v>
          </cell>
          <cell r="G78">
            <v>500.45</v>
          </cell>
        </row>
        <row r="79">
          <cell r="A79" t="str">
            <v>DER78250</v>
          </cell>
          <cell r="B79" t="str">
            <v>Caixa coletora de sarjeta - CCS, D=80cm E H=1,50m</v>
          </cell>
          <cell r="C79" t="str">
            <v xml:space="preserve"> </v>
          </cell>
          <cell r="D79" t="str">
            <v xml:space="preserve"> </v>
          </cell>
          <cell r="E79" t="str">
            <v>un</v>
          </cell>
          <cell r="F79">
            <v>2</v>
          </cell>
          <cell r="G79">
            <v>436.66</v>
          </cell>
        </row>
        <row r="80">
          <cell r="A80" t="str">
            <v>DER78300</v>
          </cell>
          <cell r="B80" t="str">
            <v>Caixa coletora de sarjeta - CCS, D=100cm E H=1,50m</v>
          </cell>
          <cell r="C80" t="str">
            <v xml:space="preserve"> </v>
          </cell>
          <cell r="D80" t="str">
            <v xml:space="preserve"> </v>
          </cell>
          <cell r="E80" t="str">
            <v>un</v>
          </cell>
          <cell r="F80">
            <v>2</v>
          </cell>
          <cell r="G80">
            <v>449.54</v>
          </cell>
        </row>
        <row r="81">
          <cell r="A81" t="str">
            <v>04.930.01</v>
          </cell>
          <cell r="B81" t="str">
            <v>Caixa coletora de sarjeta-CCS 01</v>
          </cell>
          <cell r="C81" t="str">
            <v>DNER-ES287/97</v>
          </cell>
          <cell r="D81" t="str">
            <v xml:space="preserve"> </v>
          </cell>
          <cell r="E81" t="str">
            <v>un</v>
          </cell>
          <cell r="F81">
            <v>3</v>
          </cell>
          <cell r="G81">
            <v>568.85</v>
          </cell>
        </row>
        <row r="82">
          <cell r="A82" t="str">
            <v>04.930.02</v>
          </cell>
          <cell r="B82" t="str">
            <v>Caixa coletora de sarjeta-CCS 02</v>
          </cell>
          <cell r="C82" t="str">
            <v>DNER-ES287/97</v>
          </cell>
          <cell r="D82" t="str">
            <v xml:space="preserve"> </v>
          </cell>
          <cell r="E82" t="str">
            <v>un</v>
          </cell>
          <cell r="F82">
            <v>3</v>
          </cell>
          <cell r="G82">
            <v>555.63</v>
          </cell>
        </row>
        <row r="83">
          <cell r="A83" t="str">
            <v>04.930.03</v>
          </cell>
          <cell r="B83" t="str">
            <v>Caixa coletora de sarjeta-CCS 03</v>
          </cell>
          <cell r="C83" t="str">
            <v>DNER-ES287/97</v>
          </cell>
          <cell r="D83" t="str">
            <v xml:space="preserve"> </v>
          </cell>
          <cell r="E83" t="str">
            <v>un</v>
          </cell>
          <cell r="F83">
            <v>1</v>
          </cell>
          <cell r="G83">
            <v>542.39</v>
          </cell>
        </row>
        <row r="84">
          <cell r="A84" t="str">
            <v>DER77100</v>
          </cell>
          <cell r="B84" t="str">
            <v>Caixa coletora de talvegue - CCT, D=80cm E H=1,50m</v>
          </cell>
          <cell r="C84" t="str">
            <v xml:space="preserve"> </v>
          </cell>
          <cell r="D84" t="str">
            <v xml:space="preserve"> </v>
          </cell>
          <cell r="E84" t="str">
            <v>un</v>
          </cell>
          <cell r="F84">
            <v>4</v>
          </cell>
          <cell r="G84">
            <v>419.95</v>
          </cell>
        </row>
        <row r="85">
          <cell r="A85" t="str">
            <v>DER77150</v>
          </cell>
          <cell r="B85" t="str">
            <v>Caixa coletora de talvegue - CCT, D=100cm E H=1,50m</v>
          </cell>
          <cell r="C85" t="str">
            <v xml:space="preserve"> </v>
          </cell>
          <cell r="D85" t="str">
            <v xml:space="preserve"> </v>
          </cell>
          <cell r="E85" t="str">
            <v>un</v>
          </cell>
          <cell r="F85">
            <v>1</v>
          </cell>
          <cell r="G85">
            <v>410.6</v>
          </cell>
        </row>
        <row r="86">
          <cell r="A86" t="str">
            <v>DER77150d</v>
          </cell>
          <cell r="B86" t="str">
            <v>Caixa coletora de talvegue, para BDTC, D=1,20m E H=1,50m</v>
          </cell>
          <cell r="C86" t="str">
            <v xml:space="preserve"> </v>
          </cell>
          <cell r="D86" t="str">
            <v xml:space="preserve"> </v>
          </cell>
          <cell r="E86" t="str">
            <v>un</v>
          </cell>
          <cell r="F86">
            <v>1</v>
          </cell>
          <cell r="G86">
            <v>581.30999999999995</v>
          </cell>
        </row>
        <row r="87">
          <cell r="A87" t="str">
            <v>P 04.100.07</v>
          </cell>
          <cell r="B87" t="str">
            <v>Execução de galerias D=0,40 c/ lastro de brita</v>
          </cell>
          <cell r="C87" t="str">
            <v xml:space="preserve"> </v>
          </cell>
          <cell r="D87" t="str">
            <v xml:space="preserve"> </v>
          </cell>
          <cell r="E87" t="str">
            <v>m</v>
          </cell>
          <cell r="F87">
            <v>81</v>
          </cell>
          <cell r="G87">
            <v>41.68</v>
          </cell>
        </row>
        <row r="88">
          <cell r="A88" t="str">
            <v>P 04.100.09</v>
          </cell>
          <cell r="B88" t="str">
            <v>Execução de galerias D=0,60 c/ lastro de brita</v>
          </cell>
          <cell r="C88" t="str">
            <v xml:space="preserve"> </v>
          </cell>
          <cell r="D88" t="str">
            <v xml:space="preserve"> </v>
          </cell>
          <cell r="E88" t="str">
            <v>m</v>
          </cell>
          <cell r="F88">
            <v>139</v>
          </cell>
          <cell r="G88">
            <v>100.67</v>
          </cell>
        </row>
        <row r="89">
          <cell r="A89" t="str">
            <v>P 04.100.08</v>
          </cell>
          <cell r="B89" t="str">
            <v>Execução de galerias D=0,40 c/ lastro de concreto</v>
          </cell>
          <cell r="C89" t="str">
            <v xml:space="preserve"> </v>
          </cell>
          <cell r="D89" t="str">
            <v xml:space="preserve"> </v>
          </cell>
          <cell r="E89" t="str">
            <v>m</v>
          </cell>
          <cell r="F89">
            <v>35</v>
          </cell>
          <cell r="G89">
            <v>58.65</v>
          </cell>
        </row>
        <row r="90">
          <cell r="A90" t="str">
            <v>DER72350b</v>
          </cell>
          <cell r="B90" t="str">
            <v>Boca para BSTC D=40cm - Normal</v>
          </cell>
          <cell r="C90" t="str">
            <v xml:space="preserve"> </v>
          </cell>
          <cell r="D90" t="str">
            <v xml:space="preserve"> </v>
          </cell>
          <cell r="E90" t="str">
            <v>un</v>
          </cell>
          <cell r="F90">
            <v>4</v>
          </cell>
          <cell r="G90">
            <v>147.57</v>
          </cell>
        </row>
        <row r="91">
          <cell r="A91" t="str">
            <v>04.101.01</v>
          </cell>
          <cell r="B91" t="str">
            <v>Boca de BSTC D=0.60m-normal</v>
          </cell>
          <cell r="C91" t="str">
            <v>DNER-ES284/97</v>
          </cell>
          <cell r="D91" t="str">
            <v xml:space="preserve"> </v>
          </cell>
          <cell r="E91" t="str">
            <v>un</v>
          </cell>
          <cell r="F91">
            <v>7</v>
          </cell>
          <cell r="G91">
            <v>299.62</v>
          </cell>
        </row>
        <row r="92">
          <cell r="A92" t="str">
            <v>04.940.02</v>
          </cell>
          <cell r="B92" t="str">
            <v>Descida d’água tipo rápido- canal retangular-DAR 02</v>
          </cell>
          <cell r="C92" t="str">
            <v>DNER-ES291/97</v>
          </cell>
          <cell r="D92" t="str">
            <v xml:space="preserve"> </v>
          </cell>
          <cell r="E92" t="str">
            <v>m</v>
          </cell>
          <cell r="F92">
            <v>5</v>
          </cell>
          <cell r="G92">
            <v>57.28</v>
          </cell>
        </row>
        <row r="93">
          <cell r="F93" t="str">
            <v>SUB-TOTAL</v>
          </cell>
        </row>
        <row r="94">
          <cell r="B94" t="str">
            <v>OBRAS DE ARTE CORRENTES</v>
          </cell>
        </row>
        <row r="95">
          <cell r="A95" t="str">
            <v>04.000.01</v>
          </cell>
          <cell r="B95" t="str">
            <v>Escavação manual,reaterro e compactação (material de 1a categoria)</v>
          </cell>
          <cell r="C95" t="str">
            <v xml:space="preserve"> </v>
          </cell>
          <cell r="D95" t="str">
            <v xml:space="preserve"> </v>
          </cell>
          <cell r="E95" t="str">
            <v>m3</v>
          </cell>
          <cell r="F95">
            <v>2635.2000000000003</v>
          </cell>
          <cell r="G95">
            <v>22.33</v>
          </cell>
        </row>
        <row r="96">
          <cell r="A96" t="str">
            <v>04.100.02</v>
          </cell>
          <cell r="B96" t="str">
            <v>Corpo de BSTC D=0.80m</v>
          </cell>
          <cell r="C96" t="str">
            <v>DNER-ES284/97</v>
          </cell>
          <cell r="D96" t="str">
            <v xml:space="preserve"> </v>
          </cell>
          <cell r="E96" t="str">
            <v xml:space="preserve">m </v>
          </cell>
          <cell r="F96">
            <v>158</v>
          </cell>
          <cell r="G96">
            <v>201.98</v>
          </cell>
        </row>
        <row r="97">
          <cell r="A97" t="str">
            <v>04.100.03</v>
          </cell>
          <cell r="B97" t="str">
            <v>Corpo de BSTC D=1.00m</v>
          </cell>
          <cell r="C97" t="str">
            <v>DNER-ES284/97</v>
          </cell>
          <cell r="D97" t="str">
            <v xml:space="preserve"> </v>
          </cell>
          <cell r="E97" t="str">
            <v xml:space="preserve">m </v>
          </cell>
          <cell r="F97">
            <v>99</v>
          </cell>
          <cell r="G97">
            <v>280.33</v>
          </cell>
        </row>
        <row r="98">
          <cell r="A98" t="str">
            <v>04.101.02</v>
          </cell>
          <cell r="B98" t="str">
            <v>Boca de BSTC D=0.80m-normal</v>
          </cell>
          <cell r="C98" t="str">
            <v>DNER-ES284/97</v>
          </cell>
          <cell r="D98" t="str">
            <v xml:space="preserve"> </v>
          </cell>
          <cell r="E98" t="str">
            <v>un</v>
          </cell>
          <cell r="F98">
            <v>16</v>
          </cell>
          <cell r="G98">
            <v>494.05</v>
          </cell>
        </row>
        <row r="99">
          <cell r="A99" t="str">
            <v>04.101.03</v>
          </cell>
          <cell r="B99" t="str">
            <v>Boca de BSTC D=1.00m-normal</v>
          </cell>
          <cell r="C99" t="str">
            <v>DNER-ES284/97</v>
          </cell>
          <cell r="D99" t="str">
            <v xml:space="preserve"> </v>
          </cell>
          <cell r="E99" t="str">
            <v>un</v>
          </cell>
          <cell r="F99">
            <v>6</v>
          </cell>
          <cell r="G99">
            <v>757.56</v>
          </cell>
        </row>
        <row r="100">
          <cell r="A100" t="str">
            <v>P04.110.00</v>
          </cell>
          <cell r="B100" t="str">
            <v>Corpo de BDTC D=0.80m c/ laje de concreto</v>
          </cell>
          <cell r="C100" t="str">
            <v xml:space="preserve"> </v>
          </cell>
          <cell r="D100" t="str">
            <v xml:space="preserve"> </v>
          </cell>
          <cell r="E100" t="str">
            <v>m</v>
          </cell>
          <cell r="F100">
            <v>33</v>
          </cell>
          <cell r="G100">
            <v>335.3</v>
          </cell>
        </row>
        <row r="101">
          <cell r="A101" t="str">
            <v>04.110.01</v>
          </cell>
          <cell r="B101" t="str">
            <v>Corpo de BDTC D=1.00m</v>
          </cell>
          <cell r="C101" t="str">
            <v>DNER-ES284/97</v>
          </cell>
          <cell r="D101" t="str">
            <v xml:space="preserve"> </v>
          </cell>
          <cell r="E101" t="str">
            <v>m</v>
          </cell>
          <cell r="F101">
            <v>69</v>
          </cell>
          <cell r="G101">
            <v>572.14</v>
          </cell>
        </row>
        <row r="102">
          <cell r="A102" t="str">
            <v>04.110.02</v>
          </cell>
          <cell r="B102" t="str">
            <v>Corpo de BDTC D=1.20m</v>
          </cell>
          <cell r="C102" t="str">
            <v>DNER-ES284/97</v>
          </cell>
          <cell r="D102" t="str">
            <v xml:space="preserve"> </v>
          </cell>
          <cell r="E102" t="str">
            <v>m</v>
          </cell>
          <cell r="F102">
            <v>21</v>
          </cell>
          <cell r="G102">
            <v>745.38</v>
          </cell>
        </row>
        <row r="103">
          <cell r="A103" t="str">
            <v>P04.111.01</v>
          </cell>
          <cell r="B103" t="str">
            <v>Boca de BDTC D=0.80m</v>
          </cell>
          <cell r="C103" t="str">
            <v xml:space="preserve"> </v>
          </cell>
          <cell r="D103" t="str">
            <v xml:space="preserve"> </v>
          </cell>
          <cell r="E103" t="str">
            <v>un</v>
          </cell>
          <cell r="F103">
            <v>2</v>
          </cell>
          <cell r="G103">
            <v>560.76</v>
          </cell>
        </row>
        <row r="104">
          <cell r="A104" t="str">
            <v>04.111.01</v>
          </cell>
          <cell r="B104" t="str">
            <v>Boca de BDTC D=1.00m-normal</v>
          </cell>
          <cell r="C104" t="str">
            <v>DNER-ES284/97</v>
          </cell>
          <cell r="D104" t="str">
            <v xml:space="preserve"> </v>
          </cell>
          <cell r="E104" t="str">
            <v>un</v>
          </cell>
          <cell r="F104">
            <v>11</v>
          </cell>
          <cell r="G104">
            <v>1056.6199999999999</v>
          </cell>
        </row>
        <row r="105">
          <cell r="A105" t="str">
            <v>04.111.02</v>
          </cell>
          <cell r="B105" t="str">
            <v>Boca de BDTC D=1.20m-normal</v>
          </cell>
          <cell r="C105" t="str">
            <v>DNER-ES284/97</v>
          </cell>
          <cell r="D105" t="str">
            <v xml:space="preserve"> </v>
          </cell>
          <cell r="E105" t="str">
            <v>un</v>
          </cell>
          <cell r="F105">
            <v>2</v>
          </cell>
          <cell r="G105">
            <v>1521.54</v>
          </cell>
        </row>
        <row r="106">
          <cell r="A106" t="str">
            <v>04.120.02</v>
          </cell>
          <cell r="B106" t="str">
            <v>Corpo de BTTC D=1.20m</v>
          </cell>
          <cell r="C106" t="str">
            <v>DNER-ES284/97</v>
          </cell>
          <cell r="D106" t="str">
            <v xml:space="preserve"> </v>
          </cell>
          <cell r="E106" t="str">
            <v>m</v>
          </cell>
          <cell r="F106">
            <v>20</v>
          </cell>
          <cell r="G106">
            <v>1110.23</v>
          </cell>
        </row>
        <row r="107">
          <cell r="A107" t="str">
            <v>04.121.02</v>
          </cell>
          <cell r="B107" t="str">
            <v>Boca de BTTC D=1.20m-normal</v>
          </cell>
          <cell r="C107" t="str">
            <v xml:space="preserve"> </v>
          </cell>
          <cell r="D107" t="str">
            <v xml:space="preserve"> </v>
          </cell>
          <cell r="E107" t="str">
            <v>un</v>
          </cell>
          <cell r="F107">
            <v>3</v>
          </cell>
          <cell r="G107">
            <v>1955.59</v>
          </cell>
        </row>
        <row r="108">
          <cell r="A108" t="str">
            <v>04.200.02</v>
          </cell>
          <cell r="B108" t="str">
            <v>Corpo de BSCC 2.00x2.00m-H=0 a 1.00m</v>
          </cell>
          <cell r="C108" t="str">
            <v>DNER-ES286/97</v>
          </cell>
          <cell r="D108" t="str">
            <v xml:space="preserve"> </v>
          </cell>
          <cell r="E108" t="str">
            <v>m</v>
          </cell>
          <cell r="F108">
            <v>21</v>
          </cell>
          <cell r="G108">
            <v>737.8</v>
          </cell>
        </row>
        <row r="109">
          <cell r="A109" t="str">
            <v>04.200.05</v>
          </cell>
          <cell r="B109" t="str">
            <v>Corpo de BSCC 1.50x1.50m-H=1.00 a 2.50m</v>
          </cell>
          <cell r="C109" t="str">
            <v>DNER-ES286/97</v>
          </cell>
          <cell r="D109" t="str">
            <v xml:space="preserve"> </v>
          </cell>
          <cell r="E109" t="str">
            <v>m</v>
          </cell>
          <cell r="F109">
            <v>23</v>
          </cell>
          <cell r="G109">
            <v>468.54</v>
          </cell>
        </row>
        <row r="110">
          <cell r="A110" t="str">
            <v>04.201.01</v>
          </cell>
          <cell r="B110" t="str">
            <v>Boca de BSCC 1.50x1.50m - normal</v>
          </cell>
          <cell r="C110" t="str">
            <v xml:space="preserve"> </v>
          </cell>
          <cell r="D110" t="str">
            <v xml:space="preserve"> </v>
          </cell>
          <cell r="E110" t="str">
            <v>un</v>
          </cell>
          <cell r="F110">
            <v>4</v>
          </cell>
          <cell r="G110">
            <v>3149.41</v>
          </cell>
        </row>
        <row r="111">
          <cell r="A111" t="str">
            <v>04.201.02</v>
          </cell>
          <cell r="B111" t="str">
            <v>Boca de BSCC 2.00x2.00m - normal</v>
          </cell>
          <cell r="C111" t="str">
            <v xml:space="preserve"> </v>
          </cell>
          <cell r="D111" t="str">
            <v xml:space="preserve"> </v>
          </cell>
          <cell r="E111" t="str">
            <v>un</v>
          </cell>
          <cell r="F111">
            <v>3</v>
          </cell>
          <cell r="G111">
            <v>4874.24</v>
          </cell>
        </row>
        <row r="112">
          <cell r="A112" t="str">
            <v>04.999.01</v>
          </cell>
          <cell r="B112" t="str">
            <v>Remoção de bueiros existentes</v>
          </cell>
          <cell r="C112" t="str">
            <v xml:space="preserve"> </v>
          </cell>
          <cell r="D112" t="str">
            <v xml:space="preserve"> </v>
          </cell>
          <cell r="E112" t="str">
            <v>m</v>
          </cell>
          <cell r="F112">
            <v>147</v>
          </cell>
          <cell r="G112">
            <v>13.06</v>
          </cell>
        </row>
        <row r="113">
          <cell r="A113" t="str">
            <v>04.999.02</v>
          </cell>
          <cell r="B113" t="str">
            <v>Demolição de dispositivos de concreto</v>
          </cell>
          <cell r="C113" t="str">
            <v>DNER-ES296/97</v>
          </cell>
          <cell r="D113" t="str">
            <v xml:space="preserve"> </v>
          </cell>
          <cell r="E113" t="str">
            <v>m3</v>
          </cell>
          <cell r="F113">
            <v>88</v>
          </cell>
          <cell r="G113">
            <v>12.58</v>
          </cell>
        </row>
        <row r="114">
          <cell r="A114" t="str">
            <v>P 04.610.01</v>
          </cell>
          <cell r="B114" t="str">
            <v>Demolição e remoção de pontilhão de madeira</v>
          </cell>
          <cell r="C114" t="str">
            <v xml:space="preserve"> </v>
          </cell>
          <cell r="D114" t="str">
            <v xml:space="preserve"> </v>
          </cell>
          <cell r="E114" t="str">
            <v>m2</v>
          </cell>
          <cell r="F114">
            <v>12</v>
          </cell>
          <cell r="G114">
            <v>40.74</v>
          </cell>
        </row>
        <row r="115">
          <cell r="F115" t="str">
            <v>SUB-TOTAL</v>
          </cell>
        </row>
        <row r="116">
          <cell r="B116" t="str">
            <v>OBRAS COMPLEMENTARES</v>
          </cell>
        </row>
        <row r="117">
          <cell r="A117" t="str">
            <v>05.100.00</v>
          </cell>
          <cell r="B117" t="str">
            <v>Enleivamento</v>
          </cell>
          <cell r="C117" t="str">
            <v>DNER-ES341/97</v>
          </cell>
          <cell r="D117" t="str">
            <v xml:space="preserve"> </v>
          </cell>
          <cell r="E117" t="str">
            <v>m2</v>
          </cell>
          <cell r="F117">
            <v>45657</v>
          </cell>
          <cell r="G117">
            <v>2.06</v>
          </cell>
        </row>
        <row r="118">
          <cell r="A118" t="str">
            <v>05.102.00</v>
          </cell>
          <cell r="B118" t="str">
            <v>Hidrossemeadura</v>
          </cell>
          <cell r="C118" t="str">
            <v>DNER-ES341/97</v>
          </cell>
          <cell r="D118" t="str">
            <v xml:space="preserve"> </v>
          </cell>
          <cell r="E118" t="str">
            <v>m2</v>
          </cell>
          <cell r="F118">
            <v>25854</v>
          </cell>
          <cell r="G118">
            <v>0.49</v>
          </cell>
        </row>
        <row r="119">
          <cell r="A119" t="str">
            <v>P 05.100.02</v>
          </cell>
          <cell r="B119" t="str">
            <v>Fornecimento e plantio de árvore selecionada</v>
          </cell>
          <cell r="C119" t="str">
            <v xml:space="preserve"> </v>
          </cell>
          <cell r="D119" t="str">
            <v xml:space="preserve"> </v>
          </cell>
          <cell r="E119" t="str">
            <v>un</v>
          </cell>
          <cell r="F119">
            <v>355</v>
          </cell>
          <cell r="G119">
            <v>6.02</v>
          </cell>
        </row>
        <row r="120">
          <cell r="A120" t="str">
            <v>R2</v>
          </cell>
          <cell r="B120" t="str">
            <v>Remanejamento de Rede de Alta Tensão (138kV)</v>
          </cell>
          <cell r="C120" t="str">
            <v xml:space="preserve"> </v>
          </cell>
          <cell r="D120" t="str">
            <v xml:space="preserve"> </v>
          </cell>
          <cell r="E120" t="str">
            <v>m</v>
          </cell>
          <cell r="F120">
            <v>180</v>
          </cell>
          <cell r="G120">
            <v>6.2</v>
          </cell>
        </row>
        <row r="121">
          <cell r="A121" t="str">
            <v>R14</v>
          </cell>
          <cell r="B121" t="str">
            <v>Remanejamento de Poste de Concreto 11/300</v>
          </cell>
          <cell r="C121" t="str">
            <v xml:space="preserve"> </v>
          </cell>
          <cell r="D121" t="str">
            <v xml:space="preserve"> </v>
          </cell>
          <cell r="E121" t="str">
            <v>un</v>
          </cell>
          <cell r="F121">
            <v>4</v>
          </cell>
          <cell r="G121">
            <v>75</v>
          </cell>
        </row>
        <row r="122">
          <cell r="A122" t="str">
            <v>R31</v>
          </cell>
          <cell r="B122" t="str">
            <v>Remoção de poste metálico c/iluminação - 1pétala</v>
          </cell>
          <cell r="C122" t="str">
            <v xml:space="preserve"> </v>
          </cell>
          <cell r="D122" t="str">
            <v xml:space="preserve"> </v>
          </cell>
          <cell r="E122" t="str">
            <v>un</v>
          </cell>
          <cell r="F122">
            <v>3</v>
          </cell>
          <cell r="G122">
            <v>75</v>
          </cell>
        </row>
        <row r="123">
          <cell r="A123" t="str">
            <v>R32</v>
          </cell>
          <cell r="B123" t="str">
            <v>Remoção de poste metálico c/iluminação - 2pétalas</v>
          </cell>
          <cell r="C123" t="str">
            <v xml:space="preserve"> </v>
          </cell>
          <cell r="D123" t="str">
            <v xml:space="preserve"> </v>
          </cell>
          <cell r="E123" t="str">
            <v>un</v>
          </cell>
          <cell r="F123">
            <v>3</v>
          </cell>
          <cell r="G123">
            <v>75</v>
          </cell>
        </row>
      </sheetData>
      <sheetData sheetId="25">
        <row r="14">
          <cell r="A14" t="str">
            <v>01.000.00</v>
          </cell>
          <cell r="B14" t="str">
            <v>Desmatamento,destocamento e limpeza de área com árvore até 0,15m</v>
          </cell>
          <cell r="C14" t="str">
            <v>DNER-ES278/97</v>
          </cell>
          <cell r="D14" t="str">
            <v xml:space="preserve"> </v>
          </cell>
          <cell r="E14" t="str">
            <v>m2</v>
          </cell>
          <cell r="F14">
            <v>78000</v>
          </cell>
          <cell r="G14">
            <v>7.0000000000000007E-2</v>
          </cell>
        </row>
        <row r="15">
          <cell r="A15" t="str">
            <v>01.010.00</v>
          </cell>
          <cell r="B15" t="str">
            <v>Desmatamento e destocamento árvores de 0,15m a 0,30m</v>
          </cell>
          <cell r="C15" t="str">
            <v>DNER-ES278/97</v>
          </cell>
          <cell r="D15" t="str">
            <v xml:space="preserve"> </v>
          </cell>
          <cell r="E15" t="str">
            <v>un</v>
          </cell>
          <cell r="F15">
            <v>780</v>
          </cell>
          <cell r="G15">
            <v>8.92</v>
          </cell>
        </row>
        <row r="16">
          <cell r="A16" t="str">
            <v>01.011.00</v>
          </cell>
          <cell r="B16" t="str">
            <v>Desmatamento e destocamento árvores superior a 0,30m</v>
          </cell>
          <cell r="C16" t="str">
            <v>DNER-ES278/97</v>
          </cell>
          <cell r="D16" t="str">
            <v xml:space="preserve"> </v>
          </cell>
          <cell r="E16" t="str">
            <v>un</v>
          </cell>
          <cell r="F16">
            <v>390</v>
          </cell>
          <cell r="G16">
            <v>26.75</v>
          </cell>
        </row>
        <row r="17">
          <cell r="A17" t="str">
            <v>01.100.01</v>
          </cell>
          <cell r="B17" t="str">
            <v>Escavação,carga e transportes de material de 1a  categoria DMT &lt;= 50m</v>
          </cell>
          <cell r="C17" t="str">
            <v>DNER-ES280/97</v>
          </cell>
          <cell r="D17" t="str">
            <v xml:space="preserve"> </v>
          </cell>
          <cell r="E17" t="str">
            <v>m3</v>
          </cell>
          <cell r="F17">
            <v>1000</v>
          </cell>
          <cell r="G17">
            <v>0.62</v>
          </cell>
        </row>
        <row r="18">
          <cell r="A18" t="str">
            <v>01.100.09</v>
          </cell>
          <cell r="B18" t="str">
            <v>Escavação,carga e transportes de material de 1a categoria DMT= 50 a 200m</v>
          </cell>
          <cell r="C18" t="str">
            <v>DNER-ES280/97</v>
          </cell>
          <cell r="D18" t="str">
            <v xml:space="preserve"> </v>
          </cell>
          <cell r="E18" t="str">
            <v>m3</v>
          </cell>
          <cell r="F18">
            <v>1281</v>
          </cell>
          <cell r="G18">
            <v>1.89</v>
          </cell>
        </row>
        <row r="19">
          <cell r="A19" t="str">
            <v>01.100.10</v>
          </cell>
          <cell r="B19" t="str">
            <v>Escavação,carga e transportes de material de 1a categoria DMT= 200 a 400m</v>
          </cell>
          <cell r="C19" t="str">
            <v>DNER-ES280/97</v>
          </cell>
          <cell r="D19" t="str">
            <v xml:space="preserve"> </v>
          </cell>
          <cell r="E19" t="str">
            <v>m3</v>
          </cell>
          <cell r="F19">
            <v>2898</v>
          </cell>
          <cell r="G19">
            <v>1.98</v>
          </cell>
        </row>
        <row r="20">
          <cell r="A20" t="str">
            <v>01.100.12</v>
          </cell>
          <cell r="B20" t="str">
            <v>Escavação,carga e transportes de material de 1a categoria DMT= 600 a 800m</v>
          </cell>
          <cell r="C20" t="str">
            <v>DNER-ES280/97</v>
          </cell>
          <cell r="D20" t="str">
            <v xml:space="preserve"> </v>
          </cell>
          <cell r="E20" t="str">
            <v>m3</v>
          </cell>
          <cell r="F20">
            <v>10522</v>
          </cell>
          <cell r="G20">
            <v>2.19</v>
          </cell>
        </row>
        <row r="21">
          <cell r="A21" t="str">
            <v>01.100.14</v>
          </cell>
          <cell r="B21" t="str">
            <v>Escavação,carga e transportes de material de 1a categoria DMT= 1000 a 1200m</v>
          </cell>
          <cell r="C21" t="str">
            <v>DNER-ES280/97</v>
          </cell>
          <cell r="D21" t="str">
            <v xml:space="preserve"> </v>
          </cell>
          <cell r="E21" t="str">
            <v>m3</v>
          </cell>
          <cell r="F21">
            <v>1455</v>
          </cell>
          <cell r="G21">
            <v>2.4</v>
          </cell>
        </row>
        <row r="22">
          <cell r="A22" t="str">
            <v>01.100.19</v>
          </cell>
          <cell r="B22" t="str">
            <v>Escavação,carga e transportes de material de 1a categoria DMT= 2000 a 3000m</v>
          </cell>
          <cell r="C22" t="str">
            <v>DNER-ES280/97</v>
          </cell>
          <cell r="D22" t="str">
            <v xml:space="preserve"> </v>
          </cell>
          <cell r="E22" t="str">
            <v>m3</v>
          </cell>
          <cell r="F22">
            <v>7388</v>
          </cell>
          <cell r="G22">
            <v>3.26</v>
          </cell>
        </row>
        <row r="23">
          <cell r="A23" t="str">
            <v>01.101.14</v>
          </cell>
          <cell r="B23" t="str">
            <v>Escavação,carga e transportes de material de 2a categoria,c/CB,  DMT 1000 a 1200m</v>
          </cell>
          <cell r="C23" t="str">
            <v>DNER-ES280/97</v>
          </cell>
          <cell r="D23" t="str">
            <v xml:space="preserve"> </v>
          </cell>
          <cell r="E23" t="str">
            <v>m3</v>
          </cell>
          <cell r="F23">
            <v>970</v>
          </cell>
          <cell r="G23">
            <v>3.49</v>
          </cell>
        </row>
        <row r="24">
          <cell r="A24" t="str">
            <v>01.101.19</v>
          </cell>
          <cell r="B24" t="str">
            <v>Escavação,carga e transportes de material de 2a categoria,c/CB,  DMT 2000 a 3000m</v>
          </cell>
          <cell r="C24" t="str">
            <v>DNER-ES280/97</v>
          </cell>
          <cell r="D24" t="str">
            <v xml:space="preserve"> </v>
          </cell>
          <cell r="E24" t="str">
            <v>m3</v>
          </cell>
          <cell r="F24">
            <v>4925</v>
          </cell>
          <cell r="G24">
            <v>4.51</v>
          </cell>
        </row>
        <row r="25">
          <cell r="A25" t="str">
            <v>01.510.00</v>
          </cell>
          <cell r="B25" t="str">
            <v>Compactação de aterros a 95% Proctor Normal</v>
          </cell>
          <cell r="C25" t="str">
            <v>DNER-ES282/97</v>
          </cell>
          <cell r="D25" t="str">
            <v xml:space="preserve"> </v>
          </cell>
          <cell r="E25" t="str">
            <v>m3</v>
          </cell>
          <cell r="F25">
            <v>11953</v>
          </cell>
          <cell r="G25">
            <v>0.79</v>
          </cell>
        </row>
        <row r="26">
          <cell r="A26" t="str">
            <v>01.511.00</v>
          </cell>
          <cell r="B26" t="str">
            <v>Compactação de aterros a 100% Proctor Normal</v>
          </cell>
          <cell r="C26" t="str">
            <v>DNER-ES282/97</v>
          </cell>
          <cell r="D26" t="str">
            <v xml:space="preserve"> </v>
          </cell>
          <cell r="E26" t="str">
            <v>m3</v>
          </cell>
          <cell r="F26">
            <v>12582</v>
          </cell>
          <cell r="G26">
            <v>1.36</v>
          </cell>
        </row>
        <row r="27">
          <cell r="F27" t="str">
            <v>SUB-TOTAL</v>
          </cell>
        </row>
        <row r="29">
          <cell r="B29" t="str">
            <v>PAVIMENTAÇÃO</v>
          </cell>
        </row>
        <row r="30">
          <cell r="A30" t="str">
            <v>02.000.00</v>
          </cell>
          <cell r="B30" t="str">
            <v>Regularização do subleito</v>
          </cell>
          <cell r="C30" t="str">
            <v xml:space="preserve"> </v>
          </cell>
          <cell r="D30" t="str">
            <v xml:space="preserve"> </v>
          </cell>
          <cell r="E30" t="str">
            <v>m2</v>
          </cell>
          <cell r="F30">
            <v>33079</v>
          </cell>
          <cell r="G30">
            <v>0.3</v>
          </cell>
        </row>
        <row r="31">
          <cell r="A31" t="str">
            <v>DER53130</v>
          </cell>
          <cell r="B31" t="str">
            <v>Camada de macadame seco</v>
          </cell>
          <cell r="C31" t="str">
            <v xml:space="preserve"> </v>
          </cell>
          <cell r="D31" t="str">
            <v xml:space="preserve"> </v>
          </cell>
          <cell r="E31" t="str">
            <v>m3</v>
          </cell>
          <cell r="F31">
            <v>7328</v>
          </cell>
          <cell r="G31">
            <v>21.86</v>
          </cell>
        </row>
        <row r="32">
          <cell r="A32" t="str">
            <v>02.230.00</v>
          </cell>
          <cell r="B32" t="str">
            <v>Base brita graduada</v>
          </cell>
          <cell r="C32" t="str">
            <v>DNER-ES303/97</v>
          </cell>
          <cell r="D32" t="str">
            <v xml:space="preserve"> </v>
          </cell>
          <cell r="E32" t="str">
            <v>m3</v>
          </cell>
          <cell r="F32">
            <v>4583</v>
          </cell>
          <cell r="G32">
            <v>28.06</v>
          </cell>
        </row>
        <row r="33">
          <cell r="A33" t="str">
            <v>02.300.00</v>
          </cell>
          <cell r="B33" t="str">
            <v>Imprimação - Fornecimento, transporte e execução</v>
          </cell>
          <cell r="C33" t="str">
            <v>DNER-ES306/97</v>
          </cell>
          <cell r="D33" t="str">
            <v xml:space="preserve"> </v>
          </cell>
          <cell r="E33" t="str">
            <v>m2</v>
          </cell>
          <cell r="F33">
            <v>30503</v>
          </cell>
          <cell r="G33">
            <v>1.1100000000000001</v>
          </cell>
        </row>
        <row r="34">
          <cell r="A34" t="str">
            <v>02.400.00</v>
          </cell>
          <cell r="B34" t="str">
            <v>Pintura de ligação - Fornec., transporte e execução</v>
          </cell>
          <cell r="C34" t="str">
            <v>DNER-ES307/97</v>
          </cell>
          <cell r="D34" t="str">
            <v xml:space="preserve"> </v>
          </cell>
          <cell r="E34" t="str">
            <v>m2</v>
          </cell>
          <cell r="F34">
            <v>55033</v>
          </cell>
          <cell r="G34">
            <v>0.41</v>
          </cell>
        </row>
        <row r="35">
          <cell r="A35" t="str">
            <v>02.540.01</v>
          </cell>
          <cell r="B35" t="str">
            <v>Concreto betuminoso usinado a quente - usina 100/140 t/h</v>
          </cell>
          <cell r="C35" t="str">
            <v>DNER-ES313/97</v>
          </cell>
          <cell r="D35" t="str">
            <v xml:space="preserve"> </v>
          </cell>
          <cell r="E35" t="str">
            <v>t</v>
          </cell>
          <cell r="F35">
            <v>6110</v>
          </cell>
          <cell r="G35">
            <v>67.64</v>
          </cell>
        </row>
        <row r="36">
          <cell r="F36" t="str">
            <v>SUB-TOTAL</v>
          </cell>
        </row>
        <row r="37">
          <cell r="B37" t="str">
            <v>DRENAGEM</v>
          </cell>
        </row>
        <row r="38">
          <cell r="A38" t="str">
            <v>04.000.00</v>
          </cell>
          <cell r="B38" t="str">
            <v>Escavação manual em material de 1a categoria</v>
          </cell>
          <cell r="C38" t="str">
            <v xml:space="preserve"> </v>
          </cell>
          <cell r="D38" t="str">
            <v xml:space="preserve"> </v>
          </cell>
          <cell r="E38" t="str">
            <v>m3</v>
          </cell>
          <cell r="F38">
            <v>238</v>
          </cell>
          <cell r="G38">
            <v>17.57</v>
          </cell>
        </row>
        <row r="39">
          <cell r="A39" t="str">
            <v>04.001.00</v>
          </cell>
          <cell r="B39" t="str">
            <v>Escavação mecânica em material de 1a categoria</v>
          </cell>
          <cell r="C39" t="str">
            <v xml:space="preserve"> </v>
          </cell>
          <cell r="D39" t="str">
            <v xml:space="preserve"> </v>
          </cell>
          <cell r="E39" t="str">
            <v>m3</v>
          </cell>
          <cell r="F39">
            <v>1515</v>
          </cell>
          <cell r="G39">
            <v>2.09</v>
          </cell>
        </row>
        <row r="40">
          <cell r="A40" t="str">
            <v>04.001.01</v>
          </cell>
          <cell r="B40" t="str">
            <v>Escavação mecânica,reaterro e compactação (material de 1a categoria)</v>
          </cell>
          <cell r="C40" t="str">
            <v xml:space="preserve"> </v>
          </cell>
          <cell r="D40" t="str">
            <v xml:space="preserve"> </v>
          </cell>
          <cell r="E40" t="str">
            <v>m3</v>
          </cell>
          <cell r="F40">
            <v>953.6</v>
          </cell>
          <cell r="G40">
            <v>3.03</v>
          </cell>
        </row>
        <row r="41">
          <cell r="A41" t="str">
            <v>04.400.02</v>
          </cell>
          <cell r="B41" t="str">
            <v>Valeta de prot. de cortes c/ revest. vegetal VPC 02</v>
          </cell>
          <cell r="C41" t="str">
            <v xml:space="preserve"> </v>
          </cell>
          <cell r="D41" t="str">
            <v xml:space="preserve"> </v>
          </cell>
          <cell r="E41" t="str">
            <v>m</v>
          </cell>
          <cell r="F41">
            <v>154</v>
          </cell>
          <cell r="G41">
            <v>23.24</v>
          </cell>
        </row>
        <row r="42">
          <cell r="A42" t="str">
            <v>04.401.02</v>
          </cell>
          <cell r="B42" t="str">
            <v>Valeta de prot. de aterro c/ revest. vegetal VPA 02</v>
          </cell>
          <cell r="C42" t="str">
            <v xml:space="preserve"> </v>
          </cell>
          <cell r="D42" t="str">
            <v xml:space="preserve"> </v>
          </cell>
          <cell r="E42" t="str">
            <v>m</v>
          </cell>
          <cell r="F42">
            <v>776</v>
          </cell>
          <cell r="G42">
            <v>24.32</v>
          </cell>
        </row>
        <row r="43">
          <cell r="A43" t="str">
            <v>04.500.06</v>
          </cell>
          <cell r="B43" t="str">
            <v>Dreno longit. profundo p/cortes em solo- DPS 06</v>
          </cell>
          <cell r="C43" t="str">
            <v>DNER-ES292/97</v>
          </cell>
          <cell r="D43" t="str">
            <v xml:space="preserve"> </v>
          </cell>
          <cell r="E43" t="str">
            <v>m</v>
          </cell>
          <cell r="F43">
            <v>1837</v>
          </cell>
          <cell r="G43">
            <v>34.94</v>
          </cell>
        </row>
        <row r="44">
          <cell r="A44" t="str">
            <v>04.502.02</v>
          </cell>
          <cell r="B44" t="str">
            <v>Boca de saída p/ dreno longit. profundo- BSD 02</v>
          </cell>
          <cell r="C44" t="str">
            <v xml:space="preserve"> </v>
          </cell>
          <cell r="D44" t="str">
            <v xml:space="preserve"> </v>
          </cell>
          <cell r="E44" t="str">
            <v>un</v>
          </cell>
          <cell r="F44">
            <v>6</v>
          </cell>
          <cell r="G44">
            <v>49.08</v>
          </cell>
        </row>
        <row r="45">
          <cell r="A45" t="str">
            <v>04.510.03</v>
          </cell>
          <cell r="B45" t="str">
            <v>Dreno sub- superficial- DSS 03</v>
          </cell>
          <cell r="C45" t="str">
            <v>DNER-ES294/97</v>
          </cell>
          <cell r="D45" t="str">
            <v xml:space="preserve"> </v>
          </cell>
          <cell r="E45" t="str">
            <v>m</v>
          </cell>
          <cell r="F45">
            <v>1133</v>
          </cell>
          <cell r="G45">
            <v>3.71</v>
          </cell>
        </row>
        <row r="46">
          <cell r="A46" t="str">
            <v>04.511.01</v>
          </cell>
          <cell r="B46" t="str">
            <v>Boca de saída p/ dreno sub-superficial-BSD 03</v>
          </cell>
          <cell r="C46" t="str">
            <v xml:space="preserve"> </v>
          </cell>
          <cell r="D46" t="str">
            <v xml:space="preserve"> </v>
          </cell>
          <cell r="E46" t="str">
            <v>un</v>
          </cell>
          <cell r="F46">
            <v>3</v>
          </cell>
          <cell r="G46">
            <v>20.86</v>
          </cell>
        </row>
        <row r="47">
          <cell r="A47" t="str">
            <v>04.900.21</v>
          </cell>
          <cell r="B47" t="str">
            <v>Sarjeta de cant. central de concreto-SCC 01</v>
          </cell>
          <cell r="C47" t="str">
            <v>DNER-ES288/97</v>
          </cell>
          <cell r="D47" t="str">
            <v xml:space="preserve"> </v>
          </cell>
          <cell r="E47" t="str">
            <v>m</v>
          </cell>
          <cell r="F47">
            <v>66</v>
          </cell>
          <cell r="G47">
            <v>13.85</v>
          </cell>
        </row>
        <row r="48">
          <cell r="A48" t="str">
            <v>04.900.04</v>
          </cell>
          <cell r="B48" t="str">
            <v>Sarjeta triangular de concreto-STC 04</v>
          </cell>
          <cell r="C48" t="str">
            <v>DNER-ES288/97</v>
          </cell>
          <cell r="D48" t="str">
            <v xml:space="preserve"> </v>
          </cell>
          <cell r="E48" t="str">
            <v>m</v>
          </cell>
          <cell r="F48">
            <v>473</v>
          </cell>
          <cell r="G48">
            <v>12.93</v>
          </cell>
        </row>
        <row r="49">
          <cell r="A49" t="str">
            <v>DER78150b</v>
          </cell>
          <cell r="B49" t="str">
            <v>Caixa coletora de sarjeta - CCS, D=40cm E H=1,00m</v>
          </cell>
          <cell r="C49" t="str">
            <v xml:space="preserve"> </v>
          </cell>
          <cell r="D49" t="str">
            <v xml:space="preserve"> </v>
          </cell>
          <cell r="E49" t="str">
            <v>un</v>
          </cell>
          <cell r="F49">
            <v>2</v>
          </cell>
          <cell r="G49">
            <v>382.07</v>
          </cell>
        </row>
        <row r="50">
          <cell r="A50" t="str">
            <v>DER78150c</v>
          </cell>
          <cell r="B50" t="str">
            <v>Caixa coletora de sarjeta - CCS, D=40cm E H=1,50m</v>
          </cell>
          <cell r="C50" t="str">
            <v xml:space="preserve"> </v>
          </cell>
          <cell r="D50" t="str">
            <v xml:space="preserve"> </v>
          </cell>
          <cell r="E50" t="str">
            <v>un</v>
          </cell>
          <cell r="F50">
            <v>3</v>
          </cell>
          <cell r="G50">
            <v>503.68</v>
          </cell>
        </row>
        <row r="51">
          <cell r="A51" t="str">
            <v>DER78150a</v>
          </cell>
          <cell r="B51" t="str">
            <v>Caixa coletora de sarjeta - CCS, D=60cm E H=1,5m</v>
          </cell>
          <cell r="C51" t="str">
            <v xml:space="preserve"> </v>
          </cell>
          <cell r="D51" t="str">
            <v xml:space="preserve"> </v>
          </cell>
          <cell r="E51" t="str">
            <v>un</v>
          </cell>
          <cell r="F51">
            <v>1</v>
          </cell>
          <cell r="G51">
            <v>500.45</v>
          </cell>
        </row>
        <row r="52">
          <cell r="A52" t="str">
            <v>04.930.01</v>
          </cell>
          <cell r="B52" t="str">
            <v>Caixa coletora de sarjeta-CCS 01</v>
          </cell>
          <cell r="C52" t="str">
            <v>DNER-ES287/97</v>
          </cell>
          <cell r="D52" t="str">
            <v xml:space="preserve"> </v>
          </cell>
          <cell r="E52" t="str">
            <v>un</v>
          </cell>
          <cell r="F52">
            <v>1</v>
          </cell>
          <cell r="G52">
            <v>568.85</v>
          </cell>
        </row>
        <row r="53">
          <cell r="A53" t="str">
            <v>04.960.01</v>
          </cell>
          <cell r="B53" t="str">
            <v>Boca de lobo simples c/ grelha de concreto-BLS 01</v>
          </cell>
          <cell r="C53" t="str">
            <v xml:space="preserve"> </v>
          </cell>
          <cell r="D53" t="str">
            <v xml:space="preserve"> </v>
          </cell>
          <cell r="E53" t="str">
            <v>un</v>
          </cell>
          <cell r="F53">
            <v>4</v>
          </cell>
          <cell r="G53">
            <v>203.51</v>
          </cell>
        </row>
        <row r="54">
          <cell r="A54" t="str">
            <v>04.960.02</v>
          </cell>
          <cell r="B54" t="str">
            <v>Boca de lobo simples c/ grelha de concreto-BLS 02</v>
          </cell>
          <cell r="C54" t="str">
            <v xml:space="preserve"> </v>
          </cell>
          <cell r="D54" t="str">
            <v xml:space="preserve"> </v>
          </cell>
          <cell r="E54" t="str">
            <v>un</v>
          </cell>
          <cell r="F54">
            <v>9</v>
          </cell>
          <cell r="G54">
            <v>257.83999999999997</v>
          </cell>
        </row>
        <row r="55">
          <cell r="A55" t="str">
            <v>04.960.03</v>
          </cell>
          <cell r="B55" t="str">
            <v>Boca de lobo simples c/ grelha de concreto-BLS 03</v>
          </cell>
          <cell r="C55" t="str">
            <v xml:space="preserve"> </v>
          </cell>
          <cell r="D55" t="str">
            <v xml:space="preserve"> </v>
          </cell>
          <cell r="E55" t="str">
            <v>un</v>
          </cell>
          <cell r="F55">
            <v>5</v>
          </cell>
          <cell r="G55">
            <v>312.23</v>
          </cell>
        </row>
        <row r="56">
          <cell r="A56" t="str">
            <v>P.04.100.15</v>
          </cell>
          <cell r="B56" t="str">
            <v>Caixa de ligação e passagem BSTC,  D=1,00m, H=1,50m</v>
          </cell>
          <cell r="C56" t="str">
            <v xml:space="preserve"> </v>
          </cell>
          <cell r="D56" t="str">
            <v xml:space="preserve"> </v>
          </cell>
          <cell r="E56" t="str">
            <v>un</v>
          </cell>
          <cell r="F56">
            <v>2</v>
          </cell>
          <cell r="G56">
            <v>741.5</v>
          </cell>
        </row>
        <row r="57">
          <cell r="A57" t="str">
            <v>04.962.02</v>
          </cell>
          <cell r="B57" t="str">
            <v>Caixa de ligação e passagem- CLP 02</v>
          </cell>
          <cell r="C57" t="str">
            <v>DNER-ES287/97</v>
          </cell>
          <cell r="D57" t="str">
            <v xml:space="preserve"> </v>
          </cell>
          <cell r="E57" t="str">
            <v>un</v>
          </cell>
          <cell r="F57">
            <v>1</v>
          </cell>
          <cell r="G57">
            <v>359.92</v>
          </cell>
        </row>
        <row r="58">
          <cell r="A58" t="str">
            <v>04.999.02</v>
          </cell>
          <cell r="B58" t="str">
            <v>Demolição de dispositivos de concreto</v>
          </cell>
          <cell r="C58" t="str">
            <v>DNER-ES296/97</v>
          </cell>
          <cell r="D58" t="str">
            <v xml:space="preserve"> </v>
          </cell>
          <cell r="E58" t="str">
            <v>m3</v>
          </cell>
          <cell r="F58">
            <v>15</v>
          </cell>
          <cell r="G58">
            <v>12.58</v>
          </cell>
        </row>
        <row r="59">
          <cell r="A59" t="str">
            <v>P 04.100.07</v>
          </cell>
          <cell r="B59" t="str">
            <v>Execução de galerias D=0,40 c/ lastro de brita</v>
          </cell>
          <cell r="C59" t="str">
            <v xml:space="preserve"> </v>
          </cell>
          <cell r="D59" t="str">
            <v xml:space="preserve"> </v>
          </cell>
          <cell r="E59" t="str">
            <v>m</v>
          </cell>
          <cell r="F59">
            <v>773</v>
          </cell>
          <cell r="G59">
            <v>41.68</v>
          </cell>
        </row>
        <row r="60">
          <cell r="A60" t="str">
            <v>P 04.100.09</v>
          </cell>
          <cell r="B60" t="str">
            <v>Execução de galerias D=0,60 c/ lastro de brita</v>
          </cell>
          <cell r="C60" t="str">
            <v xml:space="preserve"> </v>
          </cell>
          <cell r="D60" t="str">
            <v xml:space="preserve"> </v>
          </cell>
          <cell r="E60" t="str">
            <v>m</v>
          </cell>
          <cell r="F60">
            <v>426</v>
          </cell>
          <cell r="G60">
            <v>100.67</v>
          </cell>
        </row>
        <row r="61">
          <cell r="A61" t="str">
            <v>P 04.100.08</v>
          </cell>
          <cell r="B61" t="str">
            <v>Execução de galerias D=0,40 c/ lastro de concreto</v>
          </cell>
          <cell r="C61" t="str">
            <v xml:space="preserve"> </v>
          </cell>
          <cell r="D61" t="str">
            <v xml:space="preserve"> </v>
          </cell>
          <cell r="E61" t="str">
            <v>m</v>
          </cell>
          <cell r="F61">
            <v>110</v>
          </cell>
          <cell r="G61">
            <v>58.65</v>
          </cell>
        </row>
        <row r="62">
          <cell r="A62" t="str">
            <v>P 04.100.10</v>
          </cell>
          <cell r="B62" t="str">
            <v>Execução de galerias D=0,60 c/ lastro de concreto</v>
          </cell>
          <cell r="C62" t="str">
            <v xml:space="preserve"> </v>
          </cell>
          <cell r="D62" t="str">
            <v xml:space="preserve"> </v>
          </cell>
          <cell r="E62" t="str">
            <v>m</v>
          </cell>
          <cell r="F62">
            <v>82</v>
          </cell>
          <cell r="G62">
            <v>131.66</v>
          </cell>
        </row>
        <row r="63">
          <cell r="A63" t="str">
            <v>DER72350b</v>
          </cell>
          <cell r="B63" t="str">
            <v>Boca para BSTC D=40cm - Normal</v>
          </cell>
          <cell r="C63" t="str">
            <v xml:space="preserve"> </v>
          </cell>
          <cell r="D63" t="str">
            <v xml:space="preserve"> </v>
          </cell>
          <cell r="E63" t="str">
            <v>un</v>
          </cell>
          <cell r="F63">
            <v>2</v>
          </cell>
          <cell r="G63">
            <v>147.57</v>
          </cell>
        </row>
        <row r="64">
          <cell r="A64" t="str">
            <v>04.101.01</v>
          </cell>
          <cell r="B64" t="str">
            <v>Boca de BSTC D=0.60m-normal</v>
          </cell>
          <cell r="C64" t="str">
            <v>DNER-ES284/97</v>
          </cell>
          <cell r="D64" t="str">
            <v xml:space="preserve"> </v>
          </cell>
          <cell r="E64" t="str">
            <v>un</v>
          </cell>
          <cell r="F64">
            <v>6</v>
          </cell>
          <cell r="G64">
            <v>299.62</v>
          </cell>
        </row>
        <row r="65">
          <cell r="A65" t="str">
            <v>04.910.05</v>
          </cell>
          <cell r="B65" t="str">
            <v>Meio-fio de concreto-MFC 05</v>
          </cell>
          <cell r="C65" t="str">
            <v>DNER-ES290/97</v>
          </cell>
          <cell r="D65" t="str">
            <v xml:space="preserve"> </v>
          </cell>
          <cell r="E65" t="str">
            <v>m</v>
          </cell>
          <cell r="F65">
            <v>8514</v>
          </cell>
          <cell r="G65">
            <v>10.54</v>
          </cell>
        </row>
        <row r="66">
          <cell r="F66" t="str">
            <v>SUB-TOTAL</v>
          </cell>
        </row>
        <row r="68">
          <cell r="B68" t="str">
            <v>OBRAS DE ARTE CORRENTES</v>
          </cell>
        </row>
        <row r="69">
          <cell r="A69" t="str">
            <v>04.100.02</v>
          </cell>
          <cell r="B69" t="str">
            <v>Corpo de BSTC D=0.80m</v>
          </cell>
          <cell r="C69" t="str">
            <v>DNER-ES284/97</v>
          </cell>
          <cell r="D69" t="str">
            <v xml:space="preserve"> </v>
          </cell>
          <cell r="E69" t="str">
            <v xml:space="preserve">m </v>
          </cell>
          <cell r="F69">
            <v>44</v>
          </cell>
          <cell r="G69">
            <v>201.98</v>
          </cell>
        </row>
        <row r="70">
          <cell r="A70" t="str">
            <v>04.100.03</v>
          </cell>
          <cell r="B70" t="str">
            <v>Corpo de BSTC D=1.00m</v>
          </cell>
          <cell r="C70" t="str">
            <v>DNER-ES284/97</v>
          </cell>
          <cell r="D70" t="str">
            <v xml:space="preserve"> </v>
          </cell>
          <cell r="E70" t="str">
            <v xml:space="preserve">m </v>
          </cell>
          <cell r="F70">
            <v>40</v>
          </cell>
          <cell r="G70">
            <v>280.33</v>
          </cell>
        </row>
        <row r="71">
          <cell r="A71" t="str">
            <v>04.101.02</v>
          </cell>
          <cell r="B71" t="str">
            <v>Boca de BSTC D=0.80m-normal</v>
          </cell>
          <cell r="C71" t="str">
            <v>DNER-ES284/97</v>
          </cell>
          <cell r="D71" t="str">
            <v xml:space="preserve"> </v>
          </cell>
          <cell r="E71" t="str">
            <v>un</v>
          </cell>
          <cell r="F71">
            <v>3</v>
          </cell>
          <cell r="G71">
            <v>494.05</v>
          </cell>
        </row>
        <row r="72">
          <cell r="A72" t="str">
            <v>04.101.03</v>
          </cell>
          <cell r="B72" t="str">
            <v>Boca de BSTC D=1.00m-normal</v>
          </cell>
          <cell r="C72" t="str">
            <v>DNER-ES284/97</v>
          </cell>
          <cell r="D72" t="str">
            <v xml:space="preserve"> </v>
          </cell>
          <cell r="E72" t="str">
            <v>un</v>
          </cell>
          <cell r="F72">
            <v>2</v>
          </cell>
          <cell r="G72">
            <v>757.56</v>
          </cell>
        </row>
        <row r="73">
          <cell r="A73" t="str">
            <v>04.110.01</v>
          </cell>
          <cell r="B73" t="str">
            <v>Corpo de BDTC D=1.00m</v>
          </cell>
          <cell r="C73" t="str">
            <v>DNER-ES284/97</v>
          </cell>
          <cell r="D73" t="str">
            <v xml:space="preserve"> </v>
          </cell>
          <cell r="E73" t="str">
            <v>m</v>
          </cell>
          <cell r="F73">
            <v>27</v>
          </cell>
          <cell r="G73">
            <v>572.14</v>
          </cell>
        </row>
        <row r="74">
          <cell r="A74" t="str">
            <v>04.111.01</v>
          </cell>
          <cell r="B74" t="str">
            <v>Boca de BDTC D=1.00m-normal</v>
          </cell>
          <cell r="C74" t="str">
            <v>DNER-ES284/97</v>
          </cell>
          <cell r="D74" t="str">
            <v xml:space="preserve"> </v>
          </cell>
          <cell r="E74" t="str">
            <v>un</v>
          </cell>
          <cell r="F74">
            <v>4</v>
          </cell>
          <cell r="G74">
            <v>1056.6199999999999</v>
          </cell>
        </row>
        <row r="75">
          <cell r="F75" t="str">
            <v>SUB-TOTAL</v>
          </cell>
        </row>
        <row r="76">
          <cell r="B76" t="str">
            <v>OBRAS COMPLEMENTARES</v>
          </cell>
        </row>
        <row r="77">
          <cell r="A77" t="str">
            <v>05.100.00</v>
          </cell>
          <cell r="B77" t="str">
            <v>Enleivamento</v>
          </cell>
          <cell r="C77" t="str">
            <v>DNER-ES341/97</v>
          </cell>
          <cell r="D77" t="str">
            <v xml:space="preserve"> </v>
          </cell>
          <cell r="E77" t="str">
            <v>m2</v>
          </cell>
          <cell r="F77">
            <v>14884</v>
          </cell>
          <cell r="G77">
            <v>2.06</v>
          </cell>
        </row>
        <row r="78">
          <cell r="A78" t="str">
            <v>P 05.100.02</v>
          </cell>
          <cell r="B78" t="str">
            <v>Fornecimento e plantio de árvore selecionada</v>
          </cell>
          <cell r="C78" t="str">
            <v xml:space="preserve"> </v>
          </cell>
          <cell r="D78" t="str">
            <v xml:space="preserve"> </v>
          </cell>
          <cell r="E78" t="str">
            <v>un</v>
          </cell>
          <cell r="F78">
            <v>275</v>
          </cell>
          <cell r="G78">
            <v>6.02</v>
          </cell>
        </row>
        <row r="79">
          <cell r="A79" t="str">
            <v>DER81950</v>
          </cell>
          <cell r="B79" t="str">
            <v>Calçada em lastro de brita c/revestimento em concreto</v>
          </cell>
          <cell r="C79" t="str">
            <v xml:space="preserve"> </v>
          </cell>
          <cell r="D79" t="str">
            <v xml:space="preserve"> </v>
          </cell>
          <cell r="E79" t="str">
            <v>m2</v>
          </cell>
          <cell r="F79">
            <v>5840</v>
          </cell>
          <cell r="G79">
            <v>8.94</v>
          </cell>
        </row>
        <row r="80">
          <cell r="A80" t="str">
            <v>PI 04</v>
          </cell>
          <cell r="B80" t="str">
            <v xml:space="preserve">Luminária p/ iluminação pública ref.SRC-612 da Philips ou similar </v>
          </cell>
          <cell r="C80" t="str">
            <v xml:space="preserve"> </v>
          </cell>
          <cell r="D80" t="str">
            <v xml:space="preserve"> </v>
          </cell>
          <cell r="E80" t="str">
            <v>un</v>
          </cell>
          <cell r="F80">
            <v>87</v>
          </cell>
          <cell r="G80">
            <v>425.5</v>
          </cell>
        </row>
        <row r="81">
          <cell r="A81" t="str">
            <v>PI 10</v>
          </cell>
          <cell r="B81" t="str">
            <v>Lâmpada a vapor de mercúrio 250W, alta pressão, base E40</v>
          </cell>
          <cell r="C81" t="str">
            <v xml:space="preserve"> </v>
          </cell>
          <cell r="D81" t="str">
            <v xml:space="preserve"> </v>
          </cell>
          <cell r="E81" t="str">
            <v>un</v>
          </cell>
          <cell r="F81">
            <v>69</v>
          </cell>
          <cell r="G81">
            <v>28.75</v>
          </cell>
        </row>
        <row r="82">
          <cell r="A82" t="str">
            <v>PI 18</v>
          </cell>
          <cell r="B82" t="str">
            <v>Braço curvo p/ iluminação pública padrão CELESC</v>
          </cell>
          <cell r="C82" t="str">
            <v xml:space="preserve"> </v>
          </cell>
          <cell r="D82" t="str">
            <v xml:space="preserve"> </v>
          </cell>
          <cell r="E82" t="str">
            <v>un</v>
          </cell>
          <cell r="F82">
            <v>87</v>
          </cell>
          <cell r="G82">
            <v>6.33</v>
          </cell>
        </row>
        <row r="83">
          <cell r="A83" t="str">
            <v>PI 20</v>
          </cell>
          <cell r="B83" t="str">
            <v>Poste de concreto duplo T 10m, 150 daN</v>
          </cell>
          <cell r="C83" t="str">
            <v xml:space="preserve"> </v>
          </cell>
          <cell r="D83" t="str">
            <v xml:space="preserve"> </v>
          </cell>
          <cell r="E83" t="str">
            <v>un</v>
          </cell>
          <cell r="F83">
            <v>30</v>
          </cell>
          <cell r="G83">
            <v>200</v>
          </cell>
        </row>
        <row r="84">
          <cell r="A84" t="str">
            <v>PI 24</v>
          </cell>
          <cell r="B84" t="str">
            <v>Fita elétrica auto fusão a base de borracha EPR</v>
          </cell>
          <cell r="C84" t="str">
            <v xml:space="preserve"> </v>
          </cell>
          <cell r="D84" t="str">
            <v xml:space="preserve"> </v>
          </cell>
          <cell r="E84" t="str">
            <v>un</v>
          </cell>
          <cell r="F84">
            <v>5</v>
          </cell>
          <cell r="G84">
            <v>6.39</v>
          </cell>
        </row>
        <row r="85">
          <cell r="A85" t="str">
            <v>PI 25</v>
          </cell>
          <cell r="B85" t="str">
            <v>Fita adesiva plástica isolante</v>
          </cell>
          <cell r="C85" t="str">
            <v xml:space="preserve"> </v>
          </cell>
          <cell r="D85" t="str">
            <v xml:space="preserve"> </v>
          </cell>
          <cell r="E85" t="str">
            <v>un</v>
          </cell>
          <cell r="F85">
            <v>8</v>
          </cell>
          <cell r="G85">
            <v>3.84</v>
          </cell>
        </row>
        <row r="86">
          <cell r="A86" t="str">
            <v>PI 30</v>
          </cell>
          <cell r="B86" t="str">
            <v>Haste para aterramento aço-cobre D 13x2400mm</v>
          </cell>
          <cell r="C86" t="str">
            <v xml:space="preserve"> </v>
          </cell>
          <cell r="D86" t="str">
            <v xml:space="preserve"> </v>
          </cell>
          <cell r="E86" t="str">
            <v>un</v>
          </cell>
          <cell r="F86">
            <v>30</v>
          </cell>
          <cell r="G86">
            <v>6.04</v>
          </cell>
        </row>
        <row r="87">
          <cell r="A87" t="str">
            <v>PI 31</v>
          </cell>
          <cell r="B87" t="str">
            <v>Cabo de cobre nú meio duro, 7 fios 2AWG</v>
          </cell>
          <cell r="C87" t="str">
            <v xml:space="preserve"> </v>
          </cell>
          <cell r="D87" t="str">
            <v xml:space="preserve"> </v>
          </cell>
          <cell r="E87" t="str">
            <v>kg</v>
          </cell>
          <cell r="F87">
            <v>18</v>
          </cell>
          <cell r="G87">
            <v>7.02</v>
          </cell>
        </row>
        <row r="88">
          <cell r="A88" t="str">
            <v>PI 36</v>
          </cell>
          <cell r="B88" t="str">
            <v>Construção de embasamento p/ poste tipo engastado, concreto duplo T, 10m de altura</v>
          </cell>
          <cell r="C88" t="str">
            <v xml:space="preserve"> </v>
          </cell>
          <cell r="D88" t="str">
            <v xml:space="preserve"> </v>
          </cell>
          <cell r="E88" t="str">
            <v>un</v>
          </cell>
          <cell r="F88">
            <v>30</v>
          </cell>
          <cell r="G88">
            <v>285</v>
          </cell>
        </row>
        <row r="89">
          <cell r="A89" t="str">
            <v>PI 39</v>
          </cell>
          <cell r="B89" t="str">
            <v>Fixação de haste de terra e conexão ao neutro</v>
          </cell>
          <cell r="C89" t="str">
            <v xml:space="preserve"> </v>
          </cell>
          <cell r="D89" t="str">
            <v xml:space="preserve"> </v>
          </cell>
          <cell r="E89" t="str">
            <v>un</v>
          </cell>
          <cell r="F89">
            <v>30</v>
          </cell>
          <cell r="G89">
            <v>35</v>
          </cell>
        </row>
        <row r="90">
          <cell r="A90" t="str">
            <v>PI 45</v>
          </cell>
          <cell r="B90" t="str">
            <v>Montagem eletromecânica de luminária padrão CELESC em poste de 11m de altura, duplo T,c/ fixação dos equip.e conexões elétricos</v>
          </cell>
          <cell r="C90" t="str">
            <v xml:space="preserve"> </v>
          </cell>
          <cell r="D90" t="str">
            <v xml:space="preserve"> </v>
          </cell>
          <cell r="E90" t="str">
            <v>un</v>
          </cell>
          <cell r="F90">
            <v>87</v>
          </cell>
          <cell r="G90">
            <v>35</v>
          </cell>
        </row>
        <row r="91">
          <cell r="A91" t="str">
            <v>PI 48</v>
          </cell>
          <cell r="B91" t="str">
            <v>Armação secundária p/ 2 estribo</v>
          </cell>
          <cell r="C91" t="str">
            <v xml:space="preserve"> </v>
          </cell>
          <cell r="D91" t="str">
            <v xml:space="preserve"> </v>
          </cell>
          <cell r="E91" t="str">
            <v>un</v>
          </cell>
          <cell r="F91">
            <v>60</v>
          </cell>
          <cell r="G91">
            <v>7.5</v>
          </cell>
        </row>
        <row r="92">
          <cell r="A92" t="str">
            <v>PI 49</v>
          </cell>
          <cell r="B92" t="str">
            <v>Armação secundária p/ 1 estribo</v>
          </cell>
          <cell r="C92" t="str">
            <v xml:space="preserve"> </v>
          </cell>
          <cell r="D92" t="str">
            <v xml:space="preserve"> </v>
          </cell>
          <cell r="E92" t="str">
            <v>un</v>
          </cell>
          <cell r="F92">
            <v>30</v>
          </cell>
          <cell r="G92">
            <v>3.5</v>
          </cell>
        </row>
        <row r="93">
          <cell r="A93" t="str">
            <v>PI 61</v>
          </cell>
          <cell r="B93" t="str">
            <v>Isolador de roldana</v>
          </cell>
          <cell r="C93" t="str">
            <v xml:space="preserve"> </v>
          </cell>
          <cell r="D93" t="str">
            <v xml:space="preserve"> </v>
          </cell>
          <cell r="E93" t="str">
            <v>un</v>
          </cell>
          <cell r="F93">
            <v>150</v>
          </cell>
          <cell r="G93">
            <v>4.5</v>
          </cell>
        </row>
        <row r="94">
          <cell r="A94" t="str">
            <v>PI 65</v>
          </cell>
          <cell r="B94" t="str">
            <v>Cabo de alumínio 1/0</v>
          </cell>
          <cell r="C94" t="str">
            <v xml:space="preserve"> </v>
          </cell>
          <cell r="D94" t="str">
            <v xml:space="preserve"> </v>
          </cell>
          <cell r="E94" t="str">
            <v>m</v>
          </cell>
          <cell r="F94">
            <v>2880</v>
          </cell>
          <cell r="G94">
            <v>1.7</v>
          </cell>
        </row>
        <row r="95">
          <cell r="A95" t="str">
            <v>PI 69</v>
          </cell>
          <cell r="B95" t="str">
            <v>Instalação de poste concreto duplo T, 10m de altura, engastado</v>
          </cell>
          <cell r="C95" t="str">
            <v xml:space="preserve"> </v>
          </cell>
          <cell r="D95" t="str">
            <v xml:space="preserve"> </v>
          </cell>
          <cell r="E95" t="str">
            <v>un</v>
          </cell>
          <cell r="F95">
            <v>2</v>
          </cell>
          <cell r="G95">
            <v>200</v>
          </cell>
        </row>
        <row r="96">
          <cell r="A96" t="str">
            <v>R16</v>
          </cell>
          <cell r="B96" t="str">
            <v>Remanejamento de Poste de Concreto 10/150 c/ 1 pétala (400W) instalado</v>
          </cell>
          <cell r="C96" t="str">
            <v xml:space="preserve"> </v>
          </cell>
          <cell r="D96" t="str">
            <v xml:space="preserve"> </v>
          </cell>
          <cell r="E96" t="str">
            <v>un</v>
          </cell>
          <cell r="F96">
            <v>12</v>
          </cell>
          <cell r="G96">
            <v>150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 val="Dados"/>
      <sheetName val="Plan1"/>
      <sheetName val="AUX."/>
      <sheetName val="Real"/>
      <sheetName val="Calendário"/>
      <sheetName val="Resumo Vertical"/>
      <sheetName val="PATO - BR - 425 aditivo"/>
      <sheetName val="1-_QUADRO_DE_QUANTIDADE_(2)"/>
      <sheetName val="Transporte_5m³"/>
      <sheetName val="Transporte_4m³"/>
      <sheetName val="Transporte_4t"/>
      <sheetName val="Transporte_Mat__Frio"/>
      <sheetName val="Cronograma_(2)"/>
      <sheetName val="ESTUDO_PREÇOS"/>
      <sheetName val="BANCO"/>
      <sheetName val="Índices_de_Reajustamento"/>
      <sheetName val="PROJETO"/>
      <sheetName val="dez00"/>
      <sheetName val="DG"/>
      <sheetName val="1-_QUADRO_DE_QUANTIDADE_(2)1"/>
      <sheetName val="Transporte_5m³1"/>
      <sheetName val="Transporte_4m³1"/>
      <sheetName val="Transporte_4t1"/>
      <sheetName val="Transporte_Mat__Frio1"/>
      <sheetName val="Cronograma_(2)1"/>
      <sheetName val="ESTUDO_PREÇOS1"/>
      <sheetName val="SERVIÇOS"/>
      <sheetName val="Teor"/>
      <sheetName val="INVENTÁRIO"/>
      <sheetName val="Orçamentária"/>
      <sheetName val="Conversão"/>
      <sheetName val="ORÇAMENTO"/>
      <sheetName val="PT"/>
      <sheetName val="COMPOSIÇÕES"/>
      <sheetName val="CUSTO_EQP-VTR"/>
      <sheetName val="ÍNDICE"/>
      <sheetName val="TapaBuraco"/>
      <sheetName val="QuQuant"/>
      <sheetName val="Indices"/>
      <sheetName val="RESU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 val="Dados"/>
      <sheetName val="Plan1"/>
      <sheetName val="PATO - BR - 425 aditivo"/>
      <sheetName val="QuQu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ExecuçServiços"/>
      <sheetName val="PARADA DE ÔNIBUS"/>
      <sheetName val="ACESSO TIPO II"/>
      <sheetName val="Faixas adic."/>
      <sheetName val="RESUMO reordenamento"/>
      <sheetName val="MODELO PARA ORÇAMENTO"/>
      <sheetName val="DER janeiro98"/>
      <sheetName val="orcID nº1"/>
      <sheetName val="orc ID nº12"/>
      <sheetName val="orc ID nº13"/>
      <sheetName val="orc ID nº 14"/>
      <sheetName val="orc ID nº 15"/>
      <sheetName val="orc ID nº16"/>
      <sheetName val="orc ID nº17"/>
      <sheetName val="orc ID nº 18"/>
      <sheetName val="orc ID nº19"/>
      <sheetName val="orc ID nº2 "/>
      <sheetName val="orc ID nº3"/>
      <sheetName val="orcID nº4"/>
      <sheetName val="orcID nº5"/>
      <sheetName val="orcID nº6"/>
      <sheetName val="orcID nº7"/>
      <sheetName val="orc ID nº8"/>
      <sheetName val="orc ID nº9"/>
      <sheetName val="1.6"/>
      <sheetName val="Sub Base sim"/>
      <sheetName val="carimbo de nota"/>
      <sheetName val="Capa Documentação"/>
      <sheetName val="Capa Anexo III"/>
      <sheetName val="Capa Anexo IV"/>
      <sheetName val="POR EXTENSO"/>
      <sheetName val="projeto"/>
      <sheetName val="resumo_aut1"/>
      <sheetName val="Price List"/>
      <sheetName val="P reaj x P atual"/>
      <sheetName val="FRESA"/>
      <sheetName val="RO"/>
      <sheetName val="DRENO"/>
      <sheetName val="ESC MEC "/>
      <sheetName val="MICRO"/>
      <sheetName val="RMECCGP"/>
      <sheetName val="RMECREVBET"/>
      <sheetName val="RP"/>
      <sheetName val="CDF"/>
      <sheetName val="ROÇCOL"/>
      <sheetName val="composições"/>
      <sheetName val="Mão de Obra"/>
      <sheetName val="p a t o 99 b"/>
      <sheetName val="61M-CBMI"/>
      <sheetName val="pro-08"/>
    </sheetNames>
    <sheetDataSet>
      <sheetData sheetId="0">
        <row r="1">
          <cell r="A1" t="str">
            <v>CÓDIGO</v>
          </cell>
        </row>
      </sheetData>
      <sheetData sheetId="1" refreshError="1"/>
      <sheetData sheetId="2" refreshError="1"/>
      <sheetData sheetId="3" refreshError="1"/>
      <sheetData sheetId="4"/>
      <sheetData sheetId="5" refreshError="1"/>
      <sheetData sheetId="6">
        <row r="1">
          <cell r="A1" t="str">
            <v>CÓDIGO</v>
          </cell>
          <cell r="B1" t="str">
            <v>SERVIÇO</v>
          </cell>
          <cell r="C1" t="str">
            <v>UNIDADE</v>
          </cell>
          <cell r="D1" t="str">
            <v>sisNORTE</v>
          </cell>
        </row>
        <row r="2">
          <cell r="D2" t="str">
            <v>(R$)1/98</v>
          </cell>
        </row>
        <row r="3">
          <cell r="A3">
            <v>45000</v>
          </cell>
          <cell r="B3" t="str">
            <v>Extração e carga de areia</v>
          </cell>
          <cell r="C3" t="str">
            <v>m³</v>
          </cell>
          <cell r="D3">
            <v>3.24</v>
          </cell>
        </row>
        <row r="4">
          <cell r="A4">
            <v>45005</v>
          </cell>
          <cell r="B4" t="str">
            <v>Extração e carga de seixo com DRAG-LINE</v>
          </cell>
          <cell r="C4" t="str">
            <v>m³</v>
          </cell>
          <cell r="D4">
            <v>2.2599999999999998</v>
          </cell>
        </row>
        <row r="5">
          <cell r="A5">
            <v>45010</v>
          </cell>
          <cell r="B5" t="str">
            <v>Extração e carga de seixo com trator</v>
          </cell>
          <cell r="C5" t="str">
            <v>m³</v>
          </cell>
          <cell r="D5">
            <v>1.82</v>
          </cell>
        </row>
        <row r="6">
          <cell r="A6">
            <v>45015</v>
          </cell>
          <cell r="B6" t="str">
            <v>Extração de rocha para britagem</v>
          </cell>
          <cell r="C6" t="str">
            <v>m³</v>
          </cell>
          <cell r="D6">
            <v>3.97</v>
          </cell>
        </row>
        <row r="7">
          <cell r="A7">
            <v>45020</v>
          </cell>
          <cell r="B7" t="str">
            <v>Fogacho para rocha extraída</v>
          </cell>
          <cell r="C7" t="str">
            <v>m³</v>
          </cell>
          <cell r="D7">
            <v>8.14</v>
          </cell>
        </row>
        <row r="8">
          <cell r="A8">
            <v>45025</v>
          </cell>
          <cell r="B8" t="str">
            <v>Extração de rocha e fogacho</v>
          </cell>
          <cell r="C8" t="str">
            <v>m³</v>
          </cell>
          <cell r="D8">
            <v>5.19</v>
          </cell>
        </row>
        <row r="9">
          <cell r="A9">
            <v>45030</v>
          </cell>
          <cell r="B9" t="str">
            <v>Carga e transporte da rocha da pedreira para o britador</v>
          </cell>
          <cell r="C9" t="str">
            <v>m³</v>
          </cell>
          <cell r="D9">
            <v>4.82</v>
          </cell>
        </row>
        <row r="10">
          <cell r="A10">
            <v>45035</v>
          </cell>
          <cell r="B10" t="str">
            <v>Carregamento de seixo</v>
          </cell>
          <cell r="C10" t="str">
            <v>m³</v>
          </cell>
          <cell r="D10">
            <v>0.45</v>
          </cell>
        </row>
        <row r="11">
          <cell r="A11">
            <v>45040</v>
          </cell>
          <cell r="B11" t="str">
            <v>Britagem de seixo</v>
          </cell>
          <cell r="C11" t="str">
            <v>m³</v>
          </cell>
          <cell r="D11">
            <v>6.88</v>
          </cell>
        </row>
        <row r="12">
          <cell r="A12">
            <v>45045</v>
          </cell>
          <cell r="B12" t="str">
            <v>Extração , carga e transporte de rocha até o britador</v>
          </cell>
          <cell r="C12" t="str">
            <v>m³</v>
          </cell>
          <cell r="D12">
            <v>10.02</v>
          </cell>
        </row>
        <row r="13">
          <cell r="A13">
            <v>45050</v>
          </cell>
          <cell r="B13" t="str">
            <v>Britagem primária - produção de pedra pulmão D &lt;=10 cm</v>
          </cell>
          <cell r="C13" t="str">
            <v>m³</v>
          </cell>
          <cell r="D13">
            <v>9.91</v>
          </cell>
        </row>
        <row r="14">
          <cell r="A14">
            <v>45055</v>
          </cell>
          <cell r="B14" t="str">
            <v>Bica corrida (produção de brita)</v>
          </cell>
          <cell r="C14" t="str">
            <v>m³</v>
          </cell>
          <cell r="D14">
            <v>10.87</v>
          </cell>
        </row>
        <row r="15">
          <cell r="A15">
            <v>45060</v>
          </cell>
          <cell r="B15" t="str">
            <v>Britagem de rocha - produção de brita</v>
          </cell>
          <cell r="C15" t="str">
            <v>m³</v>
          </cell>
          <cell r="D15">
            <v>12.44</v>
          </cell>
        </row>
        <row r="16">
          <cell r="A16">
            <v>45070</v>
          </cell>
          <cell r="B16" t="str">
            <v>Escavação e carga de materiais de 1a. categoria</v>
          </cell>
          <cell r="C16" t="str">
            <v>m³</v>
          </cell>
          <cell r="D16">
            <v>1.54</v>
          </cell>
        </row>
        <row r="17">
          <cell r="A17">
            <v>45075</v>
          </cell>
          <cell r="B17" t="str">
            <v>Escavação e carga de materiais de 2a. categoria</v>
          </cell>
          <cell r="C17" t="str">
            <v>m³</v>
          </cell>
          <cell r="D17">
            <v>2.4</v>
          </cell>
        </row>
        <row r="18">
          <cell r="A18">
            <v>45080</v>
          </cell>
          <cell r="B18" t="str">
            <v>Produção de seixo peneirado</v>
          </cell>
          <cell r="C18" t="str">
            <v>m³</v>
          </cell>
          <cell r="D18">
            <v>3.39</v>
          </cell>
        </row>
        <row r="19">
          <cell r="A19">
            <v>45085</v>
          </cell>
          <cell r="B19" t="str">
            <v>Produção de seixo parcialmente britado e peneirado</v>
          </cell>
          <cell r="C19" t="str">
            <v>m³</v>
          </cell>
          <cell r="D19">
            <v>4.41</v>
          </cell>
        </row>
        <row r="20">
          <cell r="A20">
            <v>45090</v>
          </cell>
          <cell r="B20" t="str">
            <v>Seixo retido na peneira 2"</v>
          </cell>
          <cell r="C20" t="str">
            <v>m³</v>
          </cell>
          <cell r="D20">
            <v>3.4</v>
          </cell>
        </row>
        <row r="21">
          <cell r="A21">
            <v>45095</v>
          </cell>
          <cell r="B21" t="str">
            <v>Carregamento de brita para drenagem e O.A.C.</v>
          </cell>
          <cell r="C21" t="str">
            <v>m³</v>
          </cell>
          <cell r="D21">
            <v>0.56000000000000005</v>
          </cell>
        </row>
        <row r="22">
          <cell r="A22">
            <v>45100</v>
          </cell>
          <cell r="B22" t="str">
            <v>Material jazida 1a categoria</v>
          </cell>
          <cell r="C22" t="str">
            <v>m³</v>
          </cell>
          <cell r="D22">
            <v>1.54</v>
          </cell>
        </row>
        <row r="23">
          <cell r="A23">
            <v>45105</v>
          </cell>
          <cell r="B23" t="str">
            <v>Escavação e carga de material de 2a categoria</v>
          </cell>
          <cell r="C23" t="str">
            <v>m³</v>
          </cell>
          <cell r="D23">
            <v>2.38</v>
          </cell>
        </row>
        <row r="24">
          <cell r="A24">
            <v>45110</v>
          </cell>
          <cell r="B24" t="str">
            <v>Extração do material de 3a categoria para terraplenagem</v>
          </cell>
          <cell r="C24" t="str">
            <v>m³</v>
          </cell>
          <cell r="D24">
            <v>6.3</v>
          </cell>
        </row>
        <row r="25">
          <cell r="A25">
            <v>45115</v>
          </cell>
          <cell r="B25" t="str">
            <v>Carga do material de 3a categoria</v>
          </cell>
          <cell r="C25" t="str">
            <v>m³</v>
          </cell>
          <cell r="D25">
            <v>2.1800000000000002</v>
          </cell>
        </row>
        <row r="26">
          <cell r="A26">
            <v>45120</v>
          </cell>
          <cell r="B26" t="str">
            <v>Espalhamento do material de 3a categoria</v>
          </cell>
          <cell r="C26" t="str">
            <v>m³</v>
          </cell>
          <cell r="D26">
            <v>0.3</v>
          </cell>
        </row>
        <row r="27">
          <cell r="A27">
            <v>45125</v>
          </cell>
          <cell r="B27" t="str">
            <v>Escavação carga e espalhamento de material de 3a. categoria</v>
          </cell>
          <cell r="C27" t="str">
            <v>m³</v>
          </cell>
          <cell r="D27">
            <v>8.7799999999999994</v>
          </cell>
        </row>
        <row r="28">
          <cell r="A28">
            <v>45210</v>
          </cell>
          <cell r="B28" t="str">
            <v>Concreto magro</v>
          </cell>
          <cell r="C28" t="str">
            <v>m³</v>
          </cell>
          <cell r="D28">
            <v>87.09</v>
          </cell>
        </row>
        <row r="29">
          <cell r="A29">
            <v>45215</v>
          </cell>
          <cell r="B29" t="str">
            <v>Concreto magro com brita comercial</v>
          </cell>
          <cell r="C29" t="str">
            <v>m³</v>
          </cell>
          <cell r="D29">
            <v>103.07</v>
          </cell>
        </row>
        <row r="30">
          <cell r="A30">
            <v>45220</v>
          </cell>
          <cell r="B30" t="str">
            <v>Concreto fck 9 MPa</v>
          </cell>
          <cell r="C30" t="str">
            <v>m³</v>
          </cell>
          <cell r="D30">
            <v>102.67</v>
          </cell>
        </row>
        <row r="31">
          <cell r="A31">
            <v>45225</v>
          </cell>
          <cell r="B31" t="str">
            <v>Concreto fck 9 MPa com brita comercial</v>
          </cell>
          <cell r="C31" t="str">
            <v>m³</v>
          </cell>
          <cell r="D31">
            <v>116.3</v>
          </cell>
        </row>
        <row r="32">
          <cell r="A32">
            <v>45230</v>
          </cell>
          <cell r="B32" t="str">
            <v xml:space="preserve">Concreto fck 11 MPa </v>
          </cell>
          <cell r="C32" t="str">
            <v>m³</v>
          </cell>
          <cell r="D32">
            <v>108.67</v>
          </cell>
        </row>
        <row r="33">
          <cell r="A33">
            <v>45235</v>
          </cell>
          <cell r="B33" t="str">
            <v>Concreto fck 11 MPa com brita comercial</v>
          </cell>
          <cell r="C33" t="str">
            <v>m³</v>
          </cell>
          <cell r="D33">
            <v>122.71</v>
          </cell>
        </row>
        <row r="34">
          <cell r="A34">
            <v>45240</v>
          </cell>
          <cell r="B34" t="str">
            <v xml:space="preserve">Concreto fck 15 MPa </v>
          </cell>
          <cell r="C34" t="str">
            <v>m³</v>
          </cell>
          <cell r="D34">
            <v>115.68</v>
          </cell>
        </row>
        <row r="35">
          <cell r="A35">
            <v>45245</v>
          </cell>
          <cell r="B35" t="str">
            <v>Concreto fck 15 MPa com brita comercial</v>
          </cell>
          <cell r="C35" t="str">
            <v>m³</v>
          </cell>
          <cell r="D35">
            <v>127.79</v>
          </cell>
        </row>
        <row r="36">
          <cell r="A36">
            <v>45250</v>
          </cell>
          <cell r="B36" t="str">
            <v>Concreto Poroso</v>
          </cell>
          <cell r="C36" t="str">
            <v>m³</v>
          </cell>
          <cell r="D36">
            <v>116.3</v>
          </cell>
        </row>
        <row r="37">
          <cell r="A37">
            <v>45255</v>
          </cell>
          <cell r="B37" t="str">
            <v>Concreto poroso com brita comercial</v>
          </cell>
          <cell r="C37" t="str">
            <v>m³</v>
          </cell>
          <cell r="D37">
            <v>133.1</v>
          </cell>
        </row>
        <row r="38">
          <cell r="A38">
            <v>45260</v>
          </cell>
          <cell r="B38" t="str">
            <v>Concreto ciclopico fck 11 MPa</v>
          </cell>
          <cell r="C38" t="str">
            <v>m³</v>
          </cell>
          <cell r="D38">
            <v>93.84</v>
          </cell>
        </row>
        <row r="39">
          <cell r="A39">
            <v>45265</v>
          </cell>
          <cell r="B39" t="str">
            <v>Concreto ciclopico fck 11 MPa com brita comercial</v>
          </cell>
          <cell r="C39" t="str">
            <v>m³</v>
          </cell>
          <cell r="D39">
            <v>103.67</v>
          </cell>
        </row>
        <row r="40">
          <cell r="A40">
            <v>45270</v>
          </cell>
          <cell r="B40" t="str">
            <v>Concreto ciclopico fck 15 MPa</v>
          </cell>
          <cell r="C40" t="str">
            <v>m³</v>
          </cell>
          <cell r="D40">
            <v>98.75</v>
          </cell>
        </row>
        <row r="41">
          <cell r="A41">
            <v>45275</v>
          </cell>
          <cell r="B41" t="str">
            <v>Concreto ciclopico fck 15 MPa com brita comercial</v>
          </cell>
          <cell r="C41" t="str">
            <v>m³</v>
          </cell>
          <cell r="D41">
            <v>107.23</v>
          </cell>
        </row>
        <row r="42">
          <cell r="A42">
            <v>45280</v>
          </cell>
          <cell r="B42" t="str">
            <v>Argamassa de cimento e areia 1:4</v>
          </cell>
          <cell r="C42" t="str">
            <v>m³</v>
          </cell>
          <cell r="D42">
            <v>103.72</v>
          </cell>
        </row>
        <row r="43">
          <cell r="A43">
            <v>45285</v>
          </cell>
          <cell r="B43" t="str">
            <v>Argamassa de cimento e areia 1:3</v>
          </cell>
          <cell r="C43" t="str">
            <v>m³</v>
          </cell>
          <cell r="D43">
            <v>120.94</v>
          </cell>
        </row>
        <row r="44">
          <cell r="A44">
            <v>45290</v>
          </cell>
          <cell r="B44" t="str">
            <v>Formas comuns de madeira com reaproveitamento de duas vezes</v>
          </cell>
          <cell r="C44" t="str">
            <v>m²</v>
          </cell>
          <cell r="D44">
            <v>22.28</v>
          </cell>
        </row>
        <row r="45">
          <cell r="A45">
            <v>45295</v>
          </cell>
          <cell r="B45" t="str">
            <v>Escoramento para bueiros celulares</v>
          </cell>
          <cell r="C45" t="str">
            <v>m³</v>
          </cell>
          <cell r="D45">
            <v>9.67</v>
          </cell>
        </row>
        <row r="46">
          <cell r="A46">
            <v>45300</v>
          </cell>
          <cell r="B46" t="str">
            <v>Armadura aço CA-25 fornecimento dobragem e colocação</v>
          </cell>
          <cell r="C46" t="str">
            <v>kg</v>
          </cell>
          <cell r="D46">
            <v>2.0299999999999998</v>
          </cell>
        </row>
        <row r="47">
          <cell r="A47">
            <v>45305</v>
          </cell>
          <cell r="B47" t="str">
            <v>Armadura aço CA-50 fornecimento dobragem e colocação</v>
          </cell>
          <cell r="C47" t="str">
            <v>kg</v>
          </cell>
          <cell r="D47">
            <v>2.11</v>
          </cell>
        </row>
        <row r="48">
          <cell r="A48">
            <v>45310</v>
          </cell>
          <cell r="B48" t="str">
            <v>Armadura aço CA-60 fornecimento dobragem e colocação</v>
          </cell>
          <cell r="C48" t="str">
            <v>kg</v>
          </cell>
          <cell r="D48">
            <v>2.38</v>
          </cell>
        </row>
        <row r="49">
          <cell r="A49">
            <v>45315</v>
          </cell>
          <cell r="B49" t="str">
            <v>Lastro de brita</v>
          </cell>
          <cell r="C49" t="str">
            <v>m³</v>
          </cell>
          <cell r="D49">
            <v>25.13</v>
          </cell>
        </row>
        <row r="50">
          <cell r="A50">
            <v>45320</v>
          </cell>
          <cell r="B50" t="str">
            <v>Lastro de brita com brita comercial</v>
          </cell>
          <cell r="C50" t="str">
            <v>m³</v>
          </cell>
          <cell r="D50">
            <v>46.72</v>
          </cell>
        </row>
        <row r="51">
          <cell r="A51">
            <v>45335</v>
          </cell>
          <cell r="B51" t="str">
            <v>Enrocamento de pedra jogada com pedra do primário</v>
          </cell>
          <cell r="C51" t="str">
            <v>m³</v>
          </cell>
          <cell r="D51">
            <v>12.12</v>
          </cell>
        </row>
        <row r="52">
          <cell r="A52">
            <v>45340</v>
          </cell>
          <cell r="B52" t="str">
            <v>Enrocamento pedra arrumada</v>
          </cell>
          <cell r="C52" t="str">
            <v>m³</v>
          </cell>
          <cell r="D52">
            <v>22.83</v>
          </cell>
        </row>
        <row r="53">
          <cell r="A53">
            <v>45345</v>
          </cell>
          <cell r="B53" t="str">
            <v>Alvenaria de pedra-de-mão argamassada</v>
          </cell>
          <cell r="C53" t="str">
            <v>m³</v>
          </cell>
          <cell r="D53">
            <v>62.17</v>
          </cell>
        </row>
        <row r="54">
          <cell r="A54">
            <v>45350</v>
          </cell>
          <cell r="B54" t="str">
            <v>Alvenaria de tijolos maciços p/ parede de 20cm</v>
          </cell>
          <cell r="C54" t="str">
            <v>m²</v>
          </cell>
          <cell r="D54">
            <v>47.7</v>
          </cell>
        </row>
        <row r="55">
          <cell r="A55">
            <v>46000</v>
          </cell>
          <cell r="B55" t="str">
            <v>Torre de madeira para cravação de tubulação (OAE)</v>
          </cell>
          <cell r="C55" t="str">
            <v>m</v>
          </cell>
          <cell r="D55">
            <v>450.9</v>
          </cell>
        </row>
        <row r="56">
          <cell r="A56">
            <v>46010</v>
          </cell>
          <cell r="B56" t="str">
            <v>Argamassa de cimento e areia 1:4 preparo e materiais (OAE)</v>
          </cell>
          <cell r="C56" t="str">
            <v>m³</v>
          </cell>
          <cell r="D56">
            <v>104.93</v>
          </cell>
        </row>
        <row r="57">
          <cell r="A57">
            <v>46020</v>
          </cell>
          <cell r="B57" t="str">
            <v>Formas de madeira (OAE)</v>
          </cell>
          <cell r="C57" t="str">
            <v>m²</v>
          </cell>
          <cell r="D57">
            <v>29.37</v>
          </cell>
        </row>
        <row r="58">
          <cell r="A58">
            <v>46030</v>
          </cell>
          <cell r="B58" t="str">
            <v>Armadura aço CA-50 fornec. dobr. e colocação (OAE)</v>
          </cell>
          <cell r="C58" t="str">
            <v>kg</v>
          </cell>
          <cell r="D58">
            <v>2.2000000000000002</v>
          </cell>
        </row>
        <row r="59">
          <cell r="A59">
            <v>46040</v>
          </cell>
          <cell r="B59" t="str">
            <v>Concreto fck 15 MPa - preparo lançamento e cura (OAE)</v>
          </cell>
          <cell r="C59" t="str">
            <v>m³</v>
          </cell>
          <cell r="D59">
            <v>129.38</v>
          </cell>
        </row>
        <row r="60">
          <cell r="A60">
            <v>46050</v>
          </cell>
          <cell r="B60" t="str">
            <v>Concreto fck 18 MPa - preparo lançamento e cura (OAE)</v>
          </cell>
          <cell r="C60" t="str">
            <v>m³</v>
          </cell>
          <cell r="D60">
            <v>134.74</v>
          </cell>
        </row>
        <row r="61">
          <cell r="A61">
            <v>46070</v>
          </cell>
          <cell r="B61" t="str">
            <v>Demolição de estrutura em concreto simples (OAE)</v>
          </cell>
          <cell r="C61" t="str">
            <v>m³</v>
          </cell>
          <cell r="D61">
            <v>13.96</v>
          </cell>
        </row>
        <row r="62">
          <cell r="A62">
            <v>46080</v>
          </cell>
          <cell r="B62" t="str">
            <v>Demolição de estrutura em concreto armado (OAE)</v>
          </cell>
          <cell r="C62" t="str">
            <v>m³</v>
          </cell>
          <cell r="D62">
            <v>27.9</v>
          </cell>
        </row>
        <row r="63">
          <cell r="A63">
            <v>46090</v>
          </cell>
          <cell r="B63" t="str">
            <v>Aterro para vedação de ensecadeiras (OAE)</v>
          </cell>
          <cell r="C63" t="str">
            <v>m³</v>
          </cell>
          <cell r="D63">
            <v>7.52</v>
          </cell>
        </row>
        <row r="64">
          <cell r="A64">
            <v>46100</v>
          </cell>
          <cell r="B64" t="str">
            <v>Ensecadeiras duplas (OAE)</v>
          </cell>
          <cell r="C64" t="str">
            <v>m²</v>
          </cell>
          <cell r="D64">
            <v>157.55000000000001</v>
          </cell>
        </row>
        <row r="65">
          <cell r="A65">
            <v>50000</v>
          </cell>
          <cell r="B65" t="str">
            <v>Desmatamento e limpeza do terreno - condição1</v>
          </cell>
          <cell r="C65" t="str">
            <v>m²</v>
          </cell>
          <cell r="D65">
            <v>0.15</v>
          </cell>
        </row>
        <row r="66">
          <cell r="A66">
            <v>50001</v>
          </cell>
          <cell r="B66" t="str">
            <v>Desmatamento e limpeza do terreno - condição2</v>
          </cell>
          <cell r="C66" t="str">
            <v>m²</v>
          </cell>
          <cell r="D66">
            <v>0.47</v>
          </cell>
        </row>
        <row r="67">
          <cell r="A67">
            <v>50002</v>
          </cell>
          <cell r="B67" t="str">
            <v>Desmatamento e limpeza do terreno - condição3</v>
          </cell>
          <cell r="C67" t="str">
            <v>m²</v>
          </cell>
          <cell r="D67">
            <v>1.41</v>
          </cell>
        </row>
        <row r="68">
          <cell r="A68">
            <v>50003</v>
          </cell>
          <cell r="B68" t="str">
            <v>Desmatamento e limpeza do terreno - condição4</v>
          </cell>
          <cell r="C68" t="str">
            <v>m²</v>
          </cell>
          <cell r="D68">
            <v>2.0499999999999998</v>
          </cell>
        </row>
        <row r="69">
          <cell r="A69">
            <v>50010</v>
          </cell>
          <cell r="B69" t="str">
            <v>Esc. carga e transp. de mat. clas. 1a cat DMT&lt;= 50 m</v>
          </cell>
          <cell r="C69" t="str">
            <v>m³</v>
          </cell>
          <cell r="D69">
            <v>0.83</v>
          </cell>
        </row>
        <row r="70">
          <cell r="A70">
            <v>50020</v>
          </cell>
          <cell r="B70" t="str">
            <v>Esc. carga e transp. de mat. clas 1a cat 50&lt;DMT&lt;=100 m</v>
          </cell>
          <cell r="C70" t="str">
            <v>m³</v>
          </cell>
          <cell r="D70">
            <v>1.43</v>
          </cell>
        </row>
        <row r="71">
          <cell r="A71">
            <v>50030</v>
          </cell>
          <cell r="B71" t="str">
            <v>Esc. carga e transp. de mat. clas 1a cat 100&lt;DMT&lt;=150 m</v>
          </cell>
          <cell r="C71" t="str">
            <v>m³</v>
          </cell>
          <cell r="D71">
            <v>1.5</v>
          </cell>
        </row>
        <row r="72">
          <cell r="A72">
            <v>50040</v>
          </cell>
          <cell r="B72" t="str">
            <v>Esc. carga e transp. de mat. clas 1a cat 150&lt;DMT&lt;=200 m</v>
          </cell>
          <cell r="C72" t="str">
            <v>m³</v>
          </cell>
          <cell r="D72">
            <v>1.52</v>
          </cell>
        </row>
        <row r="73">
          <cell r="A73">
            <v>50050</v>
          </cell>
          <cell r="B73" t="str">
            <v>Esc. carga e transp. de mat. clas 1a cat 200&lt;DMT&lt;=250 m</v>
          </cell>
          <cell r="C73" t="str">
            <v>m³</v>
          </cell>
          <cell r="D73">
            <v>1.69</v>
          </cell>
        </row>
        <row r="74">
          <cell r="A74">
            <v>50060</v>
          </cell>
          <cell r="B74" t="str">
            <v>Esc. carga e transp. de mat. clas 1a cat 250&lt;DMT&lt;=300 m</v>
          </cell>
          <cell r="C74" t="str">
            <v>m³</v>
          </cell>
          <cell r="D74">
            <v>1.8</v>
          </cell>
        </row>
        <row r="75">
          <cell r="A75">
            <v>50070</v>
          </cell>
          <cell r="B75" t="str">
            <v>Esc. carga e transp. de mat. clas 1a cat 300&lt;DMT&lt;=350 m</v>
          </cell>
          <cell r="C75" t="str">
            <v>m³</v>
          </cell>
          <cell r="D75">
            <v>1.94</v>
          </cell>
        </row>
        <row r="76">
          <cell r="A76">
            <v>50080</v>
          </cell>
          <cell r="B76" t="str">
            <v>Esc. carga e transp. de mat. clas 1a cat 350&lt;DMT&lt;=400 m</v>
          </cell>
          <cell r="C76" t="str">
            <v>m³</v>
          </cell>
          <cell r="D76">
            <v>2</v>
          </cell>
        </row>
        <row r="77">
          <cell r="A77">
            <v>50090</v>
          </cell>
          <cell r="B77" t="str">
            <v>Esc. carga e transp. de mat. clas 1a cat 400&lt;DMT&lt;=500 m</v>
          </cell>
          <cell r="C77" t="str">
            <v>m³</v>
          </cell>
          <cell r="D77">
            <v>2.09</v>
          </cell>
        </row>
        <row r="78">
          <cell r="A78">
            <v>50100</v>
          </cell>
          <cell r="B78" t="str">
            <v>Esc. carga e transp. de mat. clas 1a cat 500&lt;DMT&lt;=600 m</v>
          </cell>
          <cell r="C78" t="str">
            <v>m³</v>
          </cell>
          <cell r="D78">
            <v>2.2200000000000002</v>
          </cell>
        </row>
        <row r="79">
          <cell r="A79">
            <v>50110</v>
          </cell>
          <cell r="B79" t="str">
            <v>Esc. carga e transp. de mat. clas 1a cat 600&lt;DMT&lt;=700 m</v>
          </cell>
          <cell r="C79" t="str">
            <v>m³</v>
          </cell>
          <cell r="D79">
            <v>2.4</v>
          </cell>
        </row>
        <row r="80">
          <cell r="A80">
            <v>50120</v>
          </cell>
          <cell r="B80" t="str">
            <v>Esc. carga e transp. de mat. clas 1a cat 700&lt;DMT&lt;=800 m</v>
          </cell>
          <cell r="C80" t="str">
            <v>m³</v>
          </cell>
          <cell r="D80">
            <v>2.56</v>
          </cell>
        </row>
        <row r="81">
          <cell r="A81">
            <v>50130</v>
          </cell>
          <cell r="B81" t="str">
            <v>Esc. carga e transp. de mat. clas 1a cat 800&lt;DMT&lt;=900 m</v>
          </cell>
          <cell r="C81" t="str">
            <v>m³</v>
          </cell>
          <cell r="D81">
            <v>2.66</v>
          </cell>
        </row>
        <row r="82">
          <cell r="A82">
            <v>50140</v>
          </cell>
          <cell r="B82" t="str">
            <v>Esc. carga e transp. de mat. clas 1a cat 900&lt;DMT&lt;=1000 m</v>
          </cell>
          <cell r="C82" t="str">
            <v>m³</v>
          </cell>
          <cell r="D82">
            <v>2.8</v>
          </cell>
        </row>
        <row r="83">
          <cell r="A83">
            <v>50150</v>
          </cell>
          <cell r="B83" t="str">
            <v>Esc. carga e transp. de mat. clas 1a cat 1000&lt;DMT&lt;=1200 m</v>
          </cell>
          <cell r="C83" t="str">
            <v>m³</v>
          </cell>
          <cell r="D83">
            <v>3.68</v>
          </cell>
        </row>
        <row r="84">
          <cell r="A84">
            <v>50160</v>
          </cell>
          <cell r="B84" t="str">
            <v>Esc. carga e transp. de mat. clas 1a cat 1200&lt;DMT&lt;=1400 m</v>
          </cell>
          <cell r="C84" t="str">
            <v>m³</v>
          </cell>
          <cell r="D84">
            <v>3.94</v>
          </cell>
        </row>
        <row r="85">
          <cell r="A85">
            <v>50170</v>
          </cell>
          <cell r="B85" t="str">
            <v>Esc. carga e transp. de mat. clas 1a cat 1400&lt;DMT&lt;=1600 m</v>
          </cell>
          <cell r="C85" t="str">
            <v>m³</v>
          </cell>
          <cell r="D85">
            <v>4.13</v>
          </cell>
        </row>
        <row r="86">
          <cell r="A86">
            <v>50180</v>
          </cell>
          <cell r="B86" t="str">
            <v>Esc. carga e transp. de mat. clas 1a cat 1600&lt;DMT&lt;=1800 m</v>
          </cell>
          <cell r="C86" t="str">
            <v>m³</v>
          </cell>
          <cell r="D86">
            <v>4.3</v>
          </cell>
        </row>
        <row r="87">
          <cell r="A87">
            <v>50190</v>
          </cell>
          <cell r="B87" t="str">
            <v>Esc. carga e transp. de mat. clas 1a cat 1800&lt;DMT&lt;2000 m</v>
          </cell>
          <cell r="C87" t="str">
            <v>m³</v>
          </cell>
          <cell r="D87">
            <v>4.37</v>
          </cell>
        </row>
        <row r="88">
          <cell r="A88">
            <v>50200</v>
          </cell>
          <cell r="B88" t="str">
            <v>Esc. carga e transp. de mat. clas 1a cat 2000&lt;DMT&lt;2500 m</v>
          </cell>
          <cell r="C88" t="str">
            <v>m³</v>
          </cell>
          <cell r="D88">
            <v>4.55</v>
          </cell>
        </row>
        <row r="89">
          <cell r="A89">
            <v>50210</v>
          </cell>
          <cell r="B89" t="str">
            <v>Esc. carga e transp. de mat. clas 1a cat 2500&lt;DMT&lt;3000 m</v>
          </cell>
          <cell r="C89" t="str">
            <v>m³</v>
          </cell>
          <cell r="D89">
            <v>4.91</v>
          </cell>
        </row>
        <row r="90">
          <cell r="A90">
            <v>50220</v>
          </cell>
          <cell r="B90" t="str">
            <v>Esc. carga e transp. de mat. clas 1a cat 3000&lt;DMT&lt;3500 m</v>
          </cell>
          <cell r="C90" t="str">
            <v>m³</v>
          </cell>
          <cell r="D90">
            <v>5.3</v>
          </cell>
        </row>
        <row r="91">
          <cell r="A91">
            <v>50230</v>
          </cell>
          <cell r="B91" t="str">
            <v>Esc. carga e transp. de mat. clas 1a cat 3500&lt;DMT&lt;4000 m</v>
          </cell>
          <cell r="C91" t="str">
            <v>m³</v>
          </cell>
          <cell r="D91">
            <v>5.51</v>
          </cell>
        </row>
        <row r="92">
          <cell r="A92">
            <v>50240</v>
          </cell>
          <cell r="B92" t="str">
            <v>Esc. carga e transp. de mat. clas 1a cat 4000&lt;DMT&lt;4500 m</v>
          </cell>
          <cell r="C92" t="str">
            <v>m³</v>
          </cell>
          <cell r="D92">
            <v>5.8</v>
          </cell>
        </row>
        <row r="93">
          <cell r="A93">
            <v>50250</v>
          </cell>
          <cell r="B93" t="str">
            <v>Esc. carga e transp. de mat. clas 1a cat 4500&lt;DMT&lt;5000 m</v>
          </cell>
          <cell r="C93" t="str">
            <v>m³</v>
          </cell>
          <cell r="D93">
            <v>6.1</v>
          </cell>
        </row>
        <row r="94">
          <cell r="A94">
            <v>50260</v>
          </cell>
          <cell r="B94" t="str">
            <v>Esc. carga e transp. de mat. clas 1a cat 5000&lt;DMT&lt;6000 m</v>
          </cell>
          <cell r="C94" t="str">
            <v>m³</v>
          </cell>
          <cell r="D94">
            <v>6.81</v>
          </cell>
        </row>
        <row r="95">
          <cell r="A95">
            <v>50270</v>
          </cell>
          <cell r="B95" t="str">
            <v>Esc. carga e transp. de mat. clas 1a cat 6000&lt;DMT&lt;7000 m</v>
          </cell>
          <cell r="C95" t="str">
            <v>m³</v>
          </cell>
          <cell r="D95">
            <v>7.32</v>
          </cell>
        </row>
        <row r="96">
          <cell r="A96">
            <v>50280</v>
          </cell>
          <cell r="B96" t="str">
            <v>Esc. carga e transp. de mat. clas 1a cat 7000&lt;DMT&lt;8000 m</v>
          </cell>
          <cell r="C96" t="str">
            <v>m³</v>
          </cell>
          <cell r="D96">
            <v>7.99</v>
          </cell>
        </row>
        <row r="97">
          <cell r="A97">
            <v>50290</v>
          </cell>
          <cell r="B97" t="str">
            <v>Esc. carga e transp. de mat. clas 1a cat 8000&lt;DMT&lt;9000 m</v>
          </cell>
          <cell r="C97" t="str">
            <v>m³</v>
          </cell>
          <cell r="D97">
            <v>8.65</v>
          </cell>
        </row>
        <row r="98">
          <cell r="A98">
            <v>50300</v>
          </cell>
          <cell r="B98" t="str">
            <v>Esc. carga e transp. de mat. clas 1a cat 9000&lt;DMT&lt;1000 m</v>
          </cell>
          <cell r="C98" t="str">
            <v>m³</v>
          </cell>
          <cell r="D98">
            <v>9.1199999999999992</v>
          </cell>
        </row>
        <row r="99">
          <cell r="A99">
            <v>51000</v>
          </cell>
          <cell r="B99" t="str">
            <v>Esc. carga e transp. de mat. clas. 2a cat DMT&lt;= 50 m</v>
          </cell>
          <cell r="C99" t="str">
            <v>m³</v>
          </cell>
          <cell r="D99">
            <v>1.36</v>
          </cell>
        </row>
        <row r="100">
          <cell r="A100">
            <v>51010</v>
          </cell>
          <cell r="B100" t="str">
            <v>Esc. carga e transp. de mat. clas 2a cat 50&lt;DMT&lt;=100 m</v>
          </cell>
          <cell r="C100" t="str">
            <v>m³</v>
          </cell>
          <cell r="D100">
            <v>2.23</v>
          </cell>
        </row>
        <row r="101">
          <cell r="A101">
            <v>51020</v>
          </cell>
          <cell r="B101" t="str">
            <v>Esc. carga e transp. de mat. clas 2a cat 100&lt;DMT&lt;=150 m</v>
          </cell>
          <cell r="C101" t="str">
            <v>m³</v>
          </cell>
          <cell r="D101">
            <v>2.31</v>
          </cell>
        </row>
        <row r="102">
          <cell r="A102">
            <v>51030</v>
          </cell>
          <cell r="B102" t="str">
            <v>Esc. carga e transp. de mat. clas 2a cat 150&lt;DMT&lt;=200 m</v>
          </cell>
          <cell r="C102" t="str">
            <v>m³</v>
          </cell>
          <cell r="D102">
            <v>2.44</v>
          </cell>
        </row>
        <row r="103">
          <cell r="A103">
            <v>51040</v>
          </cell>
          <cell r="B103" t="str">
            <v>Esc. carga e transp. de mat. clas 2a cat 200&lt;DMT&lt;=250 m</v>
          </cell>
          <cell r="C103" t="str">
            <v>m³</v>
          </cell>
          <cell r="D103">
            <v>2.62</v>
          </cell>
        </row>
        <row r="104">
          <cell r="A104">
            <v>51050</v>
          </cell>
          <cell r="B104" t="str">
            <v>Esc. carga e transp. de mat. clas 2a cat 250&lt;DMT&lt;=300 m</v>
          </cell>
          <cell r="C104" t="str">
            <v>m³</v>
          </cell>
          <cell r="D104">
            <v>2.69</v>
          </cell>
        </row>
        <row r="105">
          <cell r="A105">
            <v>51060</v>
          </cell>
          <cell r="B105" t="str">
            <v>Esc. carga e transp. de mat. clas 2a cat 300&lt;DMT&lt;=350 m</v>
          </cell>
          <cell r="C105" t="str">
            <v>m³</v>
          </cell>
          <cell r="D105">
            <v>2.84</v>
          </cell>
        </row>
        <row r="106">
          <cell r="A106">
            <v>51070</v>
          </cell>
          <cell r="B106" t="str">
            <v>Esc. carga e transp. de mat. clas 2a cat 350&lt;DMT&lt;=400 m</v>
          </cell>
          <cell r="C106" t="str">
            <v>m³</v>
          </cell>
          <cell r="D106">
            <v>2.91</v>
          </cell>
        </row>
        <row r="107">
          <cell r="A107">
            <v>51080</v>
          </cell>
          <cell r="B107" t="str">
            <v>Esc. carga e transp. de mat. clas 2a cat 400&lt;DMT&lt;=500 m</v>
          </cell>
          <cell r="C107" t="str">
            <v>m³</v>
          </cell>
          <cell r="D107">
            <v>3.03</v>
          </cell>
        </row>
        <row r="108">
          <cell r="A108">
            <v>51090</v>
          </cell>
          <cell r="B108" t="str">
            <v>Esc. carga e transp. de mat. clas 2a cat 500&lt;DMT&lt;=600 m</v>
          </cell>
          <cell r="C108" t="str">
            <v>m³</v>
          </cell>
          <cell r="D108">
            <v>3.21</v>
          </cell>
        </row>
        <row r="109">
          <cell r="A109">
            <v>51100</v>
          </cell>
          <cell r="B109" t="str">
            <v>Esc. carga e transp. de mat. clas 2a cat 600&lt;DMT&lt;=700 m</v>
          </cell>
          <cell r="C109" t="str">
            <v>m³</v>
          </cell>
          <cell r="D109">
            <v>3.44</v>
          </cell>
        </row>
        <row r="110">
          <cell r="A110">
            <v>51110</v>
          </cell>
          <cell r="B110" t="str">
            <v>Esc. carga e transp. de mat. clas 2a cat 700&lt;DMT&lt;=800 m</v>
          </cell>
          <cell r="C110" t="str">
            <v>m³</v>
          </cell>
          <cell r="D110">
            <v>3.57</v>
          </cell>
        </row>
        <row r="111">
          <cell r="A111">
            <v>51120</v>
          </cell>
          <cell r="B111" t="str">
            <v>Esc. carga e transp. de mat. clas 2a cat 800&lt;DMT&lt;=900 m</v>
          </cell>
          <cell r="C111" t="str">
            <v>m³</v>
          </cell>
          <cell r="D111">
            <v>3.73</v>
          </cell>
        </row>
        <row r="112">
          <cell r="A112">
            <v>51130</v>
          </cell>
          <cell r="B112" t="str">
            <v>Esc. carga e transp. de mat. clas 2a cat 900&lt;DMT&lt;=1000 m</v>
          </cell>
          <cell r="C112" t="str">
            <v>m³</v>
          </cell>
          <cell r="D112">
            <v>3.94</v>
          </cell>
        </row>
        <row r="113">
          <cell r="A113">
            <v>51140</v>
          </cell>
          <cell r="B113" t="str">
            <v>Esc. carga e transp. de mat. clas 2a cat 1000&lt;DMT&lt;=1200 m</v>
          </cell>
          <cell r="C113" t="str">
            <v>m³</v>
          </cell>
          <cell r="D113">
            <v>4.82</v>
          </cell>
        </row>
        <row r="114">
          <cell r="A114">
            <v>51150</v>
          </cell>
          <cell r="B114" t="str">
            <v>Esc. carga e transp. de mat. clas 2a cat 1200&lt;DMT&lt;=1400 m</v>
          </cell>
          <cell r="C114" t="str">
            <v>m³</v>
          </cell>
          <cell r="D114">
            <v>5.0599999999999996</v>
          </cell>
        </row>
        <row r="115">
          <cell r="A115">
            <v>51160</v>
          </cell>
          <cell r="B115" t="str">
            <v>Esc. carga e transp. de mat. clas 2a cat 1400&lt;DMT&lt;=1600 m</v>
          </cell>
          <cell r="C115" t="str">
            <v>m³</v>
          </cell>
          <cell r="D115">
            <v>5.26</v>
          </cell>
        </row>
        <row r="116">
          <cell r="A116">
            <v>51170</v>
          </cell>
          <cell r="B116" t="str">
            <v>Esc. carga e transp. de mat. clas 2a cat 1600&lt;DMT&lt;=1800 m</v>
          </cell>
          <cell r="C116" t="str">
            <v>m³</v>
          </cell>
          <cell r="D116">
            <v>5.33</v>
          </cell>
        </row>
        <row r="117">
          <cell r="A117">
            <v>51180</v>
          </cell>
          <cell r="B117" t="str">
            <v>Esc. carga e transp. de mat. clas 2a cat 1800&lt;DMT&lt;2000 m</v>
          </cell>
          <cell r="C117" t="str">
            <v>m³</v>
          </cell>
          <cell r="D117">
            <v>5.43</v>
          </cell>
        </row>
        <row r="118">
          <cell r="A118">
            <v>51190</v>
          </cell>
          <cell r="B118" t="str">
            <v>Esc. carga e transp. de mat. clas 2a cat 2000&lt;DMT&lt;2500 m</v>
          </cell>
          <cell r="C118" t="str">
            <v>m³</v>
          </cell>
          <cell r="D118">
            <v>5.62</v>
          </cell>
        </row>
        <row r="119">
          <cell r="A119">
            <v>51200</v>
          </cell>
          <cell r="B119" t="str">
            <v>Esc. carga e transp. de mat. clas 2a cat 2500&lt;DMT&lt;3000 m</v>
          </cell>
          <cell r="C119" t="str">
            <v>m³</v>
          </cell>
          <cell r="D119">
            <v>6.09</v>
          </cell>
        </row>
        <row r="120">
          <cell r="A120">
            <v>51210</v>
          </cell>
          <cell r="B120" t="str">
            <v>Esc. carga e transp. de mat. clas 2a cat 3000&lt;DMT&lt;3500 m</v>
          </cell>
          <cell r="C120" t="str">
            <v>m³</v>
          </cell>
          <cell r="D120">
            <v>6.45</v>
          </cell>
        </row>
        <row r="121">
          <cell r="A121">
            <v>51220</v>
          </cell>
          <cell r="B121" t="str">
            <v>Esc. carga e transp. de mat. clas 2a cat 3500&lt;DMT&lt;4000 m</v>
          </cell>
          <cell r="C121" t="str">
            <v>m³</v>
          </cell>
          <cell r="D121">
            <v>6.65</v>
          </cell>
        </row>
        <row r="122">
          <cell r="A122">
            <v>51230</v>
          </cell>
          <cell r="B122" t="str">
            <v>Esc. carga e transp. de mat. clas 2a cat 4000&lt;DMT&lt;4500 m</v>
          </cell>
          <cell r="C122" t="str">
            <v>m³</v>
          </cell>
          <cell r="D122">
            <v>6.97</v>
          </cell>
        </row>
        <row r="123">
          <cell r="A123">
            <v>51240</v>
          </cell>
          <cell r="B123" t="str">
            <v>Esc. carga e transp. de mat. clas 2a cat 4500&lt;DMT&lt;5000 m</v>
          </cell>
          <cell r="C123" t="str">
            <v>m³</v>
          </cell>
          <cell r="D123">
            <v>7.44</v>
          </cell>
        </row>
        <row r="124">
          <cell r="A124">
            <v>51250</v>
          </cell>
          <cell r="B124" t="str">
            <v>Esc. carga e transp. de mat. clas 2a cat 5000&lt;DMT&lt;6000 m</v>
          </cell>
          <cell r="C124" t="str">
            <v>m³</v>
          </cell>
          <cell r="D124">
            <v>8.06</v>
          </cell>
        </row>
        <row r="125">
          <cell r="A125">
            <v>51260</v>
          </cell>
          <cell r="B125" t="str">
            <v>Esc. carga e transp. de mat. clas 2a cat 6000&lt;DMT&lt;7000 m</v>
          </cell>
          <cell r="C125" t="str">
            <v>m³</v>
          </cell>
          <cell r="D125">
            <v>8.69</v>
          </cell>
        </row>
        <row r="126">
          <cell r="A126">
            <v>51270</v>
          </cell>
          <cell r="B126" t="str">
            <v>Esc. carga e transp. de mat. clas 2a cat 7000&lt;DMT&lt;8000 m</v>
          </cell>
          <cell r="C126" t="str">
            <v>m³</v>
          </cell>
          <cell r="D126">
            <v>9.4</v>
          </cell>
        </row>
        <row r="127">
          <cell r="A127">
            <v>51280</v>
          </cell>
          <cell r="B127" t="str">
            <v>Esc. carga e transp. de mat. clas 2a cat 8000&lt;DMT&lt;9000 m</v>
          </cell>
          <cell r="C127" t="str">
            <v>m³</v>
          </cell>
          <cell r="D127">
            <v>10.029999999999999</v>
          </cell>
        </row>
        <row r="128">
          <cell r="A128">
            <v>51290</v>
          </cell>
          <cell r="B128" t="str">
            <v>Esc. carga e transp. de mat. clas 2a cat 9000&lt;DMT&lt;1000 m</v>
          </cell>
          <cell r="C128" t="str">
            <v>m³</v>
          </cell>
          <cell r="D128">
            <v>10.61</v>
          </cell>
        </row>
        <row r="129">
          <cell r="A129">
            <v>51500</v>
          </cell>
          <cell r="B129" t="str">
            <v>Esc. carga e transp. e espalh. mat. 3a cat 000&lt;DMT&lt;=050 m</v>
          </cell>
          <cell r="C129" t="str">
            <v>m³</v>
          </cell>
          <cell r="D129">
            <v>8.7799999999999994</v>
          </cell>
        </row>
        <row r="130">
          <cell r="A130">
            <v>51510</v>
          </cell>
          <cell r="B130" t="str">
            <v>Esc. carga e transp. e espalh. mat. 3a cat 050&lt;DMT&lt;=100 m</v>
          </cell>
          <cell r="C130" t="str">
            <v>m³</v>
          </cell>
          <cell r="D130">
            <v>10.54</v>
          </cell>
        </row>
        <row r="131">
          <cell r="A131">
            <v>51520</v>
          </cell>
          <cell r="B131" t="str">
            <v>Esc. carga e transp. e espalh. mat. 3a cat 100&lt;DMT&lt;=150 m</v>
          </cell>
          <cell r="C131" t="str">
            <v>m³</v>
          </cell>
          <cell r="D131">
            <v>10.65</v>
          </cell>
        </row>
        <row r="132">
          <cell r="A132">
            <v>51530</v>
          </cell>
          <cell r="B132" t="str">
            <v>Esc. carga e transp. e espalh. mat. 3a cat 150&lt;DMT&lt;=200 m</v>
          </cell>
          <cell r="C132" t="str">
            <v>m³</v>
          </cell>
          <cell r="D132">
            <v>10.79</v>
          </cell>
        </row>
        <row r="133">
          <cell r="A133">
            <v>51540</v>
          </cell>
          <cell r="B133" t="str">
            <v>Esc. carga e transp. e espalh. mat. 3a cat 200&lt;DMT&lt;=250 m</v>
          </cell>
          <cell r="C133" t="str">
            <v>m³</v>
          </cell>
          <cell r="D133">
            <v>11.06</v>
          </cell>
        </row>
        <row r="134">
          <cell r="A134">
            <v>51550</v>
          </cell>
          <cell r="B134" t="str">
            <v>Esc. carga e transp. e espalh. mat. 3a cat 250&lt;DMT&lt;=300 m</v>
          </cell>
          <cell r="C134" t="str">
            <v>m³</v>
          </cell>
          <cell r="D134">
            <v>11.16</v>
          </cell>
        </row>
        <row r="135">
          <cell r="A135">
            <v>51560</v>
          </cell>
          <cell r="B135" t="str">
            <v>Esc. carga e transp. e espalh. mat. 3a cat 300&lt;DMT&lt;=350 m</v>
          </cell>
          <cell r="C135" t="str">
            <v>m³</v>
          </cell>
          <cell r="D135">
            <v>11.24</v>
          </cell>
        </row>
        <row r="136">
          <cell r="A136">
            <v>51570</v>
          </cell>
          <cell r="B136" t="str">
            <v>Esc. carga e transp. e espalh. mat. 3a cat 350&lt;DMT&lt;=400 m</v>
          </cell>
          <cell r="C136" t="str">
            <v>m³</v>
          </cell>
          <cell r="D136">
            <v>11.49</v>
          </cell>
        </row>
        <row r="137">
          <cell r="A137">
            <v>51580</v>
          </cell>
          <cell r="B137" t="str">
            <v>Esc. carga e transp. e espalh. mat. 3a cat 400&lt;DMT&lt;=500 m</v>
          </cell>
          <cell r="C137" t="str">
            <v>m³</v>
          </cell>
          <cell r="D137">
            <v>11.61</v>
          </cell>
        </row>
        <row r="138">
          <cell r="A138">
            <v>51590</v>
          </cell>
          <cell r="B138" t="str">
            <v>Esc. carga e transp. e espalh. mat. 3a cat 500&lt;DMT&lt;=600 m</v>
          </cell>
          <cell r="C138" t="str">
            <v>m³</v>
          </cell>
          <cell r="D138">
            <v>11.78</v>
          </cell>
        </row>
        <row r="139">
          <cell r="A139">
            <v>51600</v>
          </cell>
          <cell r="B139" t="str">
            <v>Esc. carga e transp. e espalh. mat. 3a cat 600&lt;DMT&lt;=700 m</v>
          </cell>
          <cell r="C139" t="str">
            <v>m³</v>
          </cell>
          <cell r="D139">
            <v>12.1</v>
          </cell>
        </row>
        <row r="140">
          <cell r="A140">
            <v>51610</v>
          </cell>
          <cell r="B140" t="str">
            <v>Esc. carga e transp. e espalh. mat. 3a cat 700&lt;DMT&lt;=800 m</v>
          </cell>
          <cell r="C140" t="str">
            <v>m³</v>
          </cell>
          <cell r="D140">
            <v>12.15</v>
          </cell>
        </row>
        <row r="141">
          <cell r="A141">
            <v>51620</v>
          </cell>
          <cell r="B141" t="str">
            <v>Esc. carga e transp. e espalh. mat. 3a cat 800&lt;DMT&lt;=900 m</v>
          </cell>
          <cell r="C141" t="str">
            <v>m³</v>
          </cell>
          <cell r="D141">
            <v>12.23</v>
          </cell>
        </row>
        <row r="142">
          <cell r="A142">
            <v>51630</v>
          </cell>
          <cell r="B142" t="str">
            <v>Esc. carga e transp. e espalh. mat. 3a cat 900&lt;DMT&lt;=1000 m</v>
          </cell>
          <cell r="C142" t="str">
            <v>m³</v>
          </cell>
          <cell r="D142">
            <v>12.26</v>
          </cell>
        </row>
        <row r="143">
          <cell r="A143">
            <v>51640</v>
          </cell>
          <cell r="B143" t="str">
            <v>Esc. carga e transp. e espalh. mat. 3a cat 1000&lt;DMT&lt;=1200 m</v>
          </cell>
          <cell r="C143" t="str">
            <v>m³</v>
          </cell>
          <cell r="D143">
            <v>12.35</v>
          </cell>
        </row>
        <row r="144">
          <cell r="A144">
            <v>51650</v>
          </cell>
          <cell r="B144" t="str">
            <v>Esc. carga e transp. e espalh. mat. 3a cat 1200&lt;DMT&lt;=1400 m</v>
          </cell>
          <cell r="C144" t="str">
            <v>m³</v>
          </cell>
          <cell r="D144">
            <v>12.72</v>
          </cell>
        </row>
        <row r="145">
          <cell r="A145">
            <v>51660</v>
          </cell>
          <cell r="B145" t="str">
            <v>Esc. carga e transp. e espalh. mat. 3a cat 1400&lt;DMT&lt;=1600 m</v>
          </cell>
          <cell r="C145" t="str">
            <v>m³</v>
          </cell>
          <cell r="D145">
            <v>12.88</v>
          </cell>
        </row>
        <row r="146">
          <cell r="A146">
            <v>51670</v>
          </cell>
          <cell r="B146" t="str">
            <v>Esc. carga e transp. e espalh. mat. 3a cat 1600&lt;DMT&lt;=1800 m</v>
          </cell>
          <cell r="C146" t="str">
            <v>m³</v>
          </cell>
          <cell r="D146">
            <v>13.16</v>
          </cell>
        </row>
        <row r="147">
          <cell r="A147">
            <v>51690</v>
          </cell>
          <cell r="B147" t="str">
            <v>Esc. carga e transp. e espalh. mat. 3a cat 1800&lt;DMT&lt;=2000 m</v>
          </cell>
          <cell r="C147" t="str">
            <v>m³</v>
          </cell>
          <cell r="D147">
            <v>13.31</v>
          </cell>
        </row>
        <row r="148">
          <cell r="A148">
            <v>51700</v>
          </cell>
          <cell r="B148" t="str">
            <v>Esc. carga e transp. e espalh. mat. 3a cat 2000&lt;DMT&lt;=2500 m</v>
          </cell>
          <cell r="C148" t="str">
            <v>m³</v>
          </cell>
          <cell r="D148">
            <v>13.63</v>
          </cell>
        </row>
        <row r="149">
          <cell r="A149">
            <v>51710</v>
          </cell>
          <cell r="B149" t="str">
            <v>Esc. carga e transp. e espalh. mat. 3a cat 2500&lt;DMT&lt;=3000 m</v>
          </cell>
          <cell r="C149" t="str">
            <v>m³</v>
          </cell>
          <cell r="D149">
            <v>14.19</v>
          </cell>
        </row>
        <row r="150">
          <cell r="A150">
            <v>51720</v>
          </cell>
          <cell r="B150" t="str">
            <v>Esc. carga e transp. e espalh. mat. 3a cat 3000&lt;DMT&lt;=3500 m</v>
          </cell>
          <cell r="C150" t="str">
            <v>m³</v>
          </cell>
          <cell r="D150">
            <v>14.74</v>
          </cell>
        </row>
        <row r="151">
          <cell r="A151">
            <v>51730</v>
          </cell>
          <cell r="B151" t="str">
            <v>Esc. carga e transp. e espalh. mat. 3a cat 3500&lt;DMT&lt;=4000 m</v>
          </cell>
          <cell r="C151" t="str">
            <v>m³</v>
          </cell>
          <cell r="D151">
            <v>15.09</v>
          </cell>
        </row>
        <row r="152">
          <cell r="A152">
            <v>51740</v>
          </cell>
          <cell r="B152" t="str">
            <v>Esc. carga e transp. e espalh. mat. 3a cat 4000&lt;DMT&lt;=4500 m</v>
          </cell>
          <cell r="C152" t="str">
            <v>m³</v>
          </cell>
          <cell r="D152">
            <v>15.54</v>
          </cell>
        </row>
        <row r="153">
          <cell r="A153">
            <v>51750</v>
          </cell>
          <cell r="B153" t="str">
            <v>Esc. carga e transp. e espalh. mat. 3a cat 4500&lt;DMT&lt;=5000 m</v>
          </cell>
          <cell r="C153" t="str">
            <v>m³</v>
          </cell>
          <cell r="D153">
            <v>16.11</v>
          </cell>
        </row>
        <row r="154">
          <cell r="A154">
            <v>51760</v>
          </cell>
          <cell r="B154" t="str">
            <v>Esc. carga e transp. e espalh. mat. 3a cat 5000&lt;DMT&lt;=6000 m</v>
          </cell>
          <cell r="C154" t="str">
            <v>m³</v>
          </cell>
          <cell r="D154">
            <v>17.100000000000001</v>
          </cell>
        </row>
        <row r="155">
          <cell r="A155">
            <v>51850</v>
          </cell>
          <cell r="B155" t="str">
            <v>Fendilhamento de rebaixo de corte em rocha</v>
          </cell>
          <cell r="C155" t="str">
            <v>m³</v>
          </cell>
          <cell r="D155">
            <v>3.38</v>
          </cell>
        </row>
        <row r="156">
          <cell r="A156">
            <v>51900</v>
          </cell>
          <cell r="B156" t="str">
            <v>Extração carga e descarga de seixo com DRAG-LINE</v>
          </cell>
          <cell r="C156" t="str">
            <v>m³</v>
          </cell>
          <cell r="D156">
            <v>2.2599999999999998</v>
          </cell>
        </row>
        <row r="157">
          <cell r="A157">
            <v>51950</v>
          </cell>
          <cell r="B157" t="str">
            <v>Extração carga e descarga de seixo com trator</v>
          </cell>
          <cell r="C157" t="str">
            <v>m³</v>
          </cell>
          <cell r="D157">
            <v>1.82</v>
          </cell>
        </row>
        <row r="158">
          <cell r="A158">
            <v>52000</v>
          </cell>
          <cell r="B158" t="str">
            <v>Compactação de aterros a 95% do Proctor Normal</v>
          </cell>
          <cell r="C158" t="str">
            <v>m³</v>
          </cell>
          <cell r="D158">
            <v>0.94</v>
          </cell>
        </row>
        <row r="159">
          <cell r="A159">
            <v>52010</v>
          </cell>
          <cell r="B159" t="str">
            <v>Compactação de aterro a 100% do Proctor Normal</v>
          </cell>
          <cell r="C159" t="str">
            <v>m³</v>
          </cell>
          <cell r="D159">
            <v>1.1599999999999999</v>
          </cell>
        </row>
        <row r="160">
          <cell r="A160">
            <v>52015</v>
          </cell>
          <cell r="B160" t="str">
            <v>Compactação de aterro em rocha</v>
          </cell>
          <cell r="C160" t="str">
            <v>m³</v>
          </cell>
          <cell r="D160">
            <v>0.41</v>
          </cell>
        </row>
        <row r="161">
          <cell r="A161">
            <v>52020</v>
          </cell>
          <cell r="B161" t="str">
            <v>Esc. carga transp. e espalh. de mat. de jazida clas. 1a. cat.</v>
          </cell>
          <cell r="C161" t="str">
            <v>m³</v>
          </cell>
          <cell r="D161">
            <v>1.54</v>
          </cell>
        </row>
        <row r="162">
          <cell r="A162">
            <v>52030</v>
          </cell>
          <cell r="B162" t="str">
            <v>Esc. carga transp. e espalh. de mat. de jazida clas. 2a. cat.</v>
          </cell>
          <cell r="C162" t="str">
            <v>m³</v>
          </cell>
          <cell r="D162">
            <v>2.4</v>
          </cell>
        </row>
        <row r="163">
          <cell r="A163">
            <v>52040</v>
          </cell>
          <cell r="B163" t="str">
            <v>Revestimento primário - execução</v>
          </cell>
          <cell r="C163" t="str">
            <v>m³</v>
          </cell>
          <cell r="D163">
            <v>0.68</v>
          </cell>
        </row>
        <row r="164">
          <cell r="A164">
            <v>52045</v>
          </cell>
          <cell r="B164" t="str">
            <v>Remoção de solos moles sem transporte</v>
          </cell>
          <cell r="C164" t="str">
            <v>m³</v>
          </cell>
          <cell r="D164">
            <v>1.56</v>
          </cell>
        </row>
        <row r="165">
          <cell r="A165">
            <v>52050</v>
          </cell>
          <cell r="B165" t="str">
            <v>Remoção de solos moles com transporte 0&lt; DMT&lt;= 50 m</v>
          </cell>
          <cell r="C165" t="str">
            <v>m³</v>
          </cell>
          <cell r="D165">
            <v>3.49</v>
          </cell>
        </row>
        <row r="166">
          <cell r="A166">
            <v>52060</v>
          </cell>
          <cell r="B166" t="str">
            <v>Remoção de solos moles c/transporte  50&lt; DMT&lt;=100 m</v>
          </cell>
          <cell r="C166" t="str">
            <v>m³</v>
          </cell>
          <cell r="D166">
            <v>3.55</v>
          </cell>
        </row>
        <row r="167">
          <cell r="A167">
            <v>52070</v>
          </cell>
          <cell r="B167" t="str">
            <v>Remoção de solos moles c/transporte  100&lt; DMT&lt;=200 m</v>
          </cell>
          <cell r="C167" t="str">
            <v>m³</v>
          </cell>
          <cell r="D167">
            <v>3.72</v>
          </cell>
        </row>
        <row r="168">
          <cell r="A168">
            <v>52080</v>
          </cell>
          <cell r="B168" t="str">
            <v>Remoção de solos moles c/transporte  200&lt; DMT&lt;=300 m</v>
          </cell>
          <cell r="C168" t="str">
            <v>m³</v>
          </cell>
          <cell r="D168">
            <v>3.84</v>
          </cell>
        </row>
        <row r="169">
          <cell r="A169">
            <v>52084</v>
          </cell>
          <cell r="B169" t="str">
            <v>Remoção de solos moles c/transporte  300&lt; DMT&lt;=400 m</v>
          </cell>
          <cell r="C169" t="str">
            <v>m³</v>
          </cell>
          <cell r="D169">
            <v>3.93</v>
          </cell>
        </row>
        <row r="170">
          <cell r="A170">
            <v>52087</v>
          </cell>
          <cell r="B170" t="str">
            <v>Remoção de solos moles c/transporte  400&lt; DMT&lt;=600 m</v>
          </cell>
          <cell r="C170" t="str">
            <v>m³</v>
          </cell>
          <cell r="D170">
            <v>4.4400000000000004</v>
          </cell>
        </row>
        <row r="171">
          <cell r="A171">
            <v>52090</v>
          </cell>
          <cell r="B171" t="str">
            <v>Remoção de solos moles c/transporte  600&lt; DMT&lt;=800 m</v>
          </cell>
          <cell r="C171" t="str">
            <v>m³</v>
          </cell>
          <cell r="D171">
            <v>4.53</v>
          </cell>
        </row>
        <row r="172">
          <cell r="A172">
            <v>52095</v>
          </cell>
          <cell r="B172" t="str">
            <v>Remoção de solos moles c/transporte  800&lt; DMT&lt;=1000 m</v>
          </cell>
          <cell r="C172" t="str">
            <v>m³</v>
          </cell>
          <cell r="D172">
            <v>4.59</v>
          </cell>
        </row>
        <row r="173">
          <cell r="A173">
            <v>52100</v>
          </cell>
          <cell r="B173" t="str">
            <v>Remoção de solos moles c/transporte  1000&lt; DMT&lt;=1200 m</v>
          </cell>
          <cell r="C173" t="str">
            <v>m³</v>
          </cell>
          <cell r="D173">
            <v>4.7</v>
          </cell>
        </row>
        <row r="174">
          <cell r="A174">
            <v>52119</v>
          </cell>
          <cell r="B174" t="str">
            <v>Colchão de areia extraída</v>
          </cell>
          <cell r="C174" t="str">
            <v>m³</v>
          </cell>
          <cell r="D174">
            <v>15.319999999999999</v>
          </cell>
        </row>
        <row r="175">
          <cell r="A175">
            <v>52120</v>
          </cell>
          <cell r="B175" t="str">
            <v>Colchão de areia comercial</v>
          </cell>
          <cell r="C175" t="str">
            <v>m³</v>
          </cell>
          <cell r="D175">
            <v>19.32</v>
          </cell>
        </row>
        <row r="176">
          <cell r="A176">
            <v>52150</v>
          </cell>
          <cell r="B176" t="str">
            <v>Carga de material</v>
          </cell>
          <cell r="C176" t="str">
            <v>m³</v>
          </cell>
          <cell r="D176">
            <v>0.56000000000000005</v>
          </cell>
        </row>
        <row r="177">
          <cell r="A177">
            <v>52160</v>
          </cell>
          <cell r="B177" t="str">
            <v>Camada drenante c/ pedra pulmão - fechamento c/ brita</v>
          </cell>
          <cell r="C177" t="str">
            <v>m³</v>
          </cell>
          <cell r="D177">
            <v>25.28</v>
          </cell>
        </row>
        <row r="178">
          <cell r="A178">
            <v>52200</v>
          </cell>
          <cell r="B178" t="str">
            <v>Fornec. e espalh. de brita para regulariz. de corte em rocha</v>
          </cell>
          <cell r="C178" t="str">
            <v>m²</v>
          </cell>
          <cell r="D178">
            <v>1.38</v>
          </cell>
        </row>
        <row r="179">
          <cell r="A179">
            <v>53000</v>
          </cell>
          <cell r="B179" t="str">
            <v>Regularização do sub leito a 100% do Proctor Normal</v>
          </cell>
          <cell r="C179" t="str">
            <v>m²</v>
          </cell>
          <cell r="D179">
            <v>0.28999999999999998</v>
          </cell>
        </row>
        <row r="180">
          <cell r="A180">
            <v>53010</v>
          </cell>
          <cell r="B180" t="str">
            <v>Regularização do sub leito a 100% PI</v>
          </cell>
          <cell r="C180" t="str">
            <v>m²</v>
          </cell>
          <cell r="D180">
            <v>0.33</v>
          </cell>
        </row>
        <row r="181">
          <cell r="A181">
            <v>53020</v>
          </cell>
          <cell r="B181" t="str">
            <v>Decapagem de jazida classificada em 1a. cat.</v>
          </cell>
          <cell r="C181" t="str">
            <v>m³</v>
          </cell>
          <cell r="D181">
            <v>1.5</v>
          </cell>
        </row>
        <row r="182">
          <cell r="A182">
            <v>53030</v>
          </cell>
          <cell r="B182" t="str">
            <v>Decapagem de jazida classificada em 2a. cat.</v>
          </cell>
          <cell r="C182" t="str">
            <v>m³</v>
          </cell>
          <cell r="D182">
            <v>2.2200000000000002</v>
          </cell>
        </row>
        <row r="183">
          <cell r="A183">
            <v>53035</v>
          </cell>
          <cell r="B183" t="str">
            <v>Decapagem de jazida classificada em 3a. cat.</v>
          </cell>
          <cell r="C183" t="str">
            <v>m³</v>
          </cell>
          <cell r="D183">
            <v>5.44</v>
          </cell>
        </row>
        <row r="184">
          <cell r="A184">
            <v>53040</v>
          </cell>
          <cell r="B184" t="str">
            <v>Escavação e carga de mat. de jazida classif. em 1a. categoria</v>
          </cell>
          <cell r="C184" t="str">
            <v>m³</v>
          </cell>
          <cell r="D184">
            <v>1.54</v>
          </cell>
        </row>
        <row r="185">
          <cell r="A185">
            <v>53050</v>
          </cell>
          <cell r="B185" t="str">
            <v>Escavação e carga de mat. de jazida classif. em 2a. categoria</v>
          </cell>
          <cell r="C185" t="str">
            <v>m³</v>
          </cell>
          <cell r="D185">
            <v>2.4</v>
          </cell>
        </row>
        <row r="186">
          <cell r="A186">
            <v>53060</v>
          </cell>
          <cell r="B186" t="str">
            <v>Extração carga e peneiramento de seixo rejeitado</v>
          </cell>
          <cell r="C186" t="str">
            <v>m³</v>
          </cell>
          <cell r="D186">
            <v>3.39</v>
          </cell>
        </row>
        <row r="187">
          <cell r="A187">
            <v>53090</v>
          </cell>
          <cell r="B187" t="str">
            <v>Camada de reforço c/ solo estabilizado s/ mistura</v>
          </cell>
          <cell r="C187" t="str">
            <v>m³</v>
          </cell>
          <cell r="D187">
            <v>1.74</v>
          </cell>
        </row>
        <row r="188">
          <cell r="A188">
            <v>53100</v>
          </cell>
          <cell r="B188" t="str">
            <v>Camada de seixo bruto</v>
          </cell>
          <cell r="C188" t="str">
            <v>m³</v>
          </cell>
          <cell r="D188">
            <v>3.89</v>
          </cell>
        </row>
        <row r="189">
          <cell r="A189">
            <v>53105</v>
          </cell>
          <cell r="B189" t="str">
            <v>Camada de melafiro preenchido com brita</v>
          </cell>
          <cell r="C189" t="str">
            <v>m³</v>
          </cell>
          <cell r="D189">
            <v>11.96</v>
          </cell>
        </row>
        <row r="190">
          <cell r="A190">
            <v>53110</v>
          </cell>
          <cell r="B190" t="str">
            <v>Camada de seixo classificado</v>
          </cell>
          <cell r="C190" t="str">
            <v>m³</v>
          </cell>
          <cell r="D190">
            <v>7.07</v>
          </cell>
        </row>
        <row r="191">
          <cell r="A191">
            <v>53120</v>
          </cell>
          <cell r="B191" t="str">
            <v>Camada de seixo classificado britado no primário</v>
          </cell>
          <cell r="C191" t="str">
            <v>m³</v>
          </cell>
          <cell r="D191">
            <v>8.39</v>
          </cell>
        </row>
        <row r="192">
          <cell r="A192">
            <v>53130</v>
          </cell>
          <cell r="B192" t="str">
            <v>Camada de macadame seco</v>
          </cell>
          <cell r="C192" t="str">
            <v>m³</v>
          </cell>
          <cell r="D192">
            <v>33.19</v>
          </cell>
        </row>
        <row r="193">
          <cell r="A193">
            <v>53170</v>
          </cell>
          <cell r="B193" t="str">
            <v>Brita para acessos</v>
          </cell>
          <cell r="C193" t="str">
            <v>m²</v>
          </cell>
          <cell r="D193">
            <v>19.849999999999998</v>
          </cell>
        </row>
        <row r="194">
          <cell r="A194">
            <v>53180</v>
          </cell>
          <cell r="B194" t="str">
            <v>Camada de brita corrida</v>
          </cell>
          <cell r="C194" t="str">
            <v>m³</v>
          </cell>
          <cell r="D194">
            <v>32.17</v>
          </cell>
        </row>
        <row r="195">
          <cell r="A195">
            <v>53190</v>
          </cell>
          <cell r="B195" t="str">
            <v>Camada de brita graduada</v>
          </cell>
          <cell r="C195" t="str">
            <v>m³</v>
          </cell>
          <cell r="D195">
            <v>42.9</v>
          </cell>
        </row>
        <row r="196">
          <cell r="A196">
            <v>53195</v>
          </cell>
          <cell r="B196" t="str">
            <v>Brita graduada - na usina</v>
          </cell>
          <cell r="C196" t="str">
            <v>ton</v>
          </cell>
          <cell r="D196">
            <v>9.16</v>
          </cell>
        </row>
        <row r="197">
          <cell r="A197">
            <v>53200</v>
          </cell>
          <cell r="B197" t="str">
            <v>Camada de solo brita - 30/70</v>
          </cell>
          <cell r="C197" t="str">
            <v>m³</v>
          </cell>
          <cell r="D197">
            <v>19.14</v>
          </cell>
        </row>
        <row r="198">
          <cell r="A198">
            <v>53210</v>
          </cell>
          <cell r="B198" t="str">
            <v>Camada de seixo parcialmente britado - 70% britado</v>
          </cell>
          <cell r="C198" t="str">
            <v>m³</v>
          </cell>
          <cell r="D198">
            <v>13.02</v>
          </cell>
        </row>
        <row r="199">
          <cell r="A199">
            <v>53220</v>
          </cell>
          <cell r="B199" t="str">
            <v>Camada de seixo parcialmente britado - 65% britado</v>
          </cell>
          <cell r="C199" t="str">
            <v>m³</v>
          </cell>
          <cell r="D199">
            <v>12.76</v>
          </cell>
        </row>
        <row r="200">
          <cell r="A200">
            <v>53230</v>
          </cell>
          <cell r="B200" t="str">
            <v>Camada de seixo parcialmente britado - 60% britado</v>
          </cell>
          <cell r="C200" t="str">
            <v>m³</v>
          </cell>
          <cell r="D200">
            <v>12.51</v>
          </cell>
        </row>
        <row r="201">
          <cell r="A201">
            <v>53240</v>
          </cell>
          <cell r="B201" t="str">
            <v>Camada de seixo parcialmente britado - 50% britado</v>
          </cell>
          <cell r="C201" t="str">
            <v>m³</v>
          </cell>
          <cell r="D201">
            <v>11.97</v>
          </cell>
        </row>
        <row r="202">
          <cell r="A202">
            <v>53250</v>
          </cell>
          <cell r="B202" t="str">
            <v>Camada de seixo parcialmente britado - 40% britado</v>
          </cell>
          <cell r="C202" t="str">
            <v>m³</v>
          </cell>
          <cell r="D202">
            <v>11.44</v>
          </cell>
        </row>
        <row r="203">
          <cell r="A203">
            <v>53260</v>
          </cell>
          <cell r="B203" t="str">
            <v>Camada de seixo parcialmente britado - 30% britado</v>
          </cell>
          <cell r="C203" t="str">
            <v>m³</v>
          </cell>
          <cell r="D203">
            <v>10.93</v>
          </cell>
        </row>
        <row r="204">
          <cell r="A204">
            <v>53270</v>
          </cell>
          <cell r="B204" t="str">
            <v>Camada de seixo parcialmente britado - 20% britado</v>
          </cell>
          <cell r="C204" t="str">
            <v>m³</v>
          </cell>
          <cell r="D204">
            <v>10.4</v>
          </cell>
        </row>
        <row r="205">
          <cell r="A205">
            <v>53280</v>
          </cell>
          <cell r="B205" t="str">
            <v xml:space="preserve">Camada de seixo britado </v>
          </cell>
          <cell r="C205" t="str">
            <v>m³</v>
          </cell>
          <cell r="D205">
            <v>26.13</v>
          </cell>
        </row>
        <row r="206">
          <cell r="A206">
            <v>53300</v>
          </cell>
          <cell r="B206" t="str">
            <v>Imprimação</v>
          </cell>
          <cell r="C206" t="str">
            <v>m²</v>
          </cell>
          <cell r="D206">
            <v>0.1</v>
          </cell>
        </row>
        <row r="207">
          <cell r="A207">
            <v>53310</v>
          </cell>
          <cell r="B207" t="str">
            <v>Pintura de Ligação</v>
          </cell>
          <cell r="C207" t="str">
            <v>m²</v>
          </cell>
          <cell r="D207">
            <v>7.0000000000000007E-2</v>
          </cell>
        </row>
        <row r="208">
          <cell r="A208">
            <v>53320</v>
          </cell>
          <cell r="B208" t="str">
            <v>Tratamento superficial simples</v>
          </cell>
          <cell r="C208" t="str">
            <v>m²</v>
          </cell>
          <cell r="D208">
            <v>0.45999999999999996</v>
          </cell>
        </row>
        <row r="209">
          <cell r="A209">
            <v>53321</v>
          </cell>
          <cell r="B209" t="str">
            <v>Tratamento superficial simples com seixo</v>
          </cell>
          <cell r="C209" t="str">
            <v>m²</v>
          </cell>
          <cell r="D209">
            <v>0.32</v>
          </cell>
        </row>
        <row r="210">
          <cell r="A210">
            <v>53330</v>
          </cell>
          <cell r="B210" t="str">
            <v>Tratamento superficial duplo</v>
          </cell>
          <cell r="C210" t="str">
            <v>m²</v>
          </cell>
          <cell r="D210">
            <v>0.97</v>
          </cell>
        </row>
        <row r="211">
          <cell r="A211">
            <v>53331</v>
          </cell>
          <cell r="B211" t="str">
            <v>Tratamento superficial duplo com seixo</v>
          </cell>
          <cell r="C211" t="str">
            <v>m²</v>
          </cell>
          <cell r="D211">
            <v>0.82000000000000006</v>
          </cell>
        </row>
        <row r="212">
          <cell r="A212">
            <v>53350</v>
          </cell>
          <cell r="B212" t="str">
            <v>Tratamento superficial triplo</v>
          </cell>
          <cell r="C212" t="str">
            <v>m²</v>
          </cell>
          <cell r="D212">
            <v>1.06</v>
          </cell>
        </row>
        <row r="213">
          <cell r="A213">
            <v>53351</v>
          </cell>
          <cell r="B213" t="str">
            <v>Tratamento superficial triplo com seixo</v>
          </cell>
          <cell r="C213" t="str">
            <v>m²</v>
          </cell>
          <cell r="D213">
            <v>0.83</v>
          </cell>
        </row>
        <row r="214">
          <cell r="A214">
            <v>53360</v>
          </cell>
          <cell r="B214" t="str">
            <v>Camada de pre-misturado a frio</v>
          </cell>
          <cell r="C214" t="str">
            <v>ton</v>
          </cell>
          <cell r="D214">
            <v>18.36</v>
          </cell>
        </row>
        <row r="215">
          <cell r="A215">
            <v>53361</v>
          </cell>
          <cell r="B215" t="str">
            <v>Camada de pre-misturado a frio com seixo</v>
          </cell>
          <cell r="C215" t="str">
            <v>ton</v>
          </cell>
          <cell r="D215">
            <v>15.24</v>
          </cell>
        </row>
        <row r="216">
          <cell r="A216">
            <v>53365</v>
          </cell>
          <cell r="B216" t="str">
            <v>Pré-misturado a frio - na usina</v>
          </cell>
          <cell r="C216" t="str">
            <v>ton</v>
          </cell>
          <cell r="D216">
            <v>8.34</v>
          </cell>
        </row>
        <row r="217">
          <cell r="A217">
            <v>53370</v>
          </cell>
          <cell r="B217" t="str">
            <v>Camada de pré-misturado a quente</v>
          </cell>
          <cell r="C217" t="str">
            <v>ton</v>
          </cell>
          <cell r="D217">
            <v>29.86</v>
          </cell>
        </row>
        <row r="218">
          <cell r="A218">
            <v>53371</v>
          </cell>
          <cell r="B218" t="str">
            <v>Camada de pré-misturado a quente com seixo</v>
          </cell>
          <cell r="C218" t="str">
            <v>ton</v>
          </cell>
          <cell r="D218">
            <v>26.29</v>
          </cell>
        </row>
        <row r="219">
          <cell r="A219">
            <v>53375</v>
          </cell>
          <cell r="B219" t="str">
            <v>Pré-misturado a quente - na usina</v>
          </cell>
          <cell r="C219" t="str">
            <v>ton</v>
          </cell>
          <cell r="D219">
            <v>18.46</v>
          </cell>
        </row>
        <row r="220">
          <cell r="A220">
            <v>53380</v>
          </cell>
          <cell r="B220" t="str">
            <v>Camada de concreto asfáltico usinado a quente</v>
          </cell>
          <cell r="C220" t="str">
            <v>ton</v>
          </cell>
          <cell r="D220">
            <v>30.89</v>
          </cell>
        </row>
        <row r="221">
          <cell r="A221">
            <v>53381</v>
          </cell>
          <cell r="B221" t="str">
            <v>Camada de concreto asfáltico usinado a quente com seixo</v>
          </cell>
          <cell r="C221" t="str">
            <v>ton</v>
          </cell>
          <cell r="D221">
            <v>28.04</v>
          </cell>
        </row>
        <row r="222">
          <cell r="A222">
            <v>53382</v>
          </cell>
          <cell r="B222" t="str">
            <v>Concreto asfáltico usinado a quente  - na usina</v>
          </cell>
          <cell r="C222" t="str">
            <v>ton</v>
          </cell>
          <cell r="D222">
            <v>19.21</v>
          </cell>
        </row>
        <row r="223">
          <cell r="A223">
            <v>53383</v>
          </cell>
          <cell r="B223" t="str">
            <v>Camada de concreto asfáltico usinado a quente sem areia</v>
          </cell>
          <cell r="C223" t="str">
            <v>ton</v>
          </cell>
          <cell r="D223">
            <v>23.74</v>
          </cell>
        </row>
        <row r="224">
          <cell r="A224">
            <v>53390</v>
          </cell>
          <cell r="B224" t="str">
            <v>Capa selante</v>
          </cell>
          <cell r="C224" t="str">
            <v>m²</v>
          </cell>
          <cell r="D224">
            <v>0.18</v>
          </cell>
        </row>
        <row r="225">
          <cell r="A225">
            <v>53420</v>
          </cell>
          <cell r="B225" t="str">
            <v>Lama asfáltica</v>
          </cell>
          <cell r="C225" t="str">
            <v>m²</v>
          </cell>
          <cell r="D225">
            <v>0.18</v>
          </cell>
        </row>
        <row r="226">
          <cell r="A226">
            <v>53430</v>
          </cell>
          <cell r="B226" t="str">
            <v>Calçamento com paralelepipedos</v>
          </cell>
          <cell r="C226" t="str">
            <v>m²</v>
          </cell>
          <cell r="D226">
            <v>21.970000000000002</v>
          </cell>
        </row>
        <row r="227">
          <cell r="A227">
            <v>53440</v>
          </cell>
          <cell r="B227" t="str">
            <v>Meio-fio de pedra</v>
          </cell>
          <cell r="C227" t="str">
            <v>m</v>
          </cell>
          <cell r="D227">
            <v>7.5</v>
          </cell>
        </row>
        <row r="228">
          <cell r="A228">
            <v>53450</v>
          </cell>
          <cell r="B228" t="str">
            <v>Calçamento com lajotas sextavadas de 10 cm</v>
          </cell>
          <cell r="C228" t="str">
            <v>m²</v>
          </cell>
          <cell r="D228">
            <v>16.78</v>
          </cell>
        </row>
        <row r="229">
          <cell r="A229">
            <v>53460</v>
          </cell>
          <cell r="B229" t="str">
            <v>Calçamento com briquetes de 8 cm</v>
          </cell>
          <cell r="C229" t="str">
            <v>m²</v>
          </cell>
          <cell r="D229">
            <v>20.21</v>
          </cell>
        </row>
        <row r="230">
          <cell r="A230">
            <v>53470</v>
          </cell>
          <cell r="B230" t="str">
            <v>Pavimento rígido de concreto</v>
          </cell>
          <cell r="C230" t="str">
            <v>m³</v>
          </cell>
          <cell r="D230">
            <v>77.569999999999993</v>
          </cell>
        </row>
        <row r="231">
          <cell r="A231">
            <v>53480</v>
          </cell>
          <cell r="B231" t="str">
            <v>Concreto pobre rolado</v>
          </cell>
          <cell r="C231" t="str">
            <v>m³</v>
          </cell>
          <cell r="D231">
            <v>64.87</v>
          </cell>
        </row>
        <row r="232">
          <cell r="A232">
            <v>53481</v>
          </cell>
          <cell r="B232" t="str">
            <v>Camada drenante com brita para banqueta</v>
          </cell>
          <cell r="C232" t="str">
            <v>m³</v>
          </cell>
          <cell r="D232">
            <v>37.22</v>
          </cell>
        </row>
        <row r="233">
          <cell r="A233">
            <v>53482</v>
          </cell>
          <cell r="B233" t="str">
            <v>Banqueta de segurança com solo - execução</v>
          </cell>
          <cell r="C233" t="str">
            <v>m³</v>
          </cell>
          <cell r="D233">
            <v>15.28</v>
          </cell>
        </row>
        <row r="234">
          <cell r="A234">
            <v>53490</v>
          </cell>
          <cell r="B234" t="str">
            <v>Fornecimento de C.A.P. 20</v>
          </cell>
          <cell r="C234" t="str">
            <v>ton</v>
          </cell>
          <cell r="D234">
            <v>287.75</v>
          </cell>
        </row>
        <row r="235">
          <cell r="A235">
            <v>53500</v>
          </cell>
          <cell r="B235" t="str">
            <v>Fornecimento de C.A.P. 55</v>
          </cell>
          <cell r="C235" t="str">
            <v>ton</v>
          </cell>
          <cell r="D235">
            <v>259.63</v>
          </cell>
        </row>
        <row r="236">
          <cell r="A236">
            <v>53510</v>
          </cell>
          <cell r="B236" t="str">
            <v xml:space="preserve">Fornecimento de asfalto diluido CM-30 </v>
          </cell>
          <cell r="C236" t="str">
            <v>ton</v>
          </cell>
          <cell r="D236">
            <v>380.07000000000005</v>
          </cell>
        </row>
        <row r="237">
          <cell r="A237">
            <v>53520</v>
          </cell>
          <cell r="B237" t="str">
            <v>Fornecimento de asfalto diluido CR/70/250/800</v>
          </cell>
          <cell r="C237" t="str">
            <v>ton</v>
          </cell>
          <cell r="D237">
            <v>380.07000000000005</v>
          </cell>
        </row>
        <row r="238">
          <cell r="A238">
            <v>53530</v>
          </cell>
          <cell r="B238" t="str">
            <v>Fornecimento  de emulsão asfáltica RM-1C</v>
          </cell>
          <cell r="C238" t="str">
            <v>ton</v>
          </cell>
          <cell r="D238">
            <v>369.02000000000004</v>
          </cell>
        </row>
        <row r="239">
          <cell r="A239">
            <v>53540</v>
          </cell>
          <cell r="B239" t="str">
            <v>Fornecimento  de emulsão asfáltica RM-2C</v>
          </cell>
          <cell r="C239" t="str">
            <v>ton</v>
          </cell>
          <cell r="D239">
            <v>376.73</v>
          </cell>
        </row>
        <row r="240">
          <cell r="A240">
            <v>53550</v>
          </cell>
          <cell r="B240" t="str">
            <v>Fornecimento  de emulsão asfáltica RR-1C</v>
          </cell>
          <cell r="C240" t="str">
            <v>ton</v>
          </cell>
          <cell r="D240">
            <v>298.06</v>
          </cell>
        </row>
        <row r="241">
          <cell r="A241">
            <v>53560</v>
          </cell>
          <cell r="B241" t="str">
            <v>Fornecimento  de emulsão asfáltica RR-2C</v>
          </cell>
          <cell r="C241" t="str">
            <v>ton</v>
          </cell>
          <cell r="D241">
            <v>317.21000000000004</v>
          </cell>
        </row>
        <row r="242">
          <cell r="A242">
            <v>53570</v>
          </cell>
          <cell r="B242" t="str">
            <v>Fornecimento  de emulsão asfáltica RL-1C</v>
          </cell>
          <cell r="C242" t="str">
            <v>ton</v>
          </cell>
          <cell r="D242">
            <v>388.35</v>
          </cell>
        </row>
        <row r="243">
          <cell r="A243">
            <v>53580</v>
          </cell>
          <cell r="B243" t="str">
            <v>Fornecimento e transporte de cimento para pavimentação</v>
          </cell>
          <cell r="C243" t="str">
            <v>ton</v>
          </cell>
          <cell r="D243">
            <v>179.11</v>
          </cell>
        </row>
        <row r="244">
          <cell r="A244">
            <v>53610</v>
          </cell>
          <cell r="B244" t="str">
            <v>Solo melhorado com cimento (3%) - mistura na pista</v>
          </cell>
          <cell r="C244" t="str">
            <v>m³</v>
          </cell>
          <cell r="D244">
            <v>19.73</v>
          </cell>
        </row>
        <row r="245">
          <cell r="A245">
            <v>53620</v>
          </cell>
          <cell r="B245" t="str">
            <v>Solo melhorado com cimento (4%) - mistura na pista</v>
          </cell>
          <cell r="C245" t="str">
            <v>m³</v>
          </cell>
          <cell r="D245">
            <v>23.73</v>
          </cell>
        </row>
        <row r="246">
          <cell r="A246">
            <v>53630</v>
          </cell>
          <cell r="B246" t="str">
            <v>Solo melhorado com cimento (5%) - mistura na pista</v>
          </cell>
          <cell r="C246" t="str">
            <v>m³</v>
          </cell>
          <cell r="D246">
            <v>26.95</v>
          </cell>
        </row>
        <row r="247">
          <cell r="A247">
            <v>53636</v>
          </cell>
          <cell r="B247" t="str">
            <v>Solo melhorado com cimento (8%) - mistura na pista</v>
          </cell>
          <cell r="C247" t="str">
            <v>m³</v>
          </cell>
          <cell r="D247">
            <v>36.299999999999997</v>
          </cell>
        </row>
        <row r="248">
          <cell r="A248">
            <v>53640</v>
          </cell>
          <cell r="B248" t="str">
            <v>Solo-cal (2%) -cimento (3%) - mistura na pista</v>
          </cell>
          <cell r="C248" t="str">
            <v>m³</v>
          </cell>
          <cell r="D248">
            <v>22.11</v>
          </cell>
        </row>
        <row r="249">
          <cell r="A249">
            <v>53650</v>
          </cell>
          <cell r="B249" t="str">
            <v>Solo-cal (2%) -cimento (4%) - mistura na pista</v>
          </cell>
          <cell r="C249" t="str">
            <v>m³</v>
          </cell>
          <cell r="D249">
            <v>26.81</v>
          </cell>
        </row>
        <row r="250">
          <cell r="A250">
            <v>53660</v>
          </cell>
          <cell r="B250" t="str">
            <v>Solo-cal (2%) -cimento (5%) - mistura na pista</v>
          </cell>
          <cell r="C250" t="str">
            <v>m³</v>
          </cell>
          <cell r="D250">
            <v>28.86</v>
          </cell>
        </row>
        <row r="251">
          <cell r="A251">
            <v>53670</v>
          </cell>
          <cell r="B251" t="str">
            <v>Solo-cal (3%) -cimento (3%) - mistura na pista</v>
          </cell>
          <cell r="C251" t="str">
            <v>m³</v>
          </cell>
          <cell r="D251">
            <v>25.13</v>
          </cell>
        </row>
        <row r="252">
          <cell r="A252">
            <v>53680</v>
          </cell>
          <cell r="B252" t="str">
            <v>Solo-cal (3%) -cimento (4%) - mistura na pista</v>
          </cell>
          <cell r="C252" t="str">
            <v>m³</v>
          </cell>
          <cell r="D252">
            <v>28.02</v>
          </cell>
        </row>
        <row r="253">
          <cell r="A253">
            <v>53690</v>
          </cell>
          <cell r="B253" t="str">
            <v>Solo-cal (3%) -cimento (5%) - mistura na pista</v>
          </cell>
          <cell r="C253" t="str">
            <v>m³</v>
          </cell>
          <cell r="D253">
            <v>30.85</v>
          </cell>
        </row>
        <row r="254">
          <cell r="A254">
            <v>53700</v>
          </cell>
          <cell r="B254" t="str">
            <v>Solo-cal (4%) -cimento (4%) - mistura na pista</v>
          </cell>
          <cell r="C254" t="str">
            <v>m³</v>
          </cell>
          <cell r="D254">
            <v>30.01</v>
          </cell>
        </row>
        <row r="255">
          <cell r="A255">
            <v>53710</v>
          </cell>
          <cell r="B255" t="str">
            <v>Solo-cal (4%) -cimento (5%) - mistura na pista</v>
          </cell>
          <cell r="C255" t="str">
            <v>m³</v>
          </cell>
          <cell r="D255">
            <v>32.9</v>
          </cell>
        </row>
        <row r="256">
          <cell r="A256">
            <v>53720</v>
          </cell>
          <cell r="B256" t="str">
            <v>Solo-cal (5%) -cimento (5%) - mistura na pista</v>
          </cell>
          <cell r="C256" t="str">
            <v>m³</v>
          </cell>
          <cell r="D256">
            <v>34.89</v>
          </cell>
        </row>
        <row r="257">
          <cell r="A257">
            <v>53730</v>
          </cell>
          <cell r="B257" t="str">
            <v>Cascalho (local) - cal (3%) - cimento (3%)</v>
          </cell>
          <cell r="C257" t="str">
            <v>m³</v>
          </cell>
          <cell r="D257">
            <v>25.86</v>
          </cell>
        </row>
        <row r="258">
          <cell r="A258">
            <v>53740</v>
          </cell>
          <cell r="B258" t="str">
            <v>Cascalho (local) - cal (3%) - cimento (4%)</v>
          </cell>
          <cell r="C258" t="str">
            <v>m³</v>
          </cell>
          <cell r="D258">
            <v>29.61</v>
          </cell>
        </row>
        <row r="259">
          <cell r="A259">
            <v>53750</v>
          </cell>
          <cell r="B259" t="str">
            <v>Cascalho (local) - cal (4%) - cimento (4%)</v>
          </cell>
          <cell r="C259" t="str">
            <v>m³</v>
          </cell>
          <cell r="D259">
            <v>32.119999999999997</v>
          </cell>
        </row>
        <row r="260">
          <cell r="A260">
            <v>53760</v>
          </cell>
          <cell r="B260" t="str">
            <v>Cascalho (local) - cal (4%) - cimento (5%)</v>
          </cell>
          <cell r="C260" t="str">
            <v>m³</v>
          </cell>
          <cell r="D260">
            <v>35.619999999999997</v>
          </cell>
        </row>
        <row r="261">
          <cell r="A261">
            <v>53770</v>
          </cell>
          <cell r="B261" t="str">
            <v>Cascalho (local) - cal (5%) - cimento (5%)</v>
          </cell>
          <cell r="C261" t="str">
            <v>m³</v>
          </cell>
          <cell r="D261">
            <v>38.01</v>
          </cell>
        </row>
        <row r="262">
          <cell r="A262">
            <v>53780</v>
          </cell>
          <cell r="B262" t="str">
            <v xml:space="preserve">Cascalho (local) - cal (4%) </v>
          </cell>
          <cell r="C262" t="str">
            <v>m³</v>
          </cell>
          <cell r="D262">
            <v>17.149999999999999</v>
          </cell>
        </row>
        <row r="263">
          <cell r="A263">
            <v>53790</v>
          </cell>
          <cell r="B263" t="str">
            <v xml:space="preserve">Cascalho (local) - cal (5%) </v>
          </cell>
          <cell r="C263" t="str">
            <v>m³</v>
          </cell>
          <cell r="D263">
            <v>20.02</v>
          </cell>
        </row>
        <row r="264">
          <cell r="A264">
            <v>53800</v>
          </cell>
          <cell r="B264" t="str">
            <v xml:space="preserve">Cascalho (local) - cal (6%) </v>
          </cell>
          <cell r="C264" t="str">
            <v>m³</v>
          </cell>
          <cell r="D264">
            <v>22.65</v>
          </cell>
        </row>
        <row r="265">
          <cell r="A265">
            <v>53810</v>
          </cell>
          <cell r="B265" t="str">
            <v>Solo-brita (20-80) mistura  na pista (solo argiloso)</v>
          </cell>
          <cell r="C265" t="str">
            <v>m³</v>
          </cell>
          <cell r="D265">
            <v>18.420000000000002</v>
          </cell>
        </row>
        <row r="266">
          <cell r="A266">
            <v>53820</v>
          </cell>
          <cell r="B266" t="str">
            <v>Solo-brita (25-75) mistura  na pista (solo argiloso)</v>
          </cell>
          <cell r="C266" t="str">
            <v>m³</v>
          </cell>
          <cell r="D266">
            <v>18.2</v>
          </cell>
        </row>
        <row r="267">
          <cell r="A267">
            <v>53830</v>
          </cell>
          <cell r="B267" t="str">
            <v>Solo-brita (30-70) mistura  na pista (solo argiloso)</v>
          </cell>
          <cell r="C267" t="str">
            <v>m³</v>
          </cell>
          <cell r="D267">
            <v>17.989999999999998</v>
          </cell>
        </row>
        <row r="268">
          <cell r="A268">
            <v>53840</v>
          </cell>
          <cell r="B268" t="str">
            <v>Solo-brita (35-65) mistura  na pista (solo argiloso)</v>
          </cell>
          <cell r="C268" t="str">
            <v>m³</v>
          </cell>
          <cell r="D268">
            <v>17.79</v>
          </cell>
        </row>
        <row r="269">
          <cell r="A269">
            <v>53850</v>
          </cell>
          <cell r="B269" t="str">
            <v>Solo-brita (50-50) mistura  na pista (solo argiloso)</v>
          </cell>
          <cell r="C269" t="str">
            <v>m³</v>
          </cell>
          <cell r="D269">
            <v>17.13</v>
          </cell>
        </row>
        <row r="270">
          <cell r="A270">
            <v>53860</v>
          </cell>
          <cell r="B270" t="str">
            <v>TST I-4 com emulsão</v>
          </cell>
          <cell r="C270" t="str">
            <v>m²</v>
          </cell>
          <cell r="D270">
            <v>1.01</v>
          </cell>
        </row>
        <row r="271">
          <cell r="A271">
            <v>55000</v>
          </cell>
          <cell r="B271" t="str">
            <v>Escav.valas p/drenagem profunda em material de 1a. categoria</v>
          </cell>
          <cell r="C271" t="str">
            <v>m³</v>
          </cell>
          <cell r="D271">
            <v>6.57</v>
          </cell>
        </row>
        <row r="272">
          <cell r="A272">
            <v>55050</v>
          </cell>
          <cell r="B272" t="str">
            <v>Escav.valas p/drenagem profunda em material de 2a. categoria</v>
          </cell>
          <cell r="C272" t="str">
            <v>m³</v>
          </cell>
          <cell r="D272">
            <v>8.2899999999999991</v>
          </cell>
        </row>
        <row r="273">
          <cell r="A273">
            <v>55100</v>
          </cell>
          <cell r="B273" t="str">
            <v>Escav.valas p/drenagem profunda em material de 3a. categoria</v>
          </cell>
          <cell r="C273" t="str">
            <v>m³</v>
          </cell>
          <cell r="D273">
            <v>35.119999999999997</v>
          </cell>
        </row>
        <row r="274">
          <cell r="A274">
            <v>55150</v>
          </cell>
          <cell r="B274" t="str">
            <v>Escavação de valetas de proteção</v>
          </cell>
          <cell r="C274" t="str">
            <v>m³</v>
          </cell>
          <cell r="D274">
            <v>12.15</v>
          </cell>
        </row>
        <row r="275">
          <cell r="A275">
            <v>55200</v>
          </cell>
          <cell r="B275" t="str">
            <v>Produção carga e transporte de brita para drenos</v>
          </cell>
          <cell r="C275" t="str">
            <v>m³</v>
          </cell>
          <cell r="D275">
            <v>13.01</v>
          </cell>
        </row>
        <row r="276">
          <cell r="A276">
            <v>55250</v>
          </cell>
          <cell r="B276" t="str">
            <v>Sarjeta em meia calha com D=30 cm</v>
          </cell>
          <cell r="C276" t="str">
            <v>m</v>
          </cell>
          <cell r="D276">
            <v>8.17</v>
          </cell>
        </row>
        <row r="277">
          <cell r="A277">
            <v>55300</v>
          </cell>
          <cell r="B277" t="str">
            <v>Sarjeta em meia calha com D=40 cm</v>
          </cell>
          <cell r="C277" t="str">
            <v>m</v>
          </cell>
          <cell r="D277">
            <v>11</v>
          </cell>
        </row>
        <row r="278">
          <cell r="A278">
            <v>55350</v>
          </cell>
          <cell r="B278" t="str">
            <v>Sarjeta em meia calha com D=60 cm</v>
          </cell>
          <cell r="C278" t="str">
            <v>m</v>
          </cell>
          <cell r="D278">
            <v>20.260000000000002</v>
          </cell>
        </row>
        <row r="279">
          <cell r="A279">
            <v>55450</v>
          </cell>
          <cell r="B279" t="str">
            <v>Sarjeta triangular de concreto - tipo I</v>
          </cell>
          <cell r="C279" t="str">
            <v>m</v>
          </cell>
          <cell r="D279">
            <v>11.56</v>
          </cell>
        </row>
        <row r="280">
          <cell r="A280">
            <v>55500</v>
          </cell>
          <cell r="B280" t="str">
            <v>Sarjeta triangular de concreto - tipo II</v>
          </cell>
          <cell r="C280" t="str">
            <v>m</v>
          </cell>
          <cell r="D280">
            <v>14.270000000000001</v>
          </cell>
        </row>
        <row r="281">
          <cell r="A281">
            <v>55550</v>
          </cell>
          <cell r="B281" t="str">
            <v>Sarjeta triangular de concreto - tipo III</v>
          </cell>
          <cell r="C281" t="str">
            <v>m</v>
          </cell>
          <cell r="D281">
            <v>17.04</v>
          </cell>
        </row>
        <row r="282">
          <cell r="A282">
            <v>55650</v>
          </cell>
          <cell r="B282" t="str">
            <v>Sarjeta trapezoidal de concreto - tipo I</v>
          </cell>
          <cell r="C282" t="str">
            <v>m</v>
          </cell>
          <cell r="D282">
            <v>16.740000000000002</v>
          </cell>
        </row>
        <row r="283">
          <cell r="A283">
            <v>55700</v>
          </cell>
          <cell r="B283" t="str">
            <v>Sarjeta trapezoidal de concreto - tipo II</v>
          </cell>
          <cell r="C283" t="str">
            <v>m</v>
          </cell>
          <cell r="D283">
            <v>32.21</v>
          </cell>
        </row>
        <row r="284">
          <cell r="A284">
            <v>55850</v>
          </cell>
          <cell r="B284" t="str">
            <v>Sarjeta retangular de concreto armado - tipo I</v>
          </cell>
          <cell r="C284" t="str">
            <v>m</v>
          </cell>
          <cell r="D284">
            <v>83.36</v>
          </cell>
        </row>
        <row r="285">
          <cell r="A285">
            <v>55900</v>
          </cell>
          <cell r="B285" t="str">
            <v>Sarjeta retangular de concreto armado - tipo II</v>
          </cell>
          <cell r="C285" t="str">
            <v>m</v>
          </cell>
          <cell r="D285">
            <v>95.6</v>
          </cell>
        </row>
        <row r="286">
          <cell r="A286">
            <v>55950</v>
          </cell>
          <cell r="B286" t="str">
            <v>Sarjeta retangular de concreto armado - tipo III</v>
          </cell>
          <cell r="C286" t="str">
            <v>m</v>
          </cell>
          <cell r="D286">
            <v>114.44000000000001</v>
          </cell>
        </row>
        <row r="287">
          <cell r="A287">
            <v>56000</v>
          </cell>
          <cell r="B287" t="str">
            <v>Sarjeta retangular de concreto armado - tipo IV</v>
          </cell>
          <cell r="C287" t="str">
            <v>m</v>
          </cell>
          <cell r="D287">
            <v>143.44</v>
          </cell>
        </row>
        <row r="288">
          <cell r="A288">
            <v>56050</v>
          </cell>
          <cell r="B288" t="str">
            <v>Sarjeta de terraceamento</v>
          </cell>
          <cell r="C288" t="str">
            <v>m</v>
          </cell>
          <cell r="D288">
            <v>15.04</v>
          </cell>
        </row>
        <row r="289">
          <cell r="A289">
            <v>56150</v>
          </cell>
          <cell r="B289" t="str">
            <v>Banqueta de condução - tipo I</v>
          </cell>
          <cell r="C289" t="str">
            <v>m</v>
          </cell>
          <cell r="D289">
            <v>15.5</v>
          </cell>
        </row>
        <row r="290">
          <cell r="A290">
            <v>56200</v>
          </cell>
          <cell r="B290" t="str">
            <v>Banqueta de condução - tipo II</v>
          </cell>
          <cell r="C290" t="str">
            <v>m</v>
          </cell>
          <cell r="D290">
            <v>12.75</v>
          </cell>
        </row>
        <row r="291">
          <cell r="A291">
            <v>56250</v>
          </cell>
          <cell r="B291" t="str">
            <v>Rápidos</v>
          </cell>
          <cell r="C291" t="str">
            <v>m</v>
          </cell>
          <cell r="D291">
            <v>14.4</v>
          </cell>
        </row>
        <row r="292">
          <cell r="A292">
            <v>56300</v>
          </cell>
          <cell r="B292" t="str">
            <v>Meio-fio de concreto simples</v>
          </cell>
          <cell r="C292" t="str">
            <v>m</v>
          </cell>
          <cell r="D292">
            <v>16.7</v>
          </cell>
        </row>
        <row r="293">
          <cell r="A293">
            <v>56350</v>
          </cell>
          <cell r="B293" t="str">
            <v>Meio-fio de concreto armado</v>
          </cell>
          <cell r="C293" t="str">
            <v>m</v>
          </cell>
          <cell r="D293">
            <v>30.419999999999998</v>
          </cell>
        </row>
        <row r="294">
          <cell r="A294">
            <v>56400</v>
          </cell>
          <cell r="B294" t="str">
            <v>Meio-fio de concreto 12 x 15 cm - moldado por extrusão</v>
          </cell>
          <cell r="C294" t="str">
            <v>m</v>
          </cell>
          <cell r="D294">
            <v>3.4</v>
          </cell>
        </row>
        <row r="295">
          <cell r="A295">
            <v>56450</v>
          </cell>
          <cell r="B295" t="str">
            <v>Travessia sobre sarjeta em acesso secundário</v>
          </cell>
          <cell r="C295" t="str">
            <v>m</v>
          </cell>
          <cell r="D295">
            <v>44.46</v>
          </cell>
        </row>
        <row r="296">
          <cell r="A296">
            <v>56500</v>
          </cell>
          <cell r="B296" t="str">
            <v>Travessia sobre valetão em acesso secundário</v>
          </cell>
          <cell r="C296" t="str">
            <v>m</v>
          </cell>
          <cell r="D296">
            <v>49.800000000000004</v>
          </cell>
        </row>
        <row r="297">
          <cell r="A297">
            <v>56550</v>
          </cell>
          <cell r="B297" t="str">
            <v>Caixa coletora com boca de lobo tipo C1 com H=2,0 m</v>
          </cell>
          <cell r="C297" t="str">
            <v>un</v>
          </cell>
          <cell r="D297">
            <v>614.54999999999995</v>
          </cell>
        </row>
        <row r="298">
          <cell r="A298">
            <v>56600</v>
          </cell>
          <cell r="B298" t="str">
            <v>Caixa coletora com boca de lobo tipo C2 com H=2,0 m</v>
          </cell>
          <cell r="C298" t="str">
            <v>un</v>
          </cell>
          <cell r="D298">
            <v>804.09</v>
          </cell>
        </row>
        <row r="299">
          <cell r="A299">
            <v>56650</v>
          </cell>
          <cell r="B299" t="str">
            <v>Caixa coletora com boca de lobo tipo C1 com H=3,0 m</v>
          </cell>
          <cell r="C299" t="str">
            <v>un</v>
          </cell>
          <cell r="D299">
            <v>952.55000000000007</v>
          </cell>
        </row>
        <row r="300">
          <cell r="A300">
            <v>56700</v>
          </cell>
          <cell r="B300" t="str">
            <v>Caixa coletora com boca de lobo tipo C2 com H=3,5 m</v>
          </cell>
          <cell r="C300" t="str">
            <v>un</v>
          </cell>
          <cell r="D300">
            <v>1100.99</v>
          </cell>
        </row>
        <row r="301">
          <cell r="A301">
            <v>57050</v>
          </cell>
          <cell r="B301" t="str">
            <v>Caixa coletora sobre galeria</v>
          </cell>
          <cell r="C301" t="str">
            <v>un</v>
          </cell>
          <cell r="D301">
            <v>316.95</v>
          </cell>
        </row>
        <row r="302">
          <cell r="A302">
            <v>57100</v>
          </cell>
          <cell r="B302" t="str">
            <v>Caixa coletora com boca de lobo - tipo I</v>
          </cell>
          <cell r="C302" t="str">
            <v>un</v>
          </cell>
          <cell r="D302">
            <v>1049.42</v>
          </cell>
        </row>
        <row r="303">
          <cell r="A303">
            <v>57150</v>
          </cell>
          <cell r="B303" t="str">
            <v>Caixa coletora com boca de lobo - tipo II</v>
          </cell>
          <cell r="C303" t="str">
            <v>un</v>
          </cell>
          <cell r="D303">
            <v>881.63</v>
          </cell>
        </row>
        <row r="304">
          <cell r="A304">
            <v>57200</v>
          </cell>
          <cell r="B304" t="str">
            <v>Caixa coletora com boca de lobo para BSTC D=40 cm e H=1,5 m</v>
          </cell>
          <cell r="C304" t="str">
            <v>un</v>
          </cell>
          <cell r="D304">
            <v>487.98</v>
          </cell>
        </row>
        <row r="305">
          <cell r="A305">
            <v>57250</v>
          </cell>
          <cell r="B305" t="str">
            <v>Caixa coletora com boca de lobo para BSTC D=40 cm e H=2,0 m</v>
          </cell>
          <cell r="C305" t="str">
            <v>un</v>
          </cell>
          <cell r="D305">
            <v>601.89</v>
          </cell>
        </row>
        <row r="306">
          <cell r="A306">
            <v>57300</v>
          </cell>
          <cell r="B306" t="str">
            <v>Caixa coletora com boca de lobo para BSTC D=50 cm e H=1,5 m</v>
          </cell>
          <cell r="C306" t="str">
            <v>un</v>
          </cell>
          <cell r="D306">
            <v>515.80000000000007</v>
          </cell>
        </row>
        <row r="307">
          <cell r="A307">
            <v>57350</v>
          </cell>
          <cell r="B307" t="str">
            <v>Caixa coletora com boca de lobo para BSTC D=50 cm e H=2,0 m</v>
          </cell>
          <cell r="C307" t="str">
            <v>un</v>
          </cell>
          <cell r="D307">
            <v>636.0100000000001</v>
          </cell>
        </row>
        <row r="308">
          <cell r="A308">
            <v>57400</v>
          </cell>
          <cell r="B308" t="str">
            <v>Caixa coletora com boca de lobo para BSTC D=60 cm e H=1,5 m</v>
          </cell>
          <cell r="C308" t="str">
            <v>un</v>
          </cell>
          <cell r="D308">
            <v>545.13</v>
          </cell>
        </row>
        <row r="309">
          <cell r="A309">
            <v>57450</v>
          </cell>
          <cell r="B309" t="str">
            <v>Caixa coletora com boca de lobo para BSTC D=60 cm e H=2,0 m</v>
          </cell>
          <cell r="C309" t="str">
            <v>un</v>
          </cell>
          <cell r="D309">
            <v>673.43000000000006</v>
          </cell>
        </row>
        <row r="310">
          <cell r="A310">
            <v>57500</v>
          </cell>
          <cell r="B310" t="str">
            <v>Caixa coletora com boca de lobo para BSTC D=60 cm e H=2,5 m</v>
          </cell>
          <cell r="C310" t="str">
            <v>un</v>
          </cell>
          <cell r="D310">
            <v>801.77</v>
          </cell>
        </row>
        <row r="311">
          <cell r="A311">
            <v>57550</v>
          </cell>
          <cell r="B311" t="str">
            <v>Caixa coletora com boca de lobo para BSTC D=100 cm e H=2,0 m</v>
          </cell>
          <cell r="C311" t="str">
            <v>un</v>
          </cell>
          <cell r="D311">
            <v>780.62</v>
          </cell>
        </row>
        <row r="312">
          <cell r="A312">
            <v>57600</v>
          </cell>
          <cell r="B312" t="str">
            <v>Caixa coletora com boca de lobo para BSTC D=120 cm e H=2,0 m</v>
          </cell>
          <cell r="C312" t="str">
            <v>un</v>
          </cell>
          <cell r="D312">
            <v>828.1</v>
          </cell>
        </row>
        <row r="313">
          <cell r="A313">
            <v>57650</v>
          </cell>
          <cell r="B313" t="str">
            <v>Descida d'água para valetas de corte - tipo DDV</v>
          </cell>
          <cell r="C313" t="str">
            <v>m</v>
          </cell>
          <cell r="D313">
            <v>81.430000000000007</v>
          </cell>
        </row>
        <row r="314">
          <cell r="A314">
            <v>57700</v>
          </cell>
          <cell r="B314" t="str">
            <v>Entrada d'água para descida tipo DDV</v>
          </cell>
          <cell r="C314" t="str">
            <v>un</v>
          </cell>
          <cell r="D314">
            <v>73.5</v>
          </cell>
        </row>
        <row r="315">
          <cell r="A315">
            <v>57750</v>
          </cell>
          <cell r="B315" t="str">
            <v>Caixa de amortecimento para descida d'água tipo DDV</v>
          </cell>
          <cell r="C315" t="str">
            <v>un</v>
          </cell>
          <cell r="D315">
            <v>77.58</v>
          </cell>
        </row>
        <row r="316">
          <cell r="A316">
            <v>57800</v>
          </cell>
          <cell r="B316" t="str">
            <v>Descida d'água em cortes - tipo DD-1</v>
          </cell>
          <cell r="C316" t="str">
            <v>m</v>
          </cell>
          <cell r="D316">
            <v>125.19999999999999</v>
          </cell>
        </row>
        <row r="317">
          <cell r="A317">
            <v>57850</v>
          </cell>
          <cell r="B317" t="str">
            <v>Descida d'água em cortes - tipo DD-2</v>
          </cell>
          <cell r="C317" t="str">
            <v>m</v>
          </cell>
          <cell r="D317">
            <v>135.91</v>
          </cell>
        </row>
        <row r="318">
          <cell r="A318">
            <v>57900</v>
          </cell>
          <cell r="B318" t="str">
            <v>Descida d'água em cortes - tipo DD-3</v>
          </cell>
          <cell r="C318" t="str">
            <v>m</v>
          </cell>
          <cell r="D318">
            <v>146.51</v>
          </cell>
        </row>
        <row r="319">
          <cell r="A319">
            <v>57950</v>
          </cell>
          <cell r="B319" t="str">
            <v>Descida d'água em cortes - tipo DD-4</v>
          </cell>
          <cell r="C319" t="str">
            <v>m</v>
          </cell>
          <cell r="D319">
            <v>199.45</v>
          </cell>
        </row>
        <row r="320">
          <cell r="A320">
            <v>58000</v>
          </cell>
          <cell r="B320" t="str">
            <v>Descida d'água em cortes - tipo DD-5</v>
          </cell>
          <cell r="C320" t="str">
            <v>m</v>
          </cell>
          <cell r="D320">
            <v>224.54</v>
          </cell>
        </row>
        <row r="321">
          <cell r="A321">
            <v>58050</v>
          </cell>
          <cell r="B321" t="str">
            <v>Descida d'água em cortes - tipo DD-6</v>
          </cell>
          <cell r="C321" t="str">
            <v>m</v>
          </cell>
          <cell r="D321">
            <v>248.6</v>
          </cell>
        </row>
        <row r="322">
          <cell r="A322">
            <v>58100</v>
          </cell>
          <cell r="B322" t="str">
            <v>Descida d'água em aterros - tipo DD-1</v>
          </cell>
          <cell r="C322" t="str">
            <v>m</v>
          </cell>
          <cell r="D322">
            <v>156.13</v>
          </cell>
        </row>
        <row r="323">
          <cell r="A323">
            <v>58150</v>
          </cell>
          <cell r="B323" t="str">
            <v>Descida d'água em aterros - tipo DD-2</v>
          </cell>
          <cell r="C323" t="str">
            <v>m</v>
          </cell>
          <cell r="D323">
            <v>173.10000000000002</v>
          </cell>
        </row>
        <row r="324">
          <cell r="A324">
            <v>58200</v>
          </cell>
          <cell r="B324" t="str">
            <v>Descida d'água em aterros - tipo DD-3</v>
          </cell>
          <cell r="C324" t="str">
            <v>m</v>
          </cell>
          <cell r="D324">
            <v>189.79</v>
          </cell>
        </row>
        <row r="325">
          <cell r="A325">
            <v>58250</v>
          </cell>
          <cell r="B325" t="str">
            <v>Descida d'água em aterros - tipo DD-4</v>
          </cell>
          <cell r="C325" t="str">
            <v>m</v>
          </cell>
          <cell r="D325">
            <v>257.08999999999997</v>
          </cell>
        </row>
        <row r="326">
          <cell r="A326">
            <v>58300</v>
          </cell>
          <cell r="B326" t="str">
            <v>Descida d'água em aterros - tipo DD-5</v>
          </cell>
          <cell r="C326" t="str">
            <v>m</v>
          </cell>
          <cell r="D326">
            <v>314.51</v>
          </cell>
        </row>
        <row r="327">
          <cell r="A327">
            <v>58350</v>
          </cell>
          <cell r="B327" t="str">
            <v>Descida d'água em aterros - tipo DD-6</v>
          </cell>
          <cell r="C327" t="str">
            <v>m</v>
          </cell>
          <cell r="D327">
            <v>328.98</v>
          </cell>
        </row>
        <row r="328">
          <cell r="A328">
            <v>58400</v>
          </cell>
          <cell r="B328" t="str">
            <v>Descida d'água em aterros para BTTC D= 120 cm</v>
          </cell>
          <cell r="C328" t="str">
            <v>m</v>
          </cell>
          <cell r="D328">
            <v>579.87</v>
          </cell>
        </row>
        <row r="329">
          <cell r="A329">
            <v>58450</v>
          </cell>
          <cell r="B329" t="str">
            <v>Boca para descida d'água em cortes - tipo DD-1</v>
          </cell>
          <cell r="C329" t="str">
            <v>un</v>
          </cell>
          <cell r="D329">
            <v>126.08000000000001</v>
          </cell>
        </row>
        <row r="330">
          <cell r="A330">
            <v>58500</v>
          </cell>
          <cell r="B330" t="str">
            <v>Boca para descida d'água em cortes - tipo DD-2</v>
          </cell>
          <cell r="C330" t="str">
            <v>un</v>
          </cell>
          <cell r="D330">
            <v>138.61000000000001</v>
          </cell>
        </row>
        <row r="331">
          <cell r="A331">
            <v>58550</v>
          </cell>
          <cell r="B331" t="str">
            <v>Boca para descida d'água em cortes - tipo DD-3</v>
          </cell>
          <cell r="C331" t="str">
            <v>un</v>
          </cell>
          <cell r="D331">
            <v>151.62</v>
          </cell>
        </row>
        <row r="332">
          <cell r="A332">
            <v>58600</v>
          </cell>
          <cell r="B332" t="str">
            <v>Boca para descida d'água em cortes - tipo DD-4</v>
          </cell>
          <cell r="C332" t="str">
            <v>un</v>
          </cell>
          <cell r="D332">
            <v>216.17000000000002</v>
          </cell>
        </row>
        <row r="333">
          <cell r="A333">
            <v>58650</v>
          </cell>
          <cell r="B333" t="str">
            <v>Boca para descida d'água em cortes - tipo DD-5</v>
          </cell>
          <cell r="C333" t="str">
            <v>un</v>
          </cell>
          <cell r="D333">
            <v>247.35000000000002</v>
          </cell>
        </row>
        <row r="334">
          <cell r="A334">
            <v>58700</v>
          </cell>
          <cell r="B334" t="str">
            <v>Boca para descida d'água em cortes - tipo DD-6</v>
          </cell>
          <cell r="C334" t="str">
            <v>un</v>
          </cell>
          <cell r="D334">
            <v>276.43</v>
          </cell>
        </row>
        <row r="335">
          <cell r="A335">
            <v>58750</v>
          </cell>
          <cell r="B335" t="str">
            <v>Boca para descida d'água em aterros - tipo DD-1</v>
          </cell>
          <cell r="C335" t="str">
            <v>un</v>
          </cell>
          <cell r="D335">
            <v>298.39999999999998</v>
          </cell>
        </row>
        <row r="336">
          <cell r="A336">
            <v>58800</v>
          </cell>
          <cell r="B336" t="str">
            <v>Boca para descida d'água em aterros - tipo DD-2</v>
          </cell>
          <cell r="C336" t="str">
            <v>un</v>
          </cell>
          <cell r="D336">
            <v>417.74</v>
          </cell>
        </row>
        <row r="337">
          <cell r="A337">
            <v>58850</v>
          </cell>
          <cell r="B337" t="str">
            <v>Boca para descida d'água em aterros - tipo DD-3</v>
          </cell>
          <cell r="C337" t="str">
            <v>un</v>
          </cell>
          <cell r="D337">
            <v>515.94000000000005</v>
          </cell>
        </row>
        <row r="338">
          <cell r="A338">
            <v>58900</v>
          </cell>
          <cell r="B338" t="str">
            <v>Boca para descida d'água em aterros - tipo DD-4</v>
          </cell>
          <cell r="C338" t="str">
            <v>un</v>
          </cell>
          <cell r="D338">
            <v>430.45</v>
          </cell>
        </row>
        <row r="339">
          <cell r="A339">
            <v>58950</v>
          </cell>
          <cell r="B339" t="str">
            <v>Boca para descida d'água em aterros - tipo DD-5</v>
          </cell>
          <cell r="C339" t="str">
            <v>un</v>
          </cell>
          <cell r="D339">
            <v>614.89</v>
          </cell>
        </row>
        <row r="340">
          <cell r="A340">
            <v>59000</v>
          </cell>
          <cell r="B340" t="str">
            <v>Boca para descida d'água em aterros - tipo DD-6</v>
          </cell>
          <cell r="C340" t="str">
            <v>un</v>
          </cell>
          <cell r="D340">
            <v>823.26</v>
          </cell>
        </row>
        <row r="341">
          <cell r="A341">
            <v>59050</v>
          </cell>
          <cell r="B341" t="str">
            <v>Boca para descida d'água em aterros para BTTC D=120 cm</v>
          </cell>
          <cell r="C341" t="str">
            <v>un</v>
          </cell>
          <cell r="D341">
            <v>1039.94</v>
          </cell>
        </row>
        <row r="342">
          <cell r="A342">
            <v>59100</v>
          </cell>
          <cell r="B342" t="str">
            <v>Caixa para descida d'água em aterros - tipo DD-1</v>
          </cell>
          <cell r="C342" t="str">
            <v>un</v>
          </cell>
          <cell r="D342">
            <v>152.68</v>
          </cell>
        </row>
        <row r="343">
          <cell r="A343">
            <v>59150</v>
          </cell>
          <cell r="B343" t="str">
            <v>Caixa para descida d'água em aterros - tipo DD-2</v>
          </cell>
          <cell r="C343" t="str">
            <v>un</v>
          </cell>
          <cell r="D343">
            <v>163.63</v>
          </cell>
        </row>
        <row r="344">
          <cell r="A344">
            <v>59200</v>
          </cell>
          <cell r="B344" t="str">
            <v>Caixa para descida d'água em aterros - tipo DD-3</v>
          </cell>
          <cell r="C344" t="str">
            <v>un</v>
          </cell>
          <cell r="D344">
            <v>174.17000000000002</v>
          </cell>
        </row>
        <row r="345">
          <cell r="A345">
            <v>59250</v>
          </cell>
          <cell r="B345" t="str">
            <v>Caixa para descida d'água em aterros - tipo DD-4</v>
          </cell>
          <cell r="C345" t="str">
            <v>un</v>
          </cell>
          <cell r="D345">
            <v>217.56</v>
          </cell>
        </row>
        <row r="346">
          <cell r="A346">
            <v>59300</v>
          </cell>
          <cell r="B346" t="str">
            <v>Caixa para descida d'água em aterros - tipo DD-5</v>
          </cell>
          <cell r="C346" t="str">
            <v>un</v>
          </cell>
          <cell r="D346">
            <v>252.54000000000002</v>
          </cell>
        </row>
        <row r="347">
          <cell r="A347">
            <v>59350</v>
          </cell>
          <cell r="B347" t="str">
            <v>Caixa para descida d'água em aterros - tipo DD-6</v>
          </cell>
          <cell r="C347" t="str">
            <v>un</v>
          </cell>
          <cell r="D347">
            <v>263.90999999999997</v>
          </cell>
        </row>
        <row r="348">
          <cell r="A348">
            <v>59400</v>
          </cell>
          <cell r="B348" t="str">
            <v>Caixa para descida d'água em aterros para BTTC de D=120 cm</v>
          </cell>
          <cell r="C348" t="str">
            <v>un</v>
          </cell>
          <cell r="D348">
            <v>440.04</v>
          </cell>
        </row>
        <row r="349">
          <cell r="A349">
            <v>59450</v>
          </cell>
          <cell r="B349" t="str">
            <v>Caixa coletora com boca de lobo - Tipo C-1 com H=2,0 m</v>
          </cell>
          <cell r="C349" t="str">
            <v>un</v>
          </cell>
          <cell r="D349">
            <v>614.54999999999995</v>
          </cell>
        </row>
        <row r="350">
          <cell r="A350">
            <v>59500</v>
          </cell>
          <cell r="B350" t="str">
            <v>Caixa coletora com boca de lobo - Tipo C-2 com H=2,0 m</v>
          </cell>
          <cell r="C350" t="str">
            <v>un</v>
          </cell>
          <cell r="D350">
            <v>655.62</v>
          </cell>
        </row>
        <row r="351">
          <cell r="A351">
            <v>59550</v>
          </cell>
          <cell r="B351" t="str">
            <v>Caixa de inspeção de esgoto com D=60 cm</v>
          </cell>
          <cell r="C351" t="str">
            <v>un</v>
          </cell>
          <cell r="D351">
            <v>60.69</v>
          </cell>
        </row>
        <row r="352">
          <cell r="A352">
            <v>59650</v>
          </cell>
          <cell r="B352" t="str">
            <v>Dreno tipo I - execução</v>
          </cell>
          <cell r="C352" t="str">
            <v>m</v>
          </cell>
          <cell r="D352">
            <v>24.919999999999998</v>
          </cell>
        </row>
        <row r="353">
          <cell r="A353">
            <v>59700</v>
          </cell>
          <cell r="B353" t="str">
            <v>Dreno tipo II - execução</v>
          </cell>
          <cell r="C353" t="str">
            <v>m</v>
          </cell>
          <cell r="D353">
            <v>32.69</v>
          </cell>
        </row>
        <row r="354">
          <cell r="A354">
            <v>59750</v>
          </cell>
          <cell r="B354" t="str">
            <v>Dreno tipo III - execução</v>
          </cell>
          <cell r="C354" t="str">
            <v>m</v>
          </cell>
          <cell r="D354">
            <v>42.17</v>
          </cell>
        </row>
        <row r="355">
          <cell r="A355">
            <v>59800</v>
          </cell>
          <cell r="B355" t="str">
            <v>Dreno tipo IV - execução</v>
          </cell>
          <cell r="C355" t="str">
            <v>m</v>
          </cell>
          <cell r="D355">
            <v>19.93</v>
          </cell>
        </row>
        <row r="356">
          <cell r="A356">
            <v>59850</v>
          </cell>
          <cell r="B356" t="str">
            <v>Dreno tipo V - execução</v>
          </cell>
          <cell r="C356" t="str">
            <v>m</v>
          </cell>
          <cell r="D356">
            <v>22.7</v>
          </cell>
        </row>
        <row r="357">
          <cell r="A357">
            <v>59900</v>
          </cell>
          <cell r="B357" t="str">
            <v>Dreno tipo VI - execução</v>
          </cell>
          <cell r="C357" t="str">
            <v>m</v>
          </cell>
          <cell r="D357">
            <v>2.1800000000000002</v>
          </cell>
        </row>
        <row r="358">
          <cell r="A358">
            <v>60000</v>
          </cell>
          <cell r="B358" t="str">
            <v>Dreno tipo VII - execução</v>
          </cell>
          <cell r="C358" t="str">
            <v>m</v>
          </cell>
          <cell r="D358">
            <v>1.33</v>
          </cell>
        </row>
        <row r="359">
          <cell r="A359">
            <v>60050</v>
          </cell>
          <cell r="B359" t="str">
            <v>Dreno tipo VIII - execução</v>
          </cell>
          <cell r="C359" t="str">
            <v>m</v>
          </cell>
          <cell r="D359">
            <v>2.57</v>
          </cell>
        </row>
        <row r="360">
          <cell r="A360">
            <v>60100</v>
          </cell>
          <cell r="B360" t="str">
            <v>Dreno tipo IX - execução</v>
          </cell>
          <cell r="C360" t="str">
            <v>m</v>
          </cell>
          <cell r="D360">
            <v>4.66</v>
          </cell>
        </row>
        <row r="361">
          <cell r="A361">
            <v>60150</v>
          </cell>
          <cell r="B361" t="str">
            <v>Dreno tipo X - execução</v>
          </cell>
          <cell r="C361" t="str">
            <v>m</v>
          </cell>
          <cell r="D361">
            <v>38.800000000000004</v>
          </cell>
        </row>
        <row r="362">
          <cell r="A362">
            <v>60200</v>
          </cell>
          <cell r="B362" t="str">
            <v>Dreno tipo XI - execução</v>
          </cell>
          <cell r="C362" t="str">
            <v>m</v>
          </cell>
          <cell r="D362">
            <v>73.55</v>
          </cell>
        </row>
        <row r="363">
          <cell r="A363">
            <v>60250</v>
          </cell>
          <cell r="B363" t="str">
            <v>Dreno tipo XII - execução</v>
          </cell>
          <cell r="C363" t="str">
            <v>m</v>
          </cell>
          <cell r="D363">
            <v>60.3</v>
          </cell>
        </row>
        <row r="364">
          <cell r="A364">
            <v>60300</v>
          </cell>
          <cell r="B364" t="str">
            <v>Dreno tipo XIII - execução</v>
          </cell>
          <cell r="C364" t="str">
            <v>m</v>
          </cell>
          <cell r="D364">
            <v>56.16</v>
          </cell>
        </row>
        <row r="365">
          <cell r="A365">
            <v>60350</v>
          </cell>
          <cell r="B365" t="str">
            <v>Dreno tipo XIV - execução</v>
          </cell>
          <cell r="C365" t="str">
            <v>m</v>
          </cell>
          <cell r="D365">
            <v>42.91</v>
          </cell>
        </row>
        <row r="366">
          <cell r="A366">
            <v>60400</v>
          </cell>
          <cell r="B366" t="str">
            <v>Dreno tipo XV - execução</v>
          </cell>
          <cell r="C366" t="str">
            <v>m</v>
          </cell>
          <cell r="D366">
            <v>70.509999999999991</v>
          </cell>
        </row>
        <row r="367">
          <cell r="A367">
            <v>60450</v>
          </cell>
          <cell r="B367" t="str">
            <v>Dreno tipo XVI - execução</v>
          </cell>
          <cell r="C367" t="str">
            <v>m</v>
          </cell>
          <cell r="D367">
            <v>53.14</v>
          </cell>
        </row>
        <row r="368">
          <cell r="A368">
            <v>60500</v>
          </cell>
          <cell r="B368" t="str">
            <v>Dreno tipo XVII - execução</v>
          </cell>
          <cell r="C368" t="str">
            <v>m</v>
          </cell>
          <cell r="D368">
            <v>58.62</v>
          </cell>
        </row>
        <row r="369">
          <cell r="A369">
            <v>60550</v>
          </cell>
          <cell r="B369" t="str">
            <v>Dreno tipo XVIII - execução</v>
          </cell>
          <cell r="C369" t="str">
            <v>m</v>
          </cell>
          <cell r="D369">
            <v>41.24</v>
          </cell>
        </row>
        <row r="370">
          <cell r="A370">
            <v>60600</v>
          </cell>
          <cell r="B370" t="str">
            <v>Dreno tipo XIX - execução</v>
          </cell>
          <cell r="C370" t="str">
            <v>m</v>
          </cell>
          <cell r="D370">
            <v>53.19</v>
          </cell>
        </row>
        <row r="371">
          <cell r="A371">
            <v>60650</v>
          </cell>
          <cell r="B371" t="str">
            <v>Dreno tipo XX - execução</v>
          </cell>
          <cell r="C371" t="str">
            <v>m</v>
          </cell>
          <cell r="D371">
            <v>35.79</v>
          </cell>
        </row>
        <row r="372">
          <cell r="A372">
            <v>60750</v>
          </cell>
          <cell r="B372" t="str">
            <v>Dreno 0,5x2,0 m - com brita e bidim</v>
          </cell>
          <cell r="C372" t="str">
            <v>m</v>
          </cell>
          <cell r="D372">
            <v>42.239999999999995</v>
          </cell>
        </row>
        <row r="373">
          <cell r="A373">
            <v>60800</v>
          </cell>
          <cell r="B373" t="str">
            <v>Dreno 0,5x2,5 m - com areia grossa</v>
          </cell>
          <cell r="C373" t="str">
            <v>m</v>
          </cell>
          <cell r="D373">
            <v>16.28</v>
          </cell>
        </row>
        <row r="374">
          <cell r="A374">
            <v>60850</v>
          </cell>
          <cell r="B374" t="str">
            <v>Dreno 0,5x0,8 m - com brita - execução</v>
          </cell>
          <cell r="C374" t="str">
            <v>m</v>
          </cell>
          <cell r="D374">
            <v>9.08</v>
          </cell>
        </row>
        <row r="375">
          <cell r="A375">
            <v>61000</v>
          </cell>
          <cell r="B375" t="str">
            <v>Dreno 0,5x0,6 m - com areia</v>
          </cell>
          <cell r="C375" t="str">
            <v>m</v>
          </cell>
          <cell r="D375">
            <v>3.89</v>
          </cell>
        </row>
        <row r="376">
          <cell r="A376">
            <v>61200</v>
          </cell>
          <cell r="B376" t="str">
            <v>Dreno tipo XXI</v>
          </cell>
          <cell r="C376" t="str">
            <v>m</v>
          </cell>
          <cell r="D376">
            <v>17.169999999999998</v>
          </cell>
        </row>
        <row r="377">
          <cell r="A377">
            <v>61250</v>
          </cell>
          <cell r="B377" t="str">
            <v>Dreno tipo XXII</v>
          </cell>
          <cell r="C377" t="str">
            <v>m</v>
          </cell>
          <cell r="D377">
            <v>17.810000000000002</v>
          </cell>
        </row>
        <row r="378">
          <cell r="A378">
            <v>61300</v>
          </cell>
          <cell r="B378" t="str">
            <v>Dreno tipo XXIII</v>
          </cell>
          <cell r="C378" t="str">
            <v>m</v>
          </cell>
          <cell r="D378">
            <v>1.33</v>
          </cell>
        </row>
        <row r="379">
          <cell r="A379">
            <v>61350</v>
          </cell>
          <cell r="B379" t="str">
            <v>Saída para drenos profundos - tipo U</v>
          </cell>
          <cell r="C379" t="str">
            <v>un</v>
          </cell>
          <cell r="D379">
            <v>52.32</v>
          </cell>
        </row>
        <row r="380">
          <cell r="A380">
            <v>61400</v>
          </cell>
          <cell r="B380" t="str">
            <v>Saída para drenos profundos - tipo L</v>
          </cell>
          <cell r="C380" t="str">
            <v>un</v>
          </cell>
          <cell r="D380">
            <v>24.040000000000003</v>
          </cell>
        </row>
        <row r="381">
          <cell r="A381">
            <v>61450</v>
          </cell>
          <cell r="B381" t="str">
            <v>Fornecimento e assentamento de tubo para saida de dreno</v>
          </cell>
          <cell r="C381" t="str">
            <v>un</v>
          </cell>
          <cell r="D381">
            <v>8.49</v>
          </cell>
        </row>
        <row r="382">
          <cell r="A382">
            <v>61500</v>
          </cell>
          <cell r="B382" t="str">
            <v>execução do revestimento de valas de gabião - H=30 cm</v>
          </cell>
          <cell r="C382" t="str">
            <v>m²</v>
          </cell>
          <cell r="D382">
            <v>35.479999999999997</v>
          </cell>
        </row>
        <row r="383">
          <cell r="A383">
            <v>65000</v>
          </cell>
          <cell r="B383" t="str">
            <v>Esc. mec. de valas p/obras de arte correntes - 1a. categoria</v>
          </cell>
          <cell r="C383" t="str">
            <v>m³</v>
          </cell>
          <cell r="D383">
            <v>4.16</v>
          </cell>
        </row>
        <row r="384">
          <cell r="A384">
            <v>65050</v>
          </cell>
          <cell r="B384" t="str">
            <v>Esc. mec. de valas p/obras de arte correntes - 2a. categoria</v>
          </cell>
          <cell r="C384" t="str">
            <v>m³</v>
          </cell>
          <cell r="D384">
            <v>5.3</v>
          </cell>
        </row>
        <row r="385">
          <cell r="A385">
            <v>65100</v>
          </cell>
          <cell r="B385" t="str">
            <v>Esc. mec. de valas p/obras de arte correntes - 3a. categoria</v>
          </cell>
          <cell r="C385" t="str">
            <v>m³</v>
          </cell>
          <cell r="D385">
            <v>32.25</v>
          </cell>
        </row>
        <row r="386">
          <cell r="A386">
            <v>65150</v>
          </cell>
          <cell r="B386" t="str">
            <v>Escavação manual de solos</v>
          </cell>
          <cell r="C386" t="str">
            <v>m³</v>
          </cell>
          <cell r="D386">
            <v>12.15</v>
          </cell>
        </row>
        <row r="387">
          <cell r="A387">
            <v>65200</v>
          </cell>
          <cell r="B387" t="str">
            <v>Reaterro e apiloamento em camadas de 20 cm</v>
          </cell>
          <cell r="C387" t="str">
            <v>m³</v>
          </cell>
          <cell r="D387">
            <v>3.86</v>
          </cell>
        </row>
        <row r="388">
          <cell r="A388">
            <v>65850</v>
          </cell>
          <cell r="B388" t="str">
            <v>Execução de galerias D=40 cm</v>
          </cell>
          <cell r="C388" t="str">
            <v>m</v>
          </cell>
          <cell r="D388">
            <v>17.5</v>
          </cell>
        </row>
        <row r="389">
          <cell r="A389">
            <v>65900</v>
          </cell>
          <cell r="B389" t="str">
            <v>Execução de galerias D=60 cm</v>
          </cell>
          <cell r="C389" t="str">
            <v>m</v>
          </cell>
          <cell r="D389">
            <v>31.14</v>
          </cell>
        </row>
        <row r="390">
          <cell r="A390">
            <v>65940</v>
          </cell>
          <cell r="B390" t="str">
            <v>Corpo de BSTC D=20 cm com lastro de brita</v>
          </cell>
          <cell r="C390" t="str">
            <v>m</v>
          </cell>
          <cell r="D390">
            <v>14.58</v>
          </cell>
        </row>
        <row r="391">
          <cell r="A391">
            <v>65950</v>
          </cell>
          <cell r="B391" t="str">
            <v>Corpo de BSTC D=30 cm com lastro de brita</v>
          </cell>
          <cell r="C391" t="str">
            <v>m</v>
          </cell>
          <cell r="D391">
            <v>15.87</v>
          </cell>
        </row>
        <row r="392">
          <cell r="A392">
            <v>66000</v>
          </cell>
          <cell r="B392" t="str">
            <v>Corpo de BSTC D=40 cm com lastro de brita</v>
          </cell>
          <cell r="C392" t="str">
            <v>m</v>
          </cell>
          <cell r="D392">
            <v>21.18</v>
          </cell>
        </row>
        <row r="393">
          <cell r="A393">
            <v>66050</v>
          </cell>
          <cell r="B393" t="str">
            <v>Corpo de BSTC D=50 cm com lastro de brita</v>
          </cell>
          <cell r="C393" t="str">
            <v>m</v>
          </cell>
          <cell r="D393">
            <v>34.17</v>
          </cell>
        </row>
        <row r="394">
          <cell r="A394">
            <v>66100</v>
          </cell>
          <cell r="B394" t="str">
            <v>Corpo de BSTC D=60 cm com lastro de brita</v>
          </cell>
          <cell r="C394" t="str">
            <v>m</v>
          </cell>
          <cell r="D394">
            <v>42.79</v>
          </cell>
        </row>
        <row r="395">
          <cell r="A395">
            <v>66150</v>
          </cell>
          <cell r="B395" t="str">
            <v>Corpo de BSTC D=60 cm com lastro de brita - tubo CA 1</v>
          </cell>
          <cell r="C395" t="str">
            <v>m</v>
          </cell>
          <cell r="D395">
            <v>72.17</v>
          </cell>
        </row>
        <row r="396">
          <cell r="A396">
            <v>66200</v>
          </cell>
          <cell r="B396" t="str">
            <v>Corpo de BSTC D=60 cm com berço de concreto - tubo CA 2</v>
          </cell>
          <cell r="C396" t="str">
            <v>m</v>
          </cell>
          <cell r="D396">
            <v>124.16</v>
          </cell>
        </row>
        <row r="397">
          <cell r="A397">
            <v>66250</v>
          </cell>
          <cell r="B397" t="str">
            <v>Corpo de BSTC D=80 cm com berço de concreto - tubo CA 2</v>
          </cell>
          <cell r="C397" t="str">
            <v>m</v>
          </cell>
          <cell r="D397">
            <v>170.82</v>
          </cell>
        </row>
        <row r="398">
          <cell r="A398">
            <v>66300</v>
          </cell>
          <cell r="B398" t="str">
            <v>Corpo de BSTC D=100 cm com berço de concreto - tubo CA 2</v>
          </cell>
          <cell r="C398" t="str">
            <v>m</v>
          </cell>
          <cell r="D398">
            <v>233.88</v>
          </cell>
        </row>
        <row r="399">
          <cell r="A399">
            <v>66350</v>
          </cell>
          <cell r="B399" t="str">
            <v>Corpo de BSTC D=120 cm com berço de concreto - tubo CA 2</v>
          </cell>
          <cell r="C399" t="str">
            <v>m</v>
          </cell>
          <cell r="D399">
            <v>315.08</v>
          </cell>
        </row>
        <row r="400">
          <cell r="A400">
            <v>66400</v>
          </cell>
          <cell r="B400" t="str">
            <v>Corpo de BDTC D=80 cm com berço de concreto - tubo CA 2</v>
          </cell>
          <cell r="C400" t="str">
            <v>m</v>
          </cell>
          <cell r="D400">
            <v>314.56</v>
          </cell>
        </row>
        <row r="401">
          <cell r="A401">
            <v>66450</v>
          </cell>
          <cell r="B401" t="str">
            <v>Corpo de BDTC D=100 cm com berço de concreto - tubo CA 2</v>
          </cell>
          <cell r="C401" t="str">
            <v>m</v>
          </cell>
          <cell r="D401">
            <v>435.5</v>
          </cell>
        </row>
        <row r="402">
          <cell r="A402">
            <v>66500</v>
          </cell>
          <cell r="B402" t="str">
            <v>Corpo de BDTC D=120 cm com berço de concreto - tubo CA 2</v>
          </cell>
          <cell r="C402" t="str">
            <v>m</v>
          </cell>
          <cell r="D402">
            <v>588.61</v>
          </cell>
        </row>
        <row r="403">
          <cell r="A403">
            <v>66550</v>
          </cell>
          <cell r="B403" t="str">
            <v>Corpo de BTTC D=80 cm com berço de concreto - tubo CA 2</v>
          </cell>
          <cell r="C403" t="str">
            <v>m</v>
          </cell>
          <cell r="D403">
            <v>459.09000000000003</v>
          </cell>
        </row>
        <row r="404">
          <cell r="A404">
            <v>66600</v>
          </cell>
          <cell r="B404" t="str">
            <v>Corpo de BTTC D=100 cm com berço de concreto - tubo CA 2</v>
          </cell>
          <cell r="C404" t="str">
            <v>m</v>
          </cell>
          <cell r="D404">
            <v>637.95000000000005</v>
          </cell>
        </row>
        <row r="405">
          <cell r="A405">
            <v>66650</v>
          </cell>
          <cell r="B405" t="str">
            <v>Corpo de BTTC D=120 cm com berço de concreto - tubo CA 2</v>
          </cell>
          <cell r="C405" t="str">
            <v>m</v>
          </cell>
          <cell r="D405">
            <v>864.55000000000007</v>
          </cell>
        </row>
        <row r="406">
          <cell r="A406">
            <v>66700</v>
          </cell>
          <cell r="B406" t="str">
            <v>Corpo de BSTC D=80 cm com berço de concreto - tubo CA 3</v>
          </cell>
          <cell r="C406" t="str">
            <v>m</v>
          </cell>
          <cell r="D406">
            <v>167.76</v>
          </cell>
        </row>
        <row r="407">
          <cell r="A407">
            <v>66750</v>
          </cell>
          <cell r="B407" t="str">
            <v>Corpo de BSTC D=100 cm com berço de concreto - tubo CA 3</v>
          </cell>
          <cell r="C407" t="str">
            <v>m</v>
          </cell>
          <cell r="D407">
            <v>243.07</v>
          </cell>
        </row>
        <row r="408">
          <cell r="A408">
            <v>66800</v>
          </cell>
          <cell r="B408" t="str">
            <v>Corpo de BSTC D=120 cm com berço de concreto - tubo CA 3</v>
          </cell>
          <cell r="C408" t="str">
            <v>m</v>
          </cell>
          <cell r="D408">
            <v>315.08</v>
          </cell>
        </row>
        <row r="409">
          <cell r="A409">
            <v>66850</v>
          </cell>
          <cell r="B409" t="str">
            <v>Corpo de BDTC D=80 cm com berço de concreto - tubo CA 3</v>
          </cell>
          <cell r="C409" t="str">
            <v>m</v>
          </cell>
          <cell r="D409">
            <v>308.44</v>
          </cell>
        </row>
        <row r="410">
          <cell r="A410">
            <v>66900</v>
          </cell>
          <cell r="B410" t="str">
            <v>Corpo de BDTC D=100 cm com berço de concreto - tubo CA 3</v>
          </cell>
          <cell r="C410" t="str">
            <v>m</v>
          </cell>
          <cell r="D410">
            <v>453.87</v>
          </cell>
        </row>
        <row r="411">
          <cell r="A411">
            <v>66950</v>
          </cell>
          <cell r="B411" t="str">
            <v>Corpo de BDTC D=120 cm com berço de concreto - tubo CA 3</v>
          </cell>
          <cell r="C411" t="str">
            <v>m</v>
          </cell>
          <cell r="D411">
            <v>588.61</v>
          </cell>
        </row>
        <row r="412">
          <cell r="A412">
            <v>67000</v>
          </cell>
          <cell r="B412" t="str">
            <v>Corpo de BTTC D=80 cm com berço de concreto - tubo CA 3</v>
          </cell>
          <cell r="C412" t="str">
            <v>m</v>
          </cell>
          <cell r="D412">
            <v>449.9</v>
          </cell>
        </row>
        <row r="413">
          <cell r="A413">
            <v>67050</v>
          </cell>
          <cell r="B413" t="str">
            <v>Corpo de BTTC D=100 cm com berço de concreto - tubo CA 3</v>
          </cell>
          <cell r="C413" t="str">
            <v>m</v>
          </cell>
          <cell r="D413">
            <v>665.24</v>
          </cell>
        </row>
        <row r="414">
          <cell r="A414">
            <v>67100</v>
          </cell>
          <cell r="B414" t="str">
            <v>Corpo de BTTC D=120 cm com berço de concreto - tubo CA 3</v>
          </cell>
          <cell r="C414" t="str">
            <v>m</v>
          </cell>
          <cell r="D414">
            <v>864.55000000000007</v>
          </cell>
        </row>
        <row r="415">
          <cell r="A415">
            <v>67150</v>
          </cell>
          <cell r="B415" t="str">
            <v>Corpo de BSTC D=60 cm com enrocamento e laje de concreto</v>
          </cell>
          <cell r="C415" t="str">
            <v>m</v>
          </cell>
          <cell r="D415">
            <v>110.75</v>
          </cell>
        </row>
        <row r="416">
          <cell r="A416">
            <v>67200</v>
          </cell>
          <cell r="B416" t="str">
            <v>Corpo de BSTC D=80 cm com enrocamento e laje de concreto</v>
          </cell>
          <cell r="C416" t="str">
            <v>m</v>
          </cell>
          <cell r="D416">
            <v>145.69999999999999</v>
          </cell>
        </row>
        <row r="417">
          <cell r="A417">
            <v>67250</v>
          </cell>
          <cell r="B417" t="str">
            <v>Corpo de BSTC D=100 cm com enrocamento e laje de concreto</v>
          </cell>
          <cell r="C417" t="str">
            <v>m</v>
          </cell>
          <cell r="D417">
            <v>198.86</v>
          </cell>
        </row>
        <row r="418">
          <cell r="A418">
            <v>67300</v>
          </cell>
          <cell r="B418" t="str">
            <v>Corpo de BSTC D=120 cm com enrocamento e laje de concreto</v>
          </cell>
          <cell r="C418" t="str">
            <v>m</v>
          </cell>
          <cell r="D418">
            <v>268.74</v>
          </cell>
        </row>
        <row r="419">
          <cell r="A419">
            <v>67350</v>
          </cell>
          <cell r="B419" t="str">
            <v>Corpo de BSTC D=150 cm com enrocamento e laje de concreto</v>
          </cell>
          <cell r="C419" t="str">
            <v>m</v>
          </cell>
          <cell r="D419">
            <v>372.12</v>
          </cell>
        </row>
        <row r="420">
          <cell r="A420">
            <v>67400</v>
          </cell>
          <cell r="B420" t="str">
            <v>Corpo de BSTC D=200 cm com enrocamento e laje de concreto</v>
          </cell>
          <cell r="C420" t="str">
            <v>m</v>
          </cell>
          <cell r="D420">
            <v>637.98</v>
          </cell>
        </row>
        <row r="421">
          <cell r="A421">
            <v>67450</v>
          </cell>
          <cell r="B421" t="str">
            <v>Corpo de BDTC D=80 cm com enrocamento e laje de concreto</v>
          </cell>
          <cell r="C421" t="str">
            <v>m</v>
          </cell>
          <cell r="D421">
            <v>274.34000000000003</v>
          </cell>
        </row>
        <row r="422">
          <cell r="A422">
            <v>67500</v>
          </cell>
          <cell r="B422" t="str">
            <v>Corpo de BDTC D=100 cm com enrocamento e laje de concreto</v>
          </cell>
          <cell r="C422" t="str">
            <v>m</v>
          </cell>
          <cell r="D422">
            <v>377.54</v>
          </cell>
        </row>
        <row r="423">
          <cell r="A423">
            <v>67550</v>
          </cell>
          <cell r="B423" t="str">
            <v>Corpo de BDTC D=120 cm com enrocamento e laje de concreto</v>
          </cell>
          <cell r="C423" t="str">
            <v>m</v>
          </cell>
          <cell r="D423">
            <v>510.48</v>
          </cell>
        </row>
        <row r="424">
          <cell r="A424">
            <v>67600</v>
          </cell>
          <cell r="B424" t="str">
            <v>Corpo de BDTC D=150 cm com enrocamento e laje de concreto</v>
          </cell>
          <cell r="C424" t="str">
            <v>m</v>
          </cell>
          <cell r="D424">
            <v>720.94999999999993</v>
          </cell>
        </row>
        <row r="425">
          <cell r="A425">
            <v>67650</v>
          </cell>
          <cell r="B425" t="str">
            <v>Corpo de BDTC D=200 cm com enrocamento e laje de concreto</v>
          </cell>
          <cell r="C425" t="str">
            <v>m</v>
          </cell>
          <cell r="D425">
            <v>1244.1399999999999</v>
          </cell>
        </row>
        <row r="426">
          <cell r="A426">
            <v>67700</v>
          </cell>
          <cell r="B426" t="str">
            <v>Corpo de BTTC D=80 cm com enrocamento e laje de concreto</v>
          </cell>
          <cell r="C426" t="str">
            <v>m</v>
          </cell>
          <cell r="D426">
            <v>403.28</v>
          </cell>
        </row>
        <row r="427">
          <cell r="A427">
            <v>67750</v>
          </cell>
          <cell r="B427" t="str">
            <v>Corpo de BTTC D=100 cm com enrocamento e laje de concreto</v>
          </cell>
          <cell r="C427" t="str">
            <v>m</v>
          </cell>
          <cell r="D427">
            <v>556.84</v>
          </cell>
        </row>
        <row r="428">
          <cell r="A428">
            <v>67800</v>
          </cell>
          <cell r="B428" t="str">
            <v>Corpo de BTTC D=120 cm com enrocamento e laje de concreto</v>
          </cell>
          <cell r="C428" t="str">
            <v>m</v>
          </cell>
          <cell r="D428">
            <v>754.93</v>
          </cell>
        </row>
        <row r="429">
          <cell r="A429">
            <v>67850</v>
          </cell>
          <cell r="B429" t="str">
            <v>Corpo de BTTC D=150 cm com enrocamento e laje de concreto</v>
          </cell>
          <cell r="C429" t="str">
            <v>m</v>
          </cell>
          <cell r="D429">
            <v>1069.82</v>
          </cell>
        </row>
        <row r="430">
          <cell r="A430">
            <v>67900</v>
          </cell>
          <cell r="B430" t="str">
            <v>Corpo de BTTC D=200 cm com enrocamento e laje de concreto</v>
          </cell>
          <cell r="C430" t="str">
            <v>m</v>
          </cell>
          <cell r="D430">
            <v>1850.26</v>
          </cell>
        </row>
        <row r="431">
          <cell r="A431">
            <v>67950</v>
          </cell>
          <cell r="B431" t="str">
            <v>Corpo de BSTC D=80 cm c/ enroc. e laje de concreto - tubo CA 3</v>
          </cell>
          <cell r="C431" t="str">
            <v>m</v>
          </cell>
          <cell r="D431">
            <v>142.63</v>
          </cell>
        </row>
        <row r="432">
          <cell r="A432">
            <v>68000</v>
          </cell>
          <cell r="B432" t="str">
            <v>Corpo de BSTC D=100 cm c/ enroc. e laje de concreto - tubo CA 3</v>
          </cell>
          <cell r="C432" t="str">
            <v>m</v>
          </cell>
          <cell r="D432">
            <v>208.04</v>
          </cell>
        </row>
        <row r="433">
          <cell r="A433">
            <v>68050</v>
          </cell>
          <cell r="B433" t="str">
            <v>Corpo de BSTC D=120 cm c/ enroc. e laje de concreto - tubo CA 3</v>
          </cell>
          <cell r="C433" t="str">
            <v>m</v>
          </cell>
          <cell r="D433">
            <v>268.74</v>
          </cell>
        </row>
        <row r="434">
          <cell r="A434">
            <v>68100</v>
          </cell>
          <cell r="B434" t="str">
            <v>Corpo de BDTC D=80 cm c/ enroc. e laje de concreto - tubo CA 3</v>
          </cell>
          <cell r="C434" t="str">
            <v>m</v>
          </cell>
          <cell r="D434">
            <v>268.21000000000004</v>
          </cell>
        </row>
        <row r="435">
          <cell r="A435">
            <v>68150</v>
          </cell>
          <cell r="B435" t="str">
            <v>Corpo de BDTC D=100 cm c/ enroc. e laje de concreto - tubo CA 3</v>
          </cell>
          <cell r="C435" t="str">
            <v>m</v>
          </cell>
          <cell r="D435">
            <v>395.91</v>
          </cell>
        </row>
        <row r="436">
          <cell r="A436">
            <v>68200</v>
          </cell>
          <cell r="B436" t="str">
            <v>Corpo de BDTC D=120 cm c/ enroc. e laje de concreto - tubo CA 3</v>
          </cell>
          <cell r="C436" t="str">
            <v>m</v>
          </cell>
          <cell r="D436">
            <v>510.48</v>
          </cell>
        </row>
        <row r="437">
          <cell r="A437">
            <v>68250</v>
          </cell>
          <cell r="B437" t="str">
            <v>Corpo de BTTC D=80 cm c/ enroc. e laje de concreto - tubo CA 3</v>
          </cell>
          <cell r="C437" t="str">
            <v>m</v>
          </cell>
          <cell r="D437">
            <v>394.09999999999997</v>
          </cell>
        </row>
        <row r="438">
          <cell r="A438">
            <v>68300</v>
          </cell>
          <cell r="B438" t="str">
            <v>Corpo de BTTC D=100 cm c/ enroc. e laje de concreto - tubo CA 3</v>
          </cell>
          <cell r="C438" t="str">
            <v>m</v>
          </cell>
          <cell r="D438">
            <v>584.4</v>
          </cell>
        </row>
        <row r="439">
          <cell r="A439">
            <v>68350</v>
          </cell>
          <cell r="B439" t="str">
            <v>Corpo de BTTC D=120 cm c/ enroc. e laje de concreto - tubo CA 3</v>
          </cell>
          <cell r="C439" t="str">
            <v>m</v>
          </cell>
          <cell r="D439">
            <v>754.93</v>
          </cell>
        </row>
        <row r="440">
          <cell r="A440">
            <v>68400</v>
          </cell>
          <cell r="B440" t="str">
            <v>Corpo de BSCC de 1,3 x 2,0 m       1,0 &lt; H &lt;= 3,0 m</v>
          </cell>
          <cell r="C440" t="str">
            <v>m</v>
          </cell>
          <cell r="D440">
            <v>680.17000000000007</v>
          </cell>
        </row>
        <row r="441">
          <cell r="A441">
            <v>68450</v>
          </cell>
          <cell r="B441" t="str">
            <v>Corpo de BSCC de 1,3 x 2,0 m       3,0 &lt; H &lt;= 6,0 m</v>
          </cell>
          <cell r="C441" t="str">
            <v>m</v>
          </cell>
          <cell r="D441">
            <v>680.88</v>
          </cell>
        </row>
        <row r="442">
          <cell r="A442">
            <v>68500</v>
          </cell>
          <cell r="B442" t="str">
            <v>Corpo de BSCC de 1,6 x 2,4 m       1,0 &lt; H &lt;= 3,0 m</v>
          </cell>
          <cell r="C442" t="str">
            <v>m</v>
          </cell>
          <cell r="D442">
            <v>802.67000000000007</v>
          </cell>
        </row>
        <row r="443">
          <cell r="A443">
            <v>68550</v>
          </cell>
          <cell r="B443" t="str">
            <v>Corpo de BSCC de 1,5 x 1,5 m       1,0 &lt; H &lt;= 2,5 m</v>
          </cell>
          <cell r="C443" t="str">
            <v>m</v>
          </cell>
          <cell r="D443">
            <v>581.76</v>
          </cell>
        </row>
        <row r="444">
          <cell r="A444">
            <v>68600</v>
          </cell>
          <cell r="B444" t="str">
            <v>Corpo de BSCC de 1,9 x 2,9 m       1,0 &lt; H &lt;= 3,0 m</v>
          </cell>
          <cell r="C444" t="str">
            <v>m</v>
          </cell>
          <cell r="D444">
            <v>933.54</v>
          </cell>
        </row>
        <row r="445">
          <cell r="A445">
            <v>68650</v>
          </cell>
          <cell r="B445" t="str">
            <v>Corpo de BSCC de 2,0 x 1,5 m       1,0 &lt; H &lt;= 2,5 m</v>
          </cell>
          <cell r="C445" t="str">
            <v>m</v>
          </cell>
          <cell r="D445">
            <v>722.98</v>
          </cell>
        </row>
        <row r="446">
          <cell r="A446">
            <v>68700</v>
          </cell>
          <cell r="B446" t="str">
            <v>Corpo de BSCC de 2,0 x 2,0 m       1,0 &lt; H &lt;= 2,5 m</v>
          </cell>
          <cell r="C446" t="str">
            <v>m</v>
          </cell>
          <cell r="D446">
            <v>817.25</v>
          </cell>
        </row>
        <row r="447">
          <cell r="A447">
            <v>68750</v>
          </cell>
          <cell r="B447" t="str">
            <v>Corpo de BSCC de 2,1 x 3,2 m       1,0 &lt; H &lt;= 3,0 m</v>
          </cell>
          <cell r="C447" t="str">
            <v>m</v>
          </cell>
          <cell r="D447">
            <v>1113.97</v>
          </cell>
        </row>
        <row r="448">
          <cell r="A448">
            <v>68800</v>
          </cell>
          <cell r="B448" t="str">
            <v>Corpo de BSCC de 2,3 x 3,5 m       1,0 &lt; H &lt;= 3,0 m</v>
          </cell>
          <cell r="C448" t="str">
            <v>m</v>
          </cell>
          <cell r="D448">
            <v>1420.67</v>
          </cell>
        </row>
        <row r="449">
          <cell r="A449">
            <v>68850</v>
          </cell>
          <cell r="B449" t="str">
            <v>Corpo de BSCC de 2,5 x 2,0 m       1,0 &lt; H &lt;= 2,5 m</v>
          </cell>
          <cell r="C449" t="str">
            <v>m</v>
          </cell>
          <cell r="D449">
            <v>1016.5899999999999</v>
          </cell>
        </row>
        <row r="450">
          <cell r="A450">
            <v>68900</v>
          </cell>
          <cell r="B450" t="str">
            <v>Corpo de BSCC de 2,5 x 2,5 m       1,0 &lt; H &lt;= 2,5 m</v>
          </cell>
          <cell r="C450" t="str">
            <v>m</v>
          </cell>
          <cell r="D450">
            <v>1195.5800000000002</v>
          </cell>
        </row>
        <row r="451">
          <cell r="A451">
            <v>68950</v>
          </cell>
          <cell r="B451" t="str">
            <v>Corpo de BSCC de 3,0 x 1,0 m       1,0 &lt; H &lt;= 2,5 m</v>
          </cell>
          <cell r="C451" t="str">
            <v>m</v>
          </cell>
          <cell r="D451">
            <v>1089.75</v>
          </cell>
        </row>
        <row r="452">
          <cell r="A452">
            <v>69000</v>
          </cell>
          <cell r="B452" t="str">
            <v>Corpo de BSCC de 3,0 x 2,0 m       1,0 &lt; H &lt;= 2,5 m</v>
          </cell>
          <cell r="C452" t="str">
            <v>m</v>
          </cell>
          <cell r="D452">
            <v>1218.1600000000001</v>
          </cell>
        </row>
        <row r="453">
          <cell r="A453">
            <v>69050</v>
          </cell>
          <cell r="B453" t="str">
            <v>Corpo de BSCC de 3,0 x 2,5 m       1,0 &lt; H &lt;= 2,5 m</v>
          </cell>
          <cell r="C453" t="str">
            <v>m</v>
          </cell>
          <cell r="D453">
            <v>1343.8200000000002</v>
          </cell>
        </row>
        <row r="454">
          <cell r="A454">
            <v>69100</v>
          </cell>
          <cell r="B454" t="str">
            <v>Corpo de BSCC de 3,0 x 3,0 m       1,0 &lt; H &lt;= 2,5 m</v>
          </cell>
          <cell r="C454" t="str">
            <v>m</v>
          </cell>
          <cell r="D454">
            <v>1549.88</v>
          </cell>
        </row>
        <row r="455">
          <cell r="A455">
            <v>69150</v>
          </cell>
          <cell r="B455" t="str">
            <v>Corpo de BSCC de 1,5 x 1,5 m       2,5 &lt; H &lt;= 5,0 m</v>
          </cell>
          <cell r="C455" t="str">
            <v>m</v>
          </cell>
          <cell r="D455">
            <v>631.94000000000005</v>
          </cell>
        </row>
        <row r="456">
          <cell r="A456">
            <v>69200</v>
          </cell>
          <cell r="B456" t="str">
            <v>Corpo de BSCC de 1,3 x 2,0 m       3,0 &lt; H &lt;= 6,0 m</v>
          </cell>
          <cell r="C456" t="str">
            <v>m</v>
          </cell>
          <cell r="D456">
            <v>680.17000000000007</v>
          </cell>
        </row>
        <row r="457">
          <cell r="A457">
            <v>69250</v>
          </cell>
          <cell r="B457" t="str">
            <v>Corpo de BSCC de 2,0 x 1,5 m       2,5 &lt; H &lt;= 5,0 m</v>
          </cell>
          <cell r="C457" t="str">
            <v>m</v>
          </cell>
          <cell r="D457">
            <v>823.55</v>
          </cell>
        </row>
        <row r="458">
          <cell r="A458">
            <v>69300</v>
          </cell>
          <cell r="B458" t="str">
            <v>Corpo de BSCC de 1,6 x 2,4 m      3,0 &lt; H &lt;= 6,0 m</v>
          </cell>
          <cell r="C458" t="str">
            <v>m</v>
          </cell>
          <cell r="D458">
            <v>816.85</v>
          </cell>
        </row>
        <row r="459">
          <cell r="A459">
            <v>69350</v>
          </cell>
          <cell r="B459" t="str">
            <v>Corpo de BSCC de 2,0 x 2,0 m       2,5 &lt; H &lt;= 5,0 m</v>
          </cell>
          <cell r="C459" t="str">
            <v>m</v>
          </cell>
          <cell r="D459">
            <v>951.18000000000006</v>
          </cell>
        </row>
        <row r="460">
          <cell r="A460">
            <v>69400</v>
          </cell>
          <cell r="B460" t="str">
            <v>Corpo de BSCC de 2,5 x 2,0 m       2,5 &lt; H &lt;= 5,0 m</v>
          </cell>
          <cell r="C460" t="str">
            <v>m</v>
          </cell>
          <cell r="D460">
            <v>1167.27</v>
          </cell>
        </row>
        <row r="461">
          <cell r="A461">
            <v>69450</v>
          </cell>
          <cell r="B461" t="str">
            <v>Corpo de BSCC de 2,5 x 2,5 m       2,5 &lt; H &lt;= 5,0 m</v>
          </cell>
          <cell r="C461" t="str">
            <v>m</v>
          </cell>
          <cell r="D461">
            <v>1333.85</v>
          </cell>
        </row>
        <row r="462">
          <cell r="A462">
            <v>69500</v>
          </cell>
          <cell r="B462" t="str">
            <v>Corpo de BSCC de 3,0 x 2,5 m       2,5 &lt; H &lt;= 5,0 m</v>
          </cell>
          <cell r="C462" t="str">
            <v>m</v>
          </cell>
          <cell r="D462">
            <v>1541.07</v>
          </cell>
        </row>
        <row r="463">
          <cell r="A463">
            <v>69550</v>
          </cell>
          <cell r="B463" t="str">
            <v>Corpo de BSCC de 3,0 x 3,0 m       2,5 &lt; H &lt;= 5,0 m</v>
          </cell>
          <cell r="C463" t="str">
            <v>m</v>
          </cell>
          <cell r="D463">
            <v>1839.46</v>
          </cell>
        </row>
        <row r="464">
          <cell r="A464">
            <v>69600</v>
          </cell>
          <cell r="B464" t="str">
            <v>Corpo de BSCC de 1,5 x 1,5 m       5,0 &lt; H &lt;= 7,5 m</v>
          </cell>
          <cell r="C464" t="str">
            <v>m</v>
          </cell>
          <cell r="D464">
            <v>709.26</v>
          </cell>
        </row>
        <row r="465">
          <cell r="A465">
            <v>69650</v>
          </cell>
          <cell r="B465" t="str">
            <v>Corpo de BSCC de 1,3 x 2,0 m       6,0 &lt; H &lt;= 9,0 m</v>
          </cell>
          <cell r="C465" t="str">
            <v>m</v>
          </cell>
          <cell r="D465">
            <v>684.59</v>
          </cell>
        </row>
        <row r="466">
          <cell r="A466">
            <v>69700</v>
          </cell>
          <cell r="B466" t="str">
            <v>Corpo de BSCC de 1,6 x 2,4 m       6,0 &lt; H &lt;= 9,0 m</v>
          </cell>
          <cell r="C466" t="str">
            <v>m</v>
          </cell>
          <cell r="D466">
            <v>885.68999999999994</v>
          </cell>
        </row>
        <row r="467">
          <cell r="A467">
            <v>69750</v>
          </cell>
          <cell r="B467" t="str">
            <v>Corpo de BSCC de 2,0 x 2,0 m       5,0 &lt; H &lt;= 7,5 m</v>
          </cell>
          <cell r="C467" t="str">
            <v>m</v>
          </cell>
          <cell r="D467">
            <v>1073.19</v>
          </cell>
        </row>
        <row r="468">
          <cell r="A468">
            <v>69800</v>
          </cell>
          <cell r="B468" t="str">
            <v>Corpo de BSCC de 2,5 x 2,0 m       5,0 &lt; H &lt;= 7,5 m</v>
          </cell>
          <cell r="C468" t="str">
            <v>m</v>
          </cell>
          <cell r="D468">
            <v>1305.6100000000001</v>
          </cell>
        </row>
        <row r="469">
          <cell r="A469">
            <v>69850</v>
          </cell>
          <cell r="B469" t="str">
            <v>Corpo de BSCC de 2,5 x 2,5 m       5,0 &lt; H &lt;= 7,5 m</v>
          </cell>
          <cell r="C469" t="str">
            <v>m</v>
          </cell>
          <cell r="D469">
            <v>1490.62</v>
          </cell>
        </row>
        <row r="470">
          <cell r="A470">
            <v>69900</v>
          </cell>
          <cell r="B470" t="str">
            <v>Corpo de BSCC de 3,0 x 2,0 m       2,5 &lt; H &lt;= 5,0 m</v>
          </cell>
          <cell r="C470" t="str">
            <v>m</v>
          </cell>
          <cell r="D470">
            <v>1402.61</v>
          </cell>
        </row>
        <row r="471">
          <cell r="A471">
            <v>69950</v>
          </cell>
          <cell r="B471" t="str">
            <v>Corpo de BSCC de 3,0 x 3,0 m       5,0 &lt; H &lt;= 7,5 m</v>
          </cell>
          <cell r="C471" t="str">
            <v>m</v>
          </cell>
          <cell r="D471">
            <v>1947.1</v>
          </cell>
        </row>
        <row r="472">
          <cell r="A472">
            <v>70000</v>
          </cell>
          <cell r="B472" t="str">
            <v>Corpo de BSCC de 2,0 x 1,5 m       7,5 &lt; H &lt;= 10,0 m</v>
          </cell>
          <cell r="C472" t="str">
            <v>m</v>
          </cell>
          <cell r="D472">
            <v>1033.23</v>
          </cell>
        </row>
        <row r="473">
          <cell r="A473">
            <v>70050</v>
          </cell>
          <cell r="B473" t="str">
            <v>Corpo de BSCC de 2,0 x 2,0 m       7,5 &lt; H &lt;= 10,0 m</v>
          </cell>
          <cell r="C473" t="str">
            <v>m</v>
          </cell>
          <cell r="D473">
            <v>1168.06</v>
          </cell>
        </row>
        <row r="474">
          <cell r="A474">
            <v>70100</v>
          </cell>
          <cell r="B474" t="str">
            <v>Corpo de BSCC de 2,5 x 2,0 m       7,5 &lt; H &lt;= 10,0 m</v>
          </cell>
          <cell r="C474" t="str">
            <v>m</v>
          </cell>
          <cell r="D474">
            <v>1449.31</v>
          </cell>
        </row>
        <row r="475">
          <cell r="A475">
            <v>70150</v>
          </cell>
          <cell r="B475" t="str">
            <v>Corpo de BSCC de 2,5 x 2,5 m       7,5 &lt; H &lt;= 10,0 m</v>
          </cell>
          <cell r="C475" t="str">
            <v>m</v>
          </cell>
          <cell r="D475">
            <v>1663.78</v>
          </cell>
        </row>
        <row r="476">
          <cell r="A476">
            <v>70200</v>
          </cell>
          <cell r="B476" t="str">
            <v>Corpo de BSCC de 3,0 x 3,0 m       7,5 &lt; H &lt;= 10,0 m</v>
          </cell>
          <cell r="C476" t="str">
            <v>m</v>
          </cell>
          <cell r="D476">
            <v>2208.0299999999997</v>
          </cell>
        </row>
        <row r="477">
          <cell r="A477">
            <v>70250</v>
          </cell>
          <cell r="B477" t="str">
            <v>Corpo de BSCC de 1,5 x 1,5 m      10,0 &lt; H &lt;= 12,5 m</v>
          </cell>
          <cell r="C477" t="str">
            <v>m</v>
          </cell>
          <cell r="D477">
            <v>822.26</v>
          </cell>
        </row>
        <row r="478">
          <cell r="A478">
            <v>70300</v>
          </cell>
          <cell r="B478" t="str">
            <v>Corpo de BSCC de 2,0 x 2,0 m      10,0 &lt; H &lt;= 12,5 m</v>
          </cell>
          <cell r="C478" t="str">
            <v>m</v>
          </cell>
          <cell r="D478">
            <v>1243.19</v>
          </cell>
        </row>
        <row r="479">
          <cell r="A479">
            <v>70350</v>
          </cell>
          <cell r="B479" t="str">
            <v>Corpo de BSCC de 2,5 x 2,0 m      10,0 &lt; H &lt;= 12,5 m</v>
          </cell>
          <cell r="C479" t="str">
            <v>m</v>
          </cell>
          <cell r="D479">
            <v>1609.82</v>
          </cell>
        </row>
        <row r="480">
          <cell r="A480">
            <v>70400</v>
          </cell>
          <cell r="B480" t="str">
            <v>Corpo de BSCC de 2,5 x 2,5 m      10,0 &lt; H &lt;= 12,5 m</v>
          </cell>
          <cell r="C480" t="str">
            <v>m</v>
          </cell>
          <cell r="D480">
            <v>1782.23</v>
          </cell>
        </row>
        <row r="481">
          <cell r="A481">
            <v>70450</v>
          </cell>
          <cell r="B481" t="str">
            <v>Corpo de BSCC de 3,0 x 3,0 m      10,0 &lt; H &lt;= 12,5 m</v>
          </cell>
          <cell r="C481" t="str">
            <v>m</v>
          </cell>
          <cell r="D481">
            <v>2417.2600000000002</v>
          </cell>
        </row>
        <row r="482">
          <cell r="A482">
            <v>70455</v>
          </cell>
          <cell r="B482" t="str">
            <v>Corpo de BDCC de 1,5 x 1,0 m           0 &lt; H &lt;= 1,0 m</v>
          </cell>
          <cell r="C482" t="str">
            <v>m</v>
          </cell>
          <cell r="D482">
            <v>804.73</v>
          </cell>
        </row>
        <row r="483">
          <cell r="A483">
            <v>70500</v>
          </cell>
          <cell r="B483" t="str">
            <v>Corpo de BDCC de 1,5 x 1,5 m         1,0 &lt; H &lt;= 2,5 m</v>
          </cell>
          <cell r="C483" t="str">
            <v>m</v>
          </cell>
          <cell r="D483">
            <v>962.27</v>
          </cell>
        </row>
        <row r="484">
          <cell r="A484">
            <v>70550</v>
          </cell>
          <cell r="B484" t="str">
            <v>Corpo de BDCC de 2,0 x 1,5 m         1,0 &lt; H &lt;= 2,5 m</v>
          </cell>
          <cell r="C484" t="str">
            <v>m</v>
          </cell>
          <cell r="D484">
            <v>1190.49</v>
          </cell>
        </row>
        <row r="485">
          <cell r="A485">
            <v>70600</v>
          </cell>
          <cell r="B485" t="str">
            <v>Corpo de BDCC de 2,0 x 2,0 m         1,0 &lt; H &lt;= 2,5 m</v>
          </cell>
          <cell r="C485" t="str">
            <v>m</v>
          </cell>
          <cell r="D485">
            <v>1341.27</v>
          </cell>
        </row>
        <row r="486">
          <cell r="A486">
            <v>70650</v>
          </cell>
          <cell r="B486" t="str">
            <v>Corpo de BDCC de 2,5 x 2,0 m         1,0 &lt; H &lt;= 2,5 m</v>
          </cell>
          <cell r="C486" t="str">
            <v>m</v>
          </cell>
          <cell r="D486">
            <v>1657.6200000000001</v>
          </cell>
        </row>
        <row r="487">
          <cell r="A487">
            <v>70700</v>
          </cell>
          <cell r="B487" t="str">
            <v>Corpo de BDCC de 3,0 x 2,0 m         2,5 &lt; H &lt;= 5,0 m</v>
          </cell>
          <cell r="C487" t="str">
            <v>m</v>
          </cell>
          <cell r="D487">
            <v>2321.1799999999998</v>
          </cell>
        </row>
        <row r="488">
          <cell r="A488">
            <v>70750</v>
          </cell>
          <cell r="B488" t="str">
            <v>Corpo de BDCC de 2,3 x 3,5 m         1,5 &lt; H &lt;= 3,0 m</v>
          </cell>
          <cell r="C488" t="str">
            <v>m</v>
          </cell>
          <cell r="D488">
            <v>2310.02</v>
          </cell>
        </row>
        <row r="489">
          <cell r="A489">
            <v>70800</v>
          </cell>
          <cell r="B489" t="str">
            <v>Corpo de BDCC de 2,5 x 2,5 m         1,0 &lt; H &lt;= 2,5 m</v>
          </cell>
          <cell r="C489" t="str">
            <v>m</v>
          </cell>
          <cell r="D489">
            <v>1867.77</v>
          </cell>
        </row>
        <row r="490">
          <cell r="A490">
            <v>70850</v>
          </cell>
          <cell r="B490" t="str">
            <v>Corpo de BDCC de 3,0 x 2,0 m         1,0 &lt; H &lt;= 2,5 m</v>
          </cell>
          <cell r="C490" t="str">
            <v>m</v>
          </cell>
          <cell r="D490">
            <v>1754.2</v>
          </cell>
        </row>
        <row r="491">
          <cell r="A491">
            <v>70900</v>
          </cell>
          <cell r="B491" t="str">
            <v>Corpo de BDCC de 3,0 x 2,5 m         1,0 &lt; H &lt;= 2,5 m</v>
          </cell>
          <cell r="C491" t="str">
            <v>m</v>
          </cell>
          <cell r="D491">
            <v>2167.4300000000003</v>
          </cell>
        </row>
        <row r="492">
          <cell r="A492">
            <v>70950</v>
          </cell>
          <cell r="B492" t="str">
            <v>Corpo de BDCC de 3,0 x 2,5 m         2,5 &lt; H &lt;= 5,0 m</v>
          </cell>
          <cell r="C492" t="str">
            <v>m</v>
          </cell>
          <cell r="D492">
            <v>2510.4499999999998</v>
          </cell>
        </row>
        <row r="493">
          <cell r="A493">
            <v>71000</v>
          </cell>
          <cell r="B493" t="str">
            <v>Corpo de BDCC de 3,0 x 3,0 m         1,0 &lt; H &lt;= 2,5 m</v>
          </cell>
          <cell r="C493" t="str">
            <v>m</v>
          </cell>
          <cell r="D493">
            <v>2471.2199999999998</v>
          </cell>
        </row>
        <row r="494">
          <cell r="A494">
            <v>71050</v>
          </cell>
          <cell r="B494" t="str">
            <v>Corpo de BDCC de 2,0 x 1,5 m         2,5 &lt; H &lt;= 5,0 m</v>
          </cell>
          <cell r="C494" t="str">
            <v>m</v>
          </cell>
          <cell r="D494">
            <v>1357.64</v>
          </cell>
        </row>
        <row r="495">
          <cell r="A495">
            <v>71100</v>
          </cell>
          <cell r="B495" t="str">
            <v>Corpo de BDCC de 2,7 x 3,9 m         1,5 &lt; H &lt;= 3,0 m</v>
          </cell>
          <cell r="C495" t="str">
            <v>m</v>
          </cell>
          <cell r="D495">
            <v>2671.5299999999997</v>
          </cell>
        </row>
        <row r="496">
          <cell r="A496">
            <v>71150</v>
          </cell>
          <cell r="B496" t="str">
            <v>Corpo de BDCC de 2,0 x 2,0 m         2,5 &lt; H &lt;= 5,0 m</v>
          </cell>
          <cell r="C496" t="str">
            <v>m</v>
          </cell>
          <cell r="D496">
            <v>1500.29</v>
          </cell>
        </row>
        <row r="497">
          <cell r="A497">
            <v>71200</v>
          </cell>
          <cell r="B497" t="str">
            <v>Corpo de BDCC de 2,0 x 2,0 m         5,0 &lt; H &lt;= 7,5 m</v>
          </cell>
          <cell r="C497" t="str">
            <v>m</v>
          </cell>
          <cell r="D497">
            <v>1660.84</v>
          </cell>
        </row>
        <row r="498">
          <cell r="A498">
            <v>71250</v>
          </cell>
          <cell r="B498" t="str">
            <v>Corpo de BDCC de 3,0 x 3,0 m         5,0 &lt; H &lt;= 7,5 m</v>
          </cell>
          <cell r="C498" t="str">
            <v>m</v>
          </cell>
          <cell r="D498">
            <v>3172.5</v>
          </cell>
        </row>
        <row r="499">
          <cell r="A499">
            <v>71300</v>
          </cell>
          <cell r="B499" t="str">
            <v>Corpo de BDCC de 2,0 x 2,0 m         7,5 &lt; H &lt;= 10,0 m</v>
          </cell>
          <cell r="C499" t="str">
            <v>m</v>
          </cell>
          <cell r="D499">
            <v>1821.79</v>
          </cell>
        </row>
        <row r="500">
          <cell r="A500">
            <v>71350</v>
          </cell>
          <cell r="B500" t="str">
            <v>Corpo de BDCC de 2,5 x 2,5 m         7,5 &lt; H &lt;= 10,0 m</v>
          </cell>
          <cell r="C500" t="str">
            <v>m</v>
          </cell>
          <cell r="D500">
            <v>2528.35</v>
          </cell>
        </row>
        <row r="501">
          <cell r="A501">
            <v>71400</v>
          </cell>
          <cell r="B501" t="str">
            <v>Corpo de BDCC de 3,0 x 2,5 m         7,5 &lt; H &lt;= 10,0 m</v>
          </cell>
          <cell r="C501" t="str">
            <v>m</v>
          </cell>
          <cell r="D501">
            <v>3117.77</v>
          </cell>
        </row>
        <row r="502">
          <cell r="A502">
            <v>71450</v>
          </cell>
          <cell r="B502" t="str">
            <v>Corpo de BDCC de 2,0 x 2,0 m        10,0 &lt; H &lt;= 12,5 m</v>
          </cell>
          <cell r="C502" t="str">
            <v>m</v>
          </cell>
          <cell r="D502">
            <v>1973.79</v>
          </cell>
        </row>
        <row r="503">
          <cell r="A503">
            <v>71500</v>
          </cell>
          <cell r="B503" t="str">
            <v>Corpo de BTCC de 2,0 x 2,0 m           1,0 &lt; H &lt;= 2,5 m</v>
          </cell>
          <cell r="C503" t="str">
            <v>m</v>
          </cell>
          <cell r="D503">
            <v>1887.08</v>
          </cell>
        </row>
        <row r="504">
          <cell r="A504">
            <v>71550</v>
          </cell>
          <cell r="B504" t="str">
            <v>Corpo de BTCC de 2,5 x 2,0 m           1,0 &lt; H &lt;= 2,5 m</v>
          </cell>
          <cell r="C504" t="str">
            <v>m</v>
          </cell>
          <cell r="D504">
            <v>2358.1400000000003</v>
          </cell>
        </row>
        <row r="505">
          <cell r="A505">
            <v>71600</v>
          </cell>
          <cell r="B505" t="str">
            <v>Corpo de BTCC de 3,0 x 2,0 m           2,5 &lt; H &lt;= 5,0 m</v>
          </cell>
          <cell r="C505" t="str">
            <v>m</v>
          </cell>
          <cell r="D505">
            <v>3271.73</v>
          </cell>
        </row>
        <row r="506">
          <cell r="A506">
            <v>71650</v>
          </cell>
          <cell r="B506" t="str">
            <v>Corpo de BTCC de 1,7 x 3,9 m           1,5 &lt; H &lt;= 3,0 m</v>
          </cell>
          <cell r="C506" t="str">
            <v>m</v>
          </cell>
          <cell r="D506">
            <v>3980.2200000000003</v>
          </cell>
        </row>
        <row r="507">
          <cell r="A507">
            <v>71700</v>
          </cell>
          <cell r="B507" t="str">
            <v>Corpo de BTCC de 2,7 x 3,9 m           3,0 &lt; H &lt;= 6,0 m</v>
          </cell>
          <cell r="C507" t="str">
            <v>m</v>
          </cell>
          <cell r="D507">
            <v>4283.26</v>
          </cell>
        </row>
        <row r="508">
          <cell r="A508">
            <v>71750</v>
          </cell>
          <cell r="B508" t="str">
            <v>Corpo de BTCC de 2,7 x 3,9 m           6,0 &lt; H &lt;= 9,0 m</v>
          </cell>
          <cell r="C508" t="str">
            <v>m</v>
          </cell>
          <cell r="D508">
            <v>4644.5</v>
          </cell>
        </row>
        <row r="509">
          <cell r="A509">
            <v>71800</v>
          </cell>
          <cell r="B509" t="str">
            <v>Corpo de BTCC de 2,7 x 3,9 m           9,0 &lt; H &lt;= 12,0 m</v>
          </cell>
          <cell r="C509" t="str">
            <v>m</v>
          </cell>
          <cell r="D509">
            <v>5077.63</v>
          </cell>
        </row>
        <row r="510">
          <cell r="A510">
            <v>71850</v>
          </cell>
          <cell r="B510" t="str">
            <v>Corpo de BTCC de 3,0 x 3,0 m           1,0 &lt; H &lt;= 2,5 m</v>
          </cell>
          <cell r="C510" t="str">
            <v>m</v>
          </cell>
          <cell r="D510">
            <v>3508.51</v>
          </cell>
        </row>
        <row r="511">
          <cell r="A511">
            <v>72000</v>
          </cell>
          <cell r="B511" t="str">
            <v>Bueiro armco circular mp 152 c/epoxi - D = 2,75 m - E = 2,7mm</v>
          </cell>
          <cell r="C511" t="str">
            <v>m</v>
          </cell>
          <cell r="D511">
            <v>1962.1599999999999</v>
          </cell>
        </row>
        <row r="512">
          <cell r="A512">
            <v>72050</v>
          </cell>
          <cell r="B512" t="str">
            <v>Bueiro armco circular mp 152 c/epoxi - D = 4,60 m - E = 2,7mm</v>
          </cell>
          <cell r="C512" t="str">
            <v>m</v>
          </cell>
          <cell r="D512">
            <v>3331.86</v>
          </cell>
        </row>
        <row r="513">
          <cell r="A513">
            <v>72100</v>
          </cell>
          <cell r="B513" t="str">
            <v>Bueiro armco lenticular mp 152 c/epoxi (2,2 x 1,7) m - E=2,7 mm</v>
          </cell>
          <cell r="C513" t="str">
            <v>m</v>
          </cell>
          <cell r="D513">
            <v>1475.4</v>
          </cell>
        </row>
        <row r="514">
          <cell r="A514">
            <v>72150</v>
          </cell>
          <cell r="B514" t="str">
            <v>Bueiro armco circular mp 152 c/epoxi D = 1,80 m - E=2,7 mm</v>
          </cell>
          <cell r="C514" t="str">
            <v>m</v>
          </cell>
          <cell r="D514">
            <v>1313.1100000000001</v>
          </cell>
        </row>
        <row r="515">
          <cell r="A515">
            <v>72200</v>
          </cell>
          <cell r="B515" t="str">
            <v>Tunel liner c/ epoxi - D = 1,80 m - E = 4,7 mm com 1,5 &lt; H &lt; 17,7 m</v>
          </cell>
          <cell r="C515" t="str">
            <v>m</v>
          </cell>
          <cell r="D515">
            <v>2067.04</v>
          </cell>
        </row>
        <row r="516">
          <cell r="A516">
            <v>72300</v>
          </cell>
          <cell r="B516" t="str">
            <v>Boca para BSTC D=60 cm - normal (tipo DNER)</v>
          </cell>
          <cell r="C516" t="str">
            <v>un</v>
          </cell>
          <cell r="D516">
            <v>263.37</v>
          </cell>
        </row>
        <row r="517">
          <cell r="A517">
            <v>72350</v>
          </cell>
          <cell r="B517" t="str">
            <v>Boca para BSTC D=60 cm - tipo DER/SC , normal</v>
          </cell>
          <cell r="C517" t="str">
            <v>un</v>
          </cell>
          <cell r="D517">
            <v>197.86</v>
          </cell>
        </row>
        <row r="518">
          <cell r="A518">
            <v>72380</v>
          </cell>
          <cell r="B518" t="str">
            <v>Boca para BSTC D=60 cm - tipo DER/SC , esconsidade 15 graus</v>
          </cell>
          <cell r="C518" t="str">
            <v>un</v>
          </cell>
          <cell r="D518">
            <v>235.8</v>
          </cell>
        </row>
        <row r="519">
          <cell r="A519">
            <v>72390</v>
          </cell>
          <cell r="B519" t="str">
            <v>Boca para BSTC D=60 cm - tipo DER/SC , esconsidade 20 graus</v>
          </cell>
          <cell r="C519" t="str">
            <v>un</v>
          </cell>
          <cell r="D519">
            <v>244.34</v>
          </cell>
        </row>
        <row r="520">
          <cell r="A520">
            <v>72400</v>
          </cell>
          <cell r="B520" t="str">
            <v>Boca para BSTC D=60 cm - tipo DER/SC , esconsidade 30 graus</v>
          </cell>
          <cell r="C520" t="str">
            <v>un</v>
          </cell>
          <cell r="D520">
            <v>263.88</v>
          </cell>
        </row>
        <row r="521">
          <cell r="A521">
            <v>72450</v>
          </cell>
          <cell r="B521" t="str">
            <v>Boca para BSTC D=80 cm - normal (tipo DNER)</v>
          </cell>
          <cell r="C521" t="str">
            <v>un</v>
          </cell>
          <cell r="D521">
            <v>445.34000000000003</v>
          </cell>
        </row>
        <row r="522">
          <cell r="A522">
            <v>72480</v>
          </cell>
          <cell r="B522" t="str">
            <v>Boca para BSTC D=80 cm - tipo DER/SC , esconsidade 15 graus</v>
          </cell>
          <cell r="C522" t="str">
            <v>un</v>
          </cell>
          <cell r="D522">
            <v>351.77000000000004</v>
          </cell>
        </row>
        <row r="523">
          <cell r="A523">
            <v>72490</v>
          </cell>
          <cell r="B523" t="str">
            <v>Boca para BSTC D=80 cm - tipo DER/SC , esconsidade 20 graus</v>
          </cell>
          <cell r="C523" t="str">
            <v>un</v>
          </cell>
          <cell r="D523">
            <v>371.21</v>
          </cell>
        </row>
        <row r="524">
          <cell r="A524">
            <v>72500</v>
          </cell>
          <cell r="B524" t="str">
            <v>Boca para BSTC D=80 cm - tipo DER/SC , esconsidade 30 graus</v>
          </cell>
          <cell r="C524" t="str">
            <v>un</v>
          </cell>
          <cell r="D524">
            <v>399.8</v>
          </cell>
        </row>
        <row r="525">
          <cell r="A525">
            <v>72550</v>
          </cell>
          <cell r="B525" t="str">
            <v>Boca para BSTC D=80 cm - tipo DER/SC , normal</v>
          </cell>
          <cell r="C525" t="str">
            <v>un</v>
          </cell>
          <cell r="D525">
            <v>266.89999999999998</v>
          </cell>
        </row>
        <row r="526">
          <cell r="A526">
            <v>72600</v>
          </cell>
          <cell r="B526" t="str">
            <v>Boca para BSTC D=100 cm - normal (tipo DNER)</v>
          </cell>
          <cell r="C526" t="str">
            <v>un</v>
          </cell>
          <cell r="D526">
            <v>689.4</v>
          </cell>
        </row>
        <row r="527">
          <cell r="A527">
            <v>72630</v>
          </cell>
          <cell r="B527" t="str">
            <v>Boca para BSTC D=100 cm - tipo DER/SC , esconsidade 15 graus</v>
          </cell>
          <cell r="C527" t="str">
            <v>un</v>
          </cell>
          <cell r="D527">
            <v>517.41999999999996</v>
          </cell>
        </row>
        <row r="528">
          <cell r="A528">
            <v>72640</v>
          </cell>
          <cell r="B528" t="str">
            <v>Boca para BSTC D=100 cm - tipo DER/SC , esconsidade 20 graus</v>
          </cell>
          <cell r="C528" t="str">
            <v>un</v>
          </cell>
          <cell r="D528">
            <v>550.14</v>
          </cell>
        </row>
        <row r="529">
          <cell r="A529">
            <v>72650</v>
          </cell>
          <cell r="B529" t="str">
            <v>Boca para BSTC D=100 cm - tipo DER/SC , esconsidade 30 graus</v>
          </cell>
          <cell r="C529" t="str">
            <v>un</v>
          </cell>
          <cell r="D529">
            <v>598.29</v>
          </cell>
        </row>
        <row r="530">
          <cell r="A530">
            <v>72700</v>
          </cell>
          <cell r="B530" t="str">
            <v>Boca para BSTC D=100 cm - tipo DER/SC , normal</v>
          </cell>
          <cell r="C530" t="str">
            <v>un</v>
          </cell>
          <cell r="D530">
            <v>378.53999999999996</v>
          </cell>
        </row>
        <row r="531">
          <cell r="A531">
            <v>72750</v>
          </cell>
          <cell r="B531" t="str">
            <v>Boca para BSTC D=120 cm - normal (tipo DNER)</v>
          </cell>
          <cell r="C531" t="str">
            <v>un</v>
          </cell>
          <cell r="D531">
            <v>984.65</v>
          </cell>
        </row>
        <row r="532">
          <cell r="A532">
            <v>72780</v>
          </cell>
          <cell r="B532" t="str">
            <v>Boca para BSTC D=120 cm - tipo DER/SC , esconsidade 15 graus</v>
          </cell>
          <cell r="C532" t="str">
            <v>un</v>
          </cell>
          <cell r="D532">
            <v>697.81</v>
          </cell>
        </row>
        <row r="533">
          <cell r="A533">
            <v>72790</v>
          </cell>
          <cell r="B533" t="str">
            <v>Boca para BSTC D=120 cm - tipo DER/SC , esconsidade 20 graus</v>
          </cell>
          <cell r="C533" t="str">
            <v>un</v>
          </cell>
          <cell r="D533">
            <v>746.87</v>
          </cell>
        </row>
        <row r="534">
          <cell r="A534">
            <v>72800</v>
          </cell>
          <cell r="B534" t="str">
            <v>Boca para BSTC D=120 cm - tipo DER/SC , esconsidade 30 graus</v>
          </cell>
          <cell r="C534" t="str">
            <v>un</v>
          </cell>
          <cell r="D534">
            <v>816.6</v>
          </cell>
        </row>
        <row r="535">
          <cell r="A535">
            <v>72850</v>
          </cell>
          <cell r="B535" t="str">
            <v>Boca para BSTC D=120 cm - tipo DER/SC , normal</v>
          </cell>
          <cell r="C535" t="str">
            <v>un</v>
          </cell>
          <cell r="D535">
            <v>491.17999999999995</v>
          </cell>
        </row>
        <row r="536">
          <cell r="A536">
            <v>72900</v>
          </cell>
          <cell r="B536" t="str">
            <v>Boca para BSTC D=150 cm - tipo DER/SC , normal</v>
          </cell>
          <cell r="C536" t="str">
            <v>un</v>
          </cell>
          <cell r="D536">
            <v>740.01</v>
          </cell>
        </row>
        <row r="537">
          <cell r="A537">
            <v>72910</v>
          </cell>
          <cell r="B537" t="str">
            <v>Boca para BSTC D=150 cm - tipo DER/SC , esconsidade 15 graus</v>
          </cell>
          <cell r="C537" t="str">
            <v>un</v>
          </cell>
          <cell r="D537">
            <v>1003.35</v>
          </cell>
        </row>
        <row r="538">
          <cell r="A538">
            <v>72920</v>
          </cell>
          <cell r="B538" t="str">
            <v>Boca para BSTC D=150 cm - tipo DER/SC , esconsidade 20 graus</v>
          </cell>
          <cell r="C538" t="str">
            <v>un</v>
          </cell>
          <cell r="D538">
            <v>1072.94</v>
          </cell>
        </row>
        <row r="539">
          <cell r="A539">
            <v>72930</v>
          </cell>
          <cell r="B539" t="str">
            <v>Boca para BSTC D=150 cm - tipo DER/SC , esconsidade 30 graus</v>
          </cell>
          <cell r="C539" t="str">
            <v>un</v>
          </cell>
          <cell r="D539">
            <v>1165.6600000000001</v>
          </cell>
        </row>
        <row r="540">
          <cell r="A540">
            <v>72950</v>
          </cell>
          <cell r="B540" t="str">
            <v>Boca para BSTC D=200 cm - tipo DER/SC , normal</v>
          </cell>
          <cell r="C540" t="str">
            <v>un</v>
          </cell>
          <cell r="D540">
            <v>1282.3</v>
          </cell>
        </row>
        <row r="541">
          <cell r="A541">
            <v>72960</v>
          </cell>
          <cell r="B541" t="str">
            <v>Boca para BSTC D=200 cm - tipo DER/SC , esconsidade 15 graus</v>
          </cell>
          <cell r="C541" t="str">
            <v>un</v>
          </cell>
          <cell r="D541">
            <v>1627.46</v>
          </cell>
        </row>
        <row r="542">
          <cell r="A542">
            <v>72970</v>
          </cell>
          <cell r="B542" t="str">
            <v>Boca para BSTC D=200 cm - tipo DER/SC , esconsidade 20 graus</v>
          </cell>
          <cell r="C542" t="str">
            <v>un</v>
          </cell>
          <cell r="D542">
            <v>1749.01</v>
          </cell>
        </row>
        <row r="543">
          <cell r="A543">
            <v>72980</v>
          </cell>
          <cell r="B543" t="str">
            <v>Boca para BSTC D=200 cm - tipo DER/SC , esconsidade 30 graus</v>
          </cell>
          <cell r="C543" t="str">
            <v>un</v>
          </cell>
          <cell r="D543">
            <v>1918.74</v>
          </cell>
        </row>
        <row r="544">
          <cell r="A544">
            <v>73000</v>
          </cell>
          <cell r="B544" t="str">
            <v>Boca para BDTC D=80 cm - normal (tipo DNER)</v>
          </cell>
          <cell r="C544" t="str">
            <v>un</v>
          </cell>
          <cell r="D544">
            <v>601.46999999999991</v>
          </cell>
        </row>
        <row r="545">
          <cell r="A545">
            <v>73030</v>
          </cell>
          <cell r="B545" t="str">
            <v>Boca para BDTC D=80 cm - tipo DER/SC , esconsidade 15 graus</v>
          </cell>
          <cell r="C545" t="str">
            <v>un</v>
          </cell>
          <cell r="D545">
            <v>453.55</v>
          </cell>
        </row>
        <row r="546">
          <cell r="A546">
            <v>73040</v>
          </cell>
          <cell r="B546" t="str">
            <v>Boca para BDTC D=80 cm - tipo DER/SC , esconsidade 20 graus</v>
          </cell>
          <cell r="C546" t="str">
            <v>un</v>
          </cell>
          <cell r="D546">
            <v>473.01</v>
          </cell>
        </row>
        <row r="547">
          <cell r="A547">
            <v>73050</v>
          </cell>
          <cell r="B547" t="str">
            <v>Boca para BDTC D=80 cm - tipo DER/SC , esconsidade 30 graus</v>
          </cell>
          <cell r="C547" t="str">
            <v>un</v>
          </cell>
          <cell r="D547">
            <v>501.5</v>
          </cell>
        </row>
        <row r="548">
          <cell r="A548">
            <v>73100</v>
          </cell>
          <cell r="B548" t="str">
            <v>Boca para BDTC D=80 cm - tipo DER/SC , normal</v>
          </cell>
          <cell r="C548" t="str">
            <v>un</v>
          </cell>
          <cell r="D548">
            <v>381.61</v>
          </cell>
        </row>
        <row r="549">
          <cell r="A549">
            <v>73150</v>
          </cell>
          <cell r="B549" t="str">
            <v>Boca para BDTC D=100 cm - normal (tipo DNER)</v>
          </cell>
          <cell r="C549" t="str">
            <v>un</v>
          </cell>
          <cell r="D549">
            <v>911.33</v>
          </cell>
        </row>
        <row r="550">
          <cell r="A550">
            <v>73180</v>
          </cell>
          <cell r="B550" t="str">
            <v>Boca para BDTC D=100 cm - tipo DER/SC , esconsidade 15 graus</v>
          </cell>
          <cell r="C550" t="str">
            <v>un</v>
          </cell>
          <cell r="D550">
            <v>650.9899999999999</v>
          </cell>
        </row>
        <row r="551">
          <cell r="A551">
            <v>73190</v>
          </cell>
          <cell r="B551" t="str">
            <v>Boca para BDTC D=100 cm - tipo DER/SC , esconsidade 20 graus</v>
          </cell>
          <cell r="C551" t="str">
            <v>un</v>
          </cell>
          <cell r="D551">
            <v>683.58</v>
          </cell>
        </row>
        <row r="552">
          <cell r="A552">
            <v>73200</v>
          </cell>
          <cell r="B552" t="str">
            <v>Boca para BDTC D=100 cm - tipo DER/SC , esconsidade 30 graus</v>
          </cell>
          <cell r="C552" t="str">
            <v>un</v>
          </cell>
          <cell r="D552">
            <v>731.83999999999992</v>
          </cell>
        </row>
        <row r="553">
          <cell r="A553">
            <v>73250</v>
          </cell>
          <cell r="B553" t="str">
            <v>Boca para BDTC D=100 cm - tipo DER/SC , normal</v>
          </cell>
          <cell r="C553" t="str">
            <v>un</v>
          </cell>
          <cell r="D553">
            <v>528.32000000000005</v>
          </cell>
        </row>
        <row r="554">
          <cell r="A554">
            <v>73300</v>
          </cell>
          <cell r="B554" t="str">
            <v>Boca para BDTC D=120 cm - normal (tipo DNER)</v>
          </cell>
          <cell r="C554" t="str">
            <v>un</v>
          </cell>
          <cell r="D554">
            <v>1281.3499999999999</v>
          </cell>
        </row>
        <row r="555">
          <cell r="A555">
            <v>73330</v>
          </cell>
          <cell r="B555" t="str">
            <v>Boca para BDTC D=120 cm - tipo DER/SC , esconsidade 15 graus</v>
          </cell>
          <cell r="C555" t="str">
            <v>un</v>
          </cell>
          <cell r="D555">
            <v>877.46</v>
          </cell>
        </row>
        <row r="556">
          <cell r="A556">
            <v>73340</v>
          </cell>
          <cell r="B556" t="str">
            <v>Boca para BDTC D=120 cm - tipo DER/SC , esconsidade 20 graus</v>
          </cell>
          <cell r="C556" t="str">
            <v>un</v>
          </cell>
          <cell r="D556">
            <v>927.56</v>
          </cell>
        </row>
        <row r="557">
          <cell r="A557">
            <v>73350</v>
          </cell>
          <cell r="B557" t="str">
            <v>Boca para BDTC D=120 cm - tipo DER/SC , esconsidade 30 graus</v>
          </cell>
          <cell r="C557" t="str">
            <v>un</v>
          </cell>
          <cell r="D557">
            <v>997.31999999999994</v>
          </cell>
        </row>
        <row r="558">
          <cell r="A558">
            <v>73400</v>
          </cell>
          <cell r="B558" t="str">
            <v>Boca para BDTC D=120 cm - tipo DER/SC , normal</v>
          </cell>
          <cell r="C558" t="str">
            <v>un</v>
          </cell>
          <cell r="D558">
            <v>686.29</v>
          </cell>
        </row>
        <row r="559">
          <cell r="A559">
            <v>73450</v>
          </cell>
          <cell r="B559" t="str">
            <v>Boca para BDTC D=150 cm - tipo DER/SC , normal</v>
          </cell>
          <cell r="C559" t="str">
            <v>un</v>
          </cell>
          <cell r="D559">
            <v>994.31</v>
          </cell>
        </row>
        <row r="560">
          <cell r="A560">
            <v>73460</v>
          </cell>
          <cell r="B560" t="str">
            <v>Boca para BDTC D=150 cm - tipo DER/SC , esconsidade 15 graus</v>
          </cell>
          <cell r="C560" t="str">
            <v>un</v>
          </cell>
          <cell r="D560">
            <v>1244.1699999999998</v>
          </cell>
        </row>
        <row r="561">
          <cell r="A561">
            <v>73470</v>
          </cell>
          <cell r="B561" t="str">
            <v>Boca para BDTC D=150 cm - tipo DER/SC , esconsidade 20 graus</v>
          </cell>
          <cell r="C561" t="str">
            <v>un</v>
          </cell>
          <cell r="D561">
            <v>1313.6100000000001</v>
          </cell>
        </row>
        <row r="562">
          <cell r="A562">
            <v>73480</v>
          </cell>
          <cell r="B562" t="str">
            <v>Boca para BDTC D=150 cm - tipo DER/SC , esconsidade 30 graus</v>
          </cell>
          <cell r="C562" t="str">
            <v>un</v>
          </cell>
          <cell r="D562">
            <v>1410.53</v>
          </cell>
        </row>
        <row r="563">
          <cell r="A563">
            <v>73500</v>
          </cell>
          <cell r="B563" t="str">
            <v>Boca para BDTC D=200 cm - tipo DER/SC , normal</v>
          </cell>
          <cell r="C563" t="str">
            <v>un</v>
          </cell>
          <cell r="D563">
            <v>1644.8</v>
          </cell>
        </row>
        <row r="564">
          <cell r="A564">
            <v>73510</v>
          </cell>
          <cell r="B564" t="str">
            <v>Boca para BDTC D=200 cm - tipo DER/SC , esconsidade 15 graus</v>
          </cell>
          <cell r="C564" t="str">
            <v>un</v>
          </cell>
          <cell r="D564">
            <v>1975.8000000000002</v>
          </cell>
        </row>
        <row r="565">
          <cell r="A565">
            <v>73520</v>
          </cell>
          <cell r="B565" t="str">
            <v>Boca para BDTC D=200 cm - tipo DER/SC , esconsidade 20 graus</v>
          </cell>
          <cell r="C565" t="str">
            <v>un</v>
          </cell>
          <cell r="D565">
            <v>2097.0700000000002</v>
          </cell>
        </row>
        <row r="566">
          <cell r="A566">
            <v>73530</v>
          </cell>
          <cell r="B566" t="str">
            <v>Boca para BDTC D=200 cm - tipo DER/SC , esconsidade 30 graus</v>
          </cell>
          <cell r="C566" t="str">
            <v>un</v>
          </cell>
          <cell r="D566">
            <v>2266.79</v>
          </cell>
        </row>
        <row r="567">
          <cell r="A567">
            <v>73550</v>
          </cell>
          <cell r="B567" t="str">
            <v>Boca para BTTC D=80 cm - normal (tipo DNER)</v>
          </cell>
          <cell r="C567" t="str">
            <v>un</v>
          </cell>
          <cell r="D567">
            <v>757.34</v>
          </cell>
        </row>
        <row r="568">
          <cell r="A568">
            <v>73580</v>
          </cell>
          <cell r="B568" t="str">
            <v>Boca para BTTC D=80 cm - tipo DER/SC , esconsidade 15 graus</v>
          </cell>
          <cell r="C568" t="str">
            <v>un</v>
          </cell>
          <cell r="D568">
            <v>554.96</v>
          </cell>
        </row>
        <row r="569">
          <cell r="A569">
            <v>73590</v>
          </cell>
          <cell r="B569" t="str">
            <v>Boca para BTTC D=80 cm - tipo DER/SC , esconsidade 20 graus</v>
          </cell>
          <cell r="C569" t="str">
            <v>un</v>
          </cell>
          <cell r="D569">
            <v>574.35</v>
          </cell>
        </row>
        <row r="570">
          <cell r="A570">
            <v>73600</v>
          </cell>
          <cell r="B570" t="str">
            <v>Boca para BTTC D=80 cm - tipo DER/SC , esconsidade 30 graus</v>
          </cell>
          <cell r="C570" t="str">
            <v>un</v>
          </cell>
          <cell r="D570">
            <v>602.95000000000005</v>
          </cell>
        </row>
        <row r="571">
          <cell r="A571">
            <v>73650</v>
          </cell>
          <cell r="B571" t="str">
            <v>Boca para BTTC D=80 cm - tipo DER/SC , normal</v>
          </cell>
          <cell r="C571" t="str">
            <v>un</v>
          </cell>
          <cell r="D571">
            <v>488.6</v>
          </cell>
        </row>
        <row r="572">
          <cell r="A572">
            <v>73700</v>
          </cell>
          <cell r="B572" t="str">
            <v>Boca para BTTC D=100 cm - normal (tipo DNER)</v>
          </cell>
          <cell r="C572" t="str">
            <v>un</v>
          </cell>
          <cell r="D572">
            <v>1133.8399999999999</v>
          </cell>
        </row>
        <row r="573">
          <cell r="A573">
            <v>73730</v>
          </cell>
          <cell r="B573" t="str">
            <v>Boca para BTTC D=100 cm - tipo DER/SC , esconsidade 15 graus</v>
          </cell>
          <cell r="C573" t="str">
            <v>un</v>
          </cell>
          <cell r="D573">
            <v>784.89</v>
          </cell>
        </row>
        <row r="574">
          <cell r="A574">
            <v>73740</v>
          </cell>
          <cell r="B574" t="str">
            <v>Boca para BTTC D=100 cm - tipo DER/SC , esconsidade 20 graus</v>
          </cell>
          <cell r="C574" t="str">
            <v>un</v>
          </cell>
          <cell r="D574">
            <v>817.48</v>
          </cell>
        </row>
        <row r="575">
          <cell r="A575">
            <v>73750</v>
          </cell>
          <cell r="B575" t="str">
            <v>Boca para BTTC D=100 cm - tipo DER/SC , esconsidade 30 graus</v>
          </cell>
          <cell r="C575" t="str">
            <v>un</v>
          </cell>
          <cell r="D575">
            <v>865.6099999999999</v>
          </cell>
        </row>
        <row r="576">
          <cell r="A576">
            <v>73800</v>
          </cell>
          <cell r="B576" t="str">
            <v>Boca para BTTC D=100 cm - tipo DER/SC , normal</v>
          </cell>
          <cell r="C576" t="str">
            <v>un</v>
          </cell>
          <cell r="D576">
            <v>669.93999999999994</v>
          </cell>
        </row>
        <row r="577">
          <cell r="A577">
            <v>73850</v>
          </cell>
          <cell r="B577" t="str">
            <v>Boca para BTTC D=120 cm - normal (tipo DNER)</v>
          </cell>
          <cell r="C577" t="str">
            <v>un</v>
          </cell>
          <cell r="D577">
            <v>1578.39</v>
          </cell>
        </row>
        <row r="578">
          <cell r="A578">
            <v>73880</v>
          </cell>
          <cell r="B578" t="str">
            <v>Boca para BTTC D=120 cm - tipo DER/SC , esconsidade 15 graus</v>
          </cell>
          <cell r="C578" t="str">
            <v>un</v>
          </cell>
          <cell r="D578">
            <v>1057.8700000000001</v>
          </cell>
        </row>
        <row r="579">
          <cell r="A579">
            <v>73890</v>
          </cell>
          <cell r="B579" t="str">
            <v>Boca para BTTC D=120 cm - tipo DER/SC , esconsidade 20 graus</v>
          </cell>
          <cell r="C579" t="str">
            <v>un</v>
          </cell>
          <cell r="D579">
            <v>1108</v>
          </cell>
        </row>
        <row r="580">
          <cell r="A580">
            <v>73900</v>
          </cell>
          <cell r="B580" t="str">
            <v>Boca para BTTC D=120 cm - tipo DER/SC , esconsidade 30 graus</v>
          </cell>
          <cell r="C580" t="str">
            <v>un</v>
          </cell>
          <cell r="D580">
            <v>1178</v>
          </cell>
        </row>
        <row r="581">
          <cell r="A581">
            <v>73950</v>
          </cell>
          <cell r="B581" t="str">
            <v>Boca para BTTC D=120 cm - tipo DER/SC , normal</v>
          </cell>
          <cell r="C581" t="str">
            <v>un</v>
          </cell>
          <cell r="D581">
            <v>873.04</v>
          </cell>
        </row>
        <row r="582">
          <cell r="A582">
            <v>74000</v>
          </cell>
          <cell r="B582" t="str">
            <v>Boca para BTTC D=150 cm - tipo DER/SC , normal</v>
          </cell>
          <cell r="C582" t="str">
            <v>un</v>
          </cell>
          <cell r="D582">
            <v>1237.76</v>
          </cell>
        </row>
        <row r="583">
          <cell r="A583">
            <v>74010</v>
          </cell>
          <cell r="B583" t="str">
            <v>Boca para BTTC D=150 cm - tipo DER/SC , esconsidade 15 graus</v>
          </cell>
          <cell r="C583" t="str">
            <v>un</v>
          </cell>
          <cell r="D583">
            <v>1483.04</v>
          </cell>
        </row>
        <row r="584">
          <cell r="A584">
            <v>74020</v>
          </cell>
          <cell r="B584" t="str">
            <v>Boca para BTTC D=150 cm - tipo DER/SC , esconsidade 20 graus</v>
          </cell>
          <cell r="C584" t="str">
            <v>un</v>
          </cell>
          <cell r="D584">
            <v>1552.4499999999998</v>
          </cell>
        </row>
        <row r="585">
          <cell r="A585">
            <v>74030</v>
          </cell>
          <cell r="B585" t="str">
            <v>Boca para BTTC D=150 cm - tipo DER/SC , esconsidade 30 graus</v>
          </cell>
          <cell r="C585" t="str">
            <v>un</v>
          </cell>
          <cell r="D585">
            <v>1649.3600000000001</v>
          </cell>
        </row>
        <row r="586">
          <cell r="A586">
            <v>74050</v>
          </cell>
          <cell r="B586" t="str">
            <v>Boca para BTTC D=200 cm - tipo DER/SC , normal</v>
          </cell>
          <cell r="C586" t="str">
            <v>un</v>
          </cell>
          <cell r="D586">
            <v>1988.26</v>
          </cell>
        </row>
        <row r="587">
          <cell r="A587">
            <v>74060</v>
          </cell>
          <cell r="B587" t="str">
            <v>Boca para BTTC D=200 cm - tipo DER/SC , esconsidade 15 graus</v>
          </cell>
          <cell r="C587" t="str">
            <v>un</v>
          </cell>
          <cell r="D587">
            <v>2314.9199999999996</v>
          </cell>
        </row>
        <row r="588">
          <cell r="A588">
            <v>74070</v>
          </cell>
          <cell r="B588" t="str">
            <v>Boca para BTTC D=200 cm - tipo DER/SC , esconsidade 20 graus</v>
          </cell>
          <cell r="C588" t="str">
            <v>un</v>
          </cell>
          <cell r="D588">
            <v>2436.1699999999996</v>
          </cell>
        </row>
        <row r="589">
          <cell r="A589">
            <v>74080</v>
          </cell>
          <cell r="B589" t="str">
            <v>Boca para BTTC D=200 cm - tipo DER/SC , esconsidade 30 graus</v>
          </cell>
          <cell r="C589" t="str">
            <v>un</v>
          </cell>
          <cell r="D589">
            <v>2606.4499999999998</v>
          </cell>
        </row>
        <row r="590">
          <cell r="A590">
            <v>74100</v>
          </cell>
          <cell r="B590" t="str">
            <v>Boca para BSCC de 1,3 x 2,0 m - normal</v>
          </cell>
          <cell r="C590" t="str">
            <v>un</v>
          </cell>
          <cell r="D590">
            <v>3769.0099999999998</v>
          </cell>
        </row>
        <row r="591">
          <cell r="A591">
            <v>74150</v>
          </cell>
          <cell r="B591" t="str">
            <v>Boca para BSCC de 1,3 x 2,0 m - esconsidade de 10 graus</v>
          </cell>
          <cell r="C591" t="str">
            <v>un</v>
          </cell>
          <cell r="D591">
            <v>3914.96</v>
          </cell>
        </row>
        <row r="592">
          <cell r="A592">
            <v>74200</v>
          </cell>
          <cell r="B592" t="str">
            <v>Boca para BSCC de 1,3 x 2,0 m - esconsidade de 20 graus</v>
          </cell>
          <cell r="C592" t="str">
            <v>un</v>
          </cell>
          <cell r="D592">
            <v>4198.34</v>
          </cell>
        </row>
        <row r="593">
          <cell r="A593">
            <v>74250</v>
          </cell>
          <cell r="B593" t="str">
            <v>Boca para BSCC de 1,3 x 2,0 m - esconsidade de 30 graus</v>
          </cell>
          <cell r="C593" t="str">
            <v>un</v>
          </cell>
          <cell r="D593">
            <v>4921.53</v>
          </cell>
        </row>
        <row r="594">
          <cell r="A594">
            <v>74300</v>
          </cell>
          <cell r="B594" t="str">
            <v>Boca para BSCC de 1,5 x 1,5 m - normal</v>
          </cell>
          <cell r="C594" t="str">
            <v>un</v>
          </cell>
          <cell r="D594">
            <v>2526.54</v>
          </cell>
        </row>
        <row r="595">
          <cell r="A595">
            <v>74350</v>
          </cell>
          <cell r="B595" t="str">
            <v>Boca para BSCC de 1,5 x 1,5 m - esconsidade de 15 graus</v>
          </cell>
          <cell r="C595" t="str">
            <v>un</v>
          </cell>
          <cell r="D595">
            <v>2653.6000000000004</v>
          </cell>
        </row>
        <row r="596">
          <cell r="A596">
            <v>74400</v>
          </cell>
          <cell r="B596" t="str">
            <v>Boca para BSCC de 1,6 x 2,4 m - normal</v>
          </cell>
          <cell r="C596" t="str">
            <v>un</v>
          </cell>
          <cell r="D596">
            <v>4458</v>
          </cell>
        </row>
        <row r="597">
          <cell r="A597">
            <v>74450</v>
          </cell>
          <cell r="B597" t="str">
            <v>Boca para BSCC de 1,6 x 2,4 m - esconsidade de 5 graus</v>
          </cell>
          <cell r="C597" t="str">
            <v>un</v>
          </cell>
          <cell r="D597">
            <v>5690.28</v>
          </cell>
        </row>
        <row r="598">
          <cell r="A598">
            <v>74500</v>
          </cell>
          <cell r="B598" t="str">
            <v>Boca para BSCC de 1,6 x 2,4 m - esconsidade de 10 graus</v>
          </cell>
          <cell r="C598" t="str">
            <v>un</v>
          </cell>
          <cell r="D598">
            <v>5743.1200000000008</v>
          </cell>
        </row>
        <row r="599">
          <cell r="A599">
            <v>74550</v>
          </cell>
          <cell r="B599" t="str">
            <v>Boca para BSCC de 1,6 x 2,4 m - esconsidade de 30 graus</v>
          </cell>
          <cell r="C599" t="str">
            <v>un</v>
          </cell>
          <cell r="D599">
            <v>7137.3</v>
          </cell>
        </row>
        <row r="600">
          <cell r="A600">
            <v>74600</v>
          </cell>
          <cell r="B600" t="str">
            <v>Boca para BSCC de 2,0 x 1,5 m - normal</v>
          </cell>
          <cell r="C600" t="str">
            <v>un</v>
          </cell>
          <cell r="D600">
            <v>2950.79</v>
          </cell>
        </row>
        <row r="601">
          <cell r="A601">
            <v>74650</v>
          </cell>
          <cell r="B601" t="str">
            <v>Boca para BSCC de 2,0 x 1,5 m - esconsidade de 15 graus</v>
          </cell>
          <cell r="C601" t="str">
            <v>un</v>
          </cell>
          <cell r="D601">
            <v>3262.7999999999997</v>
          </cell>
        </row>
        <row r="602">
          <cell r="A602">
            <v>74700</v>
          </cell>
          <cell r="B602" t="str">
            <v>Boca para BSCC de 1,9 x 2,9 m - esconsidade de 10 graus</v>
          </cell>
          <cell r="C602" t="str">
            <v>un</v>
          </cell>
          <cell r="D602">
            <v>7513.0700000000006</v>
          </cell>
        </row>
        <row r="603">
          <cell r="A603">
            <v>74750</v>
          </cell>
          <cell r="B603" t="str">
            <v>Boca para BSCC de 1,9 x 2,9 m - esconsidade de 20 graus</v>
          </cell>
          <cell r="C603" t="str">
            <v>un</v>
          </cell>
          <cell r="D603">
            <v>8165.5199999999995</v>
          </cell>
        </row>
        <row r="604">
          <cell r="A604">
            <v>74800</v>
          </cell>
          <cell r="B604" t="str">
            <v>Boca para BSCC de 1,9 x 2,9 m - esconsidade de 30 graus</v>
          </cell>
          <cell r="C604" t="str">
            <v>un</v>
          </cell>
          <cell r="D604">
            <v>9833.9500000000007</v>
          </cell>
        </row>
        <row r="605">
          <cell r="A605">
            <v>74850</v>
          </cell>
          <cell r="B605" t="str">
            <v>Boca para BSCC de 2,0 x 2,0 m - normal</v>
          </cell>
          <cell r="C605" t="str">
            <v>un</v>
          </cell>
          <cell r="D605">
            <v>3694.44</v>
          </cell>
        </row>
        <row r="606">
          <cell r="A606">
            <v>74900</v>
          </cell>
          <cell r="B606" t="str">
            <v>Boca para BSCC de 2,0 x 2,0 m - esconsidade de 15 graus</v>
          </cell>
          <cell r="C606" t="str">
            <v>un</v>
          </cell>
          <cell r="D606">
            <v>3934.56</v>
          </cell>
        </row>
        <row r="607">
          <cell r="A607">
            <v>74950</v>
          </cell>
          <cell r="B607" t="str">
            <v>Boca para BSCC de 2,0 x 2,0 m - esconsidade de 25 graus</v>
          </cell>
          <cell r="C607" t="str">
            <v>un</v>
          </cell>
          <cell r="D607">
            <v>4895.7000000000007</v>
          </cell>
        </row>
        <row r="608">
          <cell r="A608">
            <v>75000</v>
          </cell>
          <cell r="B608" t="str">
            <v>Boca para BSCC de 2,0 x 2,0 m - esconsidade de 40 graus</v>
          </cell>
          <cell r="C608" t="str">
            <v>un</v>
          </cell>
          <cell r="D608">
            <v>6837.2000000000007</v>
          </cell>
        </row>
        <row r="609">
          <cell r="A609">
            <v>75050</v>
          </cell>
          <cell r="B609" t="str">
            <v>Boca para BSCC de 2,1 x 3,2 m - normal</v>
          </cell>
          <cell r="C609" t="str">
            <v>un</v>
          </cell>
          <cell r="D609">
            <v>9169.34</v>
          </cell>
        </row>
        <row r="610">
          <cell r="A610">
            <v>75100</v>
          </cell>
          <cell r="B610" t="str">
            <v>Boca para BSCC de 2,1 x 3,2 m - esconsidade de 10 graus</v>
          </cell>
          <cell r="C610" t="str">
            <v>un</v>
          </cell>
          <cell r="D610">
            <v>9002.26</v>
          </cell>
        </row>
        <row r="611">
          <cell r="A611">
            <v>75150</v>
          </cell>
          <cell r="B611" t="str">
            <v>Boca para BSCC de 2,1 x 3,2 m - esconsidade de 30 graus</v>
          </cell>
          <cell r="C611" t="str">
            <v>un</v>
          </cell>
          <cell r="D611">
            <v>9235.34</v>
          </cell>
        </row>
        <row r="612">
          <cell r="A612">
            <v>75200</v>
          </cell>
          <cell r="B612" t="str">
            <v>Boca para BSCC de 2,3 x 3,5 m - normal</v>
          </cell>
          <cell r="C612" t="str">
            <v>un</v>
          </cell>
          <cell r="D612">
            <v>10091.61</v>
          </cell>
        </row>
        <row r="613">
          <cell r="A613">
            <v>75250</v>
          </cell>
          <cell r="B613" t="str">
            <v>Boca para BSCC de 2,5 x 2,0 m - normal</v>
          </cell>
          <cell r="C613" t="str">
            <v>un</v>
          </cell>
          <cell r="D613">
            <v>4299.34</v>
          </cell>
        </row>
        <row r="614">
          <cell r="A614">
            <v>75300</v>
          </cell>
          <cell r="B614" t="str">
            <v>Boca para BSCC de 2,5 x 2,0 m - esconsidade de 15 graus</v>
          </cell>
          <cell r="C614" t="str">
            <v>un</v>
          </cell>
          <cell r="D614">
            <v>4523.5999999999995</v>
          </cell>
        </row>
        <row r="615">
          <cell r="A615">
            <v>75350</v>
          </cell>
          <cell r="B615" t="str">
            <v>Boca para BSCC de 2,5 x 2,5 m - normal</v>
          </cell>
          <cell r="C615" t="str">
            <v>un</v>
          </cell>
          <cell r="D615">
            <v>5467.25</v>
          </cell>
        </row>
        <row r="616">
          <cell r="A616">
            <v>75400</v>
          </cell>
          <cell r="B616" t="str">
            <v>Boca para BSCC de 2,5 x 2,5 m - esconsa</v>
          </cell>
          <cell r="C616" t="str">
            <v>un</v>
          </cell>
          <cell r="D616">
            <v>5788.26</v>
          </cell>
        </row>
        <row r="617">
          <cell r="A617">
            <v>75450</v>
          </cell>
          <cell r="B617" t="str">
            <v>Boca para BSCC de 3,0 x 2,0 m - normal</v>
          </cell>
          <cell r="C617" t="str">
            <v>un</v>
          </cell>
          <cell r="D617">
            <v>5136.12</v>
          </cell>
        </row>
        <row r="618">
          <cell r="A618">
            <v>75500</v>
          </cell>
          <cell r="B618" t="str">
            <v>Boca para BSCC de 3,0 x 2,5 m - normal</v>
          </cell>
          <cell r="C618" t="str">
            <v>un</v>
          </cell>
          <cell r="D618">
            <v>6405.8600000000006</v>
          </cell>
        </row>
        <row r="619">
          <cell r="A619">
            <v>75550</v>
          </cell>
          <cell r="B619" t="str">
            <v>Boca para BSCC de 3,0 x 3,0 m - normal</v>
          </cell>
          <cell r="C619" t="str">
            <v>un</v>
          </cell>
          <cell r="D619">
            <v>7375.6</v>
          </cell>
        </row>
        <row r="620">
          <cell r="A620">
            <v>75600</v>
          </cell>
          <cell r="B620" t="str">
            <v>Boca para BSCC de 3,0 x 3,0 m - esconsidade de 15 graus</v>
          </cell>
          <cell r="C620" t="str">
            <v>un</v>
          </cell>
          <cell r="D620">
            <v>7839.06</v>
          </cell>
        </row>
        <row r="621">
          <cell r="A621">
            <v>75645</v>
          </cell>
          <cell r="B621" t="str">
            <v>Boca para BDCC de 1,5 x 1,0 m - normal</v>
          </cell>
          <cell r="C621" t="str">
            <v>un</v>
          </cell>
          <cell r="D621">
            <v>2462.52</v>
          </cell>
        </row>
        <row r="622">
          <cell r="A622">
            <v>75650</v>
          </cell>
          <cell r="B622" t="str">
            <v>Boca para BDCC de 1,5 x 1,5 m - normal</v>
          </cell>
          <cell r="C622" t="str">
            <v>un</v>
          </cell>
          <cell r="D622">
            <v>3122.25</v>
          </cell>
        </row>
        <row r="623">
          <cell r="A623">
            <v>75700</v>
          </cell>
          <cell r="B623" t="str">
            <v>Boca para BDCC de 2,0 x 1,5 m - normal</v>
          </cell>
          <cell r="C623" t="str">
            <v>un</v>
          </cell>
          <cell r="D623">
            <v>3744.2999999999997</v>
          </cell>
        </row>
        <row r="624">
          <cell r="A624">
            <v>75750</v>
          </cell>
          <cell r="B624" t="str">
            <v>Boca para BDCC de 2,0 x 1,5 m - esconsidade de 35 graus</v>
          </cell>
          <cell r="C624" t="str">
            <v>un</v>
          </cell>
          <cell r="D624">
            <v>5237.1799999999994</v>
          </cell>
        </row>
        <row r="625">
          <cell r="A625">
            <v>75800</v>
          </cell>
          <cell r="B625" t="str">
            <v>Boca para BDCC de 2,0 x 2,0 m - normal</v>
          </cell>
          <cell r="C625" t="str">
            <v>un</v>
          </cell>
          <cell r="D625">
            <v>4563.67</v>
          </cell>
        </row>
        <row r="626">
          <cell r="A626">
            <v>75850</v>
          </cell>
          <cell r="B626" t="str">
            <v>Boca para BDCC de 2,0 x 2,0 m - esconsidade de 15 graus</v>
          </cell>
          <cell r="C626" t="str">
            <v>un</v>
          </cell>
          <cell r="D626">
            <v>4912.7699999999995</v>
          </cell>
        </row>
        <row r="627">
          <cell r="A627">
            <v>75900</v>
          </cell>
          <cell r="B627" t="str">
            <v>Boca para BDCC de 2,0 x 2,0 m - esconsidade de 40 graus</v>
          </cell>
          <cell r="C627" t="str">
            <v>un</v>
          </cell>
          <cell r="D627">
            <v>7568.55</v>
          </cell>
        </row>
        <row r="628">
          <cell r="A628">
            <v>75950</v>
          </cell>
          <cell r="B628" t="str">
            <v>Boca para BDCC de 2,5 x 2,0 m - normal</v>
          </cell>
          <cell r="C628" t="str">
            <v>un</v>
          </cell>
          <cell r="D628">
            <v>5487.7800000000007</v>
          </cell>
        </row>
        <row r="629">
          <cell r="A629">
            <v>76000</v>
          </cell>
          <cell r="B629" t="str">
            <v>Boca para BDCC de 2,5 x 2,0 m - esconsidade de 15 graus</v>
          </cell>
          <cell r="C629" t="str">
            <v>un</v>
          </cell>
          <cell r="D629">
            <v>5666.62</v>
          </cell>
        </row>
        <row r="630">
          <cell r="A630">
            <v>76050</v>
          </cell>
          <cell r="B630" t="str">
            <v>Boca para BDCC de 2,3 x 3,5 m - esconsidade de 20 graus</v>
          </cell>
          <cell r="C630" t="str">
            <v>un</v>
          </cell>
          <cell r="D630">
            <v>12982.48</v>
          </cell>
        </row>
        <row r="631">
          <cell r="A631">
            <v>76100</v>
          </cell>
          <cell r="B631" t="str">
            <v>Boca para BDCC de 2,5 x 2,5 m - normal</v>
          </cell>
          <cell r="C631" t="str">
            <v>un</v>
          </cell>
          <cell r="D631">
            <v>7128.9400000000005</v>
          </cell>
        </row>
        <row r="632">
          <cell r="A632">
            <v>76150</v>
          </cell>
          <cell r="B632" t="str">
            <v>Boca para BDCC de 3,0 x 2,0 m - normal</v>
          </cell>
          <cell r="C632" t="str">
            <v>un</v>
          </cell>
          <cell r="D632">
            <v>6517.86</v>
          </cell>
        </row>
        <row r="633">
          <cell r="A633">
            <v>76200</v>
          </cell>
          <cell r="B633" t="str">
            <v>Boca para BDCC de 3,0 x 2,5 m - esconsidade de 15 graus</v>
          </cell>
          <cell r="C633" t="str">
            <v>un</v>
          </cell>
          <cell r="D633">
            <v>8013.64</v>
          </cell>
        </row>
        <row r="634">
          <cell r="A634">
            <v>76250</v>
          </cell>
          <cell r="B634" t="str">
            <v>Boca para BDCC de 3,0 x 3,0 m - normal</v>
          </cell>
          <cell r="C634" t="str">
            <v>un</v>
          </cell>
          <cell r="D634">
            <v>9050.24</v>
          </cell>
        </row>
        <row r="635">
          <cell r="A635">
            <v>76300</v>
          </cell>
          <cell r="B635" t="str">
            <v>Boca para BDCC de 3,0 x 3,0 m - esconsidade de 15 graus</v>
          </cell>
          <cell r="C635" t="str">
            <v>un</v>
          </cell>
          <cell r="D635">
            <v>9570.6099999999988</v>
          </cell>
        </row>
        <row r="636">
          <cell r="A636">
            <v>76350</v>
          </cell>
          <cell r="B636" t="str">
            <v>Boca para BDCC de 2,7 x 3,9 m - normal</v>
          </cell>
          <cell r="C636" t="str">
            <v>un</v>
          </cell>
          <cell r="D636">
            <v>11053.35</v>
          </cell>
        </row>
        <row r="637">
          <cell r="A637">
            <v>76400</v>
          </cell>
          <cell r="B637" t="str">
            <v>Boca para BTCC de 2,0 x 2,0 m - normal</v>
          </cell>
          <cell r="C637" t="str">
            <v>un</v>
          </cell>
          <cell r="D637">
            <v>5493.13</v>
          </cell>
        </row>
        <row r="638">
          <cell r="A638">
            <v>76450</v>
          </cell>
          <cell r="B638" t="str">
            <v>Boca para BTCC de 2,5 x 2,0 m - normal</v>
          </cell>
          <cell r="C638" t="str">
            <v>un</v>
          </cell>
          <cell r="D638">
            <v>6674.98</v>
          </cell>
        </row>
        <row r="639">
          <cell r="A639">
            <v>76500</v>
          </cell>
          <cell r="B639" t="str">
            <v>Boca para BTCC de 3,0 x 2,0 m - normal</v>
          </cell>
          <cell r="C639" t="str">
            <v>un</v>
          </cell>
          <cell r="D639">
            <v>7904.41</v>
          </cell>
        </row>
        <row r="640">
          <cell r="A640">
            <v>76550</v>
          </cell>
          <cell r="B640" t="str">
            <v>Boca para BTCC de 2,7 x 3,9 m - normal</v>
          </cell>
          <cell r="C640" t="str">
            <v>un</v>
          </cell>
          <cell r="D640">
            <v>10751.11</v>
          </cell>
        </row>
        <row r="641">
          <cell r="A641">
            <v>76600</v>
          </cell>
          <cell r="B641" t="str">
            <v>Boca para BTCC de 2,7 x 3,9 m - esconsidade de 10 graus</v>
          </cell>
          <cell r="C641" t="str">
            <v>un</v>
          </cell>
          <cell r="D641">
            <v>11178.310000000001</v>
          </cell>
        </row>
        <row r="642">
          <cell r="A642">
            <v>76650</v>
          </cell>
          <cell r="B642" t="str">
            <v>Boca para BTCC de 2,7 x 3,9 m - esconsidade de 20 graus</v>
          </cell>
          <cell r="C642" t="str">
            <v>un</v>
          </cell>
          <cell r="D642">
            <v>12257.23</v>
          </cell>
        </row>
        <row r="643">
          <cell r="A643">
            <v>76700</v>
          </cell>
          <cell r="B643" t="str">
            <v>Boca para BTCC de 2,7 x 3,9 m - esconsidade de 30 graus</v>
          </cell>
          <cell r="C643" t="str">
            <v>un</v>
          </cell>
          <cell r="D643">
            <v>14441.89</v>
          </cell>
        </row>
        <row r="644">
          <cell r="A644">
            <v>76750</v>
          </cell>
          <cell r="B644" t="str">
            <v>Boca para BTCC de 3,0 x 3,0 m - normal</v>
          </cell>
          <cell r="C644" t="str">
            <v>un</v>
          </cell>
          <cell r="D644">
            <v>10826.220000000001</v>
          </cell>
        </row>
        <row r="645">
          <cell r="A645">
            <v>77000</v>
          </cell>
          <cell r="B645" t="str">
            <v>Caixa coletora de talvegue para BSTC D=60 cm e H=1,5 m</v>
          </cell>
          <cell r="C645" t="str">
            <v>un</v>
          </cell>
          <cell r="D645">
            <v>438.55</v>
          </cell>
        </row>
        <row r="646">
          <cell r="A646">
            <v>77050</v>
          </cell>
          <cell r="B646" t="str">
            <v>Caixa coletora de talvegue para BSTC D=60 cm e H=2,0 m</v>
          </cell>
          <cell r="C646" t="str">
            <v>un</v>
          </cell>
          <cell r="D646">
            <v>593.97</v>
          </cell>
        </row>
        <row r="647">
          <cell r="A647">
            <v>77100</v>
          </cell>
          <cell r="B647" t="str">
            <v>Caixa coletora de talvegue para BSTC D=80 cm e H=1,5 m</v>
          </cell>
          <cell r="C647" t="str">
            <v>un</v>
          </cell>
          <cell r="D647">
            <v>467.28000000000003</v>
          </cell>
        </row>
        <row r="648">
          <cell r="A648">
            <v>77150</v>
          </cell>
          <cell r="B648" t="str">
            <v>Caixa coletora de talvegue para BSTC D=100 cm e H=1,5 m</v>
          </cell>
          <cell r="C648" t="str">
            <v>un</v>
          </cell>
          <cell r="D648">
            <v>457.03000000000003</v>
          </cell>
        </row>
        <row r="649">
          <cell r="A649">
            <v>77200</v>
          </cell>
          <cell r="B649" t="str">
            <v>Caixa coletora de talvegue para BSTC D=80 cm e H=2,0 m</v>
          </cell>
          <cell r="C649" t="str">
            <v>un</v>
          </cell>
          <cell r="D649">
            <v>651.92999999999995</v>
          </cell>
        </row>
        <row r="650">
          <cell r="A650">
            <v>77250</v>
          </cell>
          <cell r="B650" t="str">
            <v>Caixa coletora de talvegue para BSTC D=100 cm e H=2,0 m</v>
          </cell>
          <cell r="C650" t="str">
            <v>un</v>
          </cell>
          <cell r="D650">
            <v>641.66000000000008</v>
          </cell>
        </row>
        <row r="651">
          <cell r="A651">
            <v>77300</v>
          </cell>
          <cell r="B651" t="str">
            <v>Caixa coletora de talvegue para BSTC D=120 cm e H=2,0 m</v>
          </cell>
          <cell r="C651" t="str">
            <v>un</v>
          </cell>
          <cell r="D651">
            <v>631.41</v>
          </cell>
        </row>
        <row r="652">
          <cell r="A652">
            <v>77350</v>
          </cell>
          <cell r="B652" t="str">
            <v>Caixa coletora de talvegue para BSTC D=150 cm e H=2,0 m</v>
          </cell>
          <cell r="C652" t="str">
            <v>un</v>
          </cell>
          <cell r="D652">
            <v>645.87</v>
          </cell>
        </row>
        <row r="653">
          <cell r="A653">
            <v>77400</v>
          </cell>
          <cell r="B653" t="str">
            <v>Caixa coletora de talvegue para BSTC D=80 cm e H=2,5 m</v>
          </cell>
          <cell r="C653" t="str">
            <v>un</v>
          </cell>
          <cell r="D653">
            <v>836.73</v>
          </cell>
        </row>
        <row r="654">
          <cell r="A654">
            <v>77450</v>
          </cell>
          <cell r="B654" t="str">
            <v>Caixa coletora de talvegue para BSTC D=100 cm e H=2,5 m</v>
          </cell>
          <cell r="C654" t="str">
            <v>un</v>
          </cell>
          <cell r="D654">
            <v>826.46</v>
          </cell>
        </row>
        <row r="655">
          <cell r="A655">
            <v>77500</v>
          </cell>
          <cell r="B655" t="str">
            <v>Caixa coletora de talvegue para BSTC D=120 cm e H=2,5 m</v>
          </cell>
          <cell r="C655" t="str">
            <v>un</v>
          </cell>
          <cell r="D655">
            <v>816.2</v>
          </cell>
        </row>
        <row r="656">
          <cell r="A656">
            <v>77550</v>
          </cell>
          <cell r="B656" t="str">
            <v>Caixa coletora de talvegue para BSTC D=150 cm e H=2,5 m</v>
          </cell>
          <cell r="C656" t="str">
            <v>un</v>
          </cell>
          <cell r="D656">
            <v>852.67</v>
          </cell>
        </row>
        <row r="657">
          <cell r="A657">
            <v>77600</v>
          </cell>
          <cell r="B657" t="str">
            <v>Caixa coletora de talvegue para BSTC D=60 cm e H=3,0 m</v>
          </cell>
          <cell r="C657" t="str">
            <v>un</v>
          </cell>
          <cell r="D657">
            <v>919.7</v>
          </cell>
        </row>
        <row r="658">
          <cell r="A658">
            <v>77650</v>
          </cell>
          <cell r="B658" t="str">
            <v>Caixa coletora de talvegue para BSTC D=80 cm e H=3,0 m</v>
          </cell>
          <cell r="C658" t="str">
            <v>un</v>
          </cell>
          <cell r="D658">
            <v>1020.8299999999999</v>
          </cell>
        </row>
        <row r="659">
          <cell r="A659">
            <v>77700</v>
          </cell>
          <cell r="B659" t="str">
            <v>Caixa coletora de talvegue para BSTC D=100 cm e H=3,0 m</v>
          </cell>
          <cell r="C659" t="str">
            <v>un</v>
          </cell>
          <cell r="D659">
            <v>1010.57</v>
          </cell>
        </row>
        <row r="660">
          <cell r="A660">
            <v>77750</v>
          </cell>
          <cell r="B660" t="str">
            <v>Caixa coletora de talvegue para BSTC D=120 cm e H=3,0 m</v>
          </cell>
          <cell r="C660" t="str">
            <v>un</v>
          </cell>
          <cell r="D660">
            <v>1000.3199999999999</v>
          </cell>
        </row>
        <row r="661">
          <cell r="A661">
            <v>77800</v>
          </cell>
          <cell r="B661" t="str">
            <v>Caixa coletora de talvegue para BSTC D=150 cm e H=3,0 m</v>
          </cell>
          <cell r="C661" t="str">
            <v>un</v>
          </cell>
          <cell r="D661">
            <v>1058.82</v>
          </cell>
        </row>
        <row r="662">
          <cell r="A662">
            <v>77850</v>
          </cell>
          <cell r="B662" t="str">
            <v>Caixa coletora de talvegue para BSTC D=80 cm e H=3,5 m</v>
          </cell>
          <cell r="C662" t="str">
            <v>un</v>
          </cell>
          <cell r="D662">
            <v>1205.6099999999999</v>
          </cell>
        </row>
        <row r="663">
          <cell r="A663">
            <v>77900</v>
          </cell>
          <cell r="B663" t="str">
            <v>Caixa coletora de talvegue para BSTC D=100 cm e H=3,5 m</v>
          </cell>
          <cell r="C663" t="str">
            <v>un</v>
          </cell>
          <cell r="D663">
            <v>1195.3500000000001</v>
          </cell>
        </row>
        <row r="664">
          <cell r="A664">
            <v>77950</v>
          </cell>
          <cell r="B664" t="str">
            <v>Caixa coletora de talvegue para BTTC D=100 cm e H=2,0 m</v>
          </cell>
          <cell r="C664" t="str">
            <v>un</v>
          </cell>
          <cell r="D664">
            <v>1270.52</v>
          </cell>
        </row>
        <row r="665">
          <cell r="A665">
            <v>78000</v>
          </cell>
          <cell r="B665" t="str">
            <v>Caixa coletora de talvegue para BSTC D=120 cm e H=3,5 m</v>
          </cell>
          <cell r="C665" t="str">
            <v>un</v>
          </cell>
          <cell r="D665">
            <v>1185.0999999999999</v>
          </cell>
        </row>
        <row r="666">
          <cell r="A666">
            <v>78050</v>
          </cell>
          <cell r="B666" t="str">
            <v>Caixa coletora de talvegue para BDTC D=120 cm e H=2,0 m</v>
          </cell>
          <cell r="C666" t="str">
            <v>un</v>
          </cell>
          <cell r="D666">
            <v>1469.61</v>
          </cell>
        </row>
        <row r="667">
          <cell r="A667">
            <v>78100</v>
          </cell>
          <cell r="B667" t="str">
            <v>Caixa coletora de talvegue para BDTC D=100 cm e H=3,5 m</v>
          </cell>
          <cell r="C667" t="str">
            <v>un</v>
          </cell>
          <cell r="D667">
            <v>2235.73</v>
          </cell>
        </row>
        <row r="668">
          <cell r="A668">
            <v>78150</v>
          </cell>
          <cell r="B668" t="str">
            <v>Caixa coletora de sarjeta para BSTC D=60 cm e H=1,0 m</v>
          </cell>
          <cell r="C668" t="str">
            <v>un</v>
          </cell>
          <cell r="D668">
            <v>347.53</v>
          </cell>
        </row>
        <row r="669">
          <cell r="A669">
            <v>78250</v>
          </cell>
          <cell r="B669" t="str">
            <v>Caixa coletora de sarjeta para BSTC D=80 cm e H=1,5 m</v>
          </cell>
          <cell r="C669" t="str">
            <v>un</v>
          </cell>
          <cell r="D669">
            <v>485.55</v>
          </cell>
        </row>
        <row r="670">
          <cell r="A670">
            <v>78300</v>
          </cell>
          <cell r="B670" t="str">
            <v>Caixa coletora de sarjeta para BSTC D=100 cm e H=1,5 m</v>
          </cell>
          <cell r="C670" t="str">
            <v>un</v>
          </cell>
          <cell r="D670">
            <v>499.58000000000004</v>
          </cell>
        </row>
        <row r="671">
          <cell r="A671">
            <v>78350</v>
          </cell>
          <cell r="B671" t="str">
            <v>Caixa coletora de sarjeta para BSTC D=60 cm e H=2,0 m</v>
          </cell>
          <cell r="C671" t="str">
            <v>un</v>
          </cell>
          <cell r="D671">
            <v>693.69</v>
          </cell>
        </row>
        <row r="672">
          <cell r="A672">
            <v>78400</v>
          </cell>
          <cell r="B672" t="str">
            <v>Caixa coletora de sarjeta para BSTC D=80 cm e H=2,0 m</v>
          </cell>
          <cell r="C672" t="str">
            <v>un</v>
          </cell>
          <cell r="D672">
            <v>688.91</v>
          </cell>
        </row>
        <row r="673">
          <cell r="A673">
            <v>78450</v>
          </cell>
          <cell r="B673" t="str">
            <v>Caixa coletora de sarjeta para BSTC D=100 cm e H=2,0 m</v>
          </cell>
          <cell r="C673" t="str">
            <v>un</v>
          </cell>
          <cell r="D673">
            <v>744.80000000000007</v>
          </cell>
        </row>
        <row r="674">
          <cell r="A674">
            <v>78500</v>
          </cell>
          <cell r="B674" t="str">
            <v>Caixa coletora de sarjeta para BSTC D=120 cm e H=2,0 m</v>
          </cell>
          <cell r="C674" t="str">
            <v>un</v>
          </cell>
          <cell r="D674">
            <v>766.28</v>
          </cell>
        </row>
        <row r="675">
          <cell r="A675">
            <v>78600</v>
          </cell>
          <cell r="B675" t="str">
            <v>Caixa coletora de sarjeta para BSTC D=80 cm e H=2,5 m</v>
          </cell>
          <cell r="C675" t="str">
            <v>un</v>
          </cell>
          <cell r="D675">
            <v>771.62</v>
          </cell>
        </row>
        <row r="676">
          <cell r="A676">
            <v>78650</v>
          </cell>
          <cell r="B676" t="str">
            <v>Caixa coletora de sarjeta para BSTC D=100 cm e H=2,5 m</v>
          </cell>
          <cell r="C676" t="str">
            <v>un</v>
          </cell>
          <cell r="D676">
            <v>860.93</v>
          </cell>
        </row>
        <row r="677">
          <cell r="A677">
            <v>78700</v>
          </cell>
          <cell r="B677" t="str">
            <v>Caixa coletora de sarjeta para BSTC D=120 cm e H=3,0 m</v>
          </cell>
          <cell r="C677" t="str">
            <v>un</v>
          </cell>
          <cell r="D677">
            <v>1022.52</v>
          </cell>
        </row>
        <row r="678">
          <cell r="A678">
            <v>78750</v>
          </cell>
          <cell r="B678" t="str">
            <v>Caixa coletora de sarjeta para BDTC D=80 cm e H=1,5 m</v>
          </cell>
          <cell r="C678" t="str">
            <v>un</v>
          </cell>
          <cell r="D678">
            <v>907.5</v>
          </cell>
        </row>
        <row r="679">
          <cell r="A679">
            <v>78900</v>
          </cell>
          <cell r="B679" t="str">
            <v>Caixa coletora de sarjeta para BTTC D=120 cm e H=2,0 m</v>
          </cell>
          <cell r="C679" t="str">
            <v>un</v>
          </cell>
          <cell r="D679">
            <v>1367.32</v>
          </cell>
        </row>
        <row r="680">
          <cell r="A680">
            <v>79450</v>
          </cell>
          <cell r="B680" t="str">
            <v>Tampa para caixa coletora inclusive vigote</v>
          </cell>
          <cell r="C680" t="str">
            <v>un</v>
          </cell>
          <cell r="D680">
            <v>106.84</v>
          </cell>
        </row>
        <row r="681">
          <cell r="A681">
            <v>79795</v>
          </cell>
          <cell r="B681" t="str">
            <v>Remoção de bueiro com D=30 cm</v>
          </cell>
          <cell r="C681" t="str">
            <v>m</v>
          </cell>
          <cell r="D681">
            <v>3.52</v>
          </cell>
        </row>
        <row r="682">
          <cell r="A682">
            <v>79800</v>
          </cell>
          <cell r="B682" t="str">
            <v>Remoção de bueiro com D=30 cm</v>
          </cell>
          <cell r="C682" t="str">
            <v>m</v>
          </cell>
          <cell r="D682">
            <v>4.8100000000000005</v>
          </cell>
        </row>
        <row r="683">
          <cell r="A683">
            <v>79850</v>
          </cell>
          <cell r="B683" t="str">
            <v>Remoção de bueiro com D=40 cm</v>
          </cell>
          <cell r="C683" t="str">
            <v>m</v>
          </cell>
          <cell r="D683">
            <v>6.39</v>
          </cell>
        </row>
        <row r="684">
          <cell r="A684">
            <v>79860</v>
          </cell>
          <cell r="B684" t="str">
            <v>Remoção de bueiro com D=50 cm</v>
          </cell>
          <cell r="C684" t="str">
            <v>m</v>
          </cell>
          <cell r="D684">
            <v>7.69</v>
          </cell>
        </row>
        <row r="685">
          <cell r="A685">
            <v>79880</v>
          </cell>
          <cell r="B685" t="str">
            <v>Remoção de bueiro com D=60 cm</v>
          </cell>
          <cell r="C685" t="str">
            <v>m</v>
          </cell>
          <cell r="D685">
            <v>10.95</v>
          </cell>
        </row>
        <row r="686">
          <cell r="A686">
            <v>79900</v>
          </cell>
          <cell r="B686" t="str">
            <v>Remoção de bueiro com D=80 cm</v>
          </cell>
          <cell r="C686" t="str">
            <v>m</v>
          </cell>
          <cell r="D686">
            <v>15.799999999999999</v>
          </cell>
        </row>
        <row r="687">
          <cell r="A687">
            <v>79920</v>
          </cell>
          <cell r="B687" t="str">
            <v>Remoção de bueiro com D=100 cm</v>
          </cell>
          <cell r="C687" t="str">
            <v>m</v>
          </cell>
          <cell r="D687">
            <v>18.580000000000002</v>
          </cell>
        </row>
        <row r="688">
          <cell r="A688">
            <v>79940</v>
          </cell>
          <cell r="B688" t="str">
            <v>Remoção de bueiro com D=120 cm</v>
          </cell>
          <cell r="C688" t="str">
            <v>m</v>
          </cell>
          <cell r="D688">
            <v>22.83</v>
          </cell>
        </row>
        <row r="689">
          <cell r="A689">
            <v>79945</v>
          </cell>
          <cell r="B689" t="str">
            <v>Remoção de bueiro com D=150 cm</v>
          </cell>
          <cell r="C689" t="str">
            <v>m</v>
          </cell>
          <cell r="D689">
            <v>27.39</v>
          </cell>
        </row>
        <row r="690">
          <cell r="A690">
            <v>79950</v>
          </cell>
          <cell r="B690" t="str">
            <v>Remoção de bueiro com D=200 cm</v>
          </cell>
          <cell r="C690" t="str">
            <v>m</v>
          </cell>
          <cell r="D690">
            <v>34.230000000000004</v>
          </cell>
        </row>
        <row r="691">
          <cell r="A691">
            <v>79960</v>
          </cell>
          <cell r="B691" t="str">
            <v>Remoção de bueiro duplo tubular de D=100 cm</v>
          </cell>
          <cell r="C691" t="str">
            <v>m</v>
          </cell>
          <cell r="D691">
            <v>41.67</v>
          </cell>
        </row>
        <row r="692">
          <cell r="A692">
            <v>80000</v>
          </cell>
          <cell r="B692" t="str">
            <v>Remoção de cercas de arame farpado</v>
          </cell>
          <cell r="C692" t="str">
            <v>m</v>
          </cell>
          <cell r="D692">
            <v>0.75</v>
          </cell>
        </row>
        <row r="693">
          <cell r="A693">
            <v>80050</v>
          </cell>
          <cell r="B693" t="str">
            <v>Remoção e recolocação de cercas de arame farpado</v>
          </cell>
          <cell r="C693" t="str">
            <v>m</v>
          </cell>
          <cell r="D693">
            <v>2.66</v>
          </cell>
        </row>
        <row r="694">
          <cell r="A694">
            <v>80100</v>
          </cell>
          <cell r="B694" t="str">
            <v>Cercas c/ mourões triangulares de concreto c/4 fios de arame</v>
          </cell>
          <cell r="C694" t="str">
            <v>m</v>
          </cell>
          <cell r="D694">
            <v>4.9300000000000006</v>
          </cell>
        </row>
        <row r="695">
          <cell r="A695">
            <v>80150</v>
          </cell>
          <cell r="B695" t="str">
            <v>Cercas c/ 4 fios de arame c/ mourões de concreto de 10x10x220</v>
          </cell>
          <cell r="C695" t="str">
            <v>m</v>
          </cell>
          <cell r="D695">
            <v>4.9800000000000004</v>
          </cell>
        </row>
        <row r="696">
          <cell r="A696">
            <v>80200</v>
          </cell>
          <cell r="B696" t="str">
            <v>Execução de porteira</v>
          </cell>
          <cell r="C696" t="str">
            <v>un</v>
          </cell>
          <cell r="D696">
            <v>487.01</v>
          </cell>
        </row>
        <row r="697">
          <cell r="A697">
            <v>80250</v>
          </cell>
          <cell r="B697" t="str">
            <v>Execução de mata-burro</v>
          </cell>
          <cell r="C697" t="str">
            <v>un</v>
          </cell>
          <cell r="D697">
            <v>576.79999999999995</v>
          </cell>
        </row>
        <row r="698">
          <cell r="A698">
            <v>80300</v>
          </cell>
          <cell r="B698" t="str">
            <v>Enleivamento</v>
          </cell>
          <cell r="C698" t="str">
            <v>m²</v>
          </cell>
          <cell r="D698">
            <v>3.81</v>
          </cell>
        </row>
        <row r="699">
          <cell r="A699">
            <v>80350</v>
          </cell>
          <cell r="B699" t="str">
            <v>Hidrosemeadura</v>
          </cell>
          <cell r="C699" t="str">
            <v>m²</v>
          </cell>
          <cell r="D699">
            <v>1.06</v>
          </cell>
        </row>
        <row r="700">
          <cell r="A700">
            <v>80400</v>
          </cell>
          <cell r="B700" t="str">
            <v>Pintura de faixa horizontal com tinta acrilica branca</v>
          </cell>
          <cell r="C700" t="str">
            <v>m²</v>
          </cell>
          <cell r="D700">
            <v>5.69</v>
          </cell>
        </row>
        <row r="701">
          <cell r="A701">
            <v>80450</v>
          </cell>
          <cell r="B701" t="str">
            <v>Pintura de faixa horizontal com tinta acrilica amarela</v>
          </cell>
          <cell r="C701" t="str">
            <v>m²</v>
          </cell>
          <cell r="D701">
            <v>5.69</v>
          </cell>
        </row>
        <row r="702">
          <cell r="A702">
            <v>80401</v>
          </cell>
          <cell r="B702" t="str">
            <v>Pintura de faixa horizontal com tinta termoplástica</v>
          </cell>
          <cell r="C702" t="str">
            <v>m²</v>
          </cell>
          <cell r="D702">
            <v>16.38</v>
          </cell>
        </row>
        <row r="703">
          <cell r="A703">
            <v>80402</v>
          </cell>
          <cell r="B703" t="str">
            <v>Pintura de faixa horizontal</v>
          </cell>
          <cell r="C703" t="str">
            <v>m²</v>
          </cell>
          <cell r="D703">
            <v>12</v>
          </cell>
        </row>
        <row r="704">
          <cell r="A704">
            <v>80451</v>
          </cell>
          <cell r="B704" t="str">
            <v>Pintura de faixa horizontal com tinta acrilica termoplástica amarela</v>
          </cell>
          <cell r="C704" t="str">
            <v>m²</v>
          </cell>
          <cell r="D704">
            <v>16.38</v>
          </cell>
        </row>
        <row r="705">
          <cell r="A705">
            <v>80550</v>
          </cell>
          <cell r="B705" t="str">
            <v>Pintura de seta e/ou dizeres na pista</v>
          </cell>
          <cell r="C705" t="str">
            <v>m²</v>
          </cell>
          <cell r="D705">
            <v>5.69</v>
          </cell>
        </row>
        <row r="706">
          <cell r="A706">
            <v>80551</v>
          </cell>
          <cell r="B706" t="str">
            <v>Pintura de seta e/ou dizeres na pista com tinta termoplástica</v>
          </cell>
          <cell r="C706" t="str">
            <v>m²</v>
          </cell>
          <cell r="D706">
            <v>16.38</v>
          </cell>
        </row>
        <row r="707">
          <cell r="A707">
            <v>80552</v>
          </cell>
          <cell r="B707" t="str">
            <v>Pintura de seta e/ou dizeres na pista</v>
          </cell>
          <cell r="C707" t="str">
            <v>m²</v>
          </cell>
          <cell r="D707">
            <v>12</v>
          </cell>
        </row>
        <row r="708">
          <cell r="A708">
            <v>80600</v>
          </cell>
          <cell r="B708" t="str">
            <v>Sinalização - placas D=80 cm</v>
          </cell>
          <cell r="C708" t="str">
            <v>un</v>
          </cell>
          <cell r="D708">
            <v>79.760000000000005</v>
          </cell>
        </row>
        <row r="709">
          <cell r="A709">
            <v>80650</v>
          </cell>
          <cell r="B709" t="str">
            <v>Sinalização - placas D=100 cm</v>
          </cell>
          <cell r="C709" t="str">
            <v>un</v>
          </cell>
          <cell r="D709">
            <v>110.53</v>
          </cell>
        </row>
        <row r="710">
          <cell r="A710">
            <v>80850</v>
          </cell>
          <cell r="B710" t="str">
            <v>Sinalização - placas de 80 x 80 cm</v>
          </cell>
          <cell r="C710" t="str">
            <v>un</v>
          </cell>
          <cell r="D710">
            <v>80.5</v>
          </cell>
        </row>
        <row r="711">
          <cell r="A711">
            <v>80900</v>
          </cell>
          <cell r="B711" t="str">
            <v>Sinalização - placas de 100 x 100 cm</v>
          </cell>
          <cell r="C711" t="str">
            <v>un</v>
          </cell>
          <cell r="D711">
            <v>111.45</v>
          </cell>
        </row>
        <row r="712">
          <cell r="A712">
            <v>81000</v>
          </cell>
          <cell r="B712" t="str">
            <v>Sinalização - placas de 50 x 200 cm</v>
          </cell>
          <cell r="C712" t="str">
            <v>un</v>
          </cell>
          <cell r="D712">
            <v>138.25</v>
          </cell>
        </row>
        <row r="713">
          <cell r="A713">
            <v>81050</v>
          </cell>
          <cell r="B713" t="str">
            <v>Sinalização - placas de 100 x 200 cm</v>
          </cell>
          <cell r="C713" t="str">
            <v>un</v>
          </cell>
          <cell r="D713">
            <v>224.32</v>
          </cell>
        </row>
        <row r="714">
          <cell r="A714">
            <v>81150</v>
          </cell>
          <cell r="B714" t="str">
            <v>Sinalização - placa triangualr com L = 75 cm</v>
          </cell>
          <cell r="C714" t="str">
            <v>un</v>
          </cell>
          <cell r="D714">
            <v>38.340000000000003</v>
          </cell>
        </row>
        <row r="715">
          <cell r="A715">
            <v>81200</v>
          </cell>
          <cell r="B715" t="str">
            <v>Sinalização - placa octogonal com L = 33 cm</v>
          </cell>
          <cell r="C715" t="str">
            <v>un</v>
          </cell>
          <cell r="D715">
            <v>79.760000000000005</v>
          </cell>
        </row>
        <row r="716">
          <cell r="A716">
            <v>81225</v>
          </cell>
          <cell r="B716" t="str">
            <v>Sinalização - placa octogonal com L = 41 cm</v>
          </cell>
          <cell r="C716" t="str">
            <v>un</v>
          </cell>
          <cell r="D716">
            <v>110.09</v>
          </cell>
        </row>
        <row r="717">
          <cell r="A717">
            <v>81240</v>
          </cell>
          <cell r="B717" t="str">
            <v>Sinalização - delineador com placa de 33 x 40 cm</v>
          </cell>
          <cell r="C717" t="str">
            <v>un</v>
          </cell>
          <cell r="D717">
            <v>27.4</v>
          </cell>
        </row>
        <row r="718">
          <cell r="A718">
            <v>81245</v>
          </cell>
          <cell r="B718" t="str">
            <v>Fornec. e colocação de porticos de sinalização rodoviária</v>
          </cell>
          <cell r="C718" t="str">
            <v>un</v>
          </cell>
          <cell r="D718">
            <v>8757.8799999999992</v>
          </cell>
        </row>
        <row r="719">
          <cell r="A719">
            <v>81246</v>
          </cell>
          <cell r="B719" t="str">
            <v>Placas refletivas para porticos de 150 x 300 cm</v>
          </cell>
          <cell r="C719" t="str">
            <v>un</v>
          </cell>
          <cell r="D719">
            <v>402.28</v>
          </cell>
        </row>
        <row r="720">
          <cell r="A720">
            <v>81250</v>
          </cell>
          <cell r="B720" t="str">
            <v>Fornecimento e colocação de tachões mono-refletivos</v>
          </cell>
          <cell r="C720" t="str">
            <v>un</v>
          </cell>
          <cell r="D720">
            <v>18.5</v>
          </cell>
        </row>
        <row r="721">
          <cell r="A721">
            <v>81251</v>
          </cell>
          <cell r="B721" t="str">
            <v>Fornecimento e colocação de tachões bi-refletivos</v>
          </cell>
          <cell r="C721" t="str">
            <v>un</v>
          </cell>
          <cell r="D721">
            <v>20.65</v>
          </cell>
        </row>
        <row r="722">
          <cell r="A722">
            <v>81252</v>
          </cell>
          <cell r="B722" t="str">
            <v>Fornecimento e colocação de tachinhas mono-refletivas</v>
          </cell>
          <cell r="C722" t="str">
            <v>un</v>
          </cell>
          <cell r="D722">
            <v>4.46</v>
          </cell>
        </row>
        <row r="723">
          <cell r="A723">
            <v>81253</v>
          </cell>
          <cell r="B723" t="str">
            <v>Fornecimento e colocação de tachinhas bi-refletivas</v>
          </cell>
          <cell r="C723" t="str">
            <v>un</v>
          </cell>
          <cell r="D723">
            <v>6.12</v>
          </cell>
        </row>
        <row r="724">
          <cell r="A724">
            <v>81254</v>
          </cell>
          <cell r="B724" t="str">
            <v>Fornecimento e colocação de tachões não refletivos</v>
          </cell>
          <cell r="C724" t="str">
            <v>un</v>
          </cell>
          <cell r="D724">
            <v>16.739999999999998</v>
          </cell>
        </row>
        <row r="725">
          <cell r="A725">
            <v>81255</v>
          </cell>
          <cell r="B725" t="str">
            <v>Fornecimento e colocação de calotas esféricas D=15 cm x 4  cm</v>
          </cell>
          <cell r="C725" t="str">
            <v>un</v>
          </cell>
          <cell r="D725">
            <v>13.54</v>
          </cell>
        </row>
        <row r="726">
          <cell r="A726">
            <v>81300</v>
          </cell>
          <cell r="B726" t="str">
            <v>Marco quilométrico de 50 x 67 cm</v>
          </cell>
          <cell r="C726" t="str">
            <v>un</v>
          </cell>
          <cell r="D726">
            <v>36.700000000000003</v>
          </cell>
        </row>
        <row r="727">
          <cell r="A727">
            <v>81350</v>
          </cell>
          <cell r="B727" t="str">
            <v>Balisador de concreto</v>
          </cell>
          <cell r="C727" t="str">
            <v>un</v>
          </cell>
          <cell r="D727">
            <v>30.77</v>
          </cell>
        </row>
        <row r="728">
          <cell r="A728">
            <v>81600</v>
          </cell>
          <cell r="B728" t="str">
            <v>Defensa singela semi-maleável</v>
          </cell>
          <cell r="C728" t="str">
            <v>m</v>
          </cell>
          <cell r="D728">
            <v>88.57</v>
          </cell>
        </row>
        <row r="729">
          <cell r="A729">
            <v>81650</v>
          </cell>
          <cell r="B729" t="str">
            <v>Remoção e recalçamento de pavimento a lajotas</v>
          </cell>
          <cell r="C729" t="str">
            <v>m²</v>
          </cell>
          <cell r="D729">
            <v>3.9299999999999997</v>
          </cell>
        </row>
        <row r="730">
          <cell r="A730">
            <v>81700</v>
          </cell>
          <cell r="B730" t="str">
            <v>Remoção e relocalização de postes</v>
          </cell>
          <cell r="C730" t="str">
            <v>un</v>
          </cell>
          <cell r="D730">
            <v>222.06</v>
          </cell>
        </row>
        <row r="731">
          <cell r="A731">
            <v>81800</v>
          </cell>
          <cell r="B731" t="str">
            <v>Recuperação de taludes com argila ensacada em polipropileno</v>
          </cell>
          <cell r="C731" t="str">
            <v>un</v>
          </cell>
          <cell r="D731">
            <v>3.98</v>
          </cell>
        </row>
        <row r="732">
          <cell r="A732">
            <v>81900</v>
          </cell>
          <cell r="B732" t="str">
            <v>Calçada em lastro de brita com revestimento em argamassa 1:3</v>
          </cell>
          <cell r="C732" t="str">
            <v>m²</v>
          </cell>
          <cell r="D732">
            <v>8.75</v>
          </cell>
        </row>
        <row r="733">
          <cell r="A733">
            <v>81950</v>
          </cell>
          <cell r="B733" t="str">
            <v>Calçada em lastro de brita com revestimento em concreto</v>
          </cell>
          <cell r="C733" t="str">
            <v>m²</v>
          </cell>
          <cell r="D733">
            <v>9.8800000000000008</v>
          </cell>
        </row>
        <row r="734">
          <cell r="A734">
            <v>82000</v>
          </cell>
          <cell r="B734" t="str">
            <v>Remoção de meio-fio</v>
          </cell>
          <cell r="C734" t="str">
            <v>m</v>
          </cell>
          <cell r="D734">
            <v>0.96</v>
          </cell>
        </row>
        <row r="735">
          <cell r="A735">
            <v>82050</v>
          </cell>
          <cell r="B735" t="str">
            <v>Remoção de camada granular</v>
          </cell>
          <cell r="C735" t="str">
            <v>m³</v>
          </cell>
          <cell r="D735">
            <v>1.2999999999999998</v>
          </cell>
        </row>
        <row r="736">
          <cell r="A736">
            <v>82100</v>
          </cell>
          <cell r="B736" t="str">
            <v>Remoção de pavimento a lajota</v>
          </cell>
          <cell r="C736" t="str">
            <v>m²</v>
          </cell>
          <cell r="D736">
            <v>0.44</v>
          </cell>
        </row>
        <row r="737">
          <cell r="A737">
            <v>82150</v>
          </cell>
          <cell r="B737" t="str">
            <v>Remoção de pavimento a paralelepípedos</v>
          </cell>
          <cell r="C737" t="str">
            <v>m²</v>
          </cell>
          <cell r="D737">
            <v>0.66999999999999993</v>
          </cell>
        </row>
        <row r="738">
          <cell r="A738">
            <v>82200</v>
          </cell>
          <cell r="B738" t="str">
            <v>Remoção de pavimento de CBUQ</v>
          </cell>
          <cell r="C738" t="str">
            <v>m³</v>
          </cell>
          <cell r="D738">
            <v>2.4000000000000004</v>
          </cell>
        </row>
        <row r="739">
          <cell r="A739">
            <v>82250</v>
          </cell>
          <cell r="B739" t="str">
            <v>Remoção de sarjeta em meia calha</v>
          </cell>
          <cell r="C739" t="str">
            <v>un</v>
          </cell>
          <cell r="D739">
            <v>0.6100000000000001</v>
          </cell>
        </row>
        <row r="740">
          <cell r="A740">
            <v>82300</v>
          </cell>
          <cell r="B740" t="str">
            <v>Demolição de alvenaria</v>
          </cell>
          <cell r="C740" t="str">
            <v>m³</v>
          </cell>
          <cell r="D740">
            <v>10.66</v>
          </cell>
        </row>
        <row r="741">
          <cell r="A741">
            <v>82350</v>
          </cell>
          <cell r="B741" t="str">
            <v>Demolição de estrutura em concreto simples</v>
          </cell>
          <cell r="C741" t="str">
            <v>m³</v>
          </cell>
          <cell r="D741">
            <v>13.96</v>
          </cell>
        </row>
        <row r="742">
          <cell r="A742">
            <v>82400</v>
          </cell>
          <cell r="B742" t="str">
            <v>Demolição de estrutura em concreto armado</v>
          </cell>
          <cell r="C742" t="str">
            <v>m³</v>
          </cell>
          <cell r="D742">
            <v>27.9</v>
          </cell>
        </row>
        <row r="743">
          <cell r="A743">
            <v>82600</v>
          </cell>
          <cell r="B743" t="str">
            <v>Gabião caixa galvanizada c/ H=50 cm</v>
          </cell>
          <cell r="C743" t="str">
            <v>m³</v>
          </cell>
          <cell r="D743">
            <v>117.59</v>
          </cell>
        </row>
        <row r="744">
          <cell r="A744">
            <v>82610</v>
          </cell>
          <cell r="B744" t="str">
            <v>Gabião caixa em PVC com H=50 cm</v>
          </cell>
          <cell r="C744" t="str">
            <v>m³</v>
          </cell>
          <cell r="D744">
            <v>130.93</v>
          </cell>
        </row>
        <row r="745">
          <cell r="A745">
            <v>82650</v>
          </cell>
          <cell r="B745" t="str">
            <v>Gabião caixa galvanizada com H=100 cm</v>
          </cell>
          <cell r="C745" t="str">
            <v>m³</v>
          </cell>
          <cell r="D745">
            <v>96.23</v>
          </cell>
        </row>
        <row r="746">
          <cell r="A746">
            <v>82660</v>
          </cell>
          <cell r="B746" t="str">
            <v>Gabião caixa em PVC com H=100 cm</v>
          </cell>
          <cell r="C746" t="str">
            <v>m³</v>
          </cell>
          <cell r="D746">
            <v>104.39</v>
          </cell>
        </row>
        <row r="747">
          <cell r="A747">
            <v>90000</v>
          </cell>
          <cell r="B747" t="str">
            <v>Torre de madeira para cravação de tubulão</v>
          </cell>
          <cell r="C747" t="str">
            <v>m</v>
          </cell>
          <cell r="D747">
            <v>450.9</v>
          </cell>
        </row>
        <row r="748">
          <cell r="A748">
            <v>90010</v>
          </cell>
          <cell r="B748" t="str">
            <v>Argamassa de cimento e areia 1:4 - preparo e materiais</v>
          </cell>
          <cell r="C748" t="str">
            <v>m³</v>
          </cell>
          <cell r="D748">
            <v>104.93</v>
          </cell>
        </row>
        <row r="749">
          <cell r="A749">
            <v>90020</v>
          </cell>
          <cell r="B749" t="str">
            <v>Formas de madeira</v>
          </cell>
          <cell r="C749" t="str">
            <v>m²</v>
          </cell>
          <cell r="D749">
            <v>29.37</v>
          </cell>
        </row>
        <row r="750">
          <cell r="A750">
            <v>90030</v>
          </cell>
          <cell r="B750" t="str">
            <v>Armadura de aço CA-50/CA-60 - fornec. dobr. e colocação</v>
          </cell>
          <cell r="C750" t="str">
            <v>kg</v>
          </cell>
          <cell r="D750">
            <v>2.15</v>
          </cell>
        </row>
        <row r="751">
          <cell r="A751">
            <v>90040</v>
          </cell>
          <cell r="B751" t="str">
            <v>Concreto fck 15 MPa - preparo lançamento e cura</v>
          </cell>
          <cell r="C751" t="str">
            <v>m³</v>
          </cell>
          <cell r="D751">
            <v>129.1</v>
          </cell>
        </row>
        <row r="752">
          <cell r="A752">
            <v>90050</v>
          </cell>
          <cell r="B752" t="str">
            <v>Concreto fck 18 MPa - preparo lançamento e cura</v>
          </cell>
          <cell r="C752" t="str">
            <v>m³</v>
          </cell>
          <cell r="D752">
            <v>134.51</v>
          </cell>
        </row>
        <row r="753">
          <cell r="A753">
            <v>90060</v>
          </cell>
          <cell r="B753" t="str">
            <v>Demolição de estrutura em concreto simples</v>
          </cell>
          <cell r="C753" t="str">
            <v>m³</v>
          </cell>
          <cell r="D753">
            <v>13.96</v>
          </cell>
        </row>
        <row r="754">
          <cell r="A754">
            <v>90070</v>
          </cell>
          <cell r="B754" t="str">
            <v>Demolição de estrutura em concreto armado</v>
          </cell>
          <cell r="C754" t="str">
            <v>m³</v>
          </cell>
          <cell r="D754">
            <v>27.9</v>
          </cell>
        </row>
        <row r="755">
          <cell r="A755">
            <v>90080</v>
          </cell>
          <cell r="B755" t="str">
            <v>Ensecadeiras duplas</v>
          </cell>
          <cell r="C755" t="str">
            <v>m²</v>
          </cell>
          <cell r="D755">
            <v>152.29</v>
          </cell>
        </row>
        <row r="756">
          <cell r="A756">
            <v>90100</v>
          </cell>
          <cell r="B756" t="str">
            <v>Escav. manual p/ cavas de fundação em 1a cat. H&lt;=4,0 m c/ esg.</v>
          </cell>
          <cell r="C756" t="str">
            <v>m³</v>
          </cell>
          <cell r="D756">
            <v>16.75</v>
          </cell>
        </row>
        <row r="757">
          <cell r="A757">
            <v>90110</v>
          </cell>
          <cell r="B757" t="str">
            <v>Escav. mecan. p/ cavas de fundação em 1a cat. H&lt;=4,0 m c/ esg.</v>
          </cell>
          <cell r="C757" t="str">
            <v>m³</v>
          </cell>
          <cell r="D757">
            <v>3.58</v>
          </cell>
        </row>
        <row r="758">
          <cell r="A758">
            <v>90120</v>
          </cell>
          <cell r="B758" t="str">
            <v>Escavação para cavas de fundação em mat. 3a. cat. c/ esgoto.</v>
          </cell>
          <cell r="C758" t="str">
            <v>m³</v>
          </cell>
          <cell r="D758">
            <v>49.13</v>
          </cell>
        </row>
        <row r="759">
          <cell r="A759">
            <v>90130</v>
          </cell>
          <cell r="B759" t="str">
            <v>Estacas matálicas 3 TR-32 - fornecimento e cravação</v>
          </cell>
          <cell r="C759" t="str">
            <v>m</v>
          </cell>
          <cell r="D759">
            <v>120.79</v>
          </cell>
        </row>
        <row r="760">
          <cell r="A760">
            <v>90140</v>
          </cell>
          <cell r="B760" t="str">
            <v>Estacas matálicas 3 TR-37 - fornecimento e cravação</v>
          </cell>
          <cell r="C760" t="str">
            <v>m</v>
          </cell>
          <cell r="D760">
            <v>130.56</v>
          </cell>
        </row>
        <row r="761">
          <cell r="A761">
            <v>90150</v>
          </cell>
          <cell r="B761" t="str">
            <v>Escavação em tubulão a céu aberto em material de 1a. cat.</v>
          </cell>
          <cell r="C761" t="str">
            <v>m³</v>
          </cell>
          <cell r="D761">
            <v>133.01</v>
          </cell>
        </row>
        <row r="762">
          <cell r="A762">
            <v>90160</v>
          </cell>
          <cell r="B762" t="str">
            <v>Escavação em tubulão a céu aberto em material de 3a. cat.</v>
          </cell>
          <cell r="C762" t="str">
            <v>m³</v>
          </cell>
          <cell r="D762">
            <v>548.16</v>
          </cell>
        </row>
        <row r="763">
          <cell r="A763">
            <v>90170</v>
          </cell>
          <cell r="B763" t="str">
            <v>Escavação em tubulão sob ar comprimido em mat. de 1a. cat.</v>
          </cell>
          <cell r="C763" t="str">
            <v>m³</v>
          </cell>
          <cell r="D763">
            <v>638.22</v>
          </cell>
        </row>
        <row r="764">
          <cell r="A764">
            <v>90180</v>
          </cell>
          <cell r="B764" t="str">
            <v>Escavação em tubulão sob ar comprimido em mat. de 3a. cat.</v>
          </cell>
          <cell r="C764" t="str">
            <v>m³</v>
          </cell>
          <cell r="D764">
            <v>1056.97</v>
          </cell>
        </row>
        <row r="765">
          <cell r="A765">
            <v>90190</v>
          </cell>
          <cell r="B765" t="str">
            <v>Cravação de fuste de tubulão a céu aberto</v>
          </cell>
          <cell r="C765" t="str">
            <v>m</v>
          </cell>
          <cell r="D765">
            <v>214.47</v>
          </cell>
        </row>
        <row r="766">
          <cell r="A766">
            <v>90200</v>
          </cell>
          <cell r="B766" t="str">
            <v>Cravação de fuste de tubulão sob ar comprimido</v>
          </cell>
          <cell r="C766" t="str">
            <v>m</v>
          </cell>
          <cell r="D766">
            <v>226.1</v>
          </cell>
        </row>
        <row r="767">
          <cell r="A767">
            <v>90210</v>
          </cell>
          <cell r="B767" t="str">
            <v>Formas de madeira</v>
          </cell>
          <cell r="C767" t="str">
            <v>m²</v>
          </cell>
          <cell r="D767">
            <v>29.37</v>
          </cell>
        </row>
        <row r="768">
          <cell r="A768">
            <v>90220</v>
          </cell>
          <cell r="B768" t="str">
            <v>Formas de placa compensada para mesoestrutura</v>
          </cell>
          <cell r="C768" t="str">
            <v>m²</v>
          </cell>
          <cell r="D768">
            <v>16.239999999999998</v>
          </cell>
        </row>
        <row r="769">
          <cell r="A769">
            <v>90230</v>
          </cell>
          <cell r="B769" t="str">
            <v>Armada de aço CA-50/CA-60 - Fornec. dobr. e colocação</v>
          </cell>
          <cell r="C769" t="str">
            <v>kg</v>
          </cell>
          <cell r="D769">
            <v>2.15</v>
          </cell>
        </row>
        <row r="770">
          <cell r="A770">
            <v>90240</v>
          </cell>
          <cell r="B770" t="str">
            <v>Concreto fck 15 MPa - preparo lançamento e cura</v>
          </cell>
          <cell r="C770" t="str">
            <v>m³</v>
          </cell>
          <cell r="D770">
            <v>129.1</v>
          </cell>
        </row>
        <row r="771">
          <cell r="A771">
            <v>90250</v>
          </cell>
          <cell r="B771" t="str">
            <v>Concreto fck 18 MPa - preparo lançamento e cura</v>
          </cell>
          <cell r="C771" t="str">
            <v>m³</v>
          </cell>
          <cell r="D771">
            <v>134.51</v>
          </cell>
        </row>
        <row r="772">
          <cell r="A772">
            <v>90260</v>
          </cell>
          <cell r="B772" t="str">
            <v>Concreto ciclopico fck 15 MPa - preparo lançamento e cura</v>
          </cell>
          <cell r="C772" t="str">
            <v>m³</v>
          </cell>
          <cell r="D772">
            <v>108.06</v>
          </cell>
        </row>
        <row r="773">
          <cell r="A773">
            <v>90270</v>
          </cell>
          <cell r="B773" t="str">
            <v>Fornecimento e colocação  de aparelho de apoio neoprene</v>
          </cell>
          <cell r="C773" t="str">
            <v>kg</v>
          </cell>
          <cell r="D773">
            <v>46.96</v>
          </cell>
        </row>
        <row r="774">
          <cell r="A774">
            <v>90280</v>
          </cell>
          <cell r="B774" t="str">
            <v>Fornecimento e colocação de aparelho de apoio neoprene</v>
          </cell>
          <cell r="C774" t="str">
            <v>dm³</v>
          </cell>
          <cell r="D774">
            <v>63.21</v>
          </cell>
        </row>
        <row r="775">
          <cell r="A775">
            <v>90500</v>
          </cell>
          <cell r="B775" t="str">
            <v>Escoramento de madeira (cimbramento)</v>
          </cell>
          <cell r="C775" t="str">
            <v>m³</v>
          </cell>
          <cell r="D775">
            <v>24.28</v>
          </cell>
        </row>
        <row r="776">
          <cell r="A776">
            <v>90510</v>
          </cell>
          <cell r="B776" t="str">
            <v>Formas de placa compensada</v>
          </cell>
          <cell r="C776" t="str">
            <v>m²</v>
          </cell>
          <cell r="D776">
            <v>16.239999999999998</v>
          </cell>
        </row>
        <row r="777">
          <cell r="A777">
            <v>90511</v>
          </cell>
          <cell r="B777" t="str">
            <v>Formas de placa compensada plastificada</v>
          </cell>
          <cell r="C777" t="str">
            <v>m²</v>
          </cell>
          <cell r="D777">
            <v>17.47</v>
          </cell>
        </row>
        <row r="778">
          <cell r="A778">
            <v>90520</v>
          </cell>
          <cell r="B778" t="str">
            <v>Armadura de aço CA-50/CA-6 - fornec. dobr. e colocação</v>
          </cell>
          <cell r="C778" t="str">
            <v>kg</v>
          </cell>
          <cell r="D778">
            <v>2.15</v>
          </cell>
        </row>
        <row r="779">
          <cell r="A779">
            <v>90530</v>
          </cell>
          <cell r="B779" t="str">
            <v>Concreto fck 15 MPa - preparo lançamento e cura</v>
          </cell>
          <cell r="C779" t="str">
            <v>m³</v>
          </cell>
          <cell r="D779">
            <v>129.1</v>
          </cell>
        </row>
        <row r="780">
          <cell r="A780">
            <v>90540</v>
          </cell>
          <cell r="B780" t="str">
            <v>Concreto fck 18 MPa - preparo lançamento e cura</v>
          </cell>
          <cell r="C780" t="str">
            <v>m³</v>
          </cell>
          <cell r="D780">
            <v>134.79</v>
          </cell>
        </row>
        <row r="781">
          <cell r="A781">
            <v>90550</v>
          </cell>
          <cell r="B781" t="str">
            <v>Concreto fck 20 MPa - preparo lançamento e cura</v>
          </cell>
          <cell r="C781" t="str">
            <v>m³</v>
          </cell>
          <cell r="D781">
            <v>136.37</v>
          </cell>
        </row>
        <row r="782">
          <cell r="A782">
            <v>90551</v>
          </cell>
          <cell r="B782" t="str">
            <v>Concreto fck 20 MPa - com aditivo plastificante</v>
          </cell>
          <cell r="C782" t="str">
            <v>m³</v>
          </cell>
          <cell r="D782">
            <v>157.04</v>
          </cell>
        </row>
        <row r="783">
          <cell r="A783">
            <v>90560</v>
          </cell>
          <cell r="B783" t="str">
            <v>Concreto fck 24 MPa - preparo lançamento e cura</v>
          </cell>
          <cell r="C783" t="str">
            <v>m³</v>
          </cell>
          <cell r="D783">
            <v>137.75</v>
          </cell>
        </row>
        <row r="784">
          <cell r="A784">
            <v>90570</v>
          </cell>
          <cell r="B784" t="str">
            <v>Concreto fck 32 MPa - preparo lançamento e cura</v>
          </cell>
          <cell r="C784" t="str">
            <v>m³</v>
          </cell>
          <cell r="D784">
            <v>141.86000000000001</v>
          </cell>
        </row>
        <row r="785">
          <cell r="A785">
            <v>90580</v>
          </cell>
          <cell r="B785" t="str">
            <v>Concreto para pavimentação de pista de rolamento</v>
          </cell>
          <cell r="C785" t="str">
            <v>m³</v>
          </cell>
          <cell r="D785">
            <v>132.38</v>
          </cell>
        </row>
        <row r="786">
          <cell r="A786">
            <v>90581</v>
          </cell>
          <cell r="B786" t="str">
            <v>Adesivo estrutural</v>
          </cell>
          <cell r="C786" t="str">
            <v>kg</v>
          </cell>
          <cell r="D786">
            <v>37.32</v>
          </cell>
        </row>
        <row r="787">
          <cell r="A787">
            <v>90582</v>
          </cell>
          <cell r="B787" t="str">
            <v>Argamassa sob adesivo estrutural</v>
          </cell>
          <cell r="C787" t="str">
            <v>m²</v>
          </cell>
          <cell r="D787">
            <v>21.27</v>
          </cell>
        </row>
        <row r="788">
          <cell r="A788">
            <v>90590</v>
          </cell>
          <cell r="B788" t="str">
            <v>Guarda-corpo - materiais moldagem e colocação</v>
          </cell>
          <cell r="C788" t="str">
            <v>m</v>
          </cell>
          <cell r="D788">
            <v>61.3</v>
          </cell>
        </row>
        <row r="789">
          <cell r="A789">
            <v>90600</v>
          </cell>
          <cell r="B789" t="str">
            <v>Dreno de PVC D=100 mm - fornecimento e colocação</v>
          </cell>
          <cell r="C789" t="str">
            <v>un</v>
          </cell>
          <cell r="D789">
            <v>5.32</v>
          </cell>
        </row>
        <row r="790">
          <cell r="A790">
            <v>90610</v>
          </cell>
          <cell r="B790" t="str">
            <v>Dreno de PVC D=50 mm - fornecimento e colocação</v>
          </cell>
          <cell r="C790" t="str">
            <v>un</v>
          </cell>
          <cell r="D790">
            <v>3.98</v>
          </cell>
        </row>
        <row r="791">
          <cell r="A791">
            <v>90611</v>
          </cell>
          <cell r="B791" t="str">
            <v>Corte de concreto</v>
          </cell>
          <cell r="C791" t="str">
            <v>m²</v>
          </cell>
          <cell r="D791">
            <v>46</v>
          </cell>
        </row>
        <row r="792">
          <cell r="A792">
            <v>90612</v>
          </cell>
          <cell r="B792" t="str">
            <v>Apicoamento de concreto</v>
          </cell>
          <cell r="C792" t="str">
            <v>m²</v>
          </cell>
          <cell r="D792">
            <v>19.29</v>
          </cell>
        </row>
        <row r="793">
          <cell r="A793">
            <v>90613</v>
          </cell>
          <cell r="B793" t="str">
            <v>Jateamento de estrutura de concreto</v>
          </cell>
          <cell r="C793" t="str">
            <v>m²</v>
          </cell>
          <cell r="D793">
            <v>14.43</v>
          </cell>
        </row>
        <row r="794">
          <cell r="A794">
            <v>90620</v>
          </cell>
          <cell r="B794" t="str">
            <v>Limpeza e pintura de cimento</v>
          </cell>
          <cell r="C794" t="str">
            <v>m²</v>
          </cell>
          <cell r="D794">
            <v>2.11</v>
          </cell>
        </row>
        <row r="795">
          <cell r="A795">
            <v>90630</v>
          </cell>
          <cell r="B795" t="str">
            <v>Pintura com silicone sobre estrutura nova de concreto</v>
          </cell>
          <cell r="C795" t="str">
            <v>m²</v>
          </cell>
          <cell r="D795">
            <v>12.33</v>
          </cell>
        </row>
        <row r="797">
          <cell r="A797" t="str">
            <v>*1</v>
          </cell>
          <cell r="B797" t="str">
            <v>Caixa coletora com boca de lobo p/ BSTC, D=80cm e h=1,5m</v>
          </cell>
          <cell r="C797" t="str">
            <v>un</v>
          </cell>
          <cell r="D797">
            <v>771.32</v>
          </cell>
        </row>
        <row r="798">
          <cell r="A798" t="str">
            <v>*2</v>
          </cell>
          <cell r="B798" t="str">
            <v>Caixa coletora com boca de lobo p/ BSTC, D=80cm e h=2,5m</v>
          </cell>
          <cell r="C798" t="str">
            <v>un</v>
          </cell>
          <cell r="D798">
            <v>820</v>
          </cell>
        </row>
        <row r="799">
          <cell r="A799" t="str">
            <v>*3</v>
          </cell>
          <cell r="B799" t="str">
            <v>Barreira Tipo DNER</v>
          </cell>
          <cell r="C799" t="str">
            <v>m</v>
          </cell>
          <cell r="D799">
            <v>66.55</v>
          </cell>
        </row>
        <row r="800">
          <cell r="A800" t="str">
            <v>*4</v>
          </cell>
          <cell r="B800" t="str">
            <v>Lombada eletrônica</v>
          </cell>
          <cell r="C800" t="str">
            <v>un</v>
          </cell>
          <cell r="D800">
            <v>36000</v>
          </cell>
        </row>
        <row r="801">
          <cell r="A801" t="str">
            <v>*5</v>
          </cell>
          <cell r="B801" t="str">
            <v>Meio-fio de concreto tipo MFC-03 (DNER)</v>
          </cell>
          <cell r="C801" t="str">
            <v>m</v>
          </cell>
          <cell r="D801">
            <v>24.040000000000003</v>
          </cell>
        </row>
        <row r="802">
          <cell r="A802" t="str">
            <v>*6</v>
          </cell>
          <cell r="B802" t="str">
            <v>Cortina atirantada</v>
          </cell>
          <cell r="C802" t="str">
            <v>m²</v>
          </cell>
          <cell r="D802">
            <v>400</v>
          </cell>
        </row>
        <row r="803">
          <cell r="A803" t="str">
            <v>*7</v>
          </cell>
          <cell r="B803" t="str">
            <v>Fornec. e plantio de mudas de árvores selecionadas</v>
          </cell>
          <cell r="C803" t="str">
            <v>un</v>
          </cell>
          <cell r="D803">
            <v>5.21</v>
          </cell>
        </row>
        <row r="804">
          <cell r="A804" t="str">
            <v>*8</v>
          </cell>
          <cell r="B804" t="str">
            <v>Semáforo</v>
          </cell>
          <cell r="C804" t="str">
            <v>un</v>
          </cell>
          <cell r="D804">
            <v>20000</v>
          </cell>
        </row>
        <row r="805">
          <cell r="A805" t="str">
            <v>*9</v>
          </cell>
          <cell r="B805" t="str">
            <v>Iluminação</v>
          </cell>
          <cell r="C805" t="str">
            <v>postes</v>
          </cell>
          <cell r="D805">
            <v>5000</v>
          </cell>
        </row>
        <row r="806">
          <cell r="A806" t="str">
            <v>*10</v>
          </cell>
          <cell r="B806" t="str">
            <v>Cancela automatizada</v>
          </cell>
          <cell r="C806" t="str">
            <v>un</v>
          </cell>
          <cell r="D806">
            <v>12000</v>
          </cell>
        </row>
        <row r="807">
          <cell r="A807" t="str">
            <v>*11</v>
          </cell>
          <cell r="B807" t="str">
            <v>Poste de sinalização automatizado</v>
          </cell>
          <cell r="C807" t="str">
            <v>un</v>
          </cell>
          <cell r="D807">
            <v>6000</v>
          </cell>
        </row>
        <row r="808">
          <cell r="A808" t="str">
            <v>*12</v>
          </cell>
          <cell r="B808" t="str">
            <v>Posto da Polícia Rodoviária Federal</v>
          </cell>
          <cell r="C808" t="str">
            <v>m²</v>
          </cell>
          <cell r="D808">
            <v>422.52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
      <sheetName val="Croqui"/>
      <sheetName val="Comparativo"/>
      <sheetName val="Mat. Bet."/>
      <sheetName val="Calc.transporte"/>
      <sheetName val="Preço MBet."/>
      <sheetName val="TLCB5"/>
      <sheetName val="TLMR"/>
      <sheetName val="TLBM"/>
      <sheetName val="TCCC"/>
      <sheetName val="TLCB10"/>
      <sheetName val="TLCC4"/>
      <sheetName val="TCCB10"/>
      <sheetName val="Quadro res. transp."/>
      <sheetName val="CURVA ABC"/>
      <sheetName val="Orçamento"/>
      <sheetName val="Serviços"/>
      <sheetName val="Cronograma 1º"/>
      <sheetName val="Cronograma 2º"/>
      <sheetName val="Instalação"/>
      <sheetName val="Mobiliz."/>
      <sheetName val="Cpu Trans."/>
      <sheetName val="CAP-CM30"/>
      <sheetName val="Rotineira"/>
      <sheetName val="Veíc."/>
      <sheetName val="Serv.Aux."/>
      <sheetName val="Const. Dren."/>
      <sheetName val="Aux.Dren"/>
      <sheetName val="Serv. Adm."/>
      <sheetName val="CPUMat.Bet."/>
      <sheetName val="M Obra"/>
      <sheetName val="Equip."/>
      <sheetName val="Materiais"/>
      <sheetName val="DIVISÓRIAS"/>
      <sheetName val="Modelo"/>
      <sheetName val="aterro"/>
      <sheetName val="tsd"/>
    </sheetNames>
    <sheetDataSet>
      <sheetData sheetId="0" refreshError="1"/>
      <sheetData sheetId="1" refreshError="1"/>
      <sheetData sheetId="2" refreshError="1"/>
      <sheetData sheetId="3">
        <row r="22">
          <cell r="E22">
            <v>293.51</v>
          </cell>
        </row>
        <row r="24">
          <cell r="E24">
            <v>342.11</v>
          </cell>
        </row>
        <row r="25">
          <cell r="F25">
            <v>265.37</v>
          </cell>
        </row>
        <row r="27">
          <cell r="F27">
            <v>309.29000000000002</v>
          </cell>
        </row>
        <row r="28">
          <cell r="F28">
            <v>265.37</v>
          </cell>
        </row>
        <row r="29">
          <cell r="F29">
            <v>24.49</v>
          </cell>
        </row>
        <row r="30">
          <cell r="F30">
            <v>280.83</v>
          </cell>
        </row>
        <row r="31">
          <cell r="F31">
            <v>39.950000000000003</v>
          </cell>
        </row>
        <row r="33">
          <cell r="F33">
            <v>265.37</v>
          </cell>
        </row>
        <row r="34">
          <cell r="F34">
            <v>24.49</v>
          </cell>
        </row>
        <row r="36">
          <cell r="F36">
            <v>265.37</v>
          </cell>
        </row>
        <row r="37">
          <cell r="F37">
            <v>24.49</v>
          </cell>
        </row>
        <row r="39">
          <cell r="F39">
            <v>280.83</v>
          </cell>
        </row>
        <row r="40">
          <cell r="F40">
            <v>39.950000000000003</v>
          </cell>
        </row>
        <row r="42">
          <cell r="F42">
            <v>265.37</v>
          </cell>
        </row>
        <row r="43">
          <cell r="F43">
            <v>24.49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 val="PLANI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gráfico"/>
      <sheetName val="abc"/>
      <sheetName val="QUANT E CUSTOS"/>
      <sheetName val="plan.preçounit."/>
      <sheetName val="cron.físico"/>
      <sheetName val="qd transp"/>
      <sheetName val="PATO"/>
      <sheetName val="mist.bet.usin.frio"/>
      <sheetName val="Aqui. bet. mist. a frio"/>
      <sheetName val="Transp. mat. bet. usinado a f"/>
      <sheetName val="Rec. do rev. com MBUF"/>
      <sheetName val="Transporte RR-1C"/>
      <sheetName val="rem.prof.dem.manual"/>
      <sheetName val="Rec. man aterro"/>
      <sheetName val="Remoc.CG"/>
      <sheetName val="Limp. vala"/>
      <sheetName val="Limp. bueiro"/>
      <sheetName val="Desob.bueiro"/>
      <sheetName val="caiação"/>
      <sheetName val="Rem. Barreira"/>
      <sheetName val="Roç. colonião"/>
      <sheetName val="veículo até 100hp"/>
      <sheetName val="Trans_Carr_Pav (cercas)"/>
      <sheetName val="SBRP"/>
      <sheetName val="Mobilização"/>
      <sheetName val="LAYOUT_CANTEIRO"/>
      <sheetName val="Prancha"/>
      <sheetName val="sinapi"/>
      <sheetName val="custo_trans_betum"/>
      <sheetName val="QTT  BET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 val="Cálculo"/>
      <sheetName val="memória de calculo_liquida"/>
      <sheetName val="Quadro + Gráfico"/>
      <sheetName val="Custo do CM-30"/>
      <sheetName val="Preços"/>
      <sheetName val="Desp. Apoio"/>
      <sheetName val="Proposta"/>
      <sheetName val="Carimbo de Nota"/>
      <sheetName val="Fresagem de Pista Ago-98"/>
      <sheetName val="Viga_Benkellman"/>
      <sheetName val="Estudo_Estatístico"/>
      <sheetName val="Pro_-_10_norma_A"/>
      <sheetName val="Pró_-_11_norma_B"/>
      <sheetName val="Resumo_subtrechos_homgêneos"/>
      <sheetName val="Demonstrativo_Dimensionamento"/>
      <sheetName val="Camadas_Mat__Distintos"/>
      <sheetName val="Custo_do_CM-30"/>
      <sheetName val="memória_de_calculo_liquida"/>
      <sheetName val="Quadro_+_Gráfico"/>
      <sheetName val="Desp__Apoio"/>
      <sheetName val="Tela"/>
      <sheetName val="Atualizacao"/>
      <sheetName val="Chuvas"/>
      <sheetName val="Medição"/>
      <sheetName val="P3"/>
      <sheetName val="PLANILHA ATUALIZADA"/>
      <sheetName val="Auxiliar"/>
      <sheetName val="COMPOS1"/>
      <sheetName val="RELATA"/>
      <sheetName val="Conc 20"/>
      <sheetName val="CRON.NOVO.ARIPUANA"/>
      <sheetName val="PRO_08"/>
      <sheetName val="CAPA"/>
      <sheetName val="SUMÁRIO GERAL"/>
      <sheetName val="DIVISÓRIAS"/>
      <sheetName val="CAPA CD"/>
      <sheetName val="CABEÇALHO-RODAPÉ"/>
      <sheetName val="ABC"/>
      <sheetName val="ORÇAMENTO"/>
      <sheetName val="MEMÓRIA"/>
      <sheetName val="CRONOGRAMA"/>
      <sheetName val="BDI"/>
      <sheetName val="Encargos Sociais"/>
      <sheetName val="CPU"/>
      <sheetName val="Quadro Bueiros"/>
      <sheetName val="MP CUB"/>
      <sheetName val="Plan1"/>
      <sheetName val="CBR Jazida"/>
      <sheetName val="JAZIDAS"/>
      <sheetName val="plan"/>
      <sheetName val="Plan2"/>
      <sheetName val="Custo da Imprimação"/>
      <sheetName val="Custo da Pintura de Ligação"/>
      <sheetName val="RP-1 SB (3)"/>
      <sheetName val="RESUMO_AUT1"/>
      <sheetName val="Resumo Financeiro"/>
      <sheetName val=""/>
      <sheetName val="ROSTO"/>
      <sheetName val="7CONT FIN"/>
      <sheetName val="DG"/>
      <sheetName val="Entrada de Dados"/>
      <sheetName val="Ofício"/>
      <sheetName val="Dados do Contrato"/>
      <sheetName val="Boletim"/>
      <sheetName val="Resumo"/>
      <sheetName val="MT-358 Sin.Hor."/>
      <sheetName val="MT-358 Sin.Vert."/>
      <sheetName val="MT-358 Disp. Aux."/>
      <sheetName val="MT 220 Disp Aux"/>
      <sheetName val="Controle financeiro"/>
      <sheetName val="Linear"/>
      <sheetName val="Vert. item 1"/>
      <sheetName val="Horizontal"/>
      <sheetName val="Vertical"/>
      <sheetName val="Seg. e Canalizacao"/>
      <sheetName val="RELATÓRIO FOTOGRAFICO"/>
      <sheetName val="Pluviometria"/>
      <sheetName val="RESUMO DE DIÁRIO DE OBRAS"/>
      <sheetName val="Reajuste"/>
      <sheetName val="Cont.fin. Reajustamento"/>
      <sheetName val="Resumo Geral"/>
      <sheetName val="BD"/>
      <sheetName val="TABELAS"/>
      <sheetName val="Planilha orçamentária da PMJ"/>
      <sheetName val="BANCO"/>
      <sheetName val="Acostamento - 129 - 122+10 LE"/>
      <sheetName val="Acostam. - 122+10 a 112 +10 LE"/>
      <sheetName val="Acost. 112+10 - 102"/>
      <sheetName val="Acost. 101+10 a 92 - LE"/>
      <sheetName val="Acost. 91+10 a 82 - LE"/>
      <sheetName val="ACOST. EST.81+10 A 72"/>
      <sheetName val="ACOST. EST. 71+10 A 62"/>
      <sheetName val="ACOST. Est. 61+10 a 52 - LE"/>
      <sheetName val="ACOST. 51+10 - 42"/>
      <sheetName val="ACOST. EST. 41+10 - 32 LE"/>
      <sheetName val="ACOST. 31+10 - 22 - LE"/>
      <sheetName val="acost . 21 - 12 "/>
      <sheetName val="Acost . 12 - 3"/>
      <sheetName val="Est. 31+10 a Est. 24+10 - LE"/>
      <sheetName val="Est. 42+10 a 32 -LE"/>
      <sheetName val="Est. 51 - Est. 43 - LD"/>
      <sheetName val="Est. 42 - Est. 37 - LD"/>
      <sheetName val="Est. 36 a Est. 31 - LD"/>
      <sheetName val="Est.38 - Est. 34 - EIXO"/>
      <sheetName val="Est. 33 - Est. 24 - EIXO"/>
      <sheetName val="Est. 24 - Est. 19 - completa"/>
      <sheetName val="EST. 18+10 A EST. 14 - COMPLETA"/>
      <sheetName val="Est. 51 a Est. 43 - LE - 14.50 "/>
      <sheetName val="EST. 13 +10 - EST. 10 - COMPL."/>
      <sheetName val="Est. 9 - Est. 5 - Completa"/>
      <sheetName val="Est. 4 a Est. 0 - completo"/>
      <sheetName val="Read Me!"/>
      <sheetName val="Índices DNIT"/>
      <sheetName val="INFO"/>
      <sheetName val="TR.01"/>
      <sheetName val="TR.02"/>
      <sheetName val="CPU (BET.)"/>
      <sheetName val="CRONO"/>
      <sheetName val="SERV."/>
      <sheetName val="EQUIP."/>
      <sheetName val="MAT."/>
      <sheetName val="MDO"/>
      <sheetName val="TRANSP."/>
      <sheetName val="GLOBAL.01"/>
      <sheetName val="RED.-EXP."/>
      <sheetName val="BOCAIS"/>
      <sheetName val="LEQ"/>
      <sheetName val="Planejamento Detalh"/>
      <sheetName val="Relatório-1ª med."/>
      <sheetName val="Viga_Benkellman1"/>
      <sheetName val="Estudo_Estatístico1"/>
      <sheetName val="Pro_-_10_norma_A1"/>
      <sheetName val="Pró_-_11_norma_B1"/>
      <sheetName val="Resumo_subtrechos_homgêneos1"/>
      <sheetName val="Demonstrativo_Dimensionamento1"/>
      <sheetName val="Camadas_Mat__Distintos1"/>
      <sheetName val="Custo_do_CM-301"/>
      <sheetName val="Quadro_+_Gráfico1"/>
      <sheetName val="memória_de_calculo_liquida1"/>
      <sheetName val="Desp__Apoio1"/>
      <sheetName val="Carimbo_de_Nota"/>
      <sheetName val="Fresagem_de_Pista_Ago-98"/>
      <sheetName val="PLANILHA_ATUALIZADA"/>
      <sheetName val="RP-1_SB_(3)"/>
      <sheetName val="Conc_20"/>
      <sheetName val="CRON_NOVO_ARIPUANA"/>
      <sheetName val="SUMÁRIO_GERAL"/>
      <sheetName val="CAPA_CD"/>
      <sheetName val="Encargos_Sociais"/>
      <sheetName val="Quadro_Bueiros"/>
      <sheetName val="MP_CUB"/>
      <sheetName val="CBR_Jazida"/>
      <sheetName val="Custo_da_Imprimação"/>
      <sheetName val="Custo_da_Pintura_de_Ligação"/>
      <sheetName val="Resumo_Geral"/>
      <sheetName val="Resumo_Financeiro"/>
      <sheetName val="7CONT_FIN"/>
      <sheetName val="Curva S Financeira"/>
      <sheetName val="NF 1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08"/>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ANALISES"/>
      <sheetName val="Custo do CM-30"/>
      <sheetName val="Cálculo"/>
      <sheetName val="Quadro + Gráfico"/>
      <sheetName val="Preços"/>
      <sheetName val="Desp. Apoio"/>
      <sheetName val="PRO_08"/>
      <sheetName val="Carimbo de Nota"/>
      <sheetName val="Fresagem de Pista Ago-98"/>
      <sheetName val="ROSTO"/>
      <sheetName val="7CONT FIN"/>
      <sheetName val="DG"/>
      <sheetName val="memória de calculo_liquida"/>
      <sheetName val="Viga_Benkellman"/>
      <sheetName val="Estudo_Estatístico"/>
      <sheetName val="Pro_-_10_norma_A"/>
      <sheetName val="Pró_-_11_norma_B"/>
      <sheetName val="Resumo_subtrechos_homgêneos"/>
      <sheetName val="Demonstrativo_Dimensionamento"/>
      <sheetName val="Camadas_Mat__Distintos"/>
      <sheetName val="Custo_do_CM-30"/>
      <sheetName val="memória_de_calculo_liquida"/>
      <sheetName val="Quadro_+_Gráfico"/>
      <sheetName val="Desp__Apoio"/>
      <sheetName val="Proposta"/>
      <sheetName val="COMPOS1"/>
      <sheetName val="Resumo Financeiro"/>
      <sheetName val="P3"/>
      <sheetName val="PLANILHA ATUALIZADA"/>
      <sheetName val="Auxiliar"/>
      <sheetName val="Tela"/>
      <sheetName val="Atualizacao"/>
      <sheetName val="Chuvas"/>
      <sheetName val="Medição"/>
      <sheetName val="RELATA"/>
      <sheetName val="Conc 20"/>
      <sheetName val="CRON.NOVO.ARIPUANA"/>
      <sheetName val="CAPA"/>
      <sheetName val="SUMÁRIO GERAL"/>
      <sheetName val="DIVISÓRIAS"/>
      <sheetName val="CAPA CD"/>
      <sheetName val="CABEÇALHO-RODAPÉ"/>
      <sheetName val="ABC"/>
      <sheetName val="ORÇAMENTO"/>
      <sheetName val="MEMÓRIA"/>
      <sheetName val="CRONOGRAMA"/>
      <sheetName val="BDI"/>
      <sheetName val="Encargos Sociais"/>
      <sheetName val="CPU"/>
      <sheetName val="Quadro Bueiros"/>
      <sheetName val="MP CUB"/>
      <sheetName val="Plan1"/>
      <sheetName val="CBR Jazida"/>
      <sheetName val="JAZIDAS"/>
      <sheetName val="plan"/>
      <sheetName val="Plan2"/>
      <sheetName val="Custo da Imprimação"/>
      <sheetName val="Custo da Pintura de Ligação"/>
      <sheetName val="RP-1 SB (3)"/>
      <sheetName val="RESUMO_AUT1"/>
      <sheetName val=""/>
      <sheetName val="Entrada de Dados"/>
      <sheetName val="Ofício"/>
      <sheetName val="Dados do Contrato"/>
      <sheetName val="Boletim"/>
      <sheetName val="Resumo"/>
      <sheetName val="MT-358 Sin.Hor."/>
      <sheetName val="MT-358 Sin.Vert."/>
      <sheetName val="MT-358 Disp. Aux."/>
      <sheetName val="MT 220 Disp Aux"/>
      <sheetName val="Controle financeiro"/>
      <sheetName val="Linear"/>
      <sheetName val="Vert. item 1"/>
      <sheetName val="Horizontal"/>
      <sheetName val="Vertical"/>
      <sheetName val="Seg. e Canalizacao"/>
      <sheetName val="RELATÓRIO FOTOGRAFICO"/>
      <sheetName val="Pluviometria"/>
      <sheetName val="RESUMO DE DIÁRIO DE OBRAS"/>
      <sheetName val="Reajuste"/>
      <sheetName val="Cont.fin. Reajustamento"/>
      <sheetName val="Resumo Geral"/>
      <sheetName val="BD"/>
      <sheetName val="TABE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 val="VariáveisOcultas"/>
      <sheetName val="Variáveis"/>
      <sheetName val="Convenções"/>
      <sheetName val="Cortes"/>
      <sheetName val="Cortes Auxiliar"/>
      <sheetName val="Aterros"/>
      <sheetName val="DistDeMassas"/>
      <sheetName val="Consistência"/>
      <sheetName val="DistDeMassasImpressa"/>
      <sheetName val="Qd Quant - Modelo DER"/>
      <sheetName val="Qd Quant - Formato A4"/>
      <sheetName val="Historico"/>
      <sheetName val="Ajuda"/>
      <sheetName val="Oculta"/>
      <sheetName val="TabelaSicro"/>
      <sheetName val="PRO-08"/>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Desmat"/>
      <sheetName val="Aux.da anterior"/>
      <sheetName val="Cubação"/>
      <sheetName val="Croqui"/>
      <sheetName val="CALCULOS AUXILIARES"/>
      <sheetName val="Pato"/>
      <sheetName val="ID"/>
      <sheetName val="MT"/>
      <sheetName val="Entrada de Dados"/>
      <sheetName val="Dados do Contrato"/>
      <sheetName val="Boletim"/>
      <sheetName val="Resumo"/>
      <sheetName val="MT-358 Sin.Hor."/>
      <sheetName val="MT-358 Sin.Vert."/>
      <sheetName val="MT-358 Disp. Aux."/>
      <sheetName val="MT 220 Disp Aux"/>
      <sheetName val="Controle financeiro"/>
      <sheetName val="Linear"/>
      <sheetName val="Cronograma"/>
      <sheetName val="Vert. item 1"/>
      <sheetName val="Horizontal"/>
      <sheetName val="Vertical"/>
      <sheetName val="Seg. e Canalizacao"/>
      <sheetName val="RELATÓRIO FOTOGRAFICO"/>
      <sheetName val="Pluviometria"/>
      <sheetName val="RESUMO DE DIÁRIO DE OBRAS"/>
      <sheetName val="Reajuste"/>
      <sheetName val="Cont.fin. Reajustamento"/>
      <sheetName val="relatório-1ª med."/>
      <sheetName val="Cálculo"/>
      <sheetName val="#ref"/>
    </sheetNames>
    <sheetDataSet>
      <sheetData sheetId="0" refreshError="1"/>
      <sheetData sheetId="1" refreshError="1">
        <row r="2">
          <cell r="B2" t="str">
            <v>OBRA: Complementação da Restauração de Rodovias Pavimentadas e Melhoramentos</v>
          </cell>
        </row>
        <row r="3">
          <cell r="B3" t="str">
            <v>RODOVIA/PROGRAMA: MT-358</v>
          </cell>
        </row>
        <row r="4">
          <cell r="B4" t="str">
            <v>TRECHO: Tangará da Serra - Assari</v>
          </cell>
        </row>
        <row r="5">
          <cell r="B5" t="str">
            <v>SUB-TRECHO: Tangará da Serra - Entrº MT-343</v>
          </cell>
        </row>
        <row r="6">
          <cell r="B6" t="str">
            <v>CONTRATO: 005/2001/00/00-P.Jur.</v>
          </cell>
        </row>
        <row r="7">
          <cell r="B7" t="str">
            <v>REFERÊNCIA (nº ordem med./aval): 6ª Medição Provisória</v>
          </cell>
        </row>
        <row r="8">
          <cell r="B8" t="str">
            <v>PERÍODO SIMPLES: 01/08/01 à 31/08/01</v>
          </cell>
        </row>
        <row r="9">
          <cell r="B9" t="str">
            <v>FIRMA: CONSTRUTORA TRIUNFO S/A</v>
          </cell>
        </row>
        <row r="10">
          <cell r="B10" t="str">
            <v>RELATÓRIO  DOS  SERVIÇOS  EXECUTADOS</v>
          </cell>
        </row>
        <row r="11">
          <cell r="B11" t="str">
            <v>CÓDIGO</v>
          </cell>
          <cell r="C11" t="str">
            <v>DISCRIMINAÇÃO</v>
          </cell>
          <cell r="D11" t="str">
            <v>UNID.</v>
          </cell>
        </row>
        <row r="12">
          <cell r="C12" t="str">
            <v>MELHORAMENTOS</v>
          </cell>
        </row>
        <row r="13">
          <cell r="B13">
            <v>40000</v>
          </cell>
          <cell r="C13" t="str">
            <v>TERRAPLENAGEM</v>
          </cell>
        </row>
        <row r="14">
          <cell r="B14">
            <v>40110</v>
          </cell>
          <cell r="C14" t="str">
            <v>Desmatamento, destocamento e limpeza em mata</v>
          </cell>
          <cell r="D14" t="str">
            <v>m²</v>
          </cell>
        </row>
        <row r="15">
          <cell r="B15">
            <v>40140</v>
          </cell>
          <cell r="C15" t="str">
            <v>Remoção e limpeza da camada vegetal</v>
          </cell>
          <cell r="D15" t="str">
            <v>m²</v>
          </cell>
        </row>
        <row r="16">
          <cell r="B16">
            <v>40201</v>
          </cell>
          <cell r="C16" t="str">
            <v>Escavação, carga e transp. de mat. de 1ª cat. DMT &lt; 50 m</v>
          </cell>
          <cell r="D16" t="str">
            <v>m³</v>
          </cell>
        </row>
        <row r="17">
          <cell r="B17">
            <v>40202</v>
          </cell>
          <cell r="C17" t="str">
            <v>Escavação, carga e transp. de mat. de 1ª cat. 50 &lt; DMT &lt; 200 m</v>
          </cell>
          <cell r="D17" t="str">
            <v>m³</v>
          </cell>
        </row>
        <row r="18">
          <cell r="B18">
            <v>40203</v>
          </cell>
          <cell r="C18" t="str">
            <v>Escavação, carga e transp. de mat. de 1ª cat. 200 &lt; DMT &lt; 400 m</v>
          </cell>
          <cell r="D18" t="str">
            <v>m³</v>
          </cell>
        </row>
        <row r="19">
          <cell r="B19">
            <v>40204</v>
          </cell>
          <cell r="C19" t="str">
            <v>Escavação, carga e transp. de mat. de 1ª cat. 400 &lt; DMT &lt; 600 m</v>
          </cell>
          <cell r="D19" t="str">
            <v>m³</v>
          </cell>
        </row>
        <row r="20">
          <cell r="B20">
            <v>40205</v>
          </cell>
          <cell r="C20" t="str">
            <v>Escavação, carga e transp. de mat. de 1ª cat. 600 &lt; DMT &lt; 800 m</v>
          </cell>
          <cell r="D20" t="str">
            <v>m³</v>
          </cell>
        </row>
        <row r="21">
          <cell r="B21">
            <v>40206</v>
          </cell>
          <cell r="C21" t="str">
            <v>Escavação, carga e transp. de mat. de 1ª cat. 800 &lt; DMT &lt; 1000 m</v>
          </cell>
          <cell r="D21" t="str">
            <v>m³</v>
          </cell>
        </row>
        <row r="22">
          <cell r="B22">
            <v>40207</v>
          </cell>
          <cell r="C22" t="str">
            <v>Escavação, carga e transp. de mat. de 1ª cat. 1000 &lt; DMT &lt; 1200 m</v>
          </cell>
          <cell r="D22" t="str">
            <v>m³</v>
          </cell>
        </row>
        <row r="23">
          <cell r="B23">
            <v>40209</v>
          </cell>
          <cell r="C23" t="str">
            <v>Escavação, carga e transp. de mat. de 1ª cat. 1400 &lt; DMT &lt; 1600 m</v>
          </cell>
          <cell r="D23" t="str">
            <v>m³</v>
          </cell>
        </row>
        <row r="24">
          <cell r="B24">
            <v>40211</v>
          </cell>
          <cell r="C24" t="str">
            <v>Escavação, carga e transp. de mat. de 1ª cat. 1800 &lt; DMT &lt; 2000 m</v>
          </cell>
          <cell r="D24" t="str">
            <v>m³</v>
          </cell>
        </row>
        <row r="25">
          <cell r="B25">
            <v>40212</v>
          </cell>
          <cell r="C25" t="str">
            <v>Escavação, carga e transp. de mat. de 1ª cat. 2000 &lt; DMT &lt; 3000 m</v>
          </cell>
          <cell r="D25" t="str">
            <v>m³</v>
          </cell>
        </row>
        <row r="26">
          <cell r="B26">
            <v>40301</v>
          </cell>
          <cell r="C26" t="str">
            <v>Escavação, carga e transp. de mat. de 2ª cat. DMT &lt; 50 m</v>
          </cell>
          <cell r="D26" t="str">
            <v>m³</v>
          </cell>
        </row>
        <row r="27">
          <cell r="B27">
            <v>40302</v>
          </cell>
          <cell r="C27" t="str">
            <v>Escavação, carga e transp. de mat. de 2ª cat. 50 &lt; DMT &lt; 200 m</v>
          </cell>
          <cell r="D27" t="str">
            <v>m³</v>
          </cell>
        </row>
        <row r="28">
          <cell r="B28">
            <v>40303</v>
          </cell>
          <cell r="C28" t="str">
            <v>Escavação, carga e transp. de mat. de 2ª cat. 200 &lt; DMT &lt; 400 m</v>
          </cell>
          <cell r="D28" t="str">
            <v>m³</v>
          </cell>
        </row>
        <row r="29">
          <cell r="B29">
            <v>40304</v>
          </cell>
          <cell r="C29" t="str">
            <v>Escavação, carga e transp. de mat. de 2ª cat. 400 &lt; DMT &lt; 600 m</v>
          </cell>
          <cell r="D29" t="str">
            <v>m³</v>
          </cell>
        </row>
        <row r="30">
          <cell r="B30">
            <v>40305</v>
          </cell>
          <cell r="C30" t="str">
            <v>Escavação, carga e transp. de mat. de 2ª cat. 600 &lt; DMT &lt; 800 m</v>
          </cell>
          <cell r="D30" t="str">
            <v>m³</v>
          </cell>
          <cell r="I30">
            <v>6159.39</v>
          </cell>
        </row>
        <row r="31">
          <cell r="B31">
            <v>40306</v>
          </cell>
          <cell r="C31" t="str">
            <v>Escavação, carga e transp. de mat. de 2ª cat. 800 &lt; DMT &lt; 1000 m</v>
          </cell>
          <cell r="D31" t="str">
            <v>m³</v>
          </cell>
          <cell r="I31">
            <v>1052.415</v>
          </cell>
        </row>
        <row r="32">
          <cell r="B32">
            <v>40401</v>
          </cell>
          <cell r="C32" t="str">
            <v>Escavação, carga e transp. de mat. de 3ª cat. DMT &lt; 50 m</v>
          </cell>
          <cell r="D32" t="str">
            <v>m³</v>
          </cell>
        </row>
        <row r="33">
          <cell r="B33">
            <v>40402</v>
          </cell>
          <cell r="C33" t="str">
            <v>Escavação, carga e transp. de mat. de 3ª cat. 50 &lt; DMT &lt; 200 m</v>
          </cell>
          <cell r="D33" t="str">
            <v>m³</v>
          </cell>
        </row>
        <row r="34">
          <cell r="B34">
            <v>40403</v>
          </cell>
          <cell r="C34" t="str">
            <v>Escavação, carga e transp. de mat. de 3ª cat. 200 &lt; DMT &lt; 400 m</v>
          </cell>
          <cell r="D34" t="str">
            <v>m³</v>
          </cell>
        </row>
        <row r="35">
          <cell r="B35">
            <v>40404</v>
          </cell>
          <cell r="C35" t="str">
            <v>Escavação, carga e transp. de mat. de 3ª cat. 400 &lt; DMT &lt; 600 m</v>
          </cell>
          <cell r="D35" t="str">
            <v>m³</v>
          </cell>
        </row>
        <row r="36">
          <cell r="B36">
            <v>40405</v>
          </cell>
          <cell r="C36" t="str">
            <v>Escavação, carga e transp. de mat. de 3ª cat. 600 &lt; DMT &lt; 800 m</v>
          </cell>
          <cell r="D36" t="str">
            <v>m³</v>
          </cell>
        </row>
        <row r="37">
          <cell r="B37">
            <v>40406</v>
          </cell>
          <cell r="C37" t="str">
            <v>Escavação, carga e transp. de mat. de 3ª cat. 800 &lt; DMT &lt; 1000 m</v>
          </cell>
          <cell r="D37" t="str">
            <v>m³</v>
          </cell>
        </row>
        <row r="38">
          <cell r="B38">
            <v>40407</v>
          </cell>
          <cell r="C38" t="str">
            <v>Escavação, carga e transp. de mat. de 3ª cat. 1000 &lt; DMT &lt; 1200 m</v>
          </cell>
          <cell r="D38" t="str">
            <v>m³</v>
          </cell>
        </row>
        <row r="39">
          <cell r="B39">
            <v>40510</v>
          </cell>
          <cell r="C39" t="str">
            <v>Compactação de aterros a 95% do Proctor Normal</v>
          </cell>
          <cell r="D39" t="str">
            <v>m³</v>
          </cell>
        </row>
        <row r="40">
          <cell r="B40">
            <v>40520</v>
          </cell>
          <cell r="C40" t="str">
            <v>Compactação de aterros a 100% do Proctor Normal</v>
          </cell>
          <cell r="D40" t="str">
            <v>m³</v>
          </cell>
        </row>
        <row r="41">
          <cell r="B41">
            <v>40710</v>
          </cell>
          <cell r="C41" t="str">
            <v>Preenchimento de rebaixo em rocha</v>
          </cell>
          <cell r="D41" t="str">
            <v>m³</v>
          </cell>
        </row>
        <row r="43">
          <cell r="B43">
            <v>50000</v>
          </cell>
          <cell r="C43" t="str">
            <v>PAVIMENTAÇÃO</v>
          </cell>
        </row>
        <row r="44">
          <cell r="B44">
            <v>50100</v>
          </cell>
          <cell r="C44" t="str">
            <v>Regularização do sub-leito</v>
          </cell>
          <cell r="D44" t="str">
            <v>m²</v>
          </cell>
        </row>
        <row r="45">
          <cell r="B45">
            <v>50210</v>
          </cell>
          <cell r="C45" t="str">
            <v>Sub-base de solo estabilizado sem mistura</v>
          </cell>
          <cell r="D45" t="str">
            <v>m³</v>
          </cell>
        </row>
        <row r="46">
          <cell r="B46">
            <v>50230</v>
          </cell>
          <cell r="C46" t="str">
            <v>Base de solo estabilizado sem mistura</v>
          </cell>
          <cell r="D46" t="str">
            <v>m³</v>
          </cell>
        </row>
        <row r="47">
          <cell r="B47">
            <v>50610</v>
          </cell>
          <cell r="C47" t="str">
            <v>Imprimação asfáltica - execução</v>
          </cell>
          <cell r="D47" t="str">
            <v>m²</v>
          </cell>
        </row>
        <row r="48">
          <cell r="B48">
            <v>50620</v>
          </cell>
          <cell r="C48" t="str">
            <v>Pintura de ligação - execução</v>
          </cell>
          <cell r="D48" t="str">
            <v>m²</v>
          </cell>
        </row>
        <row r="49">
          <cell r="B49">
            <v>50740</v>
          </cell>
          <cell r="C49" t="str">
            <v>Concreto betuminoso usinado a quente</v>
          </cell>
          <cell r="D49" t="str">
            <v>m³</v>
          </cell>
        </row>
        <row r="50">
          <cell r="B50">
            <v>50745</v>
          </cell>
          <cell r="C50" t="str">
            <v>Concreto betuminoso usinado a quente para Binder</v>
          </cell>
          <cell r="D50" t="str">
            <v>m³</v>
          </cell>
        </row>
        <row r="51">
          <cell r="B51">
            <v>52010</v>
          </cell>
          <cell r="C51" t="str">
            <v>Transporte de material de jazida para sub-base e base</v>
          </cell>
          <cell r="D51" t="str">
            <v>m³xkm</v>
          </cell>
        </row>
        <row r="52">
          <cell r="B52">
            <v>52100</v>
          </cell>
          <cell r="C52" t="str">
            <v>Fornecimento e transporte de cimento asfáltico penetração CAP-20</v>
          </cell>
          <cell r="D52" t="str">
            <v>t</v>
          </cell>
        </row>
        <row r="53">
          <cell r="B53">
            <v>52200</v>
          </cell>
          <cell r="C53" t="str">
            <v>Fornecimento e transporte de asfalto CM-30</v>
          </cell>
          <cell r="D53" t="str">
            <v>t</v>
          </cell>
        </row>
        <row r="54">
          <cell r="B54">
            <v>52300</v>
          </cell>
          <cell r="C54" t="str">
            <v>Fornecimento e transporte de emulsão asfáltica RR-2C</v>
          </cell>
          <cell r="D54" t="str">
            <v>t</v>
          </cell>
        </row>
        <row r="55">
          <cell r="B55">
            <v>90219</v>
          </cell>
          <cell r="C55" t="str">
            <v>Remoção de pavimento</v>
          </cell>
          <cell r="D55" t="str">
            <v>m³</v>
          </cell>
        </row>
        <row r="56">
          <cell r="B56">
            <v>90543</v>
          </cell>
          <cell r="C56" t="str">
            <v>Transporte de C.B.U.Q. / Binder</v>
          </cell>
          <cell r="D56" t="str">
            <v>txkm</v>
          </cell>
        </row>
        <row r="58">
          <cell r="B58">
            <v>55000</v>
          </cell>
          <cell r="C58" t="str">
            <v>DRENAGEM</v>
          </cell>
        </row>
        <row r="59">
          <cell r="B59">
            <v>55110</v>
          </cell>
          <cell r="C59" t="str">
            <v>Dreno longitudinal para corte em rocha</v>
          </cell>
          <cell r="D59" t="str">
            <v>m</v>
          </cell>
        </row>
        <row r="60">
          <cell r="B60">
            <v>55130</v>
          </cell>
          <cell r="C60" t="str">
            <v>Dreno longitudinal para corte em solo tipo B (com Bidim)</v>
          </cell>
          <cell r="D60" t="str">
            <v>m</v>
          </cell>
        </row>
        <row r="61">
          <cell r="B61">
            <v>55150</v>
          </cell>
          <cell r="C61" t="str">
            <v>Dreno transversal de base</v>
          </cell>
          <cell r="D61" t="str">
            <v>m</v>
          </cell>
        </row>
        <row r="62">
          <cell r="B62">
            <v>55310</v>
          </cell>
          <cell r="C62" t="str">
            <v>Valeta de proteção sem revestimento</v>
          </cell>
          <cell r="D62" t="str">
            <v>m</v>
          </cell>
        </row>
        <row r="63">
          <cell r="B63">
            <v>55320</v>
          </cell>
          <cell r="C63" t="str">
            <v>Valeta de proteção com revestimento vegetal</v>
          </cell>
          <cell r="D63" t="str">
            <v>m</v>
          </cell>
        </row>
        <row r="64">
          <cell r="B64">
            <v>55330</v>
          </cell>
          <cell r="C64" t="str">
            <v>Valeta de proteção com revestimento em concreto para corte</v>
          </cell>
          <cell r="D64" t="str">
            <v>m</v>
          </cell>
        </row>
        <row r="65">
          <cell r="C65" t="str">
            <v>COMISSÃO DE FISCALIZAÇÃO</v>
          </cell>
        </row>
        <row r="72">
          <cell r="B72">
            <v>55340</v>
          </cell>
          <cell r="C72" t="str">
            <v>Valeta de proteção com revestimento em concreto para aterro</v>
          </cell>
          <cell r="D72" t="str">
            <v>m</v>
          </cell>
        </row>
        <row r="73">
          <cell r="B73">
            <v>55410</v>
          </cell>
          <cell r="C73" t="str">
            <v>Meio fio simples</v>
          </cell>
          <cell r="D73" t="str">
            <v>m</v>
          </cell>
        </row>
        <row r="74">
          <cell r="B74">
            <v>55500</v>
          </cell>
          <cell r="C74" t="str">
            <v>Meio fio com sarjeta conjugada</v>
          </cell>
          <cell r="D74" t="str">
            <v>m</v>
          </cell>
        </row>
        <row r="75">
          <cell r="B75">
            <v>55501</v>
          </cell>
          <cell r="C75" t="str">
            <v>Entrada d'água tipo I</v>
          </cell>
          <cell r="D75" t="str">
            <v>ud</v>
          </cell>
        </row>
        <row r="76">
          <cell r="B76">
            <v>55502</v>
          </cell>
          <cell r="C76" t="str">
            <v>Entrada d'água tipo II</v>
          </cell>
          <cell r="D76" t="str">
            <v>ud</v>
          </cell>
        </row>
        <row r="77">
          <cell r="B77">
            <v>55503</v>
          </cell>
          <cell r="C77" t="str">
            <v>Descida d'água tipo I</v>
          </cell>
          <cell r="D77" t="str">
            <v>m</v>
          </cell>
        </row>
        <row r="78">
          <cell r="B78">
            <v>55504</v>
          </cell>
          <cell r="C78" t="str">
            <v>Descida d'água tipo II</v>
          </cell>
          <cell r="D78" t="str">
            <v>m</v>
          </cell>
        </row>
        <row r="79">
          <cell r="B79">
            <v>55505</v>
          </cell>
          <cell r="C79" t="str">
            <v>Bacia de amortecimento tipo I e II</v>
          </cell>
          <cell r="D79" t="str">
            <v>ud</v>
          </cell>
        </row>
        <row r="80">
          <cell r="B80">
            <v>55510</v>
          </cell>
          <cell r="C80" t="str">
            <v>Sarjeta de corte tipo A</v>
          </cell>
          <cell r="D80" t="str">
            <v>m</v>
          </cell>
        </row>
        <row r="81">
          <cell r="B81">
            <v>55610</v>
          </cell>
          <cell r="C81" t="str">
            <v>Saída d'água de sarjeta tipo A</v>
          </cell>
          <cell r="D81" t="str">
            <v>ud</v>
          </cell>
        </row>
        <row r="82">
          <cell r="B82">
            <v>55720</v>
          </cell>
          <cell r="C82" t="str">
            <v>Caixa coletora tipo B</v>
          </cell>
          <cell r="D82" t="str">
            <v>ud</v>
          </cell>
        </row>
        <row r="84">
          <cell r="B84">
            <v>60000</v>
          </cell>
          <cell r="C84" t="str">
            <v>OBRAS DE ARTE CORRENTES</v>
          </cell>
        </row>
        <row r="85">
          <cell r="B85">
            <v>60103</v>
          </cell>
          <cell r="C85" t="str">
            <v>Corpo de BSTC ø = 0,80 m, tipo CA-1, inclusive berço</v>
          </cell>
          <cell r="D85" t="str">
            <v>m</v>
          </cell>
        </row>
        <row r="86">
          <cell r="B86">
            <v>60104</v>
          </cell>
          <cell r="C86" t="str">
            <v>Corpo de BSTC ø = 1,00 m, tipo CA-1, inclusive berço</v>
          </cell>
          <cell r="D86" t="str">
            <v>m</v>
          </cell>
        </row>
        <row r="87">
          <cell r="B87">
            <v>60105</v>
          </cell>
          <cell r="C87" t="str">
            <v>Corpo de BSTC ø = 1,20 m, tipo CA-1, inclusive berço</v>
          </cell>
          <cell r="D87" t="str">
            <v>m</v>
          </cell>
        </row>
        <row r="88">
          <cell r="B88">
            <v>60108</v>
          </cell>
          <cell r="C88" t="str">
            <v>Corpo de BDTC ø = 1,20 m, tipo CA-1, inclusive berço</v>
          </cell>
          <cell r="D88" t="str">
            <v>m</v>
          </cell>
        </row>
        <row r="89">
          <cell r="B89">
            <v>60111</v>
          </cell>
          <cell r="C89" t="str">
            <v>Corpo de BTTC ø = 1,00 m, tipo CA-1, inclusive berço</v>
          </cell>
          <cell r="D89" t="str">
            <v>m</v>
          </cell>
        </row>
        <row r="90">
          <cell r="B90">
            <v>60112</v>
          </cell>
          <cell r="C90" t="str">
            <v>Corpo de BTTC ø = 1,20 m, tipo CA-1, inclusive berço</v>
          </cell>
          <cell r="D90" t="str">
            <v>m</v>
          </cell>
        </row>
        <row r="91">
          <cell r="B91">
            <v>60203</v>
          </cell>
          <cell r="C91" t="str">
            <v>Boca de bueiro simples tubular de concreto ø = 0,80 m</v>
          </cell>
          <cell r="D91" t="str">
            <v>ud</v>
          </cell>
        </row>
        <row r="92">
          <cell r="B92">
            <v>60204</v>
          </cell>
          <cell r="C92" t="str">
            <v>Boca de bueiro simples tubular de concreto ø = 1,00 m</v>
          </cell>
          <cell r="D92" t="str">
            <v>ud</v>
          </cell>
        </row>
        <row r="93">
          <cell r="B93">
            <v>60205</v>
          </cell>
          <cell r="C93" t="str">
            <v>Boca de bueiro simples tubular de concreto ø = 1,20 m</v>
          </cell>
          <cell r="D93" t="str">
            <v>ud</v>
          </cell>
        </row>
        <row r="94">
          <cell r="B94">
            <v>60208</v>
          </cell>
          <cell r="C94" t="str">
            <v>Boca de bueiro duplo tubular de concreto ø = 1,20 m</v>
          </cell>
          <cell r="D94" t="str">
            <v>ud</v>
          </cell>
        </row>
        <row r="95">
          <cell r="B95">
            <v>60211</v>
          </cell>
          <cell r="C95" t="str">
            <v>Boca de bueiro triplo tubular de concreto ø = 1,00 m</v>
          </cell>
          <cell r="D95" t="str">
            <v>ud</v>
          </cell>
        </row>
        <row r="96">
          <cell r="B96">
            <v>60212</v>
          </cell>
          <cell r="C96" t="str">
            <v>Boca de bueiro triplo tubular de concreto ø = 1,20 m</v>
          </cell>
          <cell r="D96" t="str">
            <v>ud</v>
          </cell>
        </row>
        <row r="97">
          <cell r="B97">
            <v>61130</v>
          </cell>
          <cell r="C97" t="str">
            <v>Escavação manual de valas em material de 3ª categoria</v>
          </cell>
          <cell r="D97" t="str">
            <v>m³</v>
          </cell>
        </row>
        <row r="98">
          <cell r="B98">
            <v>61140</v>
          </cell>
          <cell r="C98" t="str">
            <v>Escavação mecânica de valas em material de 1ª categoria</v>
          </cell>
          <cell r="D98" t="str">
            <v>m³</v>
          </cell>
        </row>
        <row r="99">
          <cell r="B99">
            <v>61150</v>
          </cell>
          <cell r="C99" t="str">
            <v>Escavação mecânica de valas em material de 2ª categoria</v>
          </cell>
          <cell r="D99" t="str">
            <v>m³</v>
          </cell>
        </row>
        <row r="100">
          <cell r="B100">
            <v>61160</v>
          </cell>
          <cell r="C100" t="str">
            <v>Reaterro e compactação com placa vibratória</v>
          </cell>
          <cell r="D100" t="str">
            <v>m³</v>
          </cell>
        </row>
        <row r="101">
          <cell r="B101">
            <v>61200</v>
          </cell>
          <cell r="C101" t="str">
            <v>Demolição de estrutura de concreto</v>
          </cell>
          <cell r="D101" t="str">
            <v>m³</v>
          </cell>
        </row>
        <row r="102">
          <cell r="B102">
            <v>61410</v>
          </cell>
          <cell r="C102" t="str">
            <v>Remoção de bueiros tubulares</v>
          </cell>
          <cell r="D102" t="str">
            <v>m</v>
          </cell>
        </row>
        <row r="104">
          <cell r="B104">
            <v>80000</v>
          </cell>
          <cell r="C104" t="str">
            <v>OBRAS COMPLEMENTARES</v>
          </cell>
        </row>
        <row r="105">
          <cell r="B105">
            <v>80110</v>
          </cell>
          <cell r="C105" t="str">
            <v>Remoção e reconstrução de cercas</v>
          </cell>
          <cell r="D105" t="str">
            <v>m</v>
          </cell>
        </row>
        <row r="106">
          <cell r="B106">
            <v>80210</v>
          </cell>
          <cell r="C106" t="str">
            <v>Defensa com perfil e suporte metálico</v>
          </cell>
          <cell r="D106" t="str">
            <v>m</v>
          </cell>
        </row>
        <row r="107">
          <cell r="B107">
            <v>80302</v>
          </cell>
          <cell r="C107" t="str">
            <v>Placa de regulamentação circular ø = 1,00 m</v>
          </cell>
          <cell r="D107" t="str">
            <v>ud</v>
          </cell>
        </row>
        <row r="108">
          <cell r="B108">
            <v>80304</v>
          </cell>
          <cell r="C108" t="str">
            <v>Placa de regulamentação triangular L = 1,00 m</v>
          </cell>
          <cell r="D108" t="str">
            <v>ud</v>
          </cell>
        </row>
        <row r="109">
          <cell r="B109">
            <v>80305</v>
          </cell>
          <cell r="C109" t="str">
            <v>Placa de regulamentação de parada obrigatória (octagonal)</v>
          </cell>
          <cell r="D109" t="str">
            <v>ud</v>
          </cell>
        </row>
        <row r="110">
          <cell r="B110">
            <v>80307</v>
          </cell>
          <cell r="C110" t="str">
            <v>Placa de advertência (1,00 x 1,00 m)</v>
          </cell>
          <cell r="D110" t="str">
            <v>ud</v>
          </cell>
        </row>
        <row r="111">
          <cell r="B111">
            <v>80310</v>
          </cell>
          <cell r="C111" t="str">
            <v>Placa de identificação de rodovia</v>
          </cell>
          <cell r="D111" t="str">
            <v>ud</v>
          </cell>
        </row>
        <row r="112">
          <cell r="B112">
            <v>80332</v>
          </cell>
          <cell r="C112" t="str">
            <v>Placa de indicação (2,00 x 1,00 m)</v>
          </cell>
          <cell r="D112" t="str">
            <v>ud</v>
          </cell>
        </row>
        <row r="113">
          <cell r="B113">
            <v>80415</v>
          </cell>
          <cell r="C113" t="str">
            <v>Pintura de faixas horizontais para 2 anos de duração</v>
          </cell>
          <cell r="D113" t="str">
            <v>m²</v>
          </cell>
        </row>
        <row r="114">
          <cell r="B114">
            <v>80425</v>
          </cell>
          <cell r="C114" t="str">
            <v>Pintura de setas e zebrados para 2 anos de duração</v>
          </cell>
          <cell r="D114" t="str">
            <v>m²</v>
          </cell>
        </row>
        <row r="115">
          <cell r="B115">
            <v>80430</v>
          </cell>
          <cell r="C115" t="str">
            <v>Tacha refletiva bidirecional</v>
          </cell>
          <cell r="D115" t="str">
            <v>ud</v>
          </cell>
        </row>
        <row r="116">
          <cell r="B116">
            <v>80435</v>
          </cell>
          <cell r="C116" t="str">
            <v>Tachão refletivo bidirecional</v>
          </cell>
          <cell r="D116" t="str">
            <v>ud</v>
          </cell>
        </row>
        <row r="117">
          <cell r="B117">
            <v>80512</v>
          </cell>
          <cell r="C117" t="str">
            <v>Plantio de gramas em placas</v>
          </cell>
          <cell r="D117" t="str">
            <v>m²</v>
          </cell>
        </row>
        <row r="118">
          <cell r="C118" t="str">
            <v>Barreira de concreto do tipo New Jersey</v>
          </cell>
          <cell r="D118" t="str">
            <v>m</v>
          </cell>
        </row>
        <row r="119">
          <cell r="C119" t="str">
            <v>Início/final de barreira tipo New Jersey</v>
          </cell>
          <cell r="D119" t="str">
            <v>ud</v>
          </cell>
        </row>
        <row r="121">
          <cell r="C121" t="str">
            <v>RESTAURAÇÃO</v>
          </cell>
        </row>
        <row r="122">
          <cell r="B122">
            <v>90000</v>
          </cell>
          <cell r="C122" t="str">
            <v>SERVIÇOS DE CONSERVAÇÃO</v>
          </cell>
        </row>
        <row r="123">
          <cell r="B123">
            <v>90110</v>
          </cell>
          <cell r="C123" t="str">
            <v>Tapa buraco com mistura betuminosa</v>
          </cell>
          <cell r="D123" t="str">
            <v>m³</v>
          </cell>
        </row>
        <row r="124">
          <cell r="B124">
            <v>90115</v>
          </cell>
          <cell r="C124" t="str">
            <v>Limpeza manual de vala de drenagem</v>
          </cell>
          <cell r="D124" t="str">
            <v>m</v>
          </cell>
        </row>
        <row r="125">
          <cell r="C125" t="str">
            <v>COMISSÃO DE FISCALIZAÇÃO</v>
          </cell>
        </row>
        <row r="132">
          <cell r="B132">
            <v>90118</v>
          </cell>
          <cell r="C132" t="str">
            <v>Desobstrução de bueiro</v>
          </cell>
          <cell r="D132" t="str">
            <v>m³</v>
          </cell>
        </row>
        <row r="134">
          <cell r="B134">
            <v>40000</v>
          </cell>
          <cell r="C134" t="str">
            <v>TERRAPLENAGEM</v>
          </cell>
        </row>
        <row r="135">
          <cell r="B135">
            <v>40110</v>
          </cell>
          <cell r="C135" t="str">
            <v>Desmatamento, destocamento e limpeza em mata</v>
          </cell>
          <cell r="D135" t="str">
            <v>m²</v>
          </cell>
        </row>
        <row r="136">
          <cell r="B136">
            <v>40202</v>
          </cell>
          <cell r="C136" t="str">
            <v>Escavação, carga e transp. de mat. de 1ª cat. 50 &lt; DMT &lt; 200 m</v>
          </cell>
          <cell r="D136" t="str">
            <v>m³</v>
          </cell>
        </row>
        <row r="137">
          <cell r="B137">
            <v>40203</v>
          </cell>
          <cell r="C137" t="str">
            <v>Escavação, carga e transp. de mat. de 1ª cat. 200 &lt; DMT &lt; 400 m</v>
          </cell>
          <cell r="D137" t="str">
            <v>m³</v>
          </cell>
        </row>
        <row r="138">
          <cell r="B138">
            <v>40205</v>
          </cell>
          <cell r="C138" t="str">
            <v>Escavação, carga e transp. de mat. de 1ª cat. 600 &lt; DMT &lt; 800 m</v>
          </cell>
          <cell r="D138" t="str">
            <v>m³</v>
          </cell>
        </row>
        <row r="139">
          <cell r="B139">
            <v>40206</v>
          </cell>
          <cell r="C139" t="str">
            <v>Escavação, carga e transp. de mat. de 1ª cat. 800 &lt; DMT &lt; 1000 m</v>
          </cell>
          <cell r="D139" t="str">
            <v>m³</v>
          </cell>
        </row>
        <row r="140">
          <cell r="B140">
            <v>40401</v>
          </cell>
          <cell r="C140" t="str">
            <v>Escavação, carga e transp. de mat. de 3ª cat. DMT &lt; 50 m</v>
          </cell>
          <cell r="D140" t="str">
            <v>m³</v>
          </cell>
        </row>
        <row r="141">
          <cell r="B141">
            <v>40402</v>
          </cell>
          <cell r="C141" t="str">
            <v>Escavação, carga e transp. de mat. de 3ª cat. 50 &lt; DMT &lt; 200 m</v>
          </cell>
          <cell r="D141" t="str">
            <v>m³</v>
          </cell>
        </row>
        <row r="142">
          <cell r="B142">
            <v>40403</v>
          </cell>
          <cell r="C142" t="str">
            <v>Escavação, carga e transp. de mat. de 3ª cat. 200 &lt; DMT &lt; 400 m</v>
          </cell>
          <cell r="D142" t="str">
            <v>m³</v>
          </cell>
        </row>
        <row r="143">
          <cell r="B143">
            <v>40404</v>
          </cell>
          <cell r="C143" t="str">
            <v>Escavação, carga e transp. de mat. de 3ª cat. 400 &lt; DMT &lt; 600 m</v>
          </cell>
          <cell r="D143" t="str">
            <v>m³</v>
          </cell>
        </row>
        <row r="144">
          <cell r="B144">
            <v>40510</v>
          </cell>
          <cell r="C144" t="str">
            <v>Compactação de aterros a 95% do Proctor Normal</v>
          </cell>
          <cell r="D144" t="str">
            <v>m³</v>
          </cell>
        </row>
        <row r="145">
          <cell r="B145">
            <v>40520</v>
          </cell>
          <cell r="C145" t="str">
            <v>Compactação de aterros a 100% do Proctor Normal</v>
          </cell>
          <cell r="D145" t="str">
            <v>m³</v>
          </cell>
        </row>
        <row r="147">
          <cell r="B147">
            <v>50000</v>
          </cell>
          <cell r="C147" t="str">
            <v>PAVIMENTAÇÃO</v>
          </cell>
        </row>
        <row r="148">
          <cell r="B148">
            <v>40910</v>
          </cell>
          <cell r="C148" t="str">
            <v>Transporte de brita</v>
          </cell>
          <cell r="D148" t="str">
            <v>txkm</v>
          </cell>
        </row>
        <row r="149">
          <cell r="B149">
            <v>50100</v>
          </cell>
          <cell r="C149" t="str">
            <v>Regularização do sub-leito</v>
          </cell>
          <cell r="D149" t="str">
            <v>m²</v>
          </cell>
        </row>
        <row r="150">
          <cell r="B150">
            <v>50210</v>
          </cell>
          <cell r="C150" t="str">
            <v>Sub-base de solo estabilizado sem mistura</v>
          </cell>
          <cell r="D150" t="str">
            <v>m³</v>
          </cell>
        </row>
        <row r="151">
          <cell r="B151">
            <v>50230</v>
          </cell>
          <cell r="C151" t="str">
            <v>Base de solo estabilizado sem mistura</v>
          </cell>
          <cell r="D151" t="str">
            <v>m³</v>
          </cell>
        </row>
        <row r="152">
          <cell r="B152">
            <v>50610</v>
          </cell>
          <cell r="C152" t="str">
            <v>Imprimação asfáltica - execução</v>
          </cell>
          <cell r="D152" t="str">
            <v>m²</v>
          </cell>
        </row>
        <row r="153">
          <cell r="B153">
            <v>50620</v>
          </cell>
          <cell r="C153" t="str">
            <v>Pintura de ligação - execução</v>
          </cell>
          <cell r="D153" t="str">
            <v>m²</v>
          </cell>
        </row>
        <row r="154">
          <cell r="B154">
            <v>50740</v>
          </cell>
          <cell r="C154" t="str">
            <v>Concreto betuminoso usinado a quente</v>
          </cell>
          <cell r="D154" t="str">
            <v>m³</v>
          </cell>
        </row>
        <row r="155">
          <cell r="B155">
            <v>50745</v>
          </cell>
          <cell r="C155" t="str">
            <v>Concreto betuminoso usinado a quente para Binder</v>
          </cell>
          <cell r="D155" t="str">
            <v>m³</v>
          </cell>
        </row>
        <row r="156">
          <cell r="B156">
            <v>52010</v>
          </cell>
          <cell r="C156" t="str">
            <v>Transporte de material de jazida para sub-base e base</v>
          </cell>
          <cell r="D156" t="str">
            <v>m³xkm</v>
          </cell>
        </row>
        <row r="157">
          <cell r="B157">
            <v>52100</v>
          </cell>
          <cell r="C157" t="str">
            <v>Fornecimento e transporte de cimento asfáltico penetração CAP-20</v>
          </cell>
          <cell r="D157" t="str">
            <v>t</v>
          </cell>
        </row>
        <row r="158">
          <cell r="B158">
            <v>52200</v>
          </cell>
          <cell r="C158" t="str">
            <v>Fornecimento e transporte de asfalto CM-30</v>
          </cell>
          <cell r="D158" t="str">
            <v>t</v>
          </cell>
        </row>
        <row r="159">
          <cell r="B159">
            <v>52300</v>
          </cell>
          <cell r="C159" t="str">
            <v>Fornecimento e transporte de emulsão asfáltica RR-2C</v>
          </cell>
          <cell r="D159" t="str">
            <v>t</v>
          </cell>
        </row>
        <row r="160">
          <cell r="B160">
            <v>90219</v>
          </cell>
          <cell r="C160" t="str">
            <v>Remoção de pavimento</v>
          </cell>
          <cell r="D160" t="str">
            <v>m³</v>
          </cell>
        </row>
        <row r="161">
          <cell r="B161">
            <v>90543</v>
          </cell>
          <cell r="C161" t="str">
            <v>Transporte de C.B.U.Q. / Binder</v>
          </cell>
          <cell r="D161" t="str">
            <v>txkm</v>
          </cell>
        </row>
        <row r="163">
          <cell r="B163">
            <v>55000</v>
          </cell>
          <cell r="C163" t="str">
            <v>DRENAGEM</v>
          </cell>
        </row>
        <row r="164">
          <cell r="B164">
            <v>55330</v>
          </cell>
          <cell r="C164" t="str">
            <v>Valeta de proteção com revestimento em concreto para corte</v>
          </cell>
          <cell r="D164" t="str">
            <v>m</v>
          </cell>
        </row>
        <row r="165">
          <cell r="B165">
            <v>55750</v>
          </cell>
          <cell r="C165" t="str">
            <v>Colchão drenante</v>
          </cell>
          <cell r="D165" t="str">
            <v>m³</v>
          </cell>
        </row>
        <row r="167">
          <cell r="B167">
            <v>80000</v>
          </cell>
          <cell r="C167" t="str">
            <v>OBRAS COMPLEMENTARES</v>
          </cell>
        </row>
        <row r="168">
          <cell r="B168">
            <v>80415</v>
          </cell>
          <cell r="C168" t="str">
            <v>Pintura de faixas horiz. p/ 2 anos de duração (contínua amarela)</v>
          </cell>
          <cell r="D168" t="str">
            <v>m²</v>
          </cell>
        </row>
        <row r="169">
          <cell r="B169">
            <v>80415</v>
          </cell>
          <cell r="C169" t="str">
            <v>Pintura de faixas horiz. p/ 2 anos de duração (tracejada amarela)</v>
          </cell>
          <cell r="D169" t="str">
            <v>m²</v>
          </cell>
        </row>
        <row r="170">
          <cell r="B170">
            <v>80415</v>
          </cell>
          <cell r="C170" t="str">
            <v>Pintura de faixas horiz. p/ 2 anos de duração (contínua branca)</v>
          </cell>
          <cell r="D170" t="str">
            <v>m²</v>
          </cell>
        </row>
        <row r="171">
          <cell r="B171">
            <v>80415</v>
          </cell>
          <cell r="C171" t="str">
            <v>Pintura de faixas horiz. p/ 2 anos de duração (tracejada branca)</v>
          </cell>
          <cell r="D171" t="str">
            <v>m²</v>
          </cell>
        </row>
        <row r="172">
          <cell r="B172">
            <v>80302</v>
          </cell>
          <cell r="C172" t="str">
            <v>Placa de regulamentação circular ø = 1,00 m</v>
          </cell>
          <cell r="D172" t="str">
            <v>ud</v>
          </cell>
        </row>
        <row r="173">
          <cell r="B173">
            <v>80305</v>
          </cell>
          <cell r="C173" t="str">
            <v>Placa de regulamentação de parada obrigatória (octagonal)</v>
          </cell>
          <cell r="D173" t="str">
            <v>ud</v>
          </cell>
        </row>
        <row r="174">
          <cell r="B174">
            <v>80307</v>
          </cell>
          <cell r="C174" t="str">
            <v>Placa de advertência (1,00 x 1,00 m)</v>
          </cell>
          <cell r="D174" t="str">
            <v>ud</v>
          </cell>
        </row>
        <row r="175">
          <cell r="B175">
            <v>80310</v>
          </cell>
          <cell r="C175" t="str">
            <v>Placa de identificação de rodovia</v>
          </cell>
          <cell r="D175" t="str">
            <v>ud</v>
          </cell>
        </row>
        <row r="176">
          <cell r="B176">
            <v>80320</v>
          </cell>
          <cell r="C176" t="str">
            <v>Marco quilométrico</v>
          </cell>
          <cell r="D176" t="str">
            <v>ud</v>
          </cell>
        </row>
        <row r="177">
          <cell r="B177">
            <v>80332</v>
          </cell>
          <cell r="C177" t="str">
            <v>Placa de indicação (2,00 x 1,00 m)</v>
          </cell>
          <cell r="D177" t="str">
            <v>ud</v>
          </cell>
        </row>
        <row r="178">
          <cell r="C178" t="str">
            <v>Tangará da Serra/MT, 3 de setembro de 2001.</v>
          </cell>
        </row>
        <row r="179">
          <cell r="C179" t="str">
            <v>COMISSÃO DE FISCALIZAÇÃO</v>
          </cell>
        </row>
      </sheetData>
      <sheetData sheetId="2" refreshError="1">
        <row r="36">
          <cell r="C36" t="str">
            <v>Escavação, carga e transp. de mat. de 3ª cat. 600 &lt; DMT &lt; 800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2">
          <cell r="B12" t="str">
            <v>ENTRADA DE DADOS</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M-CBMI"/>
      <sheetName val="MAT-BET"/>
      <sheetName val="REL-AC"/>
      <sheetName val="PLUVIOM"/>
      <sheetName val="TAPA BURACO"/>
      <sheetName val="RECOMP REVESTIMENTO"/>
      <sheetName val="LIMP MEIO FIO"/>
      <sheetName val="LIMP VALETAS"/>
      <sheetName val="REMOCAO MEC BAR"/>
      <sheetName val="REMOCAO MEC BAR (2)"/>
      <sheetName val="M.OBRA MARCO"/>
      <sheetName val="RESUMO "/>
      <sheetName val="WILSON"/>
      <sheetName val="H-HORAS MARCO"/>
      <sheetName val="acertos"/>
      <sheetName val="CONT MAT BET"/>
      <sheetName val="QUADRO COMPARATIVO"/>
      <sheetName val="Especif"/>
      <sheetName val="61M_CBMI"/>
      <sheetName val="MAT_BET"/>
      <sheetName val="PLANO TRAB"/>
      <sheetName val="MATERIAIS"/>
      <sheetName val="matbet"/>
      <sheetName val="quantidades"/>
      <sheetName val="adequação"/>
      <sheetName val="comparativo"/>
      <sheetName val="CROQUI"/>
      <sheetName val="PEM"/>
      <sheetName val="CADASTRO"/>
      <sheetName val="Ativos"/>
      <sheetName val="61MCBMI.DNIT"/>
      <sheetName val="TAPA_BURACO"/>
      <sheetName val="RECOMP_REVESTIMENTO"/>
      <sheetName val="LIMP_MEIO_FIO"/>
      <sheetName val="LIMP_VALETAS"/>
      <sheetName val="REMOCAO_MEC_BAR"/>
      <sheetName val="REMOCAO_MEC_BAR_(2)"/>
      <sheetName val="M_OBRA_MARCO"/>
      <sheetName val="RESUMO_"/>
      <sheetName val="H-HORAS_MARCO"/>
      <sheetName val="CONT_MAT_BET"/>
      <sheetName val="QUADRO_COMPARATIVO"/>
      <sheetName val="PLANO_TRAB"/>
      <sheetName val="61MCBMI_DNIT"/>
      <sheetName val="Mat"/>
      <sheetName val="aux"/>
      <sheetName val="pro-08"/>
      <sheetName val="1.6"/>
      <sheetName val="BR-230 POMBAL-S.GONÇALO"/>
      <sheetName val="p a t o 99 b"/>
      <sheetName val="RELATÓRIO"/>
      <sheetName val="RESUMO-DVOP"/>
      <sheetName val="APONT"/>
      <sheetName val="61M-CBMI:MAT-BET"/>
      <sheetName val="A"/>
      <sheetName val="Faturamento 2016 (Diferimento)"/>
      <sheetName val="Solicitação Interna de Fab"/>
      <sheetName val="Serviços"/>
    </sheetNames>
    <sheetDataSet>
      <sheetData sheetId="0">
        <row r="2">
          <cell r="U2" t="str">
            <v>FOLHA 01</v>
          </cell>
        </row>
        <row r="7">
          <cell r="S7" t="str">
            <v xml:space="preserve">             QUADRO DE INDICADORES FISICOS  </v>
          </cell>
        </row>
        <row r="9">
          <cell r="S9" t="str">
            <v xml:space="preserve"> FIRMA    :  CBEMI- CONSTRUTORA BRASILEIRA E  MINERADORA LTDA</v>
          </cell>
        </row>
        <row r="10">
          <cell r="S10" t="str">
            <v xml:space="preserve"> CONTRATO :  PD -16.001/97-00          MEDICAO :</v>
          </cell>
          <cell r="T10" t="str">
            <v xml:space="preserve"> 61a. M.P.</v>
          </cell>
        </row>
        <row r="11">
          <cell r="S11" t="str">
            <v xml:space="preserve"> SERVICOS:     EXECUTADOS ATE:31/03/02  PERIODO LIQUIDO  01/03/02 A 31/03/02</v>
          </cell>
        </row>
        <row r="13">
          <cell r="T13" t="str">
            <v>UNIDADE</v>
          </cell>
          <cell r="U13" t="str">
            <v>QUANTIDADE</v>
          </cell>
        </row>
        <row r="15">
          <cell r="S15" t="str">
            <v xml:space="preserve"> - TAPA BURACO</v>
          </cell>
          <cell r="T15" t="str">
            <v>1000 M3</v>
          </cell>
          <cell r="U15">
            <v>4.2</v>
          </cell>
        </row>
        <row r="16">
          <cell r="S16" t="str">
            <v xml:space="preserve"> - LIMPEZA DE SARGETA E MEIO-FIO</v>
          </cell>
          <cell r="T16" t="str">
            <v>Km</v>
          </cell>
          <cell r="U16">
            <v>573.39</v>
          </cell>
        </row>
        <row r="17">
          <cell r="S17" t="str">
            <v xml:space="preserve"> - ROÇADA</v>
          </cell>
          <cell r="T17" t="str">
            <v>HA</v>
          </cell>
          <cell r="U17">
            <v>818.22</v>
          </cell>
        </row>
        <row r="18">
          <cell r="H18">
            <v>0</v>
          </cell>
          <cell r="S18" t="str">
            <v xml:space="preserve"> - RECOMPOSICAO DO REVESTIMENTO</v>
          </cell>
          <cell r="T18" t="str">
            <v>KM</v>
          </cell>
          <cell r="U18">
            <v>53.38</v>
          </cell>
        </row>
        <row r="19">
          <cell r="S19" t="str">
            <v xml:space="preserve"> - SINALIZACAO</v>
          </cell>
          <cell r="T19" t="str">
            <v>KM</v>
          </cell>
          <cell r="U19">
            <v>112.7</v>
          </cell>
        </row>
        <row r="20">
          <cell r="S20" t="str">
            <v xml:space="preserve"> - RECOMPOSICAO DE EROSAO</v>
          </cell>
          <cell r="T20" t="str">
            <v>1000 M3</v>
          </cell>
          <cell r="U20">
            <v>16.41</v>
          </cell>
        </row>
        <row r="41">
          <cell r="S41" t="str">
            <v>CERTIFICO QUE O(S) SERVIÇO(S) ACIMA DISCRIMINADOS FOI(FORAM) EFETUADO(S):</v>
          </cell>
        </row>
        <row r="45">
          <cell r="T45" t="str">
            <v>EM, 01/03/2002</v>
          </cell>
        </row>
        <row r="50">
          <cell r="S50" t="str">
            <v>_______________________          ____________________________    _________________________</v>
          </cell>
        </row>
        <row r="51">
          <cell r="S51" t="str">
            <v>ENG. GERVASIO MARCINICHEN               ENG. IZALDO CARLOS KONDLATSCH       ENG . WAGNER  FERNANDO FABRE</v>
          </cell>
        </row>
      </sheetData>
      <sheetData sheetId="1">
        <row r="2">
          <cell r="U2" t="str">
            <v>FOLHA 01</v>
          </cell>
        </row>
        <row r="18">
          <cell r="H18">
            <v>0</v>
          </cell>
        </row>
      </sheetData>
      <sheetData sheetId="2">
        <row r="2">
          <cell r="U2" t="str">
            <v>FOLHA 01</v>
          </cell>
        </row>
      </sheetData>
      <sheetData sheetId="3">
        <row r="2">
          <cell r="U2" t="str">
            <v>FOLHA 01</v>
          </cell>
        </row>
      </sheetData>
      <sheetData sheetId="4">
        <row r="2">
          <cell r="U2" t="str">
            <v>FOLHA 01</v>
          </cell>
        </row>
      </sheetData>
      <sheetData sheetId="5">
        <row r="2">
          <cell r="U2" t="str">
            <v>FOLHA 01</v>
          </cell>
        </row>
      </sheetData>
      <sheetData sheetId="6">
        <row r="2">
          <cell r="U2" t="str">
            <v>FOLHA 01</v>
          </cell>
        </row>
      </sheetData>
      <sheetData sheetId="7">
        <row r="2">
          <cell r="U2" t="str">
            <v>FOLHA 01</v>
          </cell>
        </row>
      </sheetData>
      <sheetData sheetId="8">
        <row r="2">
          <cell r="U2" t="str">
            <v>FOLHA 01</v>
          </cell>
        </row>
      </sheetData>
      <sheetData sheetId="9">
        <row r="2">
          <cell r="U2" t="str">
            <v>FOLHA 01</v>
          </cell>
        </row>
      </sheetData>
      <sheetData sheetId="10">
        <row r="2">
          <cell r="U2" t="str">
            <v>FOLHA 01</v>
          </cell>
        </row>
      </sheetData>
      <sheetData sheetId="11">
        <row r="2">
          <cell r="U2" t="str">
            <v>FOLHA 01</v>
          </cell>
        </row>
      </sheetData>
      <sheetData sheetId="12">
        <row r="2">
          <cell r="U2" t="str">
            <v>FOLHA 01</v>
          </cell>
        </row>
      </sheetData>
      <sheetData sheetId="13">
        <row r="2">
          <cell r="U2" t="str">
            <v>FOLHA 01</v>
          </cell>
        </row>
      </sheetData>
      <sheetData sheetId="14">
        <row r="2">
          <cell r="U2" t="str">
            <v>FOLHA 01</v>
          </cell>
        </row>
      </sheetData>
      <sheetData sheetId="15">
        <row r="2">
          <cell r="U2" t="str">
            <v>FOLHA 01</v>
          </cell>
        </row>
      </sheetData>
      <sheetData sheetId="16">
        <row r="2">
          <cell r="U2" t="str">
            <v>FOLHA 01</v>
          </cell>
        </row>
      </sheetData>
      <sheetData sheetId="17" refreshError="1"/>
      <sheetData sheetId="18">
        <row r="2">
          <cell r="U2" t="str">
            <v>FOLHA 01</v>
          </cell>
        </row>
      </sheetData>
      <sheetData sheetId="19">
        <row r="2">
          <cell r="U2" t="str">
            <v>FOLHA 01</v>
          </cell>
        </row>
      </sheetData>
      <sheetData sheetId="20">
        <row r="2">
          <cell r="U2" t="str">
            <v>FOLHA 01</v>
          </cell>
        </row>
      </sheetData>
      <sheetData sheetId="21">
        <row r="2">
          <cell r="U2" t="str">
            <v>FOLHA 01</v>
          </cell>
        </row>
      </sheetData>
      <sheetData sheetId="22"/>
      <sheetData sheetId="23"/>
      <sheetData sheetId="24"/>
      <sheetData sheetId="25"/>
      <sheetData sheetId="26"/>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Diagrama"/>
      <sheetName val="DMT"/>
      <sheetName val="PATO"/>
      <sheetName val="Quantidades"/>
      <sheetName val="transporte"/>
      <sheetName val="Cronograma"/>
      <sheetName val="Cronograma (2)"/>
      <sheetName val="Quant."/>
      <sheetName val="ABC Sv"/>
      <sheetName val="mobilização"/>
      <sheetName val="prancha"/>
      <sheetName val="canteiro"/>
      <sheetName val="layout"/>
      <sheetName val="ANP"/>
      <sheetName val="trans_betum_CGB"/>
      <sheetName val="Micro"/>
      <sheetName val="MBUQ"/>
      <sheetName val="pint_lig"/>
      <sheetName val="imprimação"/>
      <sheetName val="TSD"/>
      <sheetName val="Correção"/>
      <sheetName val="SICRO"/>
      <sheetName val="SICRO2"/>
      <sheetName val="inventário"/>
      <sheetName val="plmuseu"/>
    </sheetNames>
    <sheetDataSet>
      <sheetData sheetId="0"/>
      <sheetData sheetId="1">
        <row r="45">
          <cell r="E45">
            <v>7</v>
          </cell>
        </row>
        <row r="46">
          <cell r="E46">
            <v>27.43</v>
          </cell>
        </row>
        <row r="47">
          <cell r="E47">
            <v>5.2000000000000455</v>
          </cell>
        </row>
        <row r="49">
          <cell r="E49">
            <v>24.2</v>
          </cell>
        </row>
        <row r="51">
          <cell r="E51">
            <v>15</v>
          </cell>
        </row>
        <row r="52">
          <cell r="E52">
            <v>5.1000000000000227</v>
          </cell>
        </row>
        <row r="53">
          <cell r="E53">
            <v>3</v>
          </cell>
        </row>
      </sheetData>
      <sheetData sheetId="2"/>
      <sheetData sheetId="3"/>
      <sheetData sheetId="4"/>
      <sheetData sheetId="5"/>
      <sheetData sheetId="6"/>
      <sheetData sheetId="7"/>
      <sheetData sheetId="8"/>
      <sheetData sheetId="9"/>
      <sheetData sheetId="10"/>
      <sheetData sheetId="11"/>
      <sheetData sheetId="12"/>
      <sheetData sheetId="13"/>
      <sheetData sheetId="14">
        <row r="6">
          <cell r="A6" t="str">
            <v>AM101</v>
          </cell>
        </row>
      </sheetData>
      <sheetData sheetId="15"/>
      <sheetData sheetId="16"/>
      <sheetData sheetId="17"/>
      <sheetData sheetId="18"/>
      <sheetData sheetId="19"/>
      <sheetData sheetId="20"/>
      <sheetData sheetId="21"/>
      <sheetData sheetId="22">
        <row r="8">
          <cell r="B8" t="str">
            <v>2 S 01 000 00</v>
          </cell>
        </row>
      </sheetData>
      <sheetData sheetId="23"/>
      <sheetData sheetId="24"/>
      <sheetData sheetId="2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ntitativo"/>
      <sheetName val="Quadro Geral"/>
      <sheetName val="Especificações Tecnicas DNER"/>
      <sheetName val="PRO-08"/>
      <sheetName val="2.2.5.CBUQ"/>
      <sheetName val="2.2.5.PMQ"/>
      <sheetName val="Plan1"/>
      <sheetName val="Planilha"/>
      <sheetName val="QuQuant"/>
      <sheetName val="consultoria"/>
      <sheetName val="Códigos"/>
      <sheetName val="eq"/>
      <sheetName val="mo"/>
      <sheetName val="Desmat 0,15"/>
      <sheetName val="DMT modelo"/>
      <sheetName val="PSCEGERAL"/>
      <sheetName val="Ofício"/>
      <sheetName val="reaj"/>
      <sheetName val="alphaville"/>
      <sheetName val="qorcamentodnerL1"/>
      <sheetName val="Teor"/>
      <sheetName val="Equipamentos"/>
      <sheetName val="Vínculo"/>
      <sheetName val="Custo MB - (1)"/>
      <sheetName val="BRASIL"/>
      <sheetName val="Fator Reajustes"/>
      <sheetName val="RELATÓRIO"/>
      <sheetName val="projeto"/>
      <sheetName val="Price List"/>
      <sheetName val="CUSTO EQUIP"/>
      <sheetName val="Comp P Unit "/>
      <sheetName val="CALCULOS AUXILIARES"/>
      <sheetName val="CUSTO MATERIAL"/>
      <sheetName val="Croqui"/>
      <sheetName val="C MÃO OBRA"/>
      <sheetName val="p reaj x p atual"/>
      <sheetName val="resumo_aut1"/>
      <sheetName val="Conversão"/>
      <sheetName val="resumo financeiro"/>
      <sheetName val="serviços"/>
      <sheetName val="CORR MBUF MAN"/>
      <sheetName val="CORR MBUQ MAN"/>
      <sheetName val="CORR MBUQ REC"/>
      <sheetName val="CORR MBUF REC"/>
      <sheetName val="REMENDO MBUF MAN "/>
      <sheetName val="REMENDO MBUF REC"/>
      <sheetName val="TAPA BUR MBUF REC "/>
      <sheetName val="RECOMP. MAN MBUQ"/>
      <sheetName val="RECOMP. REC MBUQ OK"/>
      <sheetName val="REMENDO MBUQ REC"/>
      <sheetName val="TAPA BUR MBUQ REC"/>
    </sheetNames>
    <sheetDataSet>
      <sheetData sheetId="0" refreshError="1"/>
      <sheetData sheetId="1" refreshError="1">
        <row r="1">
          <cell r="A1" t="str">
            <v>DNIT - Sistema de Custos Rodoviários</v>
          </cell>
          <cell r="D1" t="str">
            <v>Sicro2</v>
          </cell>
          <cell r="H1" t="str">
            <v>Esp. Técnica</v>
          </cell>
        </row>
        <row r="2">
          <cell r="A2" t="str">
            <v>Atividades Auxiliares</v>
          </cell>
          <cell r="D2" t="str">
            <v>Minas Gerais</v>
          </cell>
          <cell r="H2" t="str">
            <v>Minas Gerais</v>
          </cell>
        </row>
        <row r="3">
          <cell r="A3" t="str">
            <v>Resumo dos Custos Unitários de Referência: Maio de 2005</v>
          </cell>
          <cell r="D3" t="str">
            <v>RCtR0330</v>
          </cell>
          <cell r="H3" t="str">
            <v>=</v>
          </cell>
        </row>
        <row r="5">
          <cell r="A5" t="str">
            <v>Código</v>
          </cell>
          <cell r="C5" t="str">
            <v>Atividade / Serviço</v>
          </cell>
          <cell r="D5" t="str">
            <v>Unidade</v>
          </cell>
          <cell r="F5" t="str">
            <v>Preço Unitário</v>
          </cell>
          <cell r="H5" t="str">
            <v>Código</v>
          </cell>
        </row>
        <row r="6">
          <cell r="D6" t="str">
            <v>Und</v>
          </cell>
          <cell r="E6" t="str">
            <v>Direto</v>
          </cell>
          <cell r="F6" t="str">
            <v>LDI</v>
          </cell>
          <cell r="G6" t="str">
            <v>Total</v>
          </cell>
        </row>
        <row r="8">
          <cell r="A8" t="str">
            <v>1 A 00 001 00</v>
          </cell>
          <cell r="B8" t="str">
            <v>-</v>
          </cell>
          <cell r="C8" t="str">
            <v>Transporte local c/ basc. 5 m3 rodov. não pav.</v>
          </cell>
          <cell r="D8" t="str">
            <v>tkm</v>
          </cell>
          <cell r="E8">
            <v>0.46</v>
          </cell>
          <cell r="F8">
            <v>0</v>
          </cell>
          <cell r="G8">
            <v>0.46</v>
          </cell>
          <cell r="H8" t="str">
            <v>-</v>
          </cell>
        </row>
        <row r="9">
          <cell r="A9" t="str">
            <v>1 A 00 001 05</v>
          </cell>
          <cell r="B9" t="str">
            <v>-</v>
          </cell>
          <cell r="C9" t="str">
            <v>Transp. local c/ basc. 10m3 rodov. não pav (const)</v>
          </cell>
          <cell r="D9" t="str">
            <v>tkm</v>
          </cell>
          <cell r="E9">
            <v>0.42</v>
          </cell>
          <cell r="F9">
            <v>0</v>
          </cell>
          <cell r="G9">
            <v>0.42</v>
          </cell>
          <cell r="H9" t="str">
            <v>-</v>
          </cell>
        </row>
        <row r="10">
          <cell r="A10" t="str">
            <v>1 A 00 001 06</v>
          </cell>
          <cell r="B10" t="str">
            <v>-</v>
          </cell>
          <cell r="C10" t="str">
            <v>Transp. local c/ basc. 10m3 rodov. não pav (consv)</v>
          </cell>
          <cell r="D10" t="str">
            <v>tkm</v>
          </cell>
          <cell r="E10">
            <v>0.5</v>
          </cell>
          <cell r="F10">
            <v>0</v>
          </cell>
          <cell r="G10">
            <v>0.5</v>
          </cell>
          <cell r="H10" t="str">
            <v>-</v>
          </cell>
        </row>
        <row r="11">
          <cell r="A11" t="str">
            <v>1 A 00 001 07</v>
          </cell>
          <cell r="B11" t="str">
            <v>-</v>
          </cell>
          <cell r="C11" t="str">
            <v>Transp. local c/ basc. 10m3 rodov. não pav (restr)</v>
          </cell>
          <cell r="D11" t="str">
            <v>tkm</v>
          </cell>
          <cell r="E11">
            <v>0.49</v>
          </cell>
          <cell r="F11">
            <v>0</v>
          </cell>
          <cell r="G11">
            <v>0.49</v>
          </cell>
          <cell r="H11" t="str">
            <v>-</v>
          </cell>
        </row>
        <row r="12">
          <cell r="A12" t="str">
            <v>1 A 00 001 08</v>
          </cell>
          <cell r="B12" t="str">
            <v>-</v>
          </cell>
          <cell r="C12" t="str">
            <v>Transporte local c/ basc. p/ rocha rodov. não pav.</v>
          </cell>
          <cell r="D12" t="str">
            <v>tkm</v>
          </cell>
          <cell r="E12">
            <v>0.62</v>
          </cell>
          <cell r="F12">
            <v>0</v>
          </cell>
          <cell r="G12">
            <v>0.62</v>
          </cell>
          <cell r="H12" t="str">
            <v>-</v>
          </cell>
        </row>
        <row r="13">
          <cell r="A13" t="str">
            <v>1 A 00 001 40</v>
          </cell>
          <cell r="B13" t="str">
            <v>-</v>
          </cell>
          <cell r="C13" t="str">
            <v>Transp. local c/ carroceria 15 t rodov. não pav.</v>
          </cell>
          <cell r="D13" t="str">
            <v>tkm</v>
          </cell>
          <cell r="E13">
            <v>0.53</v>
          </cell>
          <cell r="F13">
            <v>0</v>
          </cell>
          <cell r="G13">
            <v>0.53</v>
          </cell>
          <cell r="H13" t="str">
            <v>-</v>
          </cell>
        </row>
        <row r="14">
          <cell r="A14" t="str">
            <v>1 A 00 001 41</v>
          </cell>
          <cell r="B14" t="str">
            <v>-</v>
          </cell>
          <cell r="C14" t="str">
            <v>Transporte local c/ carroceria 4t rodov. não pav.</v>
          </cell>
          <cell r="D14" t="str">
            <v>tkm</v>
          </cell>
          <cell r="E14">
            <v>0.66</v>
          </cell>
          <cell r="F14">
            <v>0</v>
          </cell>
          <cell r="G14">
            <v>0.66</v>
          </cell>
          <cell r="H14" t="str">
            <v>-</v>
          </cell>
        </row>
        <row r="15">
          <cell r="A15" t="str">
            <v>1 A 00 001 50</v>
          </cell>
          <cell r="B15" t="str">
            <v>-</v>
          </cell>
          <cell r="C15" t="str">
            <v>Transporte local c/ betoneira rodov. não pav.</v>
          </cell>
          <cell r="D15" t="str">
            <v>tkm</v>
          </cell>
          <cell r="E15">
            <v>0.62</v>
          </cell>
          <cell r="F15">
            <v>0</v>
          </cell>
          <cell r="G15">
            <v>0.62</v>
          </cell>
          <cell r="H15" t="str">
            <v>-</v>
          </cell>
        </row>
        <row r="16">
          <cell r="A16" t="str">
            <v>1 A 00 001 60</v>
          </cell>
          <cell r="B16" t="str">
            <v>-</v>
          </cell>
          <cell r="C16" t="str">
            <v>Transp. local c/ carroc. c/ guind. rodov. não pav.</v>
          </cell>
          <cell r="D16" t="str">
            <v>tkm</v>
          </cell>
          <cell r="E16">
            <v>0.71</v>
          </cell>
          <cell r="F16">
            <v>0</v>
          </cell>
          <cell r="G16">
            <v>0.71</v>
          </cell>
          <cell r="H16" t="str">
            <v>-</v>
          </cell>
        </row>
        <row r="17">
          <cell r="A17" t="str">
            <v>1 A 00 001 90</v>
          </cell>
          <cell r="B17" t="str">
            <v>-</v>
          </cell>
          <cell r="C17" t="str">
            <v>Transporte comercial c/ carroc. rodov. não pav.</v>
          </cell>
          <cell r="D17" t="str">
            <v>tkm</v>
          </cell>
          <cell r="E17">
            <v>0.32</v>
          </cell>
          <cell r="F17">
            <v>0</v>
          </cell>
          <cell r="G17">
            <v>0.32</v>
          </cell>
          <cell r="H17" t="str">
            <v>-</v>
          </cell>
        </row>
        <row r="18">
          <cell r="A18" t="str">
            <v>1 A 00 001 91</v>
          </cell>
          <cell r="B18" t="str">
            <v>-</v>
          </cell>
          <cell r="C18" t="str">
            <v>Transporte comercial c/ basc. 10m3 rod. não pav.</v>
          </cell>
          <cell r="D18" t="str">
            <v>tkm</v>
          </cell>
          <cell r="E18">
            <v>0.33</v>
          </cell>
          <cell r="F18">
            <v>0</v>
          </cell>
          <cell r="G18">
            <v>0.33</v>
          </cell>
          <cell r="H18" t="str">
            <v>-</v>
          </cell>
        </row>
        <row r="19">
          <cell r="A19" t="str">
            <v>1 A 00 002 00</v>
          </cell>
          <cell r="B19" t="str">
            <v>-</v>
          </cell>
          <cell r="C19" t="str">
            <v>Transporte local c/ basc. 5m3 rodov. pav.</v>
          </cell>
          <cell r="D19" t="str">
            <v>tkm</v>
          </cell>
          <cell r="E19">
            <v>0.37</v>
          </cell>
          <cell r="F19">
            <v>0</v>
          </cell>
          <cell r="G19">
            <v>0.37</v>
          </cell>
          <cell r="H19" t="str">
            <v>-</v>
          </cell>
        </row>
        <row r="20">
          <cell r="A20" t="str">
            <v>1 A 00 002 03</v>
          </cell>
          <cell r="B20" t="str">
            <v>-</v>
          </cell>
          <cell r="C20" t="str">
            <v>Transp. local material para remendos</v>
          </cell>
          <cell r="D20" t="str">
            <v>tkm</v>
          </cell>
          <cell r="E20">
            <v>0.75</v>
          </cell>
          <cell r="F20">
            <v>0</v>
          </cell>
          <cell r="G20">
            <v>0.75</v>
          </cell>
          <cell r="H20" t="str">
            <v>-</v>
          </cell>
        </row>
        <row r="21">
          <cell r="A21" t="str">
            <v>1 A 00 002 05</v>
          </cell>
          <cell r="B21" t="str">
            <v>-</v>
          </cell>
          <cell r="C21" t="str">
            <v>Transp. local c/ basc. 10m3 rodov. pav. (const)</v>
          </cell>
          <cell r="D21" t="str">
            <v>tkm</v>
          </cell>
          <cell r="E21">
            <v>0.33</v>
          </cell>
          <cell r="F21">
            <v>0</v>
          </cell>
          <cell r="G21">
            <v>0.33</v>
          </cell>
          <cell r="H21" t="str">
            <v>-</v>
          </cell>
        </row>
        <row r="22">
          <cell r="A22" t="str">
            <v>1 A 00 002 06</v>
          </cell>
          <cell r="B22" t="str">
            <v>-</v>
          </cell>
          <cell r="C22" t="str">
            <v>Transp. local c/ basc. 10m3 rodov. pav. (consv)</v>
          </cell>
          <cell r="D22" t="str">
            <v>tkm</v>
          </cell>
          <cell r="E22">
            <v>0.38</v>
          </cell>
          <cell r="F22">
            <v>0</v>
          </cell>
          <cell r="G22">
            <v>0.38</v>
          </cell>
          <cell r="H22" t="str">
            <v>-</v>
          </cell>
        </row>
        <row r="23">
          <cell r="A23" t="str">
            <v>1 A 00 002 07</v>
          </cell>
          <cell r="B23" t="str">
            <v>-</v>
          </cell>
          <cell r="C23" t="str">
            <v>Transp. local c/ basc. 10m3 rodov. pav. (restr)</v>
          </cell>
          <cell r="D23" t="str">
            <v>tkm</v>
          </cell>
          <cell r="E23">
            <v>0.37</v>
          </cell>
          <cell r="F23">
            <v>0</v>
          </cell>
          <cell r="G23">
            <v>0.37</v>
          </cell>
          <cell r="H23" t="str">
            <v>-</v>
          </cell>
        </row>
        <row r="24">
          <cell r="A24" t="str">
            <v>1 A 00 002 08</v>
          </cell>
          <cell r="B24" t="str">
            <v>-</v>
          </cell>
          <cell r="C24" t="str">
            <v>Transporte local c/ basc. p/ rocha rodov. pav.</v>
          </cell>
          <cell r="D24" t="str">
            <v>tkm</v>
          </cell>
          <cell r="E24">
            <v>0.47</v>
          </cell>
          <cell r="F24">
            <v>0</v>
          </cell>
          <cell r="G24">
            <v>0.47</v>
          </cell>
          <cell r="H24" t="str">
            <v>-</v>
          </cell>
        </row>
        <row r="25">
          <cell r="A25" t="str">
            <v>1 A 00 002 40</v>
          </cell>
          <cell r="B25" t="str">
            <v>-</v>
          </cell>
          <cell r="C25" t="str">
            <v>Transporte local c/ carroceria 15 t rodov. pav.</v>
          </cell>
          <cell r="D25" t="str">
            <v>tkm</v>
          </cell>
          <cell r="E25">
            <v>0.39</v>
          </cell>
          <cell r="F25">
            <v>0</v>
          </cell>
          <cell r="G25">
            <v>0.39</v>
          </cell>
          <cell r="H25" t="str">
            <v>-</v>
          </cell>
        </row>
        <row r="26">
          <cell r="A26" t="str">
            <v>1 A 00 002 41</v>
          </cell>
          <cell r="B26" t="str">
            <v>-</v>
          </cell>
          <cell r="C26" t="str">
            <v>Transporte local c/ carroceria 4t rodov. pav.</v>
          </cell>
          <cell r="D26" t="str">
            <v>tkm</v>
          </cell>
          <cell r="E26">
            <v>0.52</v>
          </cell>
          <cell r="F26">
            <v>0</v>
          </cell>
          <cell r="G26">
            <v>0.52</v>
          </cell>
          <cell r="H26" t="str">
            <v>-</v>
          </cell>
        </row>
        <row r="27">
          <cell r="A27" t="str">
            <v>1 A 00 002 50</v>
          </cell>
          <cell r="B27" t="str">
            <v>-</v>
          </cell>
          <cell r="C27" t="str">
            <v>Transporte local c/ betoneira rodov. pav.</v>
          </cell>
          <cell r="D27" t="str">
            <v>tkm</v>
          </cell>
          <cell r="E27">
            <v>0.46</v>
          </cell>
          <cell r="F27">
            <v>0</v>
          </cell>
          <cell r="G27">
            <v>0.46</v>
          </cell>
          <cell r="H27" t="str">
            <v>-</v>
          </cell>
        </row>
        <row r="28">
          <cell r="A28" t="str">
            <v>1 A 00 002 60</v>
          </cell>
          <cell r="B28" t="str">
            <v>-</v>
          </cell>
          <cell r="C28" t="str">
            <v>Transp. local c/ carroceria c/ guind. rodov. pav.</v>
          </cell>
          <cell r="D28" t="str">
            <v>tkm</v>
          </cell>
          <cell r="E28">
            <v>0.63</v>
          </cell>
          <cell r="F28">
            <v>0</v>
          </cell>
          <cell r="G28">
            <v>0.63</v>
          </cell>
          <cell r="H28" t="str">
            <v>-</v>
          </cell>
        </row>
        <row r="29">
          <cell r="A29" t="str">
            <v>1 A 00 002 90</v>
          </cell>
          <cell r="B29" t="str">
            <v>-</v>
          </cell>
          <cell r="C29" t="str">
            <v>Transporte comercial c/ carroceria rodov. pav.</v>
          </cell>
          <cell r="D29" t="str">
            <v>tkm</v>
          </cell>
          <cell r="E29">
            <v>0.21</v>
          </cell>
          <cell r="F29">
            <v>0</v>
          </cell>
          <cell r="G29">
            <v>0.21</v>
          </cell>
          <cell r="H29" t="str">
            <v>-</v>
          </cell>
        </row>
        <row r="30">
          <cell r="A30" t="str">
            <v>1 A 00 002 91</v>
          </cell>
          <cell r="B30" t="str">
            <v>-</v>
          </cell>
          <cell r="C30" t="str">
            <v>Transporte comercial c/ basc. 10m3 rod. pav.</v>
          </cell>
          <cell r="D30" t="str">
            <v>tkm</v>
          </cell>
          <cell r="E30">
            <v>0.22</v>
          </cell>
          <cell r="F30">
            <v>0</v>
          </cell>
          <cell r="G30">
            <v>0.22</v>
          </cell>
          <cell r="H30" t="str">
            <v>-</v>
          </cell>
        </row>
        <row r="31">
          <cell r="A31" t="str">
            <v>1 A 00 102 00</v>
          </cell>
          <cell r="B31" t="str">
            <v>-</v>
          </cell>
          <cell r="C31" t="str">
            <v>Transporte local de material betuminoso</v>
          </cell>
          <cell r="D31" t="str">
            <v>tkm</v>
          </cell>
          <cell r="E31">
            <v>0.88</v>
          </cell>
          <cell r="F31">
            <v>0</v>
          </cell>
          <cell r="G31">
            <v>0.88</v>
          </cell>
          <cell r="H31" t="str">
            <v>-</v>
          </cell>
        </row>
        <row r="32">
          <cell r="A32" t="str">
            <v>1 A 00 112 90</v>
          </cell>
          <cell r="B32" t="str">
            <v>-</v>
          </cell>
          <cell r="C32" t="str">
            <v>Transporte comercial material betuminoso a quente</v>
          </cell>
          <cell r="D32" t="str">
            <v>tkm</v>
          </cell>
          <cell r="E32">
            <v>0</v>
          </cell>
          <cell r="F32">
            <v>0</v>
          </cell>
          <cell r="G32">
            <v>0</v>
          </cell>
          <cell r="H32" t="str">
            <v>-</v>
          </cell>
        </row>
        <row r="33">
          <cell r="A33" t="str">
            <v>1 A 00 112 91</v>
          </cell>
          <cell r="B33" t="str">
            <v>-</v>
          </cell>
          <cell r="C33" t="str">
            <v>Transporte comercial material betuminoso a frio</v>
          </cell>
          <cell r="D33" t="str">
            <v>tkm</v>
          </cell>
          <cell r="E33">
            <v>0</v>
          </cell>
          <cell r="F33">
            <v>0</v>
          </cell>
          <cell r="G33">
            <v>0</v>
          </cell>
          <cell r="H33" t="str">
            <v>-</v>
          </cell>
        </row>
        <row r="34">
          <cell r="A34" t="str">
            <v>1 A 00 201 70</v>
          </cell>
          <cell r="B34" t="str">
            <v>-</v>
          </cell>
          <cell r="C34" t="str">
            <v>Transp. local água c/ cam. tanque rodov. não pav.</v>
          </cell>
          <cell r="D34" t="str">
            <v>tkm</v>
          </cell>
          <cell r="E34">
            <v>0.59</v>
          </cell>
          <cell r="F34">
            <v>0</v>
          </cell>
          <cell r="G34">
            <v>0.59</v>
          </cell>
          <cell r="H34" t="str">
            <v>-</v>
          </cell>
        </row>
        <row r="35">
          <cell r="A35" t="str">
            <v>1 A 00 202 70</v>
          </cell>
          <cell r="B35" t="str">
            <v>-</v>
          </cell>
          <cell r="C35" t="str">
            <v>Transp. local de água c/ cam. tanque rodov. pav.</v>
          </cell>
          <cell r="D35" t="str">
            <v>tkm</v>
          </cell>
          <cell r="E35">
            <v>0.44</v>
          </cell>
          <cell r="F35">
            <v>0</v>
          </cell>
          <cell r="G35">
            <v>0.44</v>
          </cell>
          <cell r="H35" t="str">
            <v>-</v>
          </cell>
        </row>
        <row r="36">
          <cell r="A36" t="str">
            <v>1 A 00 301 00</v>
          </cell>
          <cell r="B36" t="str">
            <v>-</v>
          </cell>
          <cell r="C36" t="str">
            <v>Fornecimento de Aço CA-25</v>
          </cell>
          <cell r="D36" t="str">
            <v>kg</v>
          </cell>
          <cell r="E36">
            <v>3.47</v>
          </cell>
          <cell r="F36">
            <v>0</v>
          </cell>
          <cell r="G36">
            <v>3.47</v>
          </cell>
          <cell r="H36" t="str">
            <v>-</v>
          </cell>
        </row>
        <row r="37">
          <cell r="A37" t="str">
            <v>1 A 00 302 00</v>
          </cell>
          <cell r="B37" t="str">
            <v>-</v>
          </cell>
          <cell r="C37" t="str">
            <v>Fornecimento de Aço CA-50</v>
          </cell>
          <cell r="D37" t="str">
            <v>kg</v>
          </cell>
          <cell r="E37">
            <v>3.31</v>
          </cell>
          <cell r="F37">
            <v>0</v>
          </cell>
          <cell r="G37">
            <v>3.31</v>
          </cell>
          <cell r="H37" t="str">
            <v>-</v>
          </cell>
        </row>
        <row r="38">
          <cell r="A38" t="str">
            <v>1 A 00 303 00</v>
          </cell>
          <cell r="B38" t="str">
            <v>-</v>
          </cell>
          <cell r="C38" t="str">
            <v>Fornecimento de Aço CA-60</v>
          </cell>
          <cell r="D38" t="str">
            <v>kg</v>
          </cell>
          <cell r="E38">
            <v>3.83</v>
          </cell>
          <cell r="F38">
            <v>0</v>
          </cell>
          <cell r="G38">
            <v>3.83</v>
          </cell>
          <cell r="H38" t="str">
            <v>-</v>
          </cell>
        </row>
        <row r="39">
          <cell r="A39" t="str">
            <v>1 A 00 716 00</v>
          </cell>
          <cell r="B39" t="str">
            <v>-</v>
          </cell>
          <cell r="C39" t="str">
            <v>Areia comercial</v>
          </cell>
          <cell r="D39" t="str">
            <v>m³</v>
          </cell>
          <cell r="E39">
            <v>20.25</v>
          </cell>
          <cell r="F39">
            <v>0</v>
          </cell>
          <cell r="G39">
            <v>20.25</v>
          </cell>
          <cell r="H39" t="str">
            <v>-</v>
          </cell>
        </row>
        <row r="40">
          <cell r="A40" t="str">
            <v>1 A 00 717 00</v>
          </cell>
          <cell r="B40" t="str">
            <v>-</v>
          </cell>
          <cell r="C40" t="str">
            <v>Brita Comercial</v>
          </cell>
          <cell r="D40" t="str">
            <v>m³</v>
          </cell>
          <cell r="E40">
            <v>20.75</v>
          </cell>
          <cell r="F40">
            <v>0</v>
          </cell>
          <cell r="G40">
            <v>20.75</v>
          </cell>
          <cell r="H40" t="str">
            <v>-</v>
          </cell>
        </row>
        <row r="41">
          <cell r="A41" t="str">
            <v>1 A 00 901 01</v>
          </cell>
          <cell r="B41" t="str">
            <v>-</v>
          </cell>
          <cell r="C41" t="str">
            <v>Alvenaria de pedra argamassada</v>
          </cell>
          <cell r="D41" t="str">
            <v>m³</v>
          </cell>
          <cell r="E41">
            <v>106.44</v>
          </cell>
          <cell r="F41">
            <v>0</v>
          </cell>
          <cell r="G41">
            <v>106.44</v>
          </cell>
          <cell r="H41" t="str">
            <v>-</v>
          </cell>
        </row>
        <row r="42">
          <cell r="A42" t="str">
            <v>1 A 00 901 51</v>
          </cell>
          <cell r="B42" t="str">
            <v>-</v>
          </cell>
          <cell r="C42" t="str">
            <v>Alvenaria de pedra argamassada AC/PC</v>
          </cell>
          <cell r="D42" t="str">
            <v>m³</v>
          </cell>
          <cell r="E42">
            <v>114.39</v>
          </cell>
          <cell r="F42">
            <v>0</v>
          </cell>
          <cell r="G42">
            <v>114.39</v>
          </cell>
          <cell r="H42" t="str">
            <v>-</v>
          </cell>
        </row>
        <row r="43">
          <cell r="A43" t="str">
            <v>1 A 00 902 01</v>
          </cell>
          <cell r="B43" t="str">
            <v>-</v>
          </cell>
          <cell r="C43" t="str">
            <v>Alvenaria de tijolos</v>
          </cell>
          <cell r="D43" t="str">
            <v>m²</v>
          </cell>
          <cell r="E43">
            <v>29.49</v>
          </cell>
          <cell r="F43">
            <v>0</v>
          </cell>
          <cell r="G43">
            <v>29.49</v>
          </cell>
          <cell r="H43" t="str">
            <v>-</v>
          </cell>
        </row>
        <row r="44">
          <cell r="A44" t="str">
            <v>1 A 00 902 51</v>
          </cell>
          <cell r="B44" t="str">
            <v>-</v>
          </cell>
          <cell r="C44" t="str">
            <v>Alvenaria de tijolos AC</v>
          </cell>
          <cell r="D44" t="str">
            <v>m²</v>
          </cell>
          <cell r="E44">
            <v>30.05</v>
          </cell>
          <cell r="F44">
            <v>0</v>
          </cell>
          <cell r="G44">
            <v>30.05</v>
          </cell>
          <cell r="H44" t="str">
            <v>-</v>
          </cell>
        </row>
        <row r="45">
          <cell r="A45" t="str">
            <v>1 A 00 903 01</v>
          </cell>
          <cell r="B45" t="str">
            <v>-</v>
          </cell>
          <cell r="C45" t="str">
            <v>Dentes para bueiros duplos D=1,00 m</v>
          </cell>
          <cell r="D45" t="str">
            <v>und</v>
          </cell>
          <cell r="E45">
            <v>84.5</v>
          </cell>
          <cell r="F45">
            <v>0</v>
          </cell>
          <cell r="G45">
            <v>84.5</v>
          </cell>
          <cell r="H45" t="str">
            <v>-</v>
          </cell>
        </row>
        <row r="46">
          <cell r="A46" t="str">
            <v>1 A 00 903 51</v>
          </cell>
          <cell r="B46" t="str">
            <v>-</v>
          </cell>
          <cell r="C46" t="str">
            <v>Dentes para bueiros duplos D=1,00 m AC/BC/PC</v>
          </cell>
          <cell r="D46" t="str">
            <v>und</v>
          </cell>
          <cell r="E46">
            <v>88.02</v>
          </cell>
          <cell r="F46">
            <v>0</v>
          </cell>
          <cell r="G46">
            <v>88.02</v>
          </cell>
          <cell r="H46" t="str">
            <v>-</v>
          </cell>
        </row>
        <row r="47">
          <cell r="A47" t="str">
            <v>1 A 00 904 01</v>
          </cell>
          <cell r="B47" t="str">
            <v>-</v>
          </cell>
          <cell r="C47" t="str">
            <v>Dentes para bueiros duplos D=1,20 m</v>
          </cell>
          <cell r="D47" t="str">
            <v>und</v>
          </cell>
          <cell r="E47">
            <v>95.11</v>
          </cell>
          <cell r="F47">
            <v>0</v>
          </cell>
          <cell r="G47">
            <v>95.11</v>
          </cell>
          <cell r="H47" t="str">
            <v>-</v>
          </cell>
        </row>
        <row r="48">
          <cell r="A48" t="str">
            <v>1 A 00 904 51</v>
          </cell>
          <cell r="B48" t="str">
            <v>-</v>
          </cell>
          <cell r="C48" t="str">
            <v>Dentes para bueiros duplos D=1,20 m AC/BC/PC</v>
          </cell>
          <cell r="D48" t="str">
            <v>und</v>
          </cell>
          <cell r="E48">
            <v>99.17</v>
          </cell>
          <cell r="F48">
            <v>0</v>
          </cell>
          <cell r="G48">
            <v>99.17</v>
          </cell>
          <cell r="H48" t="str">
            <v>-</v>
          </cell>
        </row>
        <row r="49">
          <cell r="A49" t="str">
            <v>1 A 00 905 01</v>
          </cell>
          <cell r="B49" t="str">
            <v>-</v>
          </cell>
          <cell r="C49" t="str">
            <v>Dentes para bueiros duplos D=1,50 m</v>
          </cell>
          <cell r="D49" t="str">
            <v>und</v>
          </cell>
          <cell r="E49">
            <v>118.65</v>
          </cell>
          <cell r="F49">
            <v>0</v>
          </cell>
          <cell r="G49">
            <v>118.65</v>
          </cell>
          <cell r="H49" t="str">
            <v>-</v>
          </cell>
        </row>
        <row r="50">
          <cell r="A50" t="str">
            <v>1 A 00 905 51</v>
          </cell>
          <cell r="B50" t="str">
            <v>-</v>
          </cell>
          <cell r="C50" t="str">
            <v>Dentes para bueiros duplos D=1,50 m AC/BC/PC</v>
          </cell>
          <cell r="D50" t="str">
            <v>und</v>
          </cell>
          <cell r="E50">
            <v>123.5</v>
          </cell>
          <cell r="F50">
            <v>0</v>
          </cell>
          <cell r="G50">
            <v>123.5</v>
          </cell>
          <cell r="H50" t="str">
            <v>-</v>
          </cell>
        </row>
        <row r="51">
          <cell r="A51" t="str">
            <v>1 A 00 906 01</v>
          </cell>
          <cell r="B51" t="str">
            <v>-</v>
          </cell>
          <cell r="C51" t="str">
            <v>Dentes para bueiros simples D=0,60 m</v>
          </cell>
          <cell r="D51" t="str">
            <v>und</v>
          </cell>
          <cell r="E51">
            <v>28.55</v>
          </cell>
          <cell r="F51">
            <v>0</v>
          </cell>
          <cell r="G51">
            <v>28.55</v>
          </cell>
          <cell r="H51" t="str">
            <v>-</v>
          </cell>
        </row>
        <row r="52">
          <cell r="A52" t="str">
            <v>1 A 00 906 51</v>
          </cell>
          <cell r="B52" t="str">
            <v>-</v>
          </cell>
          <cell r="C52" t="str">
            <v>Dentes para bueiros simples D=0,60 m AC/BC/PC</v>
          </cell>
          <cell r="D52" t="str">
            <v>und</v>
          </cell>
          <cell r="E52">
            <v>29.73</v>
          </cell>
          <cell r="F52">
            <v>0</v>
          </cell>
          <cell r="G52">
            <v>29.73</v>
          </cell>
          <cell r="H52" t="str">
            <v>-</v>
          </cell>
        </row>
        <row r="53">
          <cell r="A53" t="str">
            <v>1 A 00 907 01</v>
          </cell>
          <cell r="B53" t="str">
            <v>-</v>
          </cell>
          <cell r="C53" t="str">
            <v>Dentes para bueiros simples D=0,80 m</v>
          </cell>
          <cell r="D53" t="str">
            <v>und</v>
          </cell>
          <cell r="E53">
            <v>35.630000000000003</v>
          </cell>
          <cell r="F53">
            <v>0</v>
          </cell>
          <cell r="G53">
            <v>35.630000000000003</v>
          </cell>
          <cell r="H53" t="str">
            <v>-</v>
          </cell>
        </row>
        <row r="54">
          <cell r="A54" t="str">
            <v>1 A 00 907 51</v>
          </cell>
          <cell r="B54" t="str">
            <v>-</v>
          </cell>
          <cell r="C54" t="str">
            <v>Dentes para bueiros simples D=0,80 m AC/BC/PC</v>
          </cell>
          <cell r="D54" t="str">
            <v>und</v>
          </cell>
          <cell r="E54">
            <v>37.1</v>
          </cell>
          <cell r="F54">
            <v>0</v>
          </cell>
          <cell r="G54">
            <v>37.1</v>
          </cell>
          <cell r="H54" t="str">
            <v>-</v>
          </cell>
        </row>
        <row r="55">
          <cell r="A55" t="str">
            <v>1 A 00 908 01</v>
          </cell>
          <cell r="B55" t="str">
            <v>-</v>
          </cell>
          <cell r="C55" t="str">
            <v>Dentes para bueiros simples D=1,00 m</v>
          </cell>
          <cell r="D55" t="str">
            <v>und</v>
          </cell>
          <cell r="E55">
            <v>42.18</v>
          </cell>
          <cell r="F55">
            <v>0</v>
          </cell>
          <cell r="G55">
            <v>42.18</v>
          </cell>
          <cell r="H55" t="str">
            <v>-</v>
          </cell>
        </row>
        <row r="56">
          <cell r="A56" t="str">
            <v>1 A 00 908 51</v>
          </cell>
          <cell r="B56" t="str">
            <v>-</v>
          </cell>
          <cell r="C56" t="str">
            <v>Dentes para bueiros simples D=1,00 m AC/BC/PC</v>
          </cell>
          <cell r="D56" t="str">
            <v>und</v>
          </cell>
          <cell r="E56">
            <v>43.94</v>
          </cell>
          <cell r="F56">
            <v>0</v>
          </cell>
          <cell r="G56">
            <v>43.94</v>
          </cell>
          <cell r="H56" t="str">
            <v>-</v>
          </cell>
        </row>
        <row r="57">
          <cell r="A57" t="str">
            <v>1 A 00 909 01</v>
          </cell>
          <cell r="B57" t="str">
            <v>-</v>
          </cell>
          <cell r="C57" t="str">
            <v>Dentes para bueiros simples D=1,20 m</v>
          </cell>
          <cell r="D57" t="str">
            <v>und</v>
          </cell>
          <cell r="E57">
            <v>47.62</v>
          </cell>
          <cell r="F57">
            <v>0</v>
          </cell>
          <cell r="G57">
            <v>47.62</v>
          </cell>
          <cell r="H57" t="str">
            <v>-</v>
          </cell>
        </row>
        <row r="58">
          <cell r="A58" t="str">
            <v>1 A 00 909 51</v>
          </cell>
          <cell r="B58" t="str">
            <v>-</v>
          </cell>
          <cell r="C58" t="str">
            <v>Dentes para bueiros simples D=1,20 m AC/BC/PC</v>
          </cell>
          <cell r="D58" t="str">
            <v>und</v>
          </cell>
          <cell r="E58">
            <v>49.65</v>
          </cell>
          <cell r="F58">
            <v>0</v>
          </cell>
          <cell r="G58">
            <v>49.65</v>
          </cell>
          <cell r="H58" t="str">
            <v>-</v>
          </cell>
        </row>
        <row r="59">
          <cell r="A59" t="str">
            <v>1 A 00 910 01</v>
          </cell>
          <cell r="B59" t="str">
            <v>-</v>
          </cell>
          <cell r="C59" t="str">
            <v>Dentes para bueiros simples D=1,50 m</v>
          </cell>
          <cell r="D59" t="str">
            <v>und</v>
          </cell>
          <cell r="E59">
            <v>61.76</v>
          </cell>
          <cell r="F59">
            <v>0</v>
          </cell>
          <cell r="G59">
            <v>61.76</v>
          </cell>
          <cell r="H59" t="str">
            <v>-</v>
          </cell>
        </row>
        <row r="60">
          <cell r="A60" t="str">
            <v>1 A 00 910 51</v>
          </cell>
          <cell r="B60" t="str">
            <v>-</v>
          </cell>
          <cell r="C60" t="str">
            <v>Dentes para bueiros simples D=1,50 m AC/BC/PC</v>
          </cell>
          <cell r="D60" t="str">
            <v>und</v>
          </cell>
          <cell r="E60">
            <v>64.180000000000007</v>
          </cell>
          <cell r="F60">
            <v>0</v>
          </cell>
          <cell r="G60">
            <v>64.180000000000007</v>
          </cell>
          <cell r="H60" t="str">
            <v>-</v>
          </cell>
        </row>
        <row r="61">
          <cell r="A61" t="str">
            <v>1 A 00 911 01</v>
          </cell>
          <cell r="B61" t="str">
            <v>-</v>
          </cell>
          <cell r="C61" t="str">
            <v>Dentes para bueiros triplos D=1,00 m</v>
          </cell>
          <cell r="D61" t="str">
            <v>und</v>
          </cell>
          <cell r="E61">
            <v>122.69</v>
          </cell>
          <cell r="F61">
            <v>0</v>
          </cell>
          <cell r="G61">
            <v>122.69</v>
          </cell>
          <cell r="H61" t="str">
            <v>-</v>
          </cell>
        </row>
        <row r="62">
          <cell r="A62" t="str">
            <v>1 A 00 911 51</v>
          </cell>
          <cell r="B62" t="str">
            <v>-</v>
          </cell>
          <cell r="C62" t="str">
            <v>Dentes para bueiros triplos D=1,00 m AC/BC/PC</v>
          </cell>
          <cell r="D62" t="str">
            <v>und</v>
          </cell>
          <cell r="E62">
            <v>127.97</v>
          </cell>
          <cell r="F62">
            <v>0</v>
          </cell>
          <cell r="G62">
            <v>127.97</v>
          </cell>
          <cell r="H62" t="str">
            <v>-</v>
          </cell>
        </row>
        <row r="63">
          <cell r="A63" t="str">
            <v>1 A 00 912 01</v>
          </cell>
          <cell r="B63" t="str">
            <v>-</v>
          </cell>
          <cell r="C63" t="str">
            <v>Dentes para bueiros triplos D=1,20 m</v>
          </cell>
          <cell r="D63" t="str">
            <v>und</v>
          </cell>
          <cell r="E63">
            <v>142.74</v>
          </cell>
          <cell r="F63">
            <v>0</v>
          </cell>
          <cell r="G63">
            <v>142.74</v>
          </cell>
          <cell r="H63" t="str">
            <v>-</v>
          </cell>
        </row>
        <row r="64">
          <cell r="A64" t="str">
            <v>1 A 00 912 51</v>
          </cell>
          <cell r="B64" t="str">
            <v>-</v>
          </cell>
          <cell r="C64" t="str">
            <v>Dentes para bueiros triplos D=1,20 m AC/BC/PC</v>
          </cell>
          <cell r="D64" t="str">
            <v>und</v>
          </cell>
          <cell r="E64">
            <v>148.83000000000001</v>
          </cell>
          <cell r="F64">
            <v>0</v>
          </cell>
          <cell r="G64">
            <v>148.83000000000001</v>
          </cell>
          <cell r="H64" t="str">
            <v>-</v>
          </cell>
        </row>
        <row r="65">
          <cell r="A65" t="str">
            <v>1 A 00 913 01</v>
          </cell>
          <cell r="B65" t="str">
            <v>-</v>
          </cell>
          <cell r="C65" t="str">
            <v>Dentes para bueiros triplos D=1,50 m</v>
          </cell>
          <cell r="D65" t="str">
            <v>und</v>
          </cell>
          <cell r="E65">
            <v>175.01</v>
          </cell>
          <cell r="F65">
            <v>0</v>
          </cell>
          <cell r="G65">
            <v>175.01</v>
          </cell>
          <cell r="H65" t="str">
            <v>-</v>
          </cell>
        </row>
        <row r="66">
          <cell r="A66" t="str">
            <v>1 A 00 913 51</v>
          </cell>
          <cell r="B66" t="str">
            <v>-</v>
          </cell>
          <cell r="C66" t="str">
            <v>Dentes para bueiros triplos D=1,50 m AC/BC/PC</v>
          </cell>
          <cell r="D66" t="str">
            <v>und</v>
          </cell>
          <cell r="E66">
            <v>182.27</v>
          </cell>
          <cell r="F66">
            <v>0</v>
          </cell>
          <cell r="G66">
            <v>182.27</v>
          </cell>
          <cell r="H66" t="str">
            <v>-</v>
          </cell>
        </row>
        <row r="67">
          <cell r="A67" t="str">
            <v>1 A 00 961 00</v>
          </cell>
          <cell r="B67" t="str">
            <v>-</v>
          </cell>
          <cell r="C67" t="str">
            <v>Peças de Desgaste do Britador 30m3/h</v>
          </cell>
          <cell r="D67" t="str">
            <v>cjh</v>
          </cell>
          <cell r="E67">
            <v>46.15</v>
          </cell>
          <cell r="F67">
            <v>0</v>
          </cell>
          <cell r="G67">
            <v>46.15</v>
          </cell>
          <cell r="H67" t="str">
            <v>-</v>
          </cell>
        </row>
        <row r="68">
          <cell r="A68" t="str">
            <v>1 A 00 962 00</v>
          </cell>
          <cell r="B68" t="str">
            <v>-</v>
          </cell>
          <cell r="C68" t="str">
            <v>Peças de Desgaste do Britador 9 a 20m3/h</v>
          </cell>
          <cell r="D68" t="str">
            <v>cjh</v>
          </cell>
          <cell r="E68">
            <v>19.72</v>
          </cell>
          <cell r="F68">
            <v>0</v>
          </cell>
          <cell r="G68">
            <v>19.72</v>
          </cell>
          <cell r="H68" t="str">
            <v>-</v>
          </cell>
        </row>
        <row r="69">
          <cell r="A69" t="str">
            <v>1 A 00 963 00</v>
          </cell>
          <cell r="B69" t="str">
            <v>-</v>
          </cell>
          <cell r="C69" t="str">
            <v>Peças de Desgaste do Britador 80m3/h</v>
          </cell>
          <cell r="D69" t="str">
            <v>cjh</v>
          </cell>
          <cell r="E69">
            <v>112.13</v>
          </cell>
          <cell r="F69">
            <v>0</v>
          </cell>
          <cell r="G69">
            <v>112.13</v>
          </cell>
          <cell r="H69" t="str">
            <v>-</v>
          </cell>
        </row>
        <row r="70">
          <cell r="A70" t="str">
            <v>1 A 00 964 00</v>
          </cell>
          <cell r="B70" t="str">
            <v>-</v>
          </cell>
          <cell r="C70" t="str">
            <v>Peças de desgaste britador prod. de rachão</v>
          </cell>
          <cell r="D70" t="str">
            <v>cjh</v>
          </cell>
          <cell r="E70">
            <v>36.07</v>
          </cell>
          <cell r="F70">
            <v>0</v>
          </cell>
          <cell r="G70">
            <v>36.07</v>
          </cell>
          <cell r="H70" t="str">
            <v>-</v>
          </cell>
        </row>
        <row r="71">
          <cell r="A71" t="str">
            <v>1 A 00 999 06</v>
          </cell>
          <cell r="B71" t="str">
            <v>-</v>
          </cell>
          <cell r="C71" t="str">
            <v>Solo local / selo de argila apiloado</v>
          </cell>
          <cell r="D71" t="str">
            <v>m³</v>
          </cell>
          <cell r="E71">
            <v>9.01</v>
          </cell>
          <cell r="F71">
            <v>0</v>
          </cell>
          <cell r="G71">
            <v>9.01</v>
          </cell>
          <cell r="H71" t="str">
            <v>-</v>
          </cell>
        </row>
        <row r="72">
          <cell r="A72" t="str">
            <v>1 A 01 100 01</v>
          </cell>
          <cell r="B72" t="str">
            <v>-</v>
          </cell>
          <cell r="C72" t="str">
            <v>Limpeza camada vegetal em jazida (const e restr.)</v>
          </cell>
          <cell r="D72" t="str">
            <v>m²</v>
          </cell>
          <cell r="E72">
            <v>0.28999999999999998</v>
          </cell>
          <cell r="F72">
            <v>0</v>
          </cell>
          <cell r="G72">
            <v>0.28999999999999998</v>
          </cell>
          <cell r="H72" t="str">
            <v>-</v>
          </cell>
        </row>
        <row r="73">
          <cell r="A73" t="str">
            <v>1 A 01 100 02</v>
          </cell>
          <cell r="B73" t="str">
            <v>-</v>
          </cell>
          <cell r="C73" t="str">
            <v>Limpeza de camada vegetal em jazida (consv)</v>
          </cell>
          <cell r="D73" t="str">
            <v>m²</v>
          </cell>
          <cell r="E73">
            <v>0.59</v>
          </cell>
          <cell r="F73">
            <v>0</v>
          </cell>
          <cell r="G73">
            <v>0.59</v>
          </cell>
          <cell r="H73" t="str">
            <v>-</v>
          </cell>
        </row>
        <row r="74">
          <cell r="A74" t="str">
            <v>1 A 01 105 01</v>
          </cell>
          <cell r="B74" t="str">
            <v>-</v>
          </cell>
          <cell r="C74" t="str">
            <v>Expurgo de jazida (const e restr)</v>
          </cell>
          <cell r="D74" t="str">
            <v>m³</v>
          </cell>
          <cell r="E74">
            <v>1.57</v>
          </cell>
          <cell r="F74">
            <v>0</v>
          </cell>
          <cell r="G74">
            <v>1.57</v>
          </cell>
          <cell r="H74" t="str">
            <v>-</v>
          </cell>
        </row>
        <row r="75">
          <cell r="A75" t="str">
            <v>1 A 01 105 02</v>
          </cell>
          <cell r="B75" t="str">
            <v>-</v>
          </cell>
          <cell r="C75" t="str">
            <v>Expurgo de jazida (consv)</v>
          </cell>
          <cell r="D75" t="str">
            <v>m³</v>
          </cell>
          <cell r="E75">
            <v>3.23</v>
          </cell>
          <cell r="F75">
            <v>0</v>
          </cell>
          <cell r="G75">
            <v>3.23</v>
          </cell>
          <cell r="H75" t="str">
            <v>-</v>
          </cell>
        </row>
        <row r="76">
          <cell r="A76" t="str">
            <v>1 A 01 111 00</v>
          </cell>
          <cell r="B76" t="str">
            <v>-</v>
          </cell>
          <cell r="C76" t="str">
            <v>Material de base (consv)</v>
          </cell>
          <cell r="D76" t="str">
            <v>m³</v>
          </cell>
          <cell r="E76">
            <v>0</v>
          </cell>
          <cell r="F76">
            <v>0</v>
          </cell>
          <cell r="G76">
            <v>0</v>
          </cell>
          <cell r="H76" t="str">
            <v>-</v>
          </cell>
        </row>
        <row r="77">
          <cell r="A77" t="str">
            <v>1 A 01 111 01</v>
          </cell>
          <cell r="B77" t="str">
            <v>-</v>
          </cell>
          <cell r="C77" t="str">
            <v>Esc. e carga material de jazida (consv)</v>
          </cell>
          <cell r="D77" t="str">
            <v>m³</v>
          </cell>
          <cell r="E77">
            <v>6.07</v>
          </cell>
          <cell r="F77">
            <v>0</v>
          </cell>
          <cell r="G77">
            <v>6.07</v>
          </cell>
          <cell r="H77" t="str">
            <v>-</v>
          </cell>
        </row>
        <row r="78">
          <cell r="A78" t="str">
            <v>1 A 01 120 01</v>
          </cell>
          <cell r="B78" t="str">
            <v>-</v>
          </cell>
          <cell r="C78" t="str">
            <v>Escav. e carga de mater. de jazida(const e restr)</v>
          </cell>
          <cell r="D78" t="str">
            <v>m³</v>
          </cell>
          <cell r="E78">
            <v>3.26</v>
          </cell>
          <cell r="F78">
            <v>0</v>
          </cell>
          <cell r="G78">
            <v>3.26</v>
          </cell>
          <cell r="H78" t="str">
            <v>-</v>
          </cell>
        </row>
        <row r="79">
          <cell r="A79" t="str">
            <v>1 A 01 150 01</v>
          </cell>
          <cell r="B79" t="str">
            <v>-</v>
          </cell>
          <cell r="C79" t="str">
            <v>Rocha p/ britagem c/ perfur. sobre esteira</v>
          </cell>
          <cell r="D79" t="str">
            <v>m³</v>
          </cell>
          <cell r="E79">
            <v>21.78</v>
          </cell>
          <cell r="F79">
            <v>0</v>
          </cell>
          <cell r="G79">
            <v>21.78</v>
          </cell>
          <cell r="H79" t="str">
            <v>-</v>
          </cell>
        </row>
        <row r="80">
          <cell r="A80" t="str">
            <v>1 A 01 150 02</v>
          </cell>
          <cell r="B80" t="str">
            <v>-</v>
          </cell>
          <cell r="C80" t="str">
            <v>Rocha p/ britagem com perfuratriz manual</v>
          </cell>
          <cell r="D80" t="str">
            <v>m³</v>
          </cell>
          <cell r="E80">
            <v>22.5</v>
          </cell>
          <cell r="F80">
            <v>0</v>
          </cell>
          <cell r="G80">
            <v>22.5</v>
          </cell>
          <cell r="H80" t="str">
            <v>-</v>
          </cell>
        </row>
        <row r="81">
          <cell r="A81" t="str">
            <v>1 A 01 155 01</v>
          </cell>
          <cell r="B81" t="str">
            <v>-</v>
          </cell>
          <cell r="C81" t="str">
            <v>Rachão ou pedra-de-mão produzidos-(const e rest)</v>
          </cell>
          <cell r="D81" t="str">
            <v>m³</v>
          </cell>
          <cell r="E81">
            <v>17.39</v>
          </cell>
          <cell r="F81">
            <v>0</v>
          </cell>
          <cell r="G81">
            <v>17.39</v>
          </cell>
          <cell r="H81" t="str">
            <v>-</v>
          </cell>
        </row>
        <row r="82">
          <cell r="A82" t="str">
            <v>1 A 01 155 51</v>
          </cell>
          <cell r="B82" t="str">
            <v>-</v>
          </cell>
          <cell r="C82" t="str">
            <v>Rachão ou pedra-de-mão comercial (cont e rest)/ PC</v>
          </cell>
          <cell r="D82" t="str">
            <v>m³</v>
          </cell>
          <cell r="E82">
            <v>21</v>
          </cell>
          <cell r="F82">
            <v>0</v>
          </cell>
          <cell r="G82">
            <v>21</v>
          </cell>
          <cell r="H82" t="str">
            <v>-</v>
          </cell>
        </row>
        <row r="83">
          <cell r="A83" t="str">
            <v>1 A 01 170 01</v>
          </cell>
          <cell r="B83" t="str">
            <v>-</v>
          </cell>
          <cell r="C83" t="str">
            <v>Areia extraída com escavadeira hidráulica</v>
          </cell>
          <cell r="D83" t="str">
            <v>m³</v>
          </cell>
          <cell r="E83">
            <v>5.16</v>
          </cell>
          <cell r="F83">
            <v>0</v>
          </cell>
          <cell r="G83">
            <v>5.16</v>
          </cell>
          <cell r="H83" t="str">
            <v>-</v>
          </cell>
        </row>
        <row r="84">
          <cell r="A84" t="str">
            <v>1 A 01 170 02</v>
          </cell>
          <cell r="B84" t="str">
            <v>-</v>
          </cell>
          <cell r="C84" t="str">
            <v>Areia extraída com trator e carregadeira</v>
          </cell>
          <cell r="D84" t="str">
            <v>m³</v>
          </cell>
          <cell r="E84">
            <v>4.37</v>
          </cell>
          <cell r="F84">
            <v>0</v>
          </cell>
          <cell r="G84">
            <v>4.37</v>
          </cell>
          <cell r="H84" t="str">
            <v>-</v>
          </cell>
        </row>
        <row r="85">
          <cell r="A85" t="str">
            <v>1 A 01 170 03</v>
          </cell>
          <cell r="B85" t="str">
            <v>-</v>
          </cell>
          <cell r="C85" t="str">
            <v>Areia extraída com draga de sucção (tipo bomba)</v>
          </cell>
          <cell r="D85" t="str">
            <v>m³</v>
          </cell>
          <cell r="E85">
            <v>14.15</v>
          </cell>
          <cell r="F85">
            <v>0</v>
          </cell>
          <cell r="G85">
            <v>14.15</v>
          </cell>
          <cell r="H85" t="str">
            <v>-</v>
          </cell>
        </row>
        <row r="86">
          <cell r="A86" t="str">
            <v>1 A 01 200 01</v>
          </cell>
          <cell r="B86" t="str">
            <v>-</v>
          </cell>
          <cell r="C86" t="str">
            <v>Brita produzida em central de britagem de 80 m3/h</v>
          </cell>
          <cell r="D86" t="str">
            <v>m³</v>
          </cell>
          <cell r="E86">
            <v>21.28</v>
          </cell>
          <cell r="F86">
            <v>0</v>
          </cell>
          <cell r="G86">
            <v>21.28</v>
          </cell>
          <cell r="H86" t="str">
            <v>-</v>
          </cell>
        </row>
        <row r="87">
          <cell r="A87" t="str">
            <v>1 A 01 200 02</v>
          </cell>
          <cell r="B87" t="str">
            <v>-</v>
          </cell>
          <cell r="C87" t="str">
            <v>Brita produzida em central de britagem de 30 m3/h</v>
          </cell>
          <cell r="D87" t="str">
            <v>m³</v>
          </cell>
          <cell r="E87">
            <v>26.92</v>
          </cell>
          <cell r="F87">
            <v>0</v>
          </cell>
          <cell r="G87">
            <v>26.92</v>
          </cell>
          <cell r="H87" t="str">
            <v>-</v>
          </cell>
        </row>
        <row r="88">
          <cell r="A88" t="str">
            <v>1 A 01 200 04</v>
          </cell>
          <cell r="B88" t="str">
            <v>-</v>
          </cell>
          <cell r="C88" t="str">
            <v>Pedra de mão produzida manualmente (consv)</v>
          </cell>
          <cell r="D88" t="str">
            <v>m³</v>
          </cell>
          <cell r="E88">
            <v>28.38</v>
          </cell>
          <cell r="F88">
            <v>0</v>
          </cell>
          <cell r="G88">
            <v>28.38</v>
          </cell>
          <cell r="H88" t="str">
            <v>-</v>
          </cell>
        </row>
        <row r="89">
          <cell r="A89" t="str">
            <v>1 A 01 390 02</v>
          </cell>
          <cell r="B89" t="str">
            <v>-</v>
          </cell>
          <cell r="C89" t="str">
            <v>Usinagem de CBUQ (capa de rolamento)</v>
          </cell>
          <cell r="D89" t="str">
            <v>t</v>
          </cell>
          <cell r="E89">
            <v>26.16</v>
          </cell>
          <cell r="F89">
            <v>0</v>
          </cell>
          <cell r="G89">
            <v>26.16</v>
          </cell>
          <cell r="H89" t="str">
            <v>-</v>
          </cell>
        </row>
        <row r="90">
          <cell r="A90" t="str">
            <v>1 A 01 390 03</v>
          </cell>
          <cell r="B90" t="str">
            <v>-</v>
          </cell>
          <cell r="C90" t="str">
            <v>Usinagem de CBUQ (binder)</v>
          </cell>
          <cell r="D90" t="str">
            <v>t</v>
          </cell>
          <cell r="E90">
            <v>25.61</v>
          </cell>
          <cell r="F90">
            <v>0</v>
          </cell>
          <cell r="G90">
            <v>25.61</v>
          </cell>
          <cell r="H90" t="str">
            <v>-</v>
          </cell>
        </row>
        <row r="91">
          <cell r="A91" t="str">
            <v>1 A 01 390 52</v>
          </cell>
          <cell r="B91" t="str">
            <v>-</v>
          </cell>
          <cell r="C91" t="str">
            <v>Usinagem de CBUQ (capa de rolamento) AC/BC</v>
          </cell>
          <cell r="D91" t="str">
            <v>t</v>
          </cell>
          <cell r="E91">
            <v>28.35</v>
          </cell>
          <cell r="F91">
            <v>0</v>
          </cell>
          <cell r="G91">
            <v>28.35</v>
          </cell>
          <cell r="H91" t="str">
            <v>-</v>
          </cell>
        </row>
        <row r="92">
          <cell r="A92" t="str">
            <v>1 A 01 390 53</v>
          </cell>
          <cell r="B92" t="str">
            <v>-</v>
          </cell>
          <cell r="C92" t="str">
            <v>Usinagem de CBUQ (binder) AC/BC</v>
          </cell>
          <cell r="D92" t="str">
            <v>t</v>
          </cell>
          <cell r="E92">
            <v>27.78</v>
          </cell>
          <cell r="F92">
            <v>0</v>
          </cell>
          <cell r="G92">
            <v>27.78</v>
          </cell>
          <cell r="H92" t="str">
            <v>-</v>
          </cell>
        </row>
        <row r="93">
          <cell r="A93" t="str">
            <v>1 A 01 391 02</v>
          </cell>
          <cell r="B93" t="str">
            <v>-</v>
          </cell>
          <cell r="C93" t="str">
            <v>Usinagem de areia-asfalto</v>
          </cell>
          <cell r="D93" t="str">
            <v>t</v>
          </cell>
          <cell r="E93">
            <v>28.44</v>
          </cell>
          <cell r="F93">
            <v>0</v>
          </cell>
          <cell r="G93">
            <v>28.44</v>
          </cell>
          <cell r="H93" t="str">
            <v>-</v>
          </cell>
        </row>
        <row r="94">
          <cell r="A94" t="str">
            <v>1 A 01 391 52</v>
          </cell>
          <cell r="B94" t="str">
            <v>-</v>
          </cell>
          <cell r="C94" t="str">
            <v>Usinagem de areia-asfalto AC</v>
          </cell>
          <cell r="D94" t="str">
            <v>t</v>
          </cell>
          <cell r="E94">
            <v>39.31</v>
          </cell>
          <cell r="F94">
            <v>0</v>
          </cell>
          <cell r="G94">
            <v>39.31</v>
          </cell>
          <cell r="H94" t="str">
            <v>-</v>
          </cell>
        </row>
        <row r="95">
          <cell r="A95" t="str">
            <v>1 A 01 395 01</v>
          </cell>
          <cell r="B95" t="str">
            <v>-</v>
          </cell>
          <cell r="C95" t="str">
            <v>Usinagem de brita graduada</v>
          </cell>
          <cell r="D95" t="str">
            <v>m³</v>
          </cell>
          <cell r="E95">
            <v>36.54</v>
          </cell>
          <cell r="F95">
            <v>0</v>
          </cell>
          <cell r="G95">
            <v>36.54</v>
          </cell>
          <cell r="H95" t="str">
            <v>-</v>
          </cell>
        </row>
        <row r="96">
          <cell r="A96" t="str">
            <v>1 A 01 395 02</v>
          </cell>
          <cell r="B96" t="str">
            <v>-</v>
          </cell>
          <cell r="C96" t="str">
            <v>Usinagem de solo-brita</v>
          </cell>
          <cell r="D96" t="str">
            <v>m³</v>
          </cell>
          <cell r="E96">
            <v>19.72</v>
          </cell>
          <cell r="F96">
            <v>0</v>
          </cell>
          <cell r="G96">
            <v>19.72</v>
          </cell>
          <cell r="H96" t="str">
            <v>-</v>
          </cell>
        </row>
        <row r="97">
          <cell r="A97" t="str">
            <v>1 A 01 395 51</v>
          </cell>
          <cell r="B97" t="str">
            <v>-</v>
          </cell>
          <cell r="C97" t="str">
            <v>Usinagem de brita graduada BC</v>
          </cell>
          <cell r="D97" t="str">
            <v>m³</v>
          </cell>
          <cell r="E97">
            <v>35.69</v>
          </cell>
          <cell r="F97">
            <v>0</v>
          </cell>
          <cell r="G97">
            <v>35.69</v>
          </cell>
          <cell r="H97" t="str">
            <v>-</v>
          </cell>
        </row>
        <row r="98">
          <cell r="A98" t="str">
            <v>1 A 01 395 52</v>
          </cell>
          <cell r="B98" t="str">
            <v>-</v>
          </cell>
          <cell r="C98" t="str">
            <v>Usinagem de solo-brita BC</v>
          </cell>
          <cell r="D98" t="str">
            <v>m³</v>
          </cell>
          <cell r="E98">
            <v>19.37</v>
          </cell>
          <cell r="F98">
            <v>0</v>
          </cell>
          <cell r="G98">
            <v>19.37</v>
          </cell>
          <cell r="H98" t="str">
            <v>-</v>
          </cell>
        </row>
        <row r="99">
          <cell r="A99" t="str">
            <v>1 A 01 396 01</v>
          </cell>
          <cell r="B99" t="str">
            <v>-</v>
          </cell>
          <cell r="C99" t="str">
            <v>Usinagem de solo-cimento</v>
          </cell>
          <cell r="D99" t="str">
            <v>m³</v>
          </cell>
          <cell r="E99">
            <v>64.83</v>
          </cell>
          <cell r="F99">
            <v>0</v>
          </cell>
          <cell r="G99">
            <v>64.83</v>
          </cell>
          <cell r="H99" t="str">
            <v>-</v>
          </cell>
        </row>
        <row r="100">
          <cell r="A100" t="str">
            <v>1 A 01 396 02</v>
          </cell>
          <cell r="B100" t="str">
            <v>-</v>
          </cell>
          <cell r="C100" t="str">
            <v>Usinagem de solo melhorado com cimento.</v>
          </cell>
          <cell r="D100" t="str">
            <v>m³</v>
          </cell>
          <cell r="E100">
            <v>35.6</v>
          </cell>
          <cell r="F100">
            <v>0</v>
          </cell>
          <cell r="G100">
            <v>35.6</v>
          </cell>
          <cell r="H100" t="str">
            <v>-</v>
          </cell>
        </row>
        <row r="101">
          <cell r="A101" t="str">
            <v>1 A 01 397 02</v>
          </cell>
          <cell r="B101" t="str">
            <v>-</v>
          </cell>
          <cell r="C101" t="str">
            <v>Usinagem de P.M.F.</v>
          </cell>
          <cell r="D101" t="str">
            <v>m³</v>
          </cell>
          <cell r="E101">
            <v>34.97</v>
          </cell>
          <cell r="F101">
            <v>0</v>
          </cell>
          <cell r="G101">
            <v>34.97</v>
          </cell>
          <cell r="H101" t="str">
            <v>-</v>
          </cell>
        </row>
        <row r="102">
          <cell r="A102" t="str">
            <v>1 A 01 397 52</v>
          </cell>
          <cell r="B102" t="str">
            <v>-</v>
          </cell>
          <cell r="C102" t="str">
            <v>Usinagem de P.M.F. AC/BC</v>
          </cell>
          <cell r="D102" t="str">
            <v>m³</v>
          </cell>
          <cell r="E102">
            <v>37.020000000000003</v>
          </cell>
          <cell r="F102">
            <v>0</v>
          </cell>
          <cell r="G102">
            <v>37.020000000000003</v>
          </cell>
          <cell r="H102" t="str">
            <v>-</v>
          </cell>
        </row>
        <row r="103">
          <cell r="A103" t="str">
            <v>1 A 01 398 02</v>
          </cell>
          <cell r="B103" t="str">
            <v>-</v>
          </cell>
          <cell r="C103" t="str">
            <v>Usinagem de CBUQ p/ reciclagem em usina fixa.</v>
          </cell>
          <cell r="D103" t="str">
            <v>t</v>
          </cell>
          <cell r="E103">
            <v>21.63</v>
          </cell>
          <cell r="F103">
            <v>0</v>
          </cell>
          <cell r="G103">
            <v>21.63</v>
          </cell>
          <cell r="H103" t="str">
            <v>-</v>
          </cell>
        </row>
        <row r="104">
          <cell r="A104" t="str">
            <v>1 A 01 398 52</v>
          </cell>
          <cell r="B104" t="str">
            <v>-</v>
          </cell>
          <cell r="C104" t="str">
            <v>Usinagem de CBUQ p/ reciclagem em usina fixa BC</v>
          </cell>
          <cell r="D104" t="str">
            <v>t</v>
          </cell>
          <cell r="E104">
            <v>21.45</v>
          </cell>
          <cell r="F104">
            <v>0</v>
          </cell>
          <cell r="G104">
            <v>21.45</v>
          </cell>
          <cell r="H104" t="str">
            <v>-</v>
          </cell>
        </row>
        <row r="105">
          <cell r="A105" t="str">
            <v>1 A 01 401 01</v>
          </cell>
          <cell r="B105" t="str">
            <v>-</v>
          </cell>
          <cell r="C105" t="str">
            <v>Fôrma comum de madeira</v>
          </cell>
          <cell r="D105" t="str">
            <v>m²</v>
          </cell>
          <cell r="E105">
            <v>30.39</v>
          </cell>
          <cell r="F105">
            <v>0</v>
          </cell>
          <cell r="G105">
            <v>30.39</v>
          </cell>
          <cell r="H105" t="str">
            <v>-</v>
          </cell>
        </row>
        <row r="106">
          <cell r="A106" t="str">
            <v>1 A 01 402 01</v>
          </cell>
          <cell r="B106" t="str">
            <v>-</v>
          </cell>
          <cell r="C106" t="str">
            <v>Fôrma de placa compensada resinada</v>
          </cell>
          <cell r="D106" t="str">
            <v>m²</v>
          </cell>
          <cell r="E106">
            <v>21.9</v>
          </cell>
          <cell r="F106">
            <v>0</v>
          </cell>
          <cell r="G106">
            <v>21.9</v>
          </cell>
          <cell r="H106" t="str">
            <v>-</v>
          </cell>
        </row>
        <row r="107">
          <cell r="A107" t="str">
            <v>1 A 01 403 01</v>
          </cell>
          <cell r="B107" t="str">
            <v>-</v>
          </cell>
          <cell r="C107" t="str">
            <v>Fôrma de placa compensada plastificada</v>
          </cell>
          <cell r="D107" t="str">
            <v>m²</v>
          </cell>
          <cell r="E107">
            <v>24.01</v>
          </cell>
          <cell r="F107">
            <v>0</v>
          </cell>
          <cell r="G107">
            <v>24.01</v>
          </cell>
          <cell r="H107" t="str">
            <v>-</v>
          </cell>
        </row>
        <row r="108">
          <cell r="A108" t="str">
            <v>1 A 01 404 01</v>
          </cell>
          <cell r="B108" t="str">
            <v>-</v>
          </cell>
          <cell r="C108" t="str">
            <v>Fôrma para tubulão</v>
          </cell>
          <cell r="D108" t="str">
            <v>m²</v>
          </cell>
          <cell r="E108">
            <v>15.85</v>
          </cell>
          <cell r="F108">
            <v>0</v>
          </cell>
          <cell r="G108">
            <v>15.85</v>
          </cell>
          <cell r="H108" t="str">
            <v>-</v>
          </cell>
        </row>
        <row r="109">
          <cell r="A109" t="str">
            <v>1 A 01 407 01</v>
          </cell>
          <cell r="B109" t="str">
            <v>-</v>
          </cell>
          <cell r="C109" t="str">
            <v>Confecção e lançam. de concreto magro em betoneira</v>
          </cell>
          <cell r="D109" t="str">
            <v>m³</v>
          </cell>
          <cell r="E109">
            <v>134.13999999999999</v>
          </cell>
          <cell r="F109">
            <v>0</v>
          </cell>
          <cell r="G109">
            <v>134.13999999999999</v>
          </cell>
          <cell r="H109" t="str">
            <v>-</v>
          </cell>
        </row>
        <row r="110">
          <cell r="A110" t="str">
            <v>1 A 01 407 51</v>
          </cell>
          <cell r="B110" t="str">
            <v>-</v>
          </cell>
          <cell r="C110" t="str">
            <v>Conf.e lanç. de concreto magro em betoneira AC/BC</v>
          </cell>
          <cell r="D110" t="str">
            <v>m³</v>
          </cell>
          <cell r="E110">
            <v>144.44999999999999</v>
          </cell>
          <cell r="F110">
            <v>0</v>
          </cell>
          <cell r="G110">
            <v>144.44999999999999</v>
          </cell>
          <cell r="H110" t="str">
            <v>-</v>
          </cell>
        </row>
        <row r="111">
          <cell r="A111" t="str">
            <v>1 A 01 408 01</v>
          </cell>
          <cell r="B111" t="str">
            <v>-</v>
          </cell>
          <cell r="C111" t="str">
            <v>Concreto fck=8MPa contr raz uso geral conf e lanç</v>
          </cell>
          <cell r="D111" t="str">
            <v>m³</v>
          </cell>
          <cell r="E111">
            <v>156.01</v>
          </cell>
          <cell r="F111">
            <v>0</v>
          </cell>
          <cell r="G111">
            <v>156.01</v>
          </cell>
          <cell r="H111" t="str">
            <v>-</v>
          </cell>
        </row>
        <row r="112">
          <cell r="A112" t="str">
            <v>1 A 01 408 51</v>
          </cell>
          <cell r="B112" t="str">
            <v>-</v>
          </cell>
          <cell r="C112" t="str">
            <v>Concr.fck=8MPa c.raz uso ger conf e lanç AC/BC</v>
          </cell>
          <cell r="D112" t="str">
            <v>m³</v>
          </cell>
          <cell r="E112">
            <v>165.63</v>
          </cell>
          <cell r="F112">
            <v>0</v>
          </cell>
          <cell r="G112">
            <v>165.63</v>
          </cell>
          <cell r="H112" t="str">
            <v>-</v>
          </cell>
        </row>
        <row r="113">
          <cell r="A113" t="str">
            <v>1 A 01 410 01</v>
          </cell>
          <cell r="B113" t="str">
            <v>-</v>
          </cell>
          <cell r="C113" t="str">
            <v>Concreto fck=10MPa contr raz uso geral conf e lanç</v>
          </cell>
          <cell r="D113" t="str">
            <v>m³</v>
          </cell>
          <cell r="E113">
            <v>163.52000000000001</v>
          </cell>
          <cell r="F113">
            <v>0</v>
          </cell>
          <cell r="G113">
            <v>163.52000000000001</v>
          </cell>
          <cell r="H113" t="str">
            <v>-</v>
          </cell>
        </row>
        <row r="114">
          <cell r="A114" t="str">
            <v>1 A 01 410 51</v>
          </cell>
          <cell r="B114" t="str">
            <v>-</v>
          </cell>
          <cell r="C114" t="str">
            <v>Concr.fck=10MPa c.raz uso ger conf/lanç AC/BC</v>
          </cell>
          <cell r="D114" t="str">
            <v>m³</v>
          </cell>
          <cell r="E114">
            <v>172.9</v>
          </cell>
          <cell r="F114">
            <v>0</v>
          </cell>
          <cell r="G114">
            <v>172.9</v>
          </cell>
          <cell r="H114" t="str">
            <v>-</v>
          </cell>
        </row>
        <row r="115">
          <cell r="A115" t="str">
            <v>1 A 01 412 01</v>
          </cell>
          <cell r="B115" t="str">
            <v>-</v>
          </cell>
          <cell r="C115" t="str">
            <v>Concreto fck=12MPa contr raz uso geral conf e lanç</v>
          </cell>
          <cell r="D115" t="str">
            <v>m³</v>
          </cell>
          <cell r="E115">
            <v>171.35</v>
          </cell>
          <cell r="F115">
            <v>0</v>
          </cell>
          <cell r="G115">
            <v>171.35</v>
          </cell>
          <cell r="H115" t="str">
            <v>-</v>
          </cell>
        </row>
        <row r="116">
          <cell r="A116" t="str">
            <v>1 A 01 412 51</v>
          </cell>
          <cell r="B116" t="str">
            <v>-</v>
          </cell>
          <cell r="C116" t="str">
            <v>Concr.fck=12MPa c.raz uso ger conf/lanç AC/BC</v>
          </cell>
          <cell r="D116" t="str">
            <v>m³</v>
          </cell>
          <cell r="E116">
            <v>180.49</v>
          </cell>
          <cell r="F116">
            <v>0</v>
          </cell>
          <cell r="G116">
            <v>180.49</v>
          </cell>
          <cell r="H116" t="str">
            <v>-</v>
          </cell>
        </row>
        <row r="117">
          <cell r="A117" t="str">
            <v>1 A 01 415 01</v>
          </cell>
          <cell r="B117" t="str">
            <v>-</v>
          </cell>
          <cell r="C117" t="str">
            <v>Concr estr fck=15MPa contr raz uso ger conf e lanç</v>
          </cell>
          <cell r="D117" t="str">
            <v>m³</v>
          </cell>
          <cell r="E117">
            <v>179.84</v>
          </cell>
          <cell r="F117">
            <v>0</v>
          </cell>
          <cell r="G117">
            <v>179.84</v>
          </cell>
          <cell r="H117" t="str">
            <v>-</v>
          </cell>
        </row>
        <row r="118">
          <cell r="A118" t="str">
            <v>1 A 01 415 51</v>
          </cell>
          <cell r="B118" t="str">
            <v>-</v>
          </cell>
          <cell r="C118" t="str">
            <v>Concr estr fck=15MPa c.raz uso ger conf/lanç AC/BC</v>
          </cell>
          <cell r="D118" t="str">
            <v>m³</v>
          </cell>
          <cell r="E118">
            <v>188.71</v>
          </cell>
          <cell r="F118">
            <v>0</v>
          </cell>
          <cell r="G118">
            <v>188.71</v>
          </cell>
          <cell r="H118" t="str">
            <v>-</v>
          </cell>
        </row>
        <row r="119">
          <cell r="A119" t="str">
            <v>1 A 01 518 01</v>
          </cell>
          <cell r="B119" t="str">
            <v>-</v>
          </cell>
          <cell r="C119" t="str">
            <v>Concr estr fck=18MPa contr raz uso ger conf e lanç</v>
          </cell>
          <cell r="D119" t="str">
            <v>m³</v>
          </cell>
          <cell r="E119">
            <v>188</v>
          </cell>
          <cell r="F119">
            <v>0</v>
          </cell>
          <cell r="G119">
            <v>188</v>
          </cell>
          <cell r="H119" t="str">
            <v>-</v>
          </cell>
        </row>
        <row r="120">
          <cell r="A120" t="str">
            <v>1 A 01 418 51</v>
          </cell>
          <cell r="B120" t="str">
            <v>-</v>
          </cell>
          <cell r="C120" t="str">
            <v>Concr.estr fck=18MPa c.raz uso ger conf/lanç AC/BC</v>
          </cell>
          <cell r="D120" t="str">
            <v>m³</v>
          </cell>
          <cell r="E120">
            <v>196.59</v>
          </cell>
          <cell r="F120">
            <v>0</v>
          </cell>
          <cell r="G120">
            <v>196.59</v>
          </cell>
          <cell r="H120" t="str">
            <v>-</v>
          </cell>
        </row>
        <row r="121">
          <cell r="A121" t="str">
            <v>1 A 01 422 00</v>
          </cell>
          <cell r="B121" t="str">
            <v>-</v>
          </cell>
          <cell r="C121" t="str">
            <v>Concr estr fck=22MPa contr raz uso ger conf e lanç</v>
          </cell>
          <cell r="D121" t="str">
            <v>m³</v>
          </cell>
          <cell r="E121">
            <v>202.69</v>
          </cell>
          <cell r="F121">
            <v>0</v>
          </cell>
          <cell r="G121">
            <v>202.69</v>
          </cell>
          <cell r="H121" t="str">
            <v>-</v>
          </cell>
        </row>
        <row r="122">
          <cell r="A122" t="str">
            <v>1 A 01 422 51</v>
          </cell>
          <cell r="B122" t="str">
            <v>-</v>
          </cell>
          <cell r="C122" t="str">
            <v>Concr.estr.fck=22MPa c.raz uso ger conf/lanç AC/BC</v>
          </cell>
          <cell r="D122" t="str">
            <v>m³</v>
          </cell>
          <cell r="E122">
            <v>210.82</v>
          </cell>
          <cell r="F122">
            <v>0</v>
          </cell>
          <cell r="G122">
            <v>210.82</v>
          </cell>
          <cell r="H122" t="str">
            <v>-</v>
          </cell>
        </row>
        <row r="123">
          <cell r="A123" t="str">
            <v>1 A 01 423 00</v>
          </cell>
          <cell r="B123" t="str">
            <v>-</v>
          </cell>
          <cell r="C123" t="str">
            <v>Concreto fck=18MPa para pré-moldados (tubos)</v>
          </cell>
          <cell r="D123" t="str">
            <v>m³</v>
          </cell>
          <cell r="E123">
            <v>182.22</v>
          </cell>
          <cell r="F123">
            <v>0</v>
          </cell>
          <cell r="G123">
            <v>182.22</v>
          </cell>
          <cell r="H123" t="str">
            <v>-</v>
          </cell>
        </row>
        <row r="124">
          <cell r="A124" t="str">
            <v>1 A 01 423 50</v>
          </cell>
          <cell r="B124" t="str">
            <v>-</v>
          </cell>
          <cell r="C124" t="str">
            <v>Concr.fck=18MPa para pré-moldados (tubos) AC/BC</v>
          </cell>
          <cell r="D124" t="str">
            <v>m³</v>
          </cell>
          <cell r="E124">
            <v>191.1</v>
          </cell>
          <cell r="F124">
            <v>0</v>
          </cell>
          <cell r="G124">
            <v>191.1</v>
          </cell>
          <cell r="H124" t="str">
            <v>-</v>
          </cell>
        </row>
        <row r="125">
          <cell r="A125" t="str">
            <v>1 A 01 424 00</v>
          </cell>
          <cell r="B125" t="str">
            <v>-</v>
          </cell>
          <cell r="C125" t="str">
            <v>Concreto poroso para pré-moldados (tubos)</v>
          </cell>
          <cell r="D125" t="str">
            <v>m³</v>
          </cell>
          <cell r="E125">
            <v>187.06</v>
          </cell>
          <cell r="F125">
            <v>0</v>
          </cell>
          <cell r="G125">
            <v>187.06</v>
          </cell>
          <cell r="H125" t="str">
            <v>-</v>
          </cell>
        </row>
        <row r="126">
          <cell r="A126" t="str">
            <v>1 A 01 424 50</v>
          </cell>
          <cell r="B126" t="str">
            <v>-</v>
          </cell>
          <cell r="C126" t="str">
            <v>Concreto poroso para pré-moldados (tubos) AC/BC</v>
          </cell>
          <cell r="D126" t="str">
            <v>m³</v>
          </cell>
          <cell r="E126">
            <v>191.25</v>
          </cell>
          <cell r="F126">
            <v>0</v>
          </cell>
          <cell r="G126">
            <v>191.25</v>
          </cell>
          <cell r="H126" t="str">
            <v>-</v>
          </cell>
        </row>
        <row r="127">
          <cell r="A127" t="str">
            <v>1 A 01 450 01</v>
          </cell>
          <cell r="B127" t="str">
            <v>-</v>
          </cell>
          <cell r="C127" t="str">
            <v>Escoramento de bueiros celulares</v>
          </cell>
          <cell r="D127" t="str">
            <v>m³</v>
          </cell>
          <cell r="E127">
            <v>27.96</v>
          </cell>
          <cell r="F127">
            <v>0</v>
          </cell>
          <cell r="G127">
            <v>27.96</v>
          </cell>
          <cell r="H127" t="str">
            <v>-</v>
          </cell>
        </row>
        <row r="128">
          <cell r="A128" t="str">
            <v>1 A 01 512 10</v>
          </cell>
          <cell r="B128" t="str">
            <v>-</v>
          </cell>
          <cell r="C128" t="str">
            <v>Concreto ciclópico fck=12 MPa</v>
          </cell>
          <cell r="D128" t="str">
            <v>m³</v>
          </cell>
          <cell r="E128">
            <v>132.57</v>
          </cell>
          <cell r="F128">
            <v>0</v>
          </cell>
          <cell r="G128">
            <v>132.57</v>
          </cell>
          <cell r="H128" t="str">
            <v>-</v>
          </cell>
        </row>
        <row r="129">
          <cell r="A129" t="str">
            <v>1 A 01 512 60</v>
          </cell>
          <cell r="B129" t="str">
            <v>-</v>
          </cell>
          <cell r="C129" t="str">
            <v>Concreto ciclópico fck=12 MPa AC/BC/PC</v>
          </cell>
          <cell r="D129" t="str">
            <v>m³</v>
          </cell>
          <cell r="E129">
            <v>140.21</v>
          </cell>
          <cell r="F129">
            <v>0</v>
          </cell>
          <cell r="G129">
            <v>140.21</v>
          </cell>
          <cell r="H129" t="str">
            <v>-</v>
          </cell>
        </row>
        <row r="130">
          <cell r="A130" t="str">
            <v>1 A 01 515 10</v>
          </cell>
          <cell r="B130" t="str">
            <v>-</v>
          </cell>
          <cell r="C130" t="str">
            <v>Concreto ciclópico fck=15 MPa</v>
          </cell>
          <cell r="D130" t="str">
            <v>m³</v>
          </cell>
          <cell r="E130">
            <v>138.51</v>
          </cell>
          <cell r="F130">
            <v>0</v>
          </cell>
          <cell r="G130">
            <v>138.51</v>
          </cell>
          <cell r="H130" t="str">
            <v>-</v>
          </cell>
        </row>
        <row r="131">
          <cell r="A131" t="str">
            <v>1 A 01 515 60</v>
          </cell>
          <cell r="B131" t="str">
            <v>-</v>
          </cell>
          <cell r="C131" t="str">
            <v>Concreto ciclópico fck=15 MPa AC/BC/PC</v>
          </cell>
          <cell r="D131" t="str">
            <v>m³</v>
          </cell>
          <cell r="E131">
            <v>145.96</v>
          </cell>
          <cell r="F131">
            <v>0</v>
          </cell>
          <cell r="G131">
            <v>145.96</v>
          </cell>
          <cell r="H131" t="str">
            <v>-</v>
          </cell>
        </row>
        <row r="132">
          <cell r="A132" t="str">
            <v>1 A 01 580 01</v>
          </cell>
          <cell r="B132" t="str">
            <v>-</v>
          </cell>
          <cell r="C132" t="str">
            <v>Fornecimento, preparo e colocação formas aço CA 60</v>
          </cell>
          <cell r="D132" t="str">
            <v>kg</v>
          </cell>
          <cell r="E132">
            <v>5.86</v>
          </cell>
          <cell r="F132">
            <v>0</v>
          </cell>
          <cell r="G132">
            <v>5.86</v>
          </cell>
          <cell r="H132" t="str">
            <v>-</v>
          </cell>
        </row>
        <row r="133">
          <cell r="A133" t="str">
            <v>1 A 01 580 02</v>
          </cell>
          <cell r="B133" t="str">
            <v>-</v>
          </cell>
          <cell r="C133" t="str">
            <v>Fornecimento, preparo e colocação formas aço CA 50</v>
          </cell>
          <cell r="D133" t="str">
            <v>kg</v>
          </cell>
          <cell r="E133">
            <v>5.29</v>
          </cell>
          <cell r="F133">
            <v>0</v>
          </cell>
          <cell r="G133">
            <v>5.29</v>
          </cell>
          <cell r="H133" t="str">
            <v>-</v>
          </cell>
        </row>
        <row r="134">
          <cell r="A134" t="str">
            <v>1 A 01 580 03</v>
          </cell>
          <cell r="B134" t="str">
            <v>-</v>
          </cell>
          <cell r="C134" t="str">
            <v>Fornecimento, preparo e colocação formas aço CA 25</v>
          </cell>
          <cell r="D134" t="str">
            <v>kg</v>
          </cell>
          <cell r="E134">
            <v>5.46</v>
          </cell>
          <cell r="F134">
            <v>0</v>
          </cell>
          <cell r="G134">
            <v>5.46</v>
          </cell>
          <cell r="H134" t="str">
            <v>-</v>
          </cell>
        </row>
        <row r="135">
          <cell r="A135" t="str">
            <v>1 A 01 603 01</v>
          </cell>
          <cell r="B135" t="str">
            <v>-</v>
          </cell>
          <cell r="C135" t="str">
            <v>Argamassa cimento-areia 1:3</v>
          </cell>
          <cell r="D135" t="str">
            <v>m³</v>
          </cell>
          <cell r="E135">
            <v>196.53</v>
          </cell>
          <cell r="F135">
            <v>0</v>
          </cell>
          <cell r="G135">
            <v>196.53</v>
          </cell>
          <cell r="H135" t="str">
            <v>-</v>
          </cell>
        </row>
        <row r="136">
          <cell r="A136" t="str">
            <v>1 A 01 603 51</v>
          </cell>
          <cell r="B136" t="str">
            <v>-</v>
          </cell>
          <cell r="C136" t="str">
            <v>Argamassa cimento-areia 1:3 AC</v>
          </cell>
          <cell r="D136" t="str">
            <v>m³</v>
          </cell>
          <cell r="E136">
            <v>212.37</v>
          </cell>
          <cell r="F136">
            <v>0</v>
          </cell>
          <cell r="G136">
            <v>212.37</v>
          </cell>
          <cell r="H136" t="str">
            <v>-</v>
          </cell>
        </row>
        <row r="137">
          <cell r="A137" t="str">
            <v>1 A 01 604 01</v>
          </cell>
          <cell r="B137" t="str">
            <v>-</v>
          </cell>
          <cell r="C137" t="str">
            <v>Argamassa cimento-areia 1:4</v>
          </cell>
          <cell r="D137" t="str">
            <v>m³</v>
          </cell>
          <cell r="E137">
            <v>164.05</v>
          </cell>
          <cell r="F137">
            <v>0</v>
          </cell>
          <cell r="G137">
            <v>164.05</v>
          </cell>
          <cell r="H137" t="str">
            <v>-</v>
          </cell>
        </row>
        <row r="138">
          <cell r="A138" t="str">
            <v>1 A 01 604 51</v>
          </cell>
          <cell r="B138" t="str">
            <v>-</v>
          </cell>
          <cell r="C138" t="str">
            <v>Argamassa cimento-areia 1:4 AC</v>
          </cell>
          <cell r="D138" t="str">
            <v>m³</v>
          </cell>
          <cell r="E138">
            <v>181.4</v>
          </cell>
          <cell r="F138">
            <v>0</v>
          </cell>
          <cell r="G138">
            <v>181.4</v>
          </cell>
          <cell r="H138" t="str">
            <v>-</v>
          </cell>
        </row>
        <row r="139">
          <cell r="A139" t="str">
            <v>1 A 01 606 01</v>
          </cell>
          <cell r="B139" t="str">
            <v>-</v>
          </cell>
          <cell r="C139" t="str">
            <v>Argamassa cimento-areia 1:6</v>
          </cell>
          <cell r="D139" t="str">
            <v>m³</v>
          </cell>
          <cell r="E139">
            <v>139.56</v>
          </cell>
          <cell r="F139">
            <v>0</v>
          </cell>
          <cell r="G139">
            <v>139.56</v>
          </cell>
          <cell r="H139" t="str">
            <v>-</v>
          </cell>
        </row>
        <row r="140">
          <cell r="A140" t="str">
            <v>1 A 01 606 51</v>
          </cell>
          <cell r="B140" t="str">
            <v>-</v>
          </cell>
          <cell r="C140" t="str">
            <v xml:space="preserve"> Argamassa cimento-areia 1:6 AC</v>
          </cell>
          <cell r="D140" t="str">
            <v>m³</v>
          </cell>
          <cell r="E140">
            <v>157.66</v>
          </cell>
          <cell r="F140">
            <v>0</v>
          </cell>
          <cell r="G140">
            <v>157.66</v>
          </cell>
          <cell r="H140" t="str">
            <v>-</v>
          </cell>
        </row>
        <row r="141">
          <cell r="A141" t="str">
            <v>1 A 01 620 01</v>
          </cell>
          <cell r="B141" t="str">
            <v>-</v>
          </cell>
          <cell r="C141" t="str">
            <v>Argamassa cimento-solo 1:10</v>
          </cell>
          <cell r="D141" t="str">
            <v>m³</v>
          </cell>
          <cell r="E141">
            <v>91.73</v>
          </cell>
          <cell r="F141">
            <v>0</v>
          </cell>
          <cell r="G141">
            <v>91.73</v>
          </cell>
          <cell r="H141" t="str">
            <v>-</v>
          </cell>
        </row>
        <row r="142">
          <cell r="A142" t="str">
            <v>1 A 01 653 00</v>
          </cell>
          <cell r="B142" t="str">
            <v>-</v>
          </cell>
          <cell r="C142" t="str">
            <v>Usinagem para sub-base de concreto rolado</v>
          </cell>
          <cell r="D142" t="str">
            <v>m³</v>
          </cell>
          <cell r="E142">
            <v>64.599999999999994</v>
          </cell>
          <cell r="F142">
            <v>0</v>
          </cell>
          <cell r="G142">
            <v>64.599999999999994</v>
          </cell>
          <cell r="H142" t="str">
            <v>-</v>
          </cell>
        </row>
        <row r="143">
          <cell r="A143" t="str">
            <v>1 A 01 653 50</v>
          </cell>
          <cell r="B143" t="str">
            <v>-</v>
          </cell>
          <cell r="C143" t="str">
            <v>Usinagem p/ sub-base de concreto rolado AC/BC</v>
          </cell>
          <cell r="D143" t="str">
            <v>m³</v>
          </cell>
          <cell r="E143">
            <v>63.74</v>
          </cell>
          <cell r="F143">
            <v>0</v>
          </cell>
          <cell r="G143">
            <v>63.74</v>
          </cell>
          <cell r="H143" t="str">
            <v>-</v>
          </cell>
        </row>
        <row r="144">
          <cell r="A144" t="str">
            <v>1 A 01 654 00</v>
          </cell>
          <cell r="B144" t="str">
            <v>-</v>
          </cell>
          <cell r="C144" t="str">
            <v>Usinagem p/ sub-base de concr. de cimento portland</v>
          </cell>
          <cell r="D144" t="str">
            <v>m³</v>
          </cell>
          <cell r="E144">
            <v>85.55</v>
          </cell>
          <cell r="F144">
            <v>0</v>
          </cell>
          <cell r="G144">
            <v>85.55</v>
          </cell>
          <cell r="H144" t="str">
            <v>-</v>
          </cell>
        </row>
        <row r="145">
          <cell r="A145" t="str">
            <v>1 A 01 654 50</v>
          </cell>
          <cell r="B145" t="str">
            <v>-</v>
          </cell>
          <cell r="C145" t="str">
            <v>Usinagem p/sub-base de concr.cimento portl. AC/BC</v>
          </cell>
          <cell r="D145" t="str">
            <v>m³</v>
          </cell>
          <cell r="E145">
            <v>84.69</v>
          </cell>
          <cell r="F145">
            <v>0</v>
          </cell>
          <cell r="G145">
            <v>84.69</v>
          </cell>
          <cell r="H145" t="str">
            <v>-</v>
          </cell>
        </row>
        <row r="146">
          <cell r="A146" t="str">
            <v>1 A 01 656 00</v>
          </cell>
          <cell r="B146" t="str">
            <v>-</v>
          </cell>
          <cell r="C146" t="str">
            <v>Usinagem p/ conc. de cim. portland c/ forma desliz</v>
          </cell>
          <cell r="D146" t="str">
            <v>m³</v>
          </cell>
          <cell r="E146">
            <v>125.33</v>
          </cell>
          <cell r="F146">
            <v>0</v>
          </cell>
          <cell r="G146">
            <v>125.33</v>
          </cell>
          <cell r="H146" t="str">
            <v>-</v>
          </cell>
        </row>
        <row r="147">
          <cell r="A147" t="str">
            <v>1 A 01 656 50</v>
          </cell>
          <cell r="B147" t="str">
            <v>-</v>
          </cell>
          <cell r="C147" t="str">
            <v>Usinagem p/ conc.cim.portl.c/ forma desliz AC/BC</v>
          </cell>
          <cell r="D147" t="str">
            <v>m³</v>
          </cell>
          <cell r="E147">
            <v>135.15</v>
          </cell>
          <cell r="F147">
            <v>0</v>
          </cell>
          <cell r="G147">
            <v>135.15</v>
          </cell>
          <cell r="H147" t="str">
            <v>-</v>
          </cell>
        </row>
        <row r="148">
          <cell r="A148" t="str">
            <v>1 A 01 657 00</v>
          </cell>
          <cell r="B148" t="str">
            <v>-</v>
          </cell>
          <cell r="C148" t="str">
            <v>Usinagem p/ conc.cim. portland c/ equip. peq. por.</v>
          </cell>
          <cell r="D148" t="str">
            <v>m³</v>
          </cell>
          <cell r="E148">
            <v>185.09</v>
          </cell>
          <cell r="F148">
            <v>0</v>
          </cell>
          <cell r="G148">
            <v>185.09</v>
          </cell>
          <cell r="H148" t="str">
            <v>-</v>
          </cell>
        </row>
        <row r="149">
          <cell r="A149" t="str">
            <v>1 A 01 657 50</v>
          </cell>
          <cell r="B149" t="str">
            <v>-</v>
          </cell>
          <cell r="C149" t="str">
            <v>Usinagem p/conc.cim. portl.c/ equip.peq.por.AC/BC</v>
          </cell>
          <cell r="D149" t="str">
            <v>m³</v>
          </cell>
          <cell r="E149">
            <v>193.21</v>
          </cell>
          <cell r="F149">
            <v>0</v>
          </cell>
          <cell r="G149">
            <v>193.21</v>
          </cell>
          <cell r="H149" t="str">
            <v>-</v>
          </cell>
        </row>
        <row r="150">
          <cell r="A150" t="str">
            <v>1 A 01 700 00</v>
          </cell>
          <cell r="B150" t="str">
            <v>-</v>
          </cell>
          <cell r="C150" t="str">
            <v>Fabricação de peças pré mold. de conc. p/ pavim.</v>
          </cell>
          <cell r="D150" t="str">
            <v>m³</v>
          </cell>
          <cell r="E150">
            <v>201.84</v>
          </cell>
          <cell r="F150">
            <v>0</v>
          </cell>
          <cell r="G150">
            <v>201.84</v>
          </cell>
          <cell r="H150" t="str">
            <v>-</v>
          </cell>
        </row>
        <row r="151">
          <cell r="A151" t="str">
            <v>1 A 01 700 50</v>
          </cell>
          <cell r="B151" t="str">
            <v>-</v>
          </cell>
          <cell r="C151" t="str">
            <v>Fabric.de peças pré mold.de conc. p/pavim.AC/BC</v>
          </cell>
          <cell r="D151" t="str">
            <v>m³</v>
          </cell>
          <cell r="E151">
            <v>209.49</v>
          </cell>
          <cell r="F151">
            <v>0</v>
          </cell>
          <cell r="G151">
            <v>209.49</v>
          </cell>
          <cell r="H151" t="str">
            <v>-</v>
          </cell>
        </row>
        <row r="152">
          <cell r="A152" t="str">
            <v>1 A 01 720 00</v>
          </cell>
          <cell r="B152" t="str">
            <v>-</v>
          </cell>
          <cell r="C152" t="str">
            <v>Concreto fck=18MPa p/ pré-moldados (guarda-corpo)</v>
          </cell>
          <cell r="D152" t="str">
            <v>m³</v>
          </cell>
          <cell r="E152">
            <v>184.93</v>
          </cell>
          <cell r="F152">
            <v>0</v>
          </cell>
          <cell r="G152">
            <v>184.93</v>
          </cell>
          <cell r="H152" t="str">
            <v>-</v>
          </cell>
        </row>
        <row r="153">
          <cell r="A153" t="str">
            <v>1 A 01 720 01</v>
          </cell>
          <cell r="B153" t="str">
            <v>-</v>
          </cell>
          <cell r="C153" t="str">
            <v>Guarda-corpo tipo GM, moldado no local</v>
          </cell>
          <cell r="D153" t="str">
            <v>m³</v>
          </cell>
          <cell r="E153">
            <v>165.48</v>
          </cell>
          <cell r="F153">
            <v>0</v>
          </cell>
          <cell r="G153">
            <v>165.48</v>
          </cell>
          <cell r="H153" t="str">
            <v>-</v>
          </cell>
        </row>
        <row r="154">
          <cell r="A154" t="str">
            <v>1 A 01 720 02</v>
          </cell>
          <cell r="B154" t="str">
            <v>-</v>
          </cell>
          <cell r="C154" t="str">
            <v>Fabricação de Guarda-corpo</v>
          </cell>
          <cell r="D154" t="str">
            <v>m³</v>
          </cell>
          <cell r="E154">
            <v>30.74</v>
          </cell>
          <cell r="F154">
            <v>0</v>
          </cell>
          <cell r="G154">
            <v>30.74</v>
          </cell>
          <cell r="H154" t="str">
            <v>-</v>
          </cell>
        </row>
        <row r="155">
          <cell r="A155" t="str">
            <v>1 A 01 720 50</v>
          </cell>
          <cell r="B155" t="str">
            <v>-</v>
          </cell>
          <cell r="C155" t="str">
            <v>Concr.fck = 18 mPa p/pré-mold.(guarda-corpo)AC/BC</v>
          </cell>
          <cell r="D155" t="str">
            <v>m³</v>
          </cell>
          <cell r="E155">
            <v>193.82</v>
          </cell>
          <cell r="F155">
            <v>0</v>
          </cell>
          <cell r="G155">
            <v>193.82</v>
          </cell>
          <cell r="H155" t="str">
            <v>-</v>
          </cell>
        </row>
        <row r="156">
          <cell r="A156" t="str">
            <v>1 A 01 720 51</v>
          </cell>
          <cell r="B156" t="str">
            <v>-</v>
          </cell>
          <cell r="C156" t="str">
            <v>Guarda-corpo tipo GM, moldado no local AC/BC</v>
          </cell>
          <cell r="D156" t="str">
            <v>m</v>
          </cell>
          <cell r="E156">
            <v>167.48</v>
          </cell>
          <cell r="F156">
            <v>0</v>
          </cell>
          <cell r="G156">
            <v>167.48</v>
          </cell>
          <cell r="H156" t="str">
            <v>-</v>
          </cell>
        </row>
        <row r="157">
          <cell r="A157" t="str">
            <v>1 A 01 720 52</v>
          </cell>
          <cell r="B157" t="str">
            <v>-</v>
          </cell>
          <cell r="C157" t="str">
            <v>Fabricação de guarda - corpo AC/BC</v>
          </cell>
          <cell r="D157" t="str">
            <v>m</v>
          </cell>
          <cell r="E157">
            <v>0</v>
          </cell>
          <cell r="F157">
            <v>0</v>
          </cell>
          <cell r="G157">
            <v>0</v>
          </cell>
          <cell r="H157" t="str">
            <v>-</v>
          </cell>
        </row>
        <row r="158">
          <cell r="A158" t="str">
            <v>1 A 01 725 01</v>
          </cell>
          <cell r="B158" t="str">
            <v>-</v>
          </cell>
          <cell r="C158" t="str">
            <v>Fabricação de balizador de concreto</v>
          </cell>
          <cell r="D158" t="str">
            <v>un</v>
          </cell>
          <cell r="E158">
            <v>9.0399999999999991</v>
          </cell>
          <cell r="F158">
            <v>0</v>
          </cell>
          <cell r="G158">
            <v>9.0399999999999991</v>
          </cell>
          <cell r="H158" t="str">
            <v>-</v>
          </cell>
        </row>
        <row r="159">
          <cell r="A159" t="str">
            <v>1 A 01 725 51</v>
          </cell>
          <cell r="B159" t="str">
            <v>-</v>
          </cell>
          <cell r="C159" t="str">
            <v>Fabricação de balizador de concreto AC/BC</v>
          </cell>
          <cell r="D159" t="str">
            <v>un</v>
          </cell>
          <cell r="E159">
            <v>9.08</v>
          </cell>
          <cell r="F159">
            <v>0</v>
          </cell>
          <cell r="G159">
            <v>9.08</v>
          </cell>
          <cell r="H159" t="str">
            <v>-</v>
          </cell>
        </row>
        <row r="160">
          <cell r="A160" t="str">
            <v>1 A 01 730 00</v>
          </cell>
          <cell r="B160" t="str">
            <v>-</v>
          </cell>
          <cell r="C160" t="str">
            <v>Concreto fck=18MPa p/ pré moldados (mourões)</v>
          </cell>
          <cell r="D160" t="str">
            <v>m³</v>
          </cell>
          <cell r="E160">
            <v>156.22999999999999</v>
          </cell>
          <cell r="F160">
            <v>0</v>
          </cell>
          <cell r="G160">
            <v>156.22999999999999</v>
          </cell>
          <cell r="H160" t="str">
            <v>-</v>
          </cell>
        </row>
        <row r="161">
          <cell r="A161" t="str">
            <v>1 A 01 730 01</v>
          </cell>
          <cell r="B161" t="str">
            <v>-</v>
          </cell>
          <cell r="C161" t="str">
            <v>Fabr. mourão de concr. esticador seção quad. 15cm</v>
          </cell>
          <cell r="D161" t="str">
            <v>un</v>
          </cell>
          <cell r="E161">
            <v>25.25</v>
          </cell>
          <cell r="F161">
            <v>0</v>
          </cell>
          <cell r="G161">
            <v>25.25</v>
          </cell>
          <cell r="H161" t="str">
            <v>-</v>
          </cell>
        </row>
        <row r="162">
          <cell r="A162" t="str">
            <v>1 A 01 730 02</v>
          </cell>
          <cell r="B162" t="str">
            <v>-</v>
          </cell>
          <cell r="C162" t="str">
            <v>Fabr. mourão de concr esticador seção triang. 15cm</v>
          </cell>
          <cell r="D162" t="str">
            <v>un</v>
          </cell>
          <cell r="E162">
            <v>16.96</v>
          </cell>
          <cell r="F162">
            <v>0</v>
          </cell>
          <cell r="G162">
            <v>16.96</v>
          </cell>
          <cell r="H162" t="str">
            <v>-</v>
          </cell>
        </row>
        <row r="163">
          <cell r="A163" t="str">
            <v>1 A 01 730 50</v>
          </cell>
          <cell r="B163" t="str">
            <v>-</v>
          </cell>
          <cell r="C163" t="str">
            <v>Concreto fck=18MPa p/pré moldados (mourões) AC/BC</v>
          </cell>
          <cell r="D163" t="str">
            <v>m³</v>
          </cell>
          <cell r="E163">
            <v>165.11</v>
          </cell>
          <cell r="F163">
            <v>0</v>
          </cell>
          <cell r="G163">
            <v>165.11</v>
          </cell>
          <cell r="H163" t="str">
            <v>-</v>
          </cell>
        </row>
        <row r="164">
          <cell r="A164" t="str">
            <v>1 A 01 730 51</v>
          </cell>
          <cell r="B164" t="str">
            <v>-</v>
          </cell>
          <cell r="C164" t="str">
            <v>Fabric.Mourão concr.estic.seção quadr.15cm AC/BC</v>
          </cell>
          <cell r="D164" t="str">
            <v>un</v>
          </cell>
          <cell r="E164">
            <v>25.69</v>
          </cell>
          <cell r="F164">
            <v>0</v>
          </cell>
          <cell r="G164">
            <v>25.69</v>
          </cell>
          <cell r="H164" t="str">
            <v>-</v>
          </cell>
        </row>
        <row r="165">
          <cell r="A165" t="str">
            <v>1 A 01 730 52</v>
          </cell>
          <cell r="B165" t="str">
            <v>-</v>
          </cell>
          <cell r="C165" t="str">
            <v>Fabric.Mourão concr.estic.seção triang.15cm AC/BC</v>
          </cell>
          <cell r="D165" t="str">
            <v>un</v>
          </cell>
          <cell r="E165">
            <v>17.18</v>
          </cell>
          <cell r="F165">
            <v>0</v>
          </cell>
          <cell r="G165">
            <v>17.18</v>
          </cell>
          <cell r="H165" t="str">
            <v>-</v>
          </cell>
        </row>
        <row r="166">
          <cell r="A166" t="str">
            <v>1 A 01 735 01</v>
          </cell>
          <cell r="B166" t="str">
            <v>-</v>
          </cell>
          <cell r="C166" t="str">
            <v>Fabr. mourão de concreto suporte seção quad. 11cm</v>
          </cell>
          <cell r="D166" t="str">
            <v>un</v>
          </cell>
          <cell r="E166">
            <v>18.850000000000001</v>
          </cell>
          <cell r="F166">
            <v>0</v>
          </cell>
          <cell r="G166">
            <v>18.850000000000001</v>
          </cell>
          <cell r="H166" t="str">
            <v>-</v>
          </cell>
        </row>
        <row r="167">
          <cell r="A167" t="str">
            <v>1 A 01 735 02</v>
          </cell>
          <cell r="B167" t="str">
            <v>-</v>
          </cell>
          <cell r="C167" t="str">
            <v>Fabr. mourão de concr. suporte seção triang. 11cm</v>
          </cell>
          <cell r="D167" t="str">
            <v>un</v>
          </cell>
          <cell r="E167">
            <v>12.94</v>
          </cell>
          <cell r="F167">
            <v>0</v>
          </cell>
          <cell r="G167">
            <v>12.94</v>
          </cell>
          <cell r="H167" t="str">
            <v>-</v>
          </cell>
        </row>
        <row r="168">
          <cell r="A168" t="str">
            <v>1 A 01 735 51</v>
          </cell>
          <cell r="B168" t="str">
            <v>-</v>
          </cell>
          <cell r="C168" t="str">
            <v>Fabric.Mourão concr.suporte seção quadr.11cm AC/BC</v>
          </cell>
          <cell r="D168" t="str">
            <v>un</v>
          </cell>
          <cell r="E168">
            <v>19.079999999999998</v>
          </cell>
          <cell r="F168">
            <v>0</v>
          </cell>
          <cell r="G168">
            <v>19.079999999999998</v>
          </cell>
          <cell r="H168" t="str">
            <v>-</v>
          </cell>
        </row>
        <row r="169">
          <cell r="A169" t="str">
            <v>1 A 01 735 52</v>
          </cell>
          <cell r="B169" t="str">
            <v>-</v>
          </cell>
          <cell r="C169" t="str">
            <v>Fabric.Mourão concr.suporte sec.triang.11cm AC/BC</v>
          </cell>
          <cell r="D169" t="str">
            <v>un</v>
          </cell>
          <cell r="E169">
            <v>13.05</v>
          </cell>
          <cell r="F169">
            <v>0</v>
          </cell>
          <cell r="G169">
            <v>13.05</v>
          </cell>
          <cell r="H169" t="str">
            <v>-</v>
          </cell>
        </row>
        <row r="170">
          <cell r="A170" t="str">
            <v>1 A 01 739 01</v>
          </cell>
          <cell r="B170" t="str">
            <v>-</v>
          </cell>
          <cell r="C170" t="str">
            <v>Confecção de tubos de concreto D=0,20m</v>
          </cell>
          <cell r="D170" t="str">
            <v>m</v>
          </cell>
          <cell r="E170">
            <v>10.199999999999999</v>
          </cell>
          <cell r="F170">
            <v>0</v>
          </cell>
          <cell r="G170">
            <v>10.199999999999999</v>
          </cell>
          <cell r="H170" t="str">
            <v>-</v>
          </cell>
        </row>
        <row r="171">
          <cell r="A171" t="str">
            <v>1 A 01 739 51</v>
          </cell>
          <cell r="B171" t="str">
            <v>-</v>
          </cell>
          <cell r="C171" t="str">
            <v>Confecção de tubos de concreto D=0,20m AC/BC</v>
          </cell>
          <cell r="D171" t="str">
            <v>m</v>
          </cell>
          <cell r="E171">
            <v>10.47</v>
          </cell>
          <cell r="F171">
            <v>0</v>
          </cell>
          <cell r="G171">
            <v>10.47</v>
          </cell>
          <cell r="H171" t="str">
            <v>-</v>
          </cell>
        </row>
        <row r="172">
          <cell r="A172" t="str">
            <v>1 A 01 740 01</v>
          </cell>
          <cell r="B172" t="str">
            <v>-</v>
          </cell>
          <cell r="C172" t="str">
            <v>Confecção de tubos de concreto perfurado D=0,20m</v>
          </cell>
          <cell r="D172" t="str">
            <v>m</v>
          </cell>
          <cell r="E172">
            <v>10.46</v>
          </cell>
          <cell r="F172">
            <v>0</v>
          </cell>
          <cell r="G172">
            <v>10.46</v>
          </cell>
          <cell r="H172" t="str">
            <v>-</v>
          </cell>
        </row>
        <row r="173">
          <cell r="A173" t="str">
            <v>1 A 01 740 51</v>
          </cell>
          <cell r="B173" t="str">
            <v>-</v>
          </cell>
          <cell r="C173" t="str">
            <v>Confecção tubos concr.perfurado D=0,20m AC/BC</v>
          </cell>
          <cell r="D173" t="str">
            <v>m</v>
          </cell>
          <cell r="E173">
            <v>10.73</v>
          </cell>
          <cell r="F173">
            <v>0</v>
          </cell>
          <cell r="G173">
            <v>10.73</v>
          </cell>
          <cell r="H173" t="str">
            <v>-</v>
          </cell>
        </row>
        <row r="174">
          <cell r="A174" t="str">
            <v>1 A 01 741 01</v>
          </cell>
          <cell r="B174" t="str">
            <v>-</v>
          </cell>
          <cell r="C174" t="str">
            <v>Confecção de tubos de concreto poroso D=0,20m</v>
          </cell>
          <cell r="D174" t="str">
            <v>m</v>
          </cell>
          <cell r="E174">
            <v>10.34</v>
          </cell>
          <cell r="F174">
            <v>0</v>
          </cell>
          <cell r="G174">
            <v>10.34</v>
          </cell>
          <cell r="H174" t="str">
            <v>-</v>
          </cell>
        </row>
        <row r="175">
          <cell r="A175" t="str">
            <v>1 A 01 741 51</v>
          </cell>
          <cell r="B175" t="str">
            <v>-</v>
          </cell>
          <cell r="C175" t="str">
            <v>Confecção de tubos de concr.poroso D=0,20m AC/BC</v>
          </cell>
          <cell r="D175" t="str">
            <v>m</v>
          </cell>
          <cell r="E175">
            <v>10.47</v>
          </cell>
          <cell r="F175">
            <v>0</v>
          </cell>
          <cell r="G175">
            <v>10.47</v>
          </cell>
          <cell r="H175" t="str">
            <v>-</v>
          </cell>
        </row>
        <row r="176">
          <cell r="A176" t="str">
            <v>1 A 01 745 01</v>
          </cell>
          <cell r="B176" t="str">
            <v>-</v>
          </cell>
          <cell r="C176" t="str">
            <v>Confecção de tubos de concreto D=0,30m</v>
          </cell>
          <cell r="D176" t="str">
            <v>m</v>
          </cell>
          <cell r="E176">
            <v>16.41</v>
          </cell>
          <cell r="F176">
            <v>0</v>
          </cell>
          <cell r="G176">
            <v>16.41</v>
          </cell>
          <cell r="H176" t="str">
            <v>-</v>
          </cell>
        </row>
        <row r="177">
          <cell r="A177" t="str">
            <v>1 A 01 745 51</v>
          </cell>
          <cell r="B177" t="str">
            <v>-</v>
          </cell>
          <cell r="C177" t="str">
            <v>Confecção de tubos de concreto D=0,30m AC/BC</v>
          </cell>
          <cell r="D177" t="str">
            <v>m</v>
          </cell>
          <cell r="E177">
            <v>16.899999999999999</v>
          </cell>
          <cell r="F177">
            <v>0</v>
          </cell>
          <cell r="G177">
            <v>16.899999999999999</v>
          </cell>
          <cell r="H177" t="str">
            <v>-</v>
          </cell>
        </row>
        <row r="178">
          <cell r="A178" t="str">
            <v xml:space="preserve">1 A 01 746 01 </v>
          </cell>
          <cell r="B178" t="str">
            <v>-</v>
          </cell>
          <cell r="C178" t="str">
            <v>Confecção de tubos de concreto perfurado D=0,30m</v>
          </cell>
          <cell r="D178" t="str">
            <v>m</v>
          </cell>
          <cell r="E178">
            <v>16.670000000000002</v>
          </cell>
          <cell r="F178">
            <v>0</v>
          </cell>
          <cell r="G178">
            <v>16.670000000000002</v>
          </cell>
          <cell r="H178" t="str">
            <v>-</v>
          </cell>
        </row>
        <row r="179">
          <cell r="A179" t="str">
            <v>1 A 01 746 51</v>
          </cell>
          <cell r="B179" t="str">
            <v>-</v>
          </cell>
          <cell r="C179" t="str">
            <v>Confecção de tubos concr.perfurado D=0,30m AC/BC</v>
          </cell>
          <cell r="D179" t="str">
            <v>m</v>
          </cell>
          <cell r="E179">
            <v>17.16</v>
          </cell>
          <cell r="F179">
            <v>0</v>
          </cell>
          <cell r="G179">
            <v>17.16</v>
          </cell>
          <cell r="H179" t="str">
            <v>-</v>
          </cell>
        </row>
        <row r="180">
          <cell r="A180" t="str">
            <v>1 A 01 747 01</v>
          </cell>
          <cell r="B180" t="str">
            <v>-</v>
          </cell>
          <cell r="C180" t="str">
            <v>Confecção de tubos de concreto poroso D=0,30m</v>
          </cell>
          <cell r="D180" t="str">
            <v>m</v>
          </cell>
          <cell r="E180">
            <v>16.68</v>
          </cell>
          <cell r="F180">
            <v>0</v>
          </cell>
          <cell r="G180">
            <v>16.68</v>
          </cell>
          <cell r="H180" t="str">
            <v>-</v>
          </cell>
        </row>
        <row r="181">
          <cell r="A181" t="str">
            <v>1 A 01 747 51</v>
          </cell>
          <cell r="B181" t="str">
            <v>-</v>
          </cell>
          <cell r="C181" t="str">
            <v>Confecção de tubos concr.poroso D=0,30m AC/BC</v>
          </cell>
          <cell r="D181" t="str">
            <v>m</v>
          </cell>
          <cell r="E181">
            <v>16.91</v>
          </cell>
          <cell r="F181">
            <v>0</v>
          </cell>
          <cell r="G181">
            <v>16.91</v>
          </cell>
          <cell r="H181" t="str">
            <v>-</v>
          </cell>
        </row>
        <row r="182">
          <cell r="A182" t="str">
            <v>1 A 01 751 01</v>
          </cell>
          <cell r="B182" t="str">
            <v>-</v>
          </cell>
          <cell r="C182" t="str">
            <v>Confecção de tubos de concreto D=0,40m</v>
          </cell>
          <cell r="D182" t="str">
            <v>m</v>
          </cell>
          <cell r="E182">
            <v>23.89</v>
          </cell>
          <cell r="F182">
            <v>0</v>
          </cell>
          <cell r="G182">
            <v>23.89</v>
          </cell>
          <cell r="H182" t="str">
            <v>-</v>
          </cell>
        </row>
        <row r="183">
          <cell r="A183" t="str">
            <v>1 A 01 751 51</v>
          </cell>
          <cell r="B183" t="str">
            <v>-</v>
          </cell>
          <cell r="C183" t="str">
            <v>Confecção de tubos de concreto D=0,40m AC/BC</v>
          </cell>
          <cell r="D183" t="str">
            <v>m</v>
          </cell>
          <cell r="E183">
            <v>24.66</v>
          </cell>
          <cell r="F183">
            <v>0</v>
          </cell>
          <cell r="G183">
            <v>24.66</v>
          </cell>
          <cell r="H183" t="str">
            <v>-</v>
          </cell>
        </row>
        <row r="184">
          <cell r="A184" t="str">
            <v>1 A 01 752 01</v>
          </cell>
          <cell r="B184" t="str">
            <v>-</v>
          </cell>
          <cell r="C184" t="str">
            <v>Confecção de tubos de concreto perfurado D=0,40m</v>
          </cell>
          <cell r="D184" t="str">
            <v>m</v>
          </cell>
          <cell r="E184">
            <v>24.15</v>
          </cell>
          <cell r="F184">
            <v>0</v>
          </cell>
          <cell r="G184">
            <v>24.15</v>
          </cell>
          <cell r="H184" t="str">
            <v>-</v>
          </cell>
        </row>
        <row r="185">
          <cell r="A185" t="str">
            <v>1 A 01 752 51</v>
          </cell>
          <cell r="B185" t="str">
            <v>-</v>
          </cell>
          <cell r="C185" t="str">
            <v>Confecção de tubos concr.perfurado D=0,40m AC/BC</v>
          </cell>
          <cell r="D185" t="str">
            <v>m</v>
          </cell>
          <cell r="E185">
            <v>24.92</v>
          </cell>
          <cell r="F185">
            <v>0</v>
          </cell>
          <cell r="G185">
            <v>24.92</v>
          </cell>
          <cell r="H185" t="str">
            <v>-</v>
          </cell>
        </row>
        <row r="186">
          <cell r="A186" t="str">
            <v>1 A 01 753 01</v>
          </cell>
          <cell r="B186" t="str">
            <v>-</v>
          </cell>
          <cell r="C186" t="str">
            <v>Confecção de tubos de concreto poroso D=0,40m</v>
          </cell>
          <cell r="D186" t="str">
            <v>m</v>
          </cell>
          <cell r="E186">
            <v>24.31</v>
          </cell>
          <cell r="F186">
            <v>0</v>
          </cell>
          <cell r="G186">
            <v>24.31</v>
          </cell>
          <cell r="H186" t="str">
            <v>-</v>
          </cell>
        </row>
        <row r="187">
          <cell r="A187" t="str">
            <v>1 A 01 753 51</v>
          </cell>
          <cell r="B187" t="str">
            <v>-</v>
          </cell>
          <cell r="C187" t="str">
            <v>Confecção de tubos concr.poroso D=0,40m AC/BC</v>
          </cell>
          <cell r="D187" t="str">
            <v>m</v>
          </cell>
          <cell r="E187">
            <v>24.68</v>
          </cell>
          <cell r="F187">
            <v>0</v>
          </cell>
          <cell r="G187">
            <v>24.68</v>
          </cell>
          <cell r="H187" t="str">
            <v>-</v>
          </cell>
        </row>
        <row r="188">
          <cell r="A188" t="str">
            <v>1 A 01 755 01</v>
          </cell>
          <cell r="B188" t="str">
            <v>-</v>
          </cell>
          <cell r="C188" t="str">
            <v>Confecção de tubos de concreto armado D=0,60m CA-4</v>
          </cell>
          <cell r="D188" t="str">
            <v>m</v>
          </cell>
          <cell r="E188">
            <v>118.18</v>
          </cell>
          <cell r="F188">
            <v>0</v>
          </cell>
          <cell r="G188">
            <v>118.18</v>
          </cell>
          <cell r="H188" t="str">
            <v>-</v>
          </cell>
        </row>
        <row r="189">
          <cell r="A189" t="str">
            <v>1 A 01 755 51</v>
          </cell>
          <cell r="B189" t="str">
            <v>-</v>
          </cell>
          <cell r="C189" t="str">
            <v xml:space="preserve"> Confecção de tubos concr.armado D=0,60m CA-4 AC/BC</v>
          </cell>
          <cell r="D189" t="str">
            <v>m</v>
          </cell>
          <cell r="E189">
            <v>119.69</v>
          </cell>
          <cell r="F189">
            <v>0</v>
          </cell>
          <cell r="G189">
            <v>119.69</v>
          </cell>
          <cell r="H189" t="str">
            <v>-</v>
          </cell>
        </row>
        <row r="190">
          <cell r="A190" t="str">
            <v>1 A 01 760 01</v>
          </cell>
          <cell r="B190" t="str">
            <v>-</v>
          </cell>
          <cell r="C190" t="str">
            <v>Confecção de tubos de concreto armado D=0,80m CA-4</v>
          </cell>
          <cell r="D190" t="str">
            <v>m</v>
          </cell>
          <cell r="E190">
            <v>179.6</v>
          </cell>
          <cell r="F190">
            <v>0</v>
          </cell>
          <cell r="G190">
            <v>179.6</v>
          </cell>
          <cell r="H190" t="str">
            <v>-</v>
          </cell>
        </row>
        <row r="191">
          <cell r="A191" t="str">
            <v>1 A 01 760 51</v>
          </cell>
          <cell r="B191" t="str">
            <v>-</v>
          </cell>
          <cell r="C191" t="str">
            <v>Confecção de tubos concr.armado D=0,80m CA-4 AC/BC</v>
          </cell>
          <cell r="D191" t="str">
            <v>m</v>
          </cell>
          <cell r="E191">
            <v>182.11</v>
          </cell>
          <cell r="F191">
            <v>0</v>
          </cell>
          <cell r="G191">
            <v>182.11</v>
          </cell>
          <cell r="H191" t="str">
            <v>-</v>
          </cell>
        </row>
        <row r="192">
          <cell r="A192" t="str">
            <v>1 A 01 765 01</v>
          </cell>
          <cell r="B192" t="str">
            <v>-</v>
          </cell>
          <cell r="C192" t="str">
            <v>Confecção de tubos de concreto armado D=1,00m CA-4</v>
          </cell>
          <cell r="D192" t="str">
            <v>m</v>
          </cell>
          <cell r="E192">
            <v>271.69</v>
          </cell>
          <cell r="F192">
            <v>0</v>
          </cell>
          <cell r="G192">
            <v>271.69</v>
          </cell>
          <cell r="H192" t="str">
            <v>-</v>
          </cell>
        </row>
        <row r="193">
          <cell r="A193" t="str">
            <v>1 A 01 765 51</v>
          </cell>
          <cell r="B193" t="str">
            <v>-</v>
          </cell>
          <cell r="C193" t="str">
            <v>Confecção de tubos concr.armado D=1,00m CA-4 AC/BC</v>
          </cell>
          <cell r="D193" t="str">
            <v>m</v>
          </cell>
          <cell r="E193">
            <v>275.44</v>
          </cell>
          <cell r="F193">
            <v>0</v>
          </cell>
          <cell r="G193">
            <v>275.44</v>
          </cell>
          <cell r="H193" t="str">
            <v>-</v>
          </cell>
        </row>
        <row r="194">
          <cell r="A194" t="str">
            <v>1 A 01 770 01</v>
          </cell>
          <cell r="B194" t="str">
            <v>-</v>
          </cell>
          <cell r="C194" t="str">
            <v>Confecção de tubos de concreto armado D=1,20m CA-4</v>
          </cell>
          <cell r="D194" t="str">
            <v>m</v>
          </cell>
          <cell r="E194">
            <v>382.35</v>
          </cell>
          <cell r="F194">
            <v>0</v>
          </cell>
          <cell r="G194">
            <v>382.35</v>
          </cell>
          <cell r="H194" t="str">
            <v>-</v>
          </cell>
        </row>
        <row r="195">
          <cell r="A195" t="str">
            <v>1 A 01 700 51</v>
          </cell>
          <cell r="B195" t="str">
            <v>-</v>
          </cell>
          <cell r="C195" t="str">
            <v>Confecção de tubos concr.armado D=1,20m CA-4 AC/BC</v>
          </cell>
          <cell r="D195" t="str">
            <v>m</v>
          </cell>
          <cell r="E195">
            <v>387.18</v>
          </cell>
          <cell r="F195">
            <v>0</v>
          </cell>
          <cell r="G195">
            <v>387.18</v>
          </cell>
          <cell r="H195" t="str">
            <v>-</v>
          </cell>
        </row>
        <row r="196">
          <cell r="A196" t="str">
            <v>1 A 01 775 01</v>
          </cell>
          <cell r="B196" t="str">
            <v>-</v>
          </cell>
          <cell r="C196" t="str">
            <v>Confecção de tubos de concreto armado D=1,50m CA-4</v>
          </cell>
          <cell r="D196" t="str">
            <v>m</v>
          </cell>
          <cell r="E196">
            <v>608.49</v>
          </cell>
          <cell r="F196">
            <v>0</v>
          </cell>
          <cell r="G196">
            <v>608.49</v>
          </cell>
          <cell r="H196" t="str">
            <v>-</v>
          </cell>
        </row>
        <row r="197">
          <cell r="A197" t="str">
            <v>1 A 01 775 51</v>
          </cell>
          <cell r="B197" t="str">
            <v>-</v>
          </cell>
          <cell r="C197" t="str">
            <v>Confecção de tubos concr.armado D=1,50m CA-4 AC/BC</v>
          </cell>
          <cell r="D197" t="str">
            <v>m</v>
          </cell>
          <cell r="E197">
            <v>614.9</v>
          </cell>
          <cell r="F197">
            <v>0</v>
          </cell>
          <cell r="G197">
            <v>614.9</v>
          </cell>
          <cell r="H197" t="str">
            <v>-</v>
          </cell>
        </row>
        <row r="198">
          <cell r="A198" t="str">
            <v>1 A 01 780 01</v>
          </cell>
          <cell r="B198" t="str">
            <v>-</v>
          </cell>
          <cell r="C198" t="str">
            <v>Obtenção de grama para replantio</v>
          </cell>
          <cell r="D198" t="str">
            <v>m²</v>
          </cell>
          <cell r="E198">
            <v>0.8</v>
          </cell>
          <cell r="F198">
            <v>0</v>
          </cell>
          <cell r="G198">
            <v>0.8</v>
          </cell>
          <cell r="H198" t="str">
            <v>-</v>
          </cell>
        </row>
        <row r="199">
          <cell r="A199" t="str">
            <v>1 A 01 790 01</v>
          </cell>
          <cell r="B199" t="str">
            <v>-</v>
          </cell>
          <cell r="C199" t="str">
            <v>Guia de madeira - 2,5 x 7,0 cm</v>
          </cell>
          <cell r="D199" t="str">
            <v>m</v>
          </cell>
          <cell r="E199">
            <v>1.66</v>
          </cell>
          <cell r="F199">
            <v>0</v>
          </cell>
          <cell r="G199">
            <v>1.66</v>
          </cell>
          <cell r="H199" t="str">
            <v>-</v>
          </cell>
        </row>
        <row r="200">
          <cell r="A200" t="str">
            <v>1 A 01 790 02</v>
          </cell>
          <cell r="B200" t="str">
            <v>-</v>
          </cell>
          <cell r="C200" t="str">
            <v>Guia de madeira - 2,5 x 10,0 cm</v>
          </cell>
          <cell r="D200" t="str">
            <v>m</v>
          </cell>
          <cell r="E200">
            <v>1.88</v>
          </cell>
          <cell r="F200">
            <v>0</v>
          </cell>
          <cell r="G200">
            <v>1.88</v>
          </cell>
          <cell r="H200" t="str">
            <v>-</v>
          </cell>
        </row>
        <row r="201">
          <cell r="A201" t="str">
            <v>1 A 01 800 01</v>
          </cell>
          <cell r="B201" t="str">
            <v>-</v>
          </cell>
          <cell r="C201" t="str">
            <v>Recuperação de chapa para placa de sinalização</v>
          </cell>
          <cell r="D201" t="str">
            <v>m²</v>
          </cell>
          <cell r="E201">
            <v>18.18</v>
          </cell>
          <cell r="F201">
            <v>0</v>
          </cell>
          <cell r="G201">
            <v>18.18</v>
          </cell>
          <cell r="H201" t="str">
            <v>-</v>
          </cell>
        </row>
        <row r="202">
          <cell r="A202" t="str">
            <v>1 A 01 810 01</v>
          </cell>
          <cell r="B202" t="str">
            <v>-</v>
          </cell>
          <cell r="C202" t="str">
            <v>Calha metálica semi-circular D=0,40 m</v>
          </cell>
          <cell r="D202" t="str">
            <v>m</v>
          </cell>
          <cell r="E202">
            <v>146.99</v>
          </cell>
          <cell r="F202">
            <v>0</v>
          </cell>
          <cell r="G202">
            <v>146.99</v>
          </cell>
          <cell r="H202" t="str">
            <v>-</v>
          </cell>
        </row>
        <row r="203">
          <cell r="A203" t="str">
            <v>1 A 01 850 01</v>
          </cell>
          <cell r="B203" t="str">
            <v>-</v>
          </cell>
          <cell r="C203" t="str">
            <v>Confecção de placa de sinalização semi-refletiva</v>
          </cell>
          <cell r="D203" t="str">
            <v>m²</v>
          </cell>
          <cell r="E203">
            <v>147.69</v>
          </cell>
          <cell r="F203">
            <v>0</v>
          </cell>
          <cell r="G203">
            <v>147.69</v>
          </cell>
          <cell r="H203" t="str">
            <v>-</v>
          </cell>
        </row>
        <row r="204">
          <cell r="A204" t="str">
            <v>1 A 01 860 01</v>
          </cell>
          <cell r="B204" t="str">
            <v>-</v>
          </cell>
          <cell r="C204" t="str">
            <v>Confecção de placa de sinalização tot. refletiva</v>
          </cell>
          <cell r="D204" t="str">
            <v>m²</v>
          </cell>
          <cell r="E204">
            <v>199.35</v>
          </cell>
          <cell r="F204">
            <v>0</v>
          </cell>
          <cell r="G204">
            <v>199.35</v>
          </cell>
          <cell r="H204" t="str">
            <v>-</v>
          </cell>
        </row>
        <row r="205">
          <cell r="A205" t="str">
            <v>1 A 01 870 01</v>
          </cell>
          <cell r="B205" t="str">
            <v>-</v>
          </cell>
          <cell r="C205" t="str">
            <v>Confecção de suporte e travessa p/ placa de sinal.</v>
          </cell>
          <cell r="D205" t="str">
            <v>un</v>
          </cell>
          <cell r="E205">
            <v>18.57</v>
          </cell>
          <cell r="F205">
            <v>0</v>
          </cell>
          <cell r="G205">
            <v>18.57</v>
          </cell>
          <cell r="H205" t="str">
            <v>-</v>
          </cell>
        </row>
        <row r="206">
          <cell r="A206" t="str">
            <v>1 A 01 890 01</v>
          </cell>
          <cell r="B206" t="str">
            <v>-</v>
          </cell>
          <cell r="C206" t="str">
            <v>Escavação manual em material de 1a categoria</v>
          </cell>
          <cell r="D206" t="str">
            <v>m³</v>
          </cell>
          <cell r="E206">
            <v>16.68</v>
          </cell>
          <cell r="F206">
            <v>0</v>
          </cell>
          <cell r="G206">
            <v>16.68</v>
          </cell>
          <cell r="H206" t="str">
            <v>-</v>
          </cell>
        </row>
        <row r="207">
          <cell r="A207" t="str">
            <v>1 A 01 891 01</v>
          </cell>
          <cell r="B207" t="str">
            <v>-</v>
          </cell>
          <cell r="C207" t="str">
            <v>Escavação manual de vala em material de 1a cat.</v>
          </cell>
          <cell r="D207" t="str">
            <v>m³</v>
          </cell>
          <cell r="E207">
            <v>19.27</v>
          </cell>
          <cell r="F207">
            <v>0</v>
          </cell>
          <cell r="G207">
            <v>19.27</v>
          </cell>
          <cell r="H207" t="str">
            <v>-</v>
          </cell>
        </row>
        <row r="208">
          <cell r="A208" t="str">
            <v>1 A 01 892 01</v>
          </cell>
          <cell r="B208" t="str">
            <v>-</v>
          </cell>
          <cell r="C208" t="str">
            <v>Escavação mecânica de vala em material de 1a cat.</v>
          </cell>
          <cell r="D208" t="str">
            <v>m³</v>
          </cell>
          <cell r="E208">
            <v>3.09</v>
          </cell>
          <cell r="F208">
            <v>0</v>
          </cell>
          <cell r="G208">
            <v>3.09</v>
          </cell>
          <cell r="H208" t="str">
            <v>-</v>
          </cell>
        </row>
        <row r="209">
          <cell r="A209" t="str">
            <v>1 A 01 893 01</v>
          </cell>
          <cell r="B209" t="str">
            <v>-</v>
          </cell>
          <cell r="C209" t="str">
            <v>Compactação manual</v>
          </cell>
          <cell r="D209" t="str">
            <v>m³</v>
          </cell>
          <cell r="E209">
            <v>8.01</v>
          </cell>
          <cell r="F209">
            <v>0</v>
          </cell>
          <cell r="G209">
            <v>8.01</v>
          </cell>
          <cell r="H209" t="str">
            <v>-</v>
          </cell>
        </row>
        <row r="210">
          <cell r="A210" t="str">
            <v>1 A 01 894 01</v>
          </cell>
          <cell r="B210" t="str">
            <v>-</v>
          </cell>
          <cell r="C210" t="str">
            <v>Lastro de brita</v>
          </cell>
          <cell r="D210" t="str">
            <v>m³</v>
          </cell>
          <cell r="E210">
            <v>30.79</v>
          </cell>
          <cell r="F210">
            <v>0</v>
          </cell>
          <cell r="G210">
            <v>30.79</v>
          </cell>
          <cell r="H210" t="str">
            <v>-</v>
          </cell>
        </row>
        <row r="211">
          <cell r="A211" t="str">
            <v>1 A 01 894 51</v>
          </cell>
          <cell r="B211" t="str">
            <v>-</v>
          </cell>
          <cell r="C211" t="str">
            <v>Lastro de brita BC</v>
          </cell>
          <cell r="D211" t="str">
            <v>m³</v>
          </cell>
          <cell r="E211">
            <v>30.15</v>
          </cell>
          <cell r="F211">
            <v>0</v>
          </cell>
          <cell r="G211">
            <v>30.15</v>
          </cell>
          <cell r="H211" t="str">
            <v>-</v>
          </cell>
        </row>
        <row r="212">
          <cell r="A212" t="str">
            <v>1 A 02 702 00</v>
          </cell>
          <cell r="B212" t="str">
            <v>-</v>
          </cell>
          <cell r="C212" t="str">
            <v>Limpeza e enchim. junta pav. concr.(const e rest)</v>
          </cell>
          <cell r="D212" t="str">
            <v>m</v>
          </cell>
          <cell r="E212">
            <v>4.8</v>
          </cell>
          <cell r="F212">
            <v>0</v>
          </cell>
          <cell r="G212">
            <v>4.8</v>
          </cell>
          <cell r="H212" t="str">
            <v>-</v>
          </cell>
        </row>
        <row r="213">
          <cell r="A213" t="str">
            <v>1 A 99 001 00</v>
          </cell>
          <cell r="B213" t="str">
            <v>-</v>
          </cell>
          <cell r="C213" t="str">
            <v>Mistura areia-asfalto usinada a frio</v>
          </cell>
          <cell r="D213" t="str">
            <v>m³</v>
          </cell>
          <cell r="E213">
            <v>0</v>
          </cell>
          <cell r="F213">
            <v>0</v>
          </cell>
          <cell r="G213">
            <v>0</v>
          </cell>
          <cell r="H213" t="str">
            <v>-</v>
          </cell>
        </row>
        <row r="214">
          <cell r="A214" t="str">
            <v>1 A 99 002 00</v>
          </cell>
          <cell r="B214" t="str">
            <v>-</v>
          </cell>
          <cell r="C214" t="str">
            <v>Mistura areia-asfalto usinada a quente</v>
          </cell>
          <cell r="D214" t="str">
            <v>m³</v>
          </cell>
          <cell r="E214">
            <v>0</v>
          </cell>
          <cell r="F214">
            <v>0</v>
          </cell>
          <cell r="G214">
            <v>0</v>
          </cell>
          <cell r="H214" t="str">
            <v>-</v>
          </cell>
        </row>
        <row r="215">
          <cell r="A215" t="str">
            <v>1 A 99 003 00</v>
          </cell>
          <cell r="B215" t="str">
            <v>-</v>
          </cell>
          <cell r="C215" t="str">
            <v>Mistura betuminosa usinada a frio</v>
          </cell>
          <cell r="D215" t="str">
            <v>m³</v>
          </cell>
          <cell r="E215">
            <v>0</v>
          </cell>
          <cell r="F215">
            <v>0</v>
          </cell>
          <cell r="G215">
            <v>0</v>
          </cell>
          <cell r="H215" t="str">
            <v>-</v>
          </cell>
        </row>
        <row r="216">
          <cell r="A216" t="str">
            <v>1 A 99 004 00</v>
          </cell>
          <cell r="B216" t="str">
            <v>-</v>
          </cell>
          <cell r="C216" t="str">
            <v>Mistura betuminosa usinada a quente</v>
          </cell>
          <cell r="D216" t="str">
            <v>m³</v>
          </cell>
          <cell r="E216">
            <v>0</v>
          </cell>
          <cell r="F216">
            <v>0</v>
          </cell>
          <cell r="G216">
            <v>0</v>
          </cell>
          <cell r="H216" t="str">
            <v>-</v>
          </cell>
        </row>
        <row r="217">
          <cell r="A217" t="str">
            <v>1 A 99 005 00</v>
          </cell>
          <cell r="B217" t="str">
            <v>-</v>
          </cell>
          <cell r="C217" t="str">
            <v>Mistura betuminosa</v>
          </cell>
          <cell r="D217" t="str">
            <v>m³</v>
          </cell>
          <cell r="E217">
            <v>0</v>
          </cell>
          <cell r="F217">
            <v>0</v>
          </cell>
          <cell r="G217">
            <v>0</v>
          </cell>
          <cell r="H217" t="str">
            <v>-</v>
          </cell>
        </row>
        <row r="219">
          <cell r="A219" t="str">
            <v>DNIT - Sistema de Custos Rodoviários</v>
          </cell>
          <cell r="D219" t="str">
            <v>Sicro2</v>
          </cell>
          <cell r="H219" t="str">
            <v>Esp. Técnica</v>
          </cell>
        </row>
        <row r="220">
          <cell r="A220" t="str">
            <v>construção Rodoviária</v>
          </cell>
          <cell r="D220" t="str">
            <v>Minas Gerais</v>
          </cell>
          <cell r="H220" t="str">
            <v>Minas Gerais</v>
          </cell>
        </row>
        <row r="221">
          <cell r="A221" t="str">
            <v>Resumo dos Custos Unitários de Referência: Maio de 2005</v>
          </cell>
          <cell r="D221" t="str">
            <v>RCtR0330</v>
          </cell>
          <cell r="H221" t="str">
            <v>=</v>
          </cell>
        </row>
        <row r="223">
          <cell r="A223" t="str">
            <v>Código</v>
          </cell>
          <cell r="C223" t="str">
            <v>Atividade / Serviço</v>
          </cell>
          <cell r="D223" t="str">
            <v>Unidade</v>
          </cell>
          <cell r="F223" t="str">
            <v>Preço Unitário</v>
          </cell>
          <cell r="H223" t="str">
            <v>Código</v>
          </cell>
        </row>
        <row r="224">
          <cell r="D224" t="str">
            <v>Und</v>
          </cell>
          <cell r="E224" t="str">
            <v>Direto</v>
          </cell>
          <cell r="F224" t="str">
            <v>LDI</v>
          </cell>
          <cell r="G224" t="str">
            <v>Total</v>
          </cell>
        </row>
        <row r="226">
          <cell r="A226" t="str">
            <v>2 S 01 000 00</v>
          </cell>
          <cell r="B226" t="str">
            <v>-</v>
          </cell>
          <cell r="C226" t="str">
            <v>Desm. dest. limpeza áreas c/arv. diam. até 0,15 m</v>
          </cell>
          <cell r="D226" t="str">
            <v>m²</v>
          </cell>
          <cell r="E226">
            <v>0.2</v>
          </cell>
          <cell r="F226">
            <v>0.04</v>
          </cell>
          <cell r="G226">
            <v>0.25</v>
          </cell>
          <cell r="H226" t="str">
            <v>DNER-ES-278/97</v>
          </cell>
        </row>
        <row r="227">
          <cell r="A227" t="str">
            <v>2 S 01 010 00</v>
          </cell>
          <cell r="B227" t="str">
            <v>-</v>
          </cell>
          <cell r="C227" t="str">
            <v>Destocamento de árvores D=0,15 a 0,30 m</v>
          </cell>
          <cell r="D227" t="str">
            <v>und</v>
          </cell>
          <cell r="E227">
            <v>19.420000000000002</v>
          </cell>
          <cell r="F227">
            <v>4.6399999999999997</v>
          </cell>
          <cell r="G227">
            <v>24.07</v>
          </cell>
          <cell r="H227" t="str">
            <v>DNER-ES-278/97</v>
          </cell>
        </row>
        <row r="228">
          <cell r="A228" t="str">
            <v>2 S 01 012 00</v>
          </cell>
          <cell r="B228" t="str">
            <v>-</v>
          </cell>
          <cell r="C228" t="str">
            <v>Destocamento de árvores c/diâm. &gt; 0,30 m</v>
          </cell>
          <cell r="D228" t="str">
            <v>und</v>
          </cell>
          <cell r="E228">
            <v>48.56</v>
          </cell>
          <cell r="F228">
            <v>11.6</v>
          </cell>
          <cell r="G228">
            <v>60.17</v>
          </cell>
          <cell r="H228" t="str">
            <v>DNER-ES-278/97</v>
          </cell>
        </row>
        <row r="229">
          <cell r="A229" t="str">
            <v>2 S 01 100 01</v>
          </cell>
          <cell r="B229" t="str">
            <v>-</v>
          </cell>
          <cell r="C229" t="str">
            <v>Esc. carga transp. mat 1ª cat DMT 50 m</v>
          </cell>
          <cell r="D229" t="str">
            <v>m³</v>
          </cell>
          <cell r="E229">
            <v>1.03</v>
          </cell>
          <cell r="F229">
            <v>0.24</v>
          </cell>
          <cell r="G229">
            <v>1.28</v>
          </cell>
          <cell r="H229" t="str">
            <v>DNER-ES-280/97</v>
          </cell>
        </row>
        <row r="230">
          <cell r="A230" t="str">
            <v>2 S 01 100 02</v>
          </cell>
          <cell r="B230" t="str">
            <v>-</v>
          </cell>
          <cell r="C230" t="str">
            <v>Esc. carga transp. mat 1ª cat DMT 50 a 200m c/m</v>
          </cell>
          <cell r="D230" t="str">
            <v>m³</v>
          </cell>
          <cell r="E230">
            <v>3.41</v>
          </cell>
          <cell r="F230">
            <v>0.81</v>
          </cell>
          <cell r="G230">
            <v>4.22</v>
          </cell>
          <cell r="H230" t="str">
            <v>DNER-ES-280/97</v>
          </cell>
        </row>
        <row r="231">
          <cell r="A231" t="str">
            <v>2 S 01 100 03</v>
          </cell>
          <cell r="B231" t="str">
            <v>-</v>
          </cell>
          <cell r="C231" t="str">
            <v>Esc. carga transp. mat 1ª cat DMT 200 a 400m c/m</v>
          </cell>
          <cell r="D231" t="str">
            <v>m³</v>
          </cell>
          <cell r="E231">
            <v>4.1500000000000004</v>
          </cell>
          <cell r="F231">
            <v>0.99</v>
          </cell>
          <cell r="G231">
            <v>5.14</v>
          </cell>
          <cell r="H231" t="str">
            <v>DNER-ES-280/97</v>
          </cell>
        </row>
        <row r="232">
          <cell r="A232" t="str">
            <v>2 S 01 100 04</v>
          </cell>
          <cell r="B232" t="str">
            <v>-</v>
          </cell>
          <cell r="C232" t="str">
            <v>Esc. carga transp. mat 1ª cat DMT 400 a 600m c/m</v>
          </cell>
          <cell r="D232" t="str">
            <v>m³</v>
          </cell>
          <cell r="E232">
            <v>4.9400000000000004</v>
          </cell>
          <cell r="F232">
            <v>1.18</v>
          </cell>
          <cell r="G232">
            <v>6.12</v>
          </cell>
          <cell r="H232" t="str">
            <v>DNER-ES-280/97</v>
          </cell>
        </row>
        <row r="233">
          <cell r="A233" t="str">
            <v>2 S 01 100 05</v>
          </cell>
          <cell r="B233" t="str">
            <v>-</v>
          </cell>
          <cell r="C233" t="str">
            <v>Esc. carga transp. mat 1ª cat DMT 600 a 800m c/m</v>
          </cell>
          <cell r="D233" t="str">
            <v>m³</v>
          </cell>
          <cell r="E233">
            <v>5.64</v>
          </cell>
          <cell r="F233">
            <v>1.34</v>
          </cell>
          <cell r="G233">
            <v>6.99</v>
          </cell>
          <cell r="H233" t="str">
            <v>DNER-ES-280/97</v>
          </cell>
        </row>
        <row r="234">
          <cell r="A234" t="str">
            <v>2 S 01 100 06</v>
          </cell>
          <cell r="B234" t="str">
            <v>-</v>
          </cell>
          <cell r="C234" t="str">
            <v>Esc. carga transp. mat 1ª cat DMT 800 a 1000m c/m</v>
          </cell>
          <cell r="D234" t="str">
            <v>m³</v>
          </cell>
          <cell r="E234">
            <v>6.52</v>
          </cell>
          <cell r="F234">
            <v>1.55</v>
          </cell>
          <cell r="G234">
            <v>8.07</v>
          </cell>
          <cell r="H234" t="str">
            <v>DNER-ES-280/97</v>
          </cell>
        </row>
        <row r="235">
          <cell r="A235" t="str">
            <v>2 S 01 100 07</v>
          </cell>
          <cell r="B235" t="str">
            <v>-</v>
          </cell>
          <cell r="C235" t="str">
            <v>Esc. carga transp. mat 1ª cat DMT 1000 a 1200m c/m</v>
          </cell>
          <cell r="D235" t="str">
            <v>m³</v>
          </cell>
          <cell r="E235">
            <v>7.44</v>
          </cell>
          <cell r="F235">
            <v>1.77</v>
          </cell>
          <cell r="G235">
            <v>9.2200000000000006</v>
          </cell>
          <cell r="H235" t="str">
            <v>DNER-ES-280/97</v>
          </cell>
        </row>
        <row r="236">
          <cell r="A236" t="str">
            <v>2 S 01 100 08</v>
          </cell>
          <cell r="B236" t="str">
            <v>-</v>
          </cell>
          <cell r="C236" t="str">
            <v>Esc. carga transp. mat 1ª cat DMT 1200 a 1400m c/m</v>
          </cell>
          <cell r="D236" t="str">
            <v>m³</v>
          </cell>
          <cell r="E236">
            <v>8.2899999999999991</v>
          </cell>
          <cell r="F236">
            <v>1.98</v>
          </cell>
          <cell r="G236">
            <v>10.27</v>
          </cell>
          <cell r="H236" t="str">
            <v>DNER-ES-280/97</v>
          </cell>
        </row>
        <row r="237">
          <cell r="A237" t="str">
            <v>2 S 01 100 09</v>
          </cell>
          <cell r="B237" t="str">
            <v>-</v>
          </cell>
          <cell r="C237" t="str">
            <v>Esc. carga tr. mat 1ª c. DMT 50 a 200m c/carreg</v>
          </cell>
          <cell r="D237" t="str">
            <v>m³</v>
          </cell>
          <cell r="E237">
            <v>3.92</v>
          </cell>
          <cell r="F237">
            <v>0.93</v>
          </cell>
          <cell r="G237">
            <v>4.8499999999999996</v>
          </cell>
          <cell r="H237" t="str">
            <v>DNER-ES-280/97</v>
          </cell>
        </row>
        <row r="238">
          <cell r="A238" t="str">
            <v>2 S 01 100 10</v>
          </cell>
          <cell r="B238" t="str">
            <v>-</v>
          </cell>
          <cell r="C238" t="str">
            <v>Esc. carga tr. mat 1ª c. DMT 200 a 400m c/carreg</v>
          </cell>
          <cell r="D238" t="str">
            <v>m³</v>
          </cell>
          <cell r="E238">
            <v>4.26</v>
          </cell>
          <cell r="F238">
            <v>1.01</v>
          </cell>
          <cell r="G238">
            <v>5.28</v>
          </cell>
          <cell r="H238" t="str">
            <v>DNER-ES-280/97</v>
          </cell>
        </row>
        <row r="239">
          <cell r="A239" t="str">
            <v>2 S 01 100 11</v>
          </cell>
          <cell r="B239" t="str">
            <v>-</v>
          </cell>
          <cell r="C239" t="str">
            <v>Esc. carga tr. mat 1ª c. DMT 400 a 600m c/carreg</v>
          </cell>
          <cell r="D239" t="str">
            <v>m³</v>
          </cell>
          <cell r="E239">
            <v>4.4400000000000004</v>
          </cell>
          <cell r="F239">
            <v>1.06</v>
          </cell>
          <cell r="G239">
            <v>5.5</v>
          </cell>
          <cell r="H239" t="str">
            <v>DNER-ES-280/97</v>
          </cell>
        </row>
        <row r="240">
          <cell r="A240" t="str">
            <v>2 S 01 100 12</v>
          </cell>
          <cell r="B240" t="str">
            <v>-</v>
          </cell>
          <cell r="C240" t="str">
            <v>Esc. carga tr. mat 1ª c. DMT 600 a 800m c/carreg</v>
          </cell>
          <cell r="D240" t="str">
            <v>m³</v>
          </cell>
          <cell r="E240">
            <v>4.6500000000000004</v>
          </cell>
          <cell r="F240">
            <v>1.1100000000000001</v>
          </cell>
          <cell r="G240">
            <v>5.76</v>
          </cell>
          <cell r="H240" t="str">
            <v>DNER-ES-280/97</v>
          </cell>
        </row>
        <row r="241">
          <cell r="A241" t="str">
            <v>2 S 01 100 13</v>
          </cell>
          <cell r="B241" t="str">
            <v>-</v>
          </cell>
          <cell r="C241" t="str">
            <v>Esc. carga tr. mat 1ª c. DMT 800 a 1000m c/carreg</v>
          </cell>
          <cell r="D241" t="str">
            <v>m³</v>
          </cell>
          <cell r="E241">
            <v>4.9800000000000004</v>
          </cell>
          <cell r="F241">
            <v>1.19</v>
          </cell>
          <cell r="G241">
            <v>6.17</v>
          </cell>
          <cell r="H241" t="str">
            <v>DNER-ES-280/97</v>
          </cell>
        </row>
        <row r="242">
          <cell r="A242" t="str">
            <v>2 S 01 100 14</v>
          </cell>
          <cell r="B242" t="str">
            <v>-</v>
          </cell>
          <cell r="C242" t="str">
            <v>Esc. carga tr. mat 1ª c. DMT 1000 a 1200m c/carreg</v>
          </cell>
          <cell r="D242" t="str">
            <v>m³</v>
          </cell>
          <cell r="E242">
            <v>5.17</v>
          </cell>
          <cell r="F242">
            <v>1.23</v>
          </cell>
          <cell r="G242">
            <v>6.41</v>
          </cell>
          <cell r="H242" t="str">
            <v>DNER-ES-280/97</v>
          </cell>
        </row>
        <row r="243">
          <cell r="A243" t="str">
            <v>2 S 01 100 15</v>
          </cell>
          <cell r="B243" t="str">
            <v>-</v>
          </cell>
          <cell r="C243" t="str">
            <v>Esc. carga tr. mat 1ª c. DMT 1200 a 1400m c/carreg</v>
          </cell>
          <cell r="D243" t="str">
            <v>m³</v>
          </cell>
          <cell r="E243">
            <v>5.34</v>
          </cell>
          <cell r="F243">
            <v>1.27</v>
          </cell>
          <cell r="G243">
            <v>6.62</v>
          </cell>
          <cell r="H243" t="str">
            <v>DNER-ES-280/97</v>
          </cell>
        </row>
        <row r="244">
          <cell r="A244" t="str">
            <v>2 S 01 100 16</v>
          </cell>
          <cell r="B244" t="str">
            <v>-</v>
          </cell>
          <cell r="C244" t="str">
            <v>Esc. carga tr. mat 1ª c. DMT 1400 a 1600m c/carreg</v>
          </cell>
          <cell r="D244" t="str">
            <v>m³</v>
          </cell>
          <cell r="E244">
            <v>5.6</v>
          </cell>
          <cell r="F244">
            <v>1.34</v>
          </cell>
          <cell r="G244">
            <v>6.94</v>
          </cell>
          <cell r="H244" t="str">
            <v>DNER-ES-280/97</v>
          </cell>
        </row>
        <row r="245">
          <cell r="A245" t="str">
            <v>2 S 01 100 17</v>
          </cell>
          <cell r="B245" t="str">
            <v>-</v>
          </cell>
          <cell r="C245" t="str">
            <v>Esc. carga tr. mat 1ª c. DMT 1600 a 1800m c/carreg</v>
          </cell>
          <cell r="D245" t="str">
            <v>m³</v>
          </cell>
          <cell r="E245">
            <v>5.69</v>
          </cell>
          <cell r="F245">
            <v>1.36</v>
          </cell>
          <cell r="G245">
            <v>7.05</v>
          </cell>
          <cell r="H245" t="str">
            <v>DNER-ES-280/97</v>
          </cell>
        </row>
        <row r="246">
          <cell r="A246" t="str">
            <v>2 S 01 100 18</v>
          </cell>
          <cell r="B246" t="str">
            <v>-</v>
          </cell>
          <cell r="C246" t="str">
            <v>Esc. carga tr. mat 1ª c. DMT 1800 a 2000m c/carreg</v>
          </cell>
          <cell r="D246" t="str">
            <v>m³</v>
          </cell>
          <cell r="E246">
            <v>6.02</v>
          </cell>
          <cell r="F246">
            <v>1.44</v>
          </cell>
          <cell r="G246">
            <v>7.47</v>
          </cell>
          <cell r="H246" t="str">
            <v>DNER-ES-280/97</v>
          </cell>
        </row>
        <row r="247">
          <cell r="A247" t="str">
            <v>2 S 01 100 19</v>
          </cell>
          <cell r="B247" t="str">
            <v>-</v>
          </cell>
          <cell r="C247" t="str">
            <v>Esc. carga tr. mat 1ª c. DMT 2000 a 3000m c/carreg</v>
          </cell>
          <cell r="D247" t="str">
            <v>m³</v>
          </cell>
          <cell r="E247">
            <v>6.71</v>
          </cell>
          <cell r="F247">
            <v>1.6</v>
          </cell>
          <cell r="G247">
            <v>8.31</v>
          </cell>
          <cell r="H247" t="str">
            <v>DNER-ES-280/97</v>
          </cell>
        </row>
        <row r="248">
          <cell r="A248" t="str">
            <v>2 S 01 100 20</v>
          </cell>
          <cell r="B248" t="str">
            <v>-</v>
          </cell>
          <cell r="C248" t="str">
            <v>Esc. carga tr. mat 1ª c. DMT 3000 a 5000m c/carreg</v>
          </cell>
          <cell r="D248" t="str">
            <v>m³</v>
          </cell>
          <cell r="E248">
            <v>8.57</v>
          </cell>
          <cell r="F248">
            <v>2.04</v>
          </cell>
          <cell r="G248">
            <v>10.62</v>
          </cell>
          <cell r="H248" t="str">
            <v>DNER-ES-280/97</v>
          </cell>
        </row>
        <row r="249">
          <cell r="A249" t="str">
            <v>2 S 01 100 21</v>
          </cell>
          <cell r="B249" t="str">
            <v>-</v>
          </cell>
          <cell r="C249" t="str">
            <v>Escavação carga transp. manual mat.1a cat. DT=20m</v>
          </cell>
          <cell r="D249" t="str">
            <v>m³</v>
          </cell>
          <cell r="E249">
            <v>14.05</v>
          </cell>
          <cell r="F249">
            <v>3.35</v>
          </cell>
          <cell r="G249">
            <v>117.41</v>
          </cell>
          <cell r="H249" t="str">
            <v>DNER-ES-280/97</v>
          </cell>
        </row>
        <row r="250">
          <cell r="A250" t="str">
            <v>2 S 01 100 22</v>
          </cell>
          <cell r="B250" t="str">
            <v>-</v>
          </cell>
          <cell r="C250" t="str">
            <v>Esc. carga transp. mat 1ª cat DMT 50 a 200m c/e</v>
          </cell>
          <cell r="D250" t="str">
            <v>m³</v>
          </cell>
          <cell r="E250">
            <v>3.31</v>
          </cell>
          <cell r="F250">
            <v>0.79</v>
          </cell>
          <cell r="G250">
            <v>4.0999999999999996</v>
          </cell>
          <cell r="H250" t="str">
            <v>DNER-ES-280/97</v>
          </cell>
        </row>
        <row r="251">
          <cell r="A251" t="str">
            <v>2 S 01 100 23</v>
          </cell>
          <cell r="B251" t="str">
            <v>-</v>
          </cell>
          <cell r="C251" t="str">
            <v>Esc. carga transp. mat 1ª cat DMT 200 a 400m c/e</v>
          </cell>
          <cell r="D251" t="str">
            <v>m³</v>
          </cell>
          <cell r="E251">
            <v>3.58</v>
          </cell>
          <cell r="F251">
            <v>0.85</v>
          </cell>
          <cell r="G251">
            <v>4.43</v>
          </cell>
          <cell r="H251" t="str">
            <v>DNER-ES-280/97</v>
          </cell>
        </row>
        <row r="252">
          <cell r="A252" t="str">
            <v>2 S 01 100 24</v>
          </cell>
          <cell r="B252" t="str">
            <v>-</v>
          </cell>
          <cell r="C252" t="str">
            <v>Esc. carga transp. mat 1ª cat DMT 400 a 600m c/e</v>
          </cell>
          <cell r="D252" t="str">
            <v>m³</v>
          </cell>
          <cell r="E252">
            <v>3.85</v>
          </cell>
          <cell r="F252">
            <v>0.92</v>
          </cell>
          <cell r="G252">
            <v>4.78</v>
          </cell>
          <cell r="H252" t="str">
            <v>DNER-ES-280/97</v>
          </cell>
        </row>
        <row r="253">
          <cell r="A253" t="str">
            <v>2 S 01 100 25</v>
          </cell>
          <cell r="B253" t="str">
            <v>-</v>
          </cell>
          <cell r="C253" t="str">
            <v>Esc. carga transp. mat 1ª cat DMT 600 a 800m c/e</v>
          </cell>
          <cell r="D253" t="str">
            <v>m³</v>
          </cell>
          <cell r="E253">
            <v>4.1100000000000003</v>
          </cell>
          <cell r="F253">
            <v>0.98</v>
          </cell>
          <cell r="G253">
            <v>5.0999999999999996</v>
          </cell>
          <cell r="H253" t="str">
            <v>DNER-ES-280/97</v>
          </cell>
        </row>
        <row r="254">
          <cell r="A254" t="str">
            <v>2 S 01 100 26</v>
          </cell>
          <cell r="B254" t="str">
            <v>-</v>
          </cell>
          <cell r="C254" t="str">
            <v>Esc. carga transp. mat 1ª cat DMT 800 a 1000m c/e</v>
          </cell>
          <cell r="D254" t="str">
            <v>m³</v>
          </cell>
          <cell r="E254">
            <v>4.34</v>
          </cell>
          <cell r="F254">
            <v>1.03</v>
          </cell>
          <cell r="G254">
            <v>5.38</v>
          </cell>
          <cell r="H254" t="str">
            <v>DNER-ES-280/97</v>
          </cell>
        </row>
        <row r="255">
          <cell r="A255" t="str">
            <v>2 S 01 100 27</v>
          </cell>
          <cell r="B255" t="str">
            <v>-</v>
          </cell>
          <cell r="C255" t="str">
            <v>Esc. carga transp. mat 1ª cat DMT 1000 a 1200m c/e</v>
          </cell>
          <cell r="D255" t="str">
            <v>m³</v>
          </cell>
          <cell r="E255">
            <v>4.57</v>
          </cell>
          <cell r="F255">
            <v>1.0900000000000001</v>
          </cell>
          <cell r="G255">
            <v>5.67</v>
          </cell>
          <cell r="H255" t="str">
            <v>DNER-ES-280/97</v>
          </cell>
        </row>
        <row r="256">
          <cell r="A256" t="str">
            <v>2 S 01 100 28</v>
          </cell>
          <cell r="B256" t="str">
            <v>-</v>
          </cell>
          <cell r="C256" t="str">
            <v>Esc. carga transp. mat 1ª cat DMT 1200 a 1400m c/e</v>
          </cell>
          <cell r="D256" t="str">
            <v>m³</v>
          </cell>
          <cell r="E256">
            <v>4.8</v>
          </cell>
          <cell r="F256">
            <v>1.1399999999999999</v>
          </cell>
          <cell r="G256">
            <v>5.94</v>
          </cell>
          <cell r="H256" t="str">
            <v>DNER-ES-280/97</v>
          </cell>
        </row>
        <row r="257">
          <cell r="A257" t="str">
            <v>2 S 01 100 29</v>
          </cell>
          <cell r="B257" t="str">
            <v>-</v>
          </cell>
          <cell r="C257" t="str">
            <v>Esc. carga transp. mat 1ª cat DMT 1400 a 1600m c/e</v>
          </cell>
          <cell r="D257" t="str">
            <v>m³</v>
          </cell>
          <cell r="E257">
            <v>4.9800000000000004</v>
          </cell>
          <cell r="F257">
            <v>1.19</v>
          </cell>
          <cell r="G257">
            <v>6.17</v>
          </cell>
          <cell r="H257" t="str">
            <v>DNER-ES-280/97</v>
          </cell>
        </row>
        <row r="258">
          <cell r="A258" t="str">
            <v>2 S 01 100 30</v>
          </cell>
          <cell r="B258" t="str">
            <v>-</v>
          </cell>
          <cell r="C258" t="str">
            <v>Esc. carga transp. mat 1ª cat DMT 1600 a 1800m c/e</v>
          </cell>
          <cell r="D258" t="str">
            <v>m³</v>
          </cell>
          <cell r="E258">
            <v>5.0599999999999996</v>
          </cell>
          <cell r="F258">
            <v>1.2</v>
          </cell>
          <cell r="G258">
            <v>6.26</v>
          </cell>
          <cell r="H258" t="str">
            <v>DNER-ES-280/97</v>
          </cell>
        </row>
        <row r="259">
          <cell r="A259" t="str">
            <v>2 S 01 100 31</v>
          </cell>
          <cell r="B259" t="str">
            <v>-</v>
          </cell>
          <cell r="C259" t="str">
            <v>Esc. carga transp. mat 1ª cat DMT 1800 a 2000m c/e</v>
          </cell>
          <cell r="D259" t="str">
            <v>m³</v>
          </cell>
          <cell r="E259">
            <v>5.42</v>
          </cell>
          <cell r="F259">
            <v>1.29</v>
          </cell>
          <cell r="G259">
            <v>6.71</v>
          </cell>
          <cell r="H259" t="str">
            <v>DNER-ES-280/97</v>
          </cell>
        </row>
        <row r="260">
          <cell r="A260" t="str">
            <v>2 S 01 100 32</v>
          </cell>
          <cell r="B260" t="str">
            <v>-</v>
          </cell>
          <cell r="C260" t="str">
            <v>Esc. carga transp. mat 1ª cat DMT 2000 a 3000m c/e</v>
          </cell>
          <cell r="D260" t="str">
            <v>m³</v>
          </cell>
          <cell r="E260">
            <v>6.06</v>
          </cell>
          <cell r="F260">
            <v>1.44</v>
          </cell>
          <cell r="G260">
            <v>7.51</v>
          </cell>
          <cell r="H260" t="str">
            <v>DNER-ES-280/97</v>
          </cell>
        </row>
        <row r="261">
          <cell r="A261" t="str">
            <v>2 S 01 100 33</v>
          </cell>
          <cell r="B261" t="str">
            <v>-</v>
          </cell>
          <cell r="C261" t="str">
            <v>Esc. carga transp. mat 1ª cat DMT 3000 a 5000m c/e</v>
          </cell>
          <cell r="D261" t="str">
            <v>m³</v>
          </cell>
          <cell r="E261">
            <v>8</v>
          </cell>
          <cell r="F261">
            <v>1.91</v>
          </cell>
          <cell r="G261">
            <v>9.91</v>
          </cell>
          <cell r="H261" t="str">
            <v>DNER-ES-280/97</v>
          </cell>
        </row>
        <row r="262">
          <cell r="A262" t="str">
            <v>2 S 01 101 01</v>
          </cell>
          <cell r="B262" t="str">
            <v>-</v>
          </cell>
          <cell r="C262" t="str">
            <v>Esc. carga transp. mat 2ª cat DMT 50m</v>
          </cell>
          <cell r="D262" t="str">
            <v>m³</v>
          </cell>
          <cell r="E262">
            <v>2.2000000000000002</v>
          </cell>
          <cell r="F262">
            <v>0.52</v>
          </cell>
          <cell r="G262">
            <v>2.72</v>
          </cell>
          <cell r="H262" t="str">
            <v>DNER-ES-280/97</v>
          </cell>
        </row>
        <row r="263">
          <cell r="A263" t="str">
            <v>2 S 01 101 02</v>
          </cell>
          <cell r="B263" t="str">
            <v>-</v>
          </cell>
          <cell r="C263" t="str">
            <v>Esc. carga transp. mat 2ª cat DMT 50 a 200m c/m</v>
          </cell>
          <cell r="D263" t="str">
            <v>m³</v>
          </cell>
          <cell r="E263">
            <v>5.88</v>
          </cell>
          <cell r="F263">
            <v>1.4</v>
          </cell>
          <cell r="G263">
            <v>7.29</v>
          </cell>
          <cell r="H263" t="str">
            <v>DNER-ES-280/97</v>
          </cell>
        </row>
        <row r="264">
          <cell r="A264" t="str">
            <v>2 S 01 101 03</v>
          </cell>
          <cell r="B264" t="str">
            <v>-</v>
          </cell>
          <cell r="C264" t="str">
            <v>Esc. carga transp. mat 2ª cat DMT 200 a 400m c/m</v>
          </cell>
          <cell r="D264" t="str">
            <v>m³</v>
          </cell>
          <cell r="E264">
            <v>5.9</v>
          </cell>
          <cell r="F264">
            <v>1.41</v>
          </cell>
          <cell r="G264">
            <v>7.31</v>
          </cell>
          <cell r="H264" t="str">
            <v>DNER-ES-280/97</v>
          </cell>
        </row>
        <row r="265">
          <cell r="A265" t="str">
            <v>2 S 01 101 04</v>
          </cell>
          <cell r="B265" t="str">
            <v>-</v>
          </cell>
          <cell r="C265" t="str">
            <v>Esc. carga transp. mat 2ª cat DMT 400 a 600m c/m</v>
          </cell>
          <cell r="D265" t="str">
            <v>m³</v>
          </cell>
          <cell r="E265">
            <v>7.2</v>
          </cell>
          <cell r="F265">
            <v>1.72</v>
          </cell>
          <cell r="G265">
            <v>8.92</v>
          </cell>
          <cell r="H265" t="str">
            <v>DNER-ES-280/97</v>
          </cell>
        </row>
        <row r="266">
          <cell r="A266" t="str">
            <v>2 S 01 101 05</v>
          </cell>
          <cell r="B266" t="str">
            <v>-</v>
          </cell>
          <cell r="C266" t="str">
            <v>Esc. carga transp. mat 2ª cat DMT 600 a 800m c/m</v>
          </cell>
          <cell r="D266" t="str">
            <v>m³</v>
          </cell>
          <cell r="E266">
            <v>8.49</v>
          </cell>
          <cell r="F266">
            <v>2.0299999999999998</v>
          </cell>
          <cell r="G266">
            <v>10.52</v>
          </cell>
          <cell r="H266" t="str">
            <v>DNER-ES-280/97</v>
          </cell>
        </row>
        <row r="267">
          <cell r="A267" t="str">
            <v>2 S 01 101 06</v>
          </cell>
          <cell r="B267" t="str">
            <v>-</v>
          </cell>
          <cell r="C267" t="str">
            <v>Esc. carga transp. mat 2ª cat DMT 800 a 1000m c/m</v>
          </cell>
          <cell r="D267" t="str">
            <v>m³</v>
          </cell>
          <cell r="E267">
            <v>9.7899999999999991</v>
          </cell>
          <cell r="F267">
            <v>2.34</v>
          </cell>
          <cell r="G267">
            <v>12.13</v>
          </cell>
          <cell r="H267" t="str">
            <v>DNER-ES-280/97</v>
          </cell>
        </row>
        <row r="268">
          <cell r="A268" t="str">
            <v>2 S 01 101 07</v>
          </cell>
          <cell r="B268" t="str">
            <v>-</v>
          </cell>
          <cell r="C268" t="str">
            <v>Esc. carga transp. mat 2ª cat DMT 1000 a 1200m c/m</v>
          </cell>
          <cell r="D268" t="str">
            <v>m³</v>
          </cell>
          <cell r="E268">
            <v>9.8000000000000007</v>
          </cell>
          <cell r="F268">
            <v>2.34</v>
          </cell>
          <cell r="G268">
            <v>12.15</v>
          </cell>
          <cell r="H268" t="str">
            <v>DNER-ES-280/97</v>
          </cell>
        </row>
        <row r="269">
          <cell r="A269" t="str">
            <v>2 S 01 101 08</v>
          </cell>
          <cell r="B269" t="str">
            <v>-</v>
          </cell>
          <cell r="C269" t="str">
            <v>Esc. carga transp. mat 2ª cat DMT 1200 a 1400m c/m</v>
          </cell>
          <cell r="D269" t="str">
            <v>m³</v>
          </cell>
          <cell r="E269">
            <v>11.1</v>
          </cell>
          <cell r="F269">
            <v>2.65</v>
          </cell>
          <cell r="G269">
            <v>13.76</v>
          </cell>
          <cell r="H269" t="str">
            <v>DNER-ES-280/97</v>
          </cell>
        </row>
        <row r="270">
          <cell r="A270" t="str">
            <v>2 S 01 101 09</v>
          </cell>
          <cell r="B270" t="str">
            <v>-</v>
          </cell>
          <cell r="C270" t="str">
            <v>Esc. carga tr. mat 2ª c. DMT 50 a 200m c/carreg</v>
          </cell>
          <cell r="D270" t="str">
            <v>m³</v>
          </cell>
          <cell r="E270">
            <v>6.07</v>
          </cell>
          <cell r="F270">
            <v>1.45</v>
          </cell>
          <cell r="G270">
            <v>7.52</v>
          </cell>
          <cell r="H270" t="str">
            <v>DNER-ES-280/97</v>
          </cell>
        </row>
        <row r="271">
          <cell r="A271" t="str">
            <v>2 S 01 101 10</v>
          </cell>
          <cell r="B271" t="str">
            <v>-</v>
          </cell>
          <cell r="C271" t="str">
            <v>Esc. carga tr. mat 2ª c. DMT 200 a 400m c/carreg</v>
          </cell>
          <cell r="D271" t="str">
            <v>m³</v>
          </cell>
          <cell r="E271">
            <v>6.36</v>
          </cell>
          <cell r="F271">
            <v>1.52</v>
          </cell>
          <cell r="G271">
            <v>7.88</v>
          </cell>
          <cell r="H271" t="str">
            <v>DNER-ES-280/97</v>
          </cell>
        </row>
        <row r="272">
          <cell r="A272" t="str">
            <v>2 S 01 101 11</v>
          </cell>
          <cell r="B272" t="str">
            <v>-</v>
          </cell>
          <cell r="C272" t="str">
            <v>Esc. carga tr. mat 2a c. DMT 400 a 600m c/carreg</v>
          </cell>
          <cell r="D272" t="str">
            <v>m³</v>
          </cell>
          <cell r="E272">
            <v>6.72</v>
          </cell>
          <cell r="F272">
            <v>1.6</v>
          </cell>
          <cell r="G272">
            <v>8.33</v>
          </cell>
          <cell r="H272" t="str">
            <v>DNER-ES-280/97</v>
          </cell>
        </row>
        <row r="273">
          <cell r="A273" t="str">
            <v>2 S 01 101 12</v>
          </cell>
          <cell r="B273" t="str">
            <v>-</v>
          </cell>
          <cell r="C273" t="str">
            <v>Esc. carga tr. mat 2a c. DMT 600 a 800m c/carreg</v>
          </cell>
          <cell r="D273" t="str">
            <v>m³</v>
          </cell>
          <cell r="E273">
            <v>7.06</v>
          </cell>
          <cell r="F273">
            <v>1.68</v>
          </cell>
          <cell r="G273">
            <v>8.75</v>
          </cell>
          <cell r="H273" t="str">
            <v>DNER-ES-280/97</v>
          </cell>
        </row>
        <row r="274">
          <cell r="A274" t="str">
            <v>2 S 01 101 13</v>
          </cell>
          <cell r="B274" t="str">
            <v>-</v>
          </cell>
          <cell r="C274" t="str">
            <v>Esc. carga tr. mat 2a c. DMT 800 a 1000m c/carreg</v>
          </cell>
          <cell r="D274" t="str">
            <v>m³</v>
          </cell>
          <cell r="E274">
            <v>7.27</v>
          </cell>
          <cell r="F274">
            <v>1.73</v>
          </cell>
          <cell r="G274">
            <v>9.01</v>
          </cell>
          <cell r="H274" t="str">
            <v>DNER-ES-280/97</v>
          </cell>
        </row>
        <row r="275">
          <cell r="A275" t="str">
            <v>2 S 01 101 14</v>
          </cell>
          <cell r="B275" t="str">
            <v>-</v>
          </cell>
          <cell r="C275" t="str">
            <v>Esc. carga tr. mat 2a c. DMT 1000 a 1200m c/carreg</v>
          </cell>
          <cell r="D275" t="str">
            <v>m³</v>
          </cell>
          <cell r="E275">
            <v>7.66</v>
          </cell>
          <cell r="F275">
            <v>1.83</v>
          </cell>
          <cell r="G275">
            <v>9.49</v>
          </cell>
          <cell r="H275" t="str">
            <v>DNER-ES-280/97</v>
          </cell>
        </row>
        <row r="276">
          <cell r="A276" t="str">
            <v>2 S 01 101 15</v>
          </cell>
          <cell r="B276" t="str">
            <v>-</v>
          </cell>
          <cell r="C276" t="str">
            <v>Esc. carga tr. mat 2a c. DMT 1200 a 1400m c/carreg</v>
          </cell>
          <cell r="D276" t="str">
            <v>m³</v>
          </cell>
          <cell r="E276">
            <v>7.88</v>
          </cell>
          <cell r="F276">
            <v>1.88</v>
          </cell>
          <cell r="G276">
            <v>9.77</v>
          </cell>
          <cell r="H276" t="str">
            <v>DNER-ES-280/97</v>
          </cell>
        </row>
        <row r="277">
          <cell r="A277" t="str">
            <v>2 S 01 101 16</v>
          </cell>
          <cell r="B277" t="str">
            <v>-</v>
          </cell>
          <cell r="C277" t="str">
            <v>Esc. carga tr. mat 2a c. DMT 1400 a 1600m c/carreg</v>
          </cell>
          <cell r="D277" t="str">
            <v>m³</v>
          </cell>
          <cell r="E277">
            <v>8.1</v>
          </cell>
          <cell r="F277">
            <v>1.93</v>
          </cell>
          <cell r="G277">
            <v>10.029999999999999</v>
          </cell>
          <cell r="H277" t="str">
            <v>DNER-ES-280/97</v>
          </cell>
        </row>
        <row r="278">
          <cell r="A278" t="str">
            <v>2 S 01 101 17</v>
          </cell>
          <cell r="B278" t="str">
            <v>-</v>
          </cell>
          <cell r="C278" t="str">
            <v>Esc. carga tr. mat 2a c. DMT 1600 a 1800m c/carreg</v>
          </cell>
          <cell r="D278" t="str">
            <v>m³</v>
          </cell>
          <cell r="E278">
            <v>8.19</v>
          </cell>
          <cell r="F278">
            <v>1.95</v>
          </cell>
          <cell r="G278">
            <v>10.15</v>
          </cell>
          <cell r="H278" t="str">
            <v>DNER-ES-280/97</v>
          </cell>
        </row>
        <row r="279">
          <cell r="A279" t="str">
            <v>2 S 01 101 18</v>
          </cell>
          <cell r="B279" t="str">
            <v>-</v>
          </cell>
          <cell r="C279" t="str">
            <v>Esc. carga tr. mat 2a c. DMT 1800 a 2000m c/carreg</v>
          </cell>
          <cell r="D279" t="str">
            <v>m³</v>
          </cell>
          <cell r="E279">
            <v>8.59</v>
          </cell>
          <cell r="F279">
            <v>2.0499999999999998</v>
          </cell>
          <cell r="G279">
            <v>10.64</v>
          </cell>
          <cell r="H279" t="str">
            <v>DNER-ES-280/97</v>
          </cell>
        </row>
        <row r="280">
          <cell r="A280" t="str">
            <v>2 S 01 101 19</v>
          </cell>
          <cell r="B280" t="str">
            <v>-</v>
          </cell>
          <cell r="C280" t="str">
            <v>Esc. carga tr. mat 2a c. DMT 2000 a 3000m c/carreg</v>
          </cell>
          <cell r="D280" t="str">
            <v>m³</v>
          </cell>
          <cell r="E280">
            <v>9.36</v>
          </cell>
          <cell r="F280">
            <v>2.23</v>
          </cell>
          <cell r="G280">
            <v>11.6</v>
          </cell>
          <cell r="H280" t="str">
            <v>DNER-ES-280/97</v>
          </cell>
        </row>
        <row r="281">
          <cell r="A281" t="str">
            <v>2 S 01 101 20</v>
          </cell>
          <cell r="B281" t="str">
            <v>-</v>
          </cell>
          <cell r="C281" t="str">
            <v>Esc. carga tr. mat 2a c. DMT 3000 a 5000m c/carreg</v>
          </cell>
          <cell r="D281" t="str">
            <v>m³</v>
          </cell>
          <cell r="E281">
            <v>11.82</v>
          </cell>
          <cell r="F281">
            <v>2.82</v>
          </cell>
          <cell r="G281">
            <v>14.64</v>
          </cell>
          <cell r="H281" t="str">
            <v>DNER-ES-280/97</v>
          </cell>
        </row>
        <row r="282">
          <cell r="A282" t="str">
            <v>2 S 01 101 22</v>
          </cell>
          <cell r="B282" t="str">
            <v>-</v>
          </cell>
          <cell r="C282" t="str">
            <v>Esc. carga transp. mat 2a cat DMT 50 a 200m c/e</v>
          </cell>
          <cell r="D282" t="str">
            <v>m³</v>
          </cell>
          <cell r="E282">
            <v>4.6399999999999997</v>
          </cell>
          <cell r="F282">
            <v>1.1100000000000001</v>
          </cell>
          <cell r="G282">
            <v>5.75</v>
          </cell>
          <cell r="H282" t="str">
            <v>DNER-ES-280/97</v>
          </cell>
        </row>
        <row r="283">
          <cell r="A283" t="str">
            <v>2 S 01 101 23</v>
          </cell>
          <cell r="B283" t="str">
            <v>-</v>
          </cell>
          <cell r="C283" t="str">
            <v>Esc. carga transp. mat 2a cat DMT 200 a 400m c/e</v>
          </cell>
          <cell r="D283" t="str">
            <v>m³</v>
          </cell>
          <cell r="E283">
            <v>4.99</v>
          </cell>
          <cell r="F283">
            <v>1.19</v>
          </cell>
          <cell r="G283">
            <v>6.18</v>
          </cell>
          <cell r="H283" t="str">
            <v>DNER-ES-280/97</v>
          </cell>
        </row>
        <row r="284">
          <cell r="A284" t="str">
            <v>2 S 01 101 24</v>
          </cell>
          <cell r="B284" t="str">
            <v>-</v>
          </cell>
          <cell r="C284" t="str">
            <v>Esc. carga transp. mat 2a cat DMT 400 a 600m c/e</v>
          </cell>
          <cell r="D284" t="str">
            <v>m³</v>
          </cell>
          <cell r="E284">
            <v>5.25</v>
          </cell>
          <cell r="F284">
            <v>1.25</v>
          </cell>
          <cell r="G284">
            <v>6.5</v>
          </cell>
          <cell r="H284" t="str">
            <v>DNER-ES-280/97</v>
          </cell>
        </row>
        <row r="285">
          <cell r="A285" t="str">
            <v>2 S 01 101 25</v>
          </cell>
          <cell r="B285" t="str">
            <v>-</v>
          </cell>
          <cell r="C285" t="str">
            <v>Esc. carga transp. mat 2a cat DMT 600 a 800m c/e</v>
          </cell>
          <cell r="D285" t="str">
            <v>m³</v>
          </cell>
          <cell r="E285">
            <v>5.46</v>
          </cell>
          <cell r="F285">
            <v>1.3</v>
          </cell>
          <cell r="G285">
            <v>6.76</v>
          </cell>
          <cell r="H285" t="str">
            <v>DNER-ES-280/97</v>
          </cell>
        </row>
        <row r="286">
          <cell r="A286" t="str">
            <v>2 S 01 101 26</v>
          </cell>
          <cell r="B286" t="str">
            <v>-</v>
          </cell>
          <cell r="C286" t="str">
            <v>Esc. carga transp. mat 2a cat DMT 800 a 1000m c/e</v>
          </cell>
          <cell r="D286" t="str">
            <v>m³</v>
          </cell>
          <cell r="E286">
            <v>5.92</v>
          </cell>
          <cell r="F286">
            <v>1.41</v>
          </cell>
          <cell r="G286">
            <v>7.34</v>
          </cell>
          <cell r="H286" t="str">
            <v>DNER-ES-280/97</v>
          </cell>
        </row>
        <row r="287">
          <cell r="A287" t="str">
            <v>2 S 01 101 27</v>
          </cell>
          <cell r="B287" t="str">
            <v>-</v>
          </cell>
          <cell r="C287" t="str">
            <v>Esc. carga transp. mat 2a cat DMT 1000 a 1200m c/e</v>
          </cell>
          <cell r="D287" t="str">
            <v>m³</v>
          </cell>
          <cell r="E287">
            <v>6.23</v>
          </cell>
          <cell r="F287">
            <v>1.48</v>
          </cell>
          <cell r="G287">
            <v>7.72</v>
          </cell>
          <cell r="H287" t="str">
            <v>DNER-ES-280/97</v>
          </cell>
        </row>
        <row r="288">
          <cell r="A288" t="str">
            <v>2 S 01 101 28</v>
          </cell>
          <cell r="B288" t="str">
            <v>-</v>
          </cell>
          <cell r="C288" t="str">
            <v>Esc. carga transp. mat 2a cat DMT 1200 a 1400m c/e</v>
          </cell>
          <cell r="D288" t="str">
            <v>m³</v>
          </cell>
          <cell r="E288">
            <v>6.46</v>
          </cell>
          <cell r="F288">
            <v>1.54</v>
          </cell>
          <cell r="G288">
            <v>8.01</v>
          </cell>
          <cell r="H288" t="str">
            <v>DNER-ES-280/97</v>
          </cell>
        </row>
        <row r="289">
          <cell r="A289" t="str">
            <v>2 S 01 101 29</v>
          </cell>
          <cell r="B289" t="str">
            <v>-</v>
          </cell>
          <cell r="C289" t="str">
            <v>Esc. carga transp. mat 2a cat DMT 1400 a 1600m c/e</v>
          </cell>
          <cell r="D289" t="str">
            <v>m³</v>
          </cell>
          <cell r="E289">
            <v>6.64</v>
          </cell>
          <cell r="F289">
            <v>1.58</v>
          </cell>
          <cell r="G289">
            <v>8.23</v>
          </cell>
          <cell r="H289" t="str">
            <v>DNER-ES-280/97</v>
          </cell>
        </row>
        <row r="290">
          <cell r="A290" t="str">
            <v>2 S 01 101 30</v>
          </cell>
          <cell r="B290" t="str">
            <v>-</v>
          </cell>
          <cell r="C290" t="str">
            <v>Esc. carga transp. mat 2a cat DMT 1600 a 1800m c/e</v>
          </cell>
          <cell r="D290" t="str">
            <v>m³</v>
          </cell>
          <cell r="E290">
            <v>6.84</v>
          </cell>
          <cell r="F290">
            <v>1.63</v>
          </cell>
          <cell r="G290">
            <v>8.48</v>
          </cell>
          <cell r="H290" t="str">
            <v>DNER-ES-280/97</v>
          </cell>
        </row>
        <row r="291">
          <cell r="A291" t="str">
            <v>2 S 01 101 31</v>
          </cell>
          <cell r="B291" t="str">
            <v>-</v>
          </cell>
          <cell r="C291" t="str">
            <v>Esc. carga transp. mat 2a cat DMT 1800 a 2000m c/e</v>
          </cell>
          <cell r="D291" t="str">
            <v>m³</v>
          </cell>
          <cell r="E291">
            <v>7.17</v>
          </cell>
          <cell r="F291">
            <v>1.71</v>
          </cell>
          <cell r="G291">
            <v>8.8800000000000008</v>
          </cell>
          <cell r="H291" t="str">
            <v>DNER-ES-280/97</v>
          </cell>
        </row>
        <row r="292">
          <cell r="A292" t="str">
            <v>2 S 01 101 32</v>
          </cell>
          <cell r="B292" t="str">
            <v>-</v>
          </cell>
          <cell r="C292" t="str">
            <v>Esc. carga transp. mat 2a cat DMT 2000 a 3000m c/e</v>
          </cell>
          <cell r="D292" t="str">
            <v>m³</v>
          </cell>
          <cell r="E292">
            <v>7.84</v>
          </cell>
          <cell r="F292">
            <v>1.87</v>
          </cell>
          <cell r="G292">
            <v>9.7200000000000006</v>
          </cell>
          <cell r="H292" t="str">
            <v>DNER-ES-280/97</v>
          </cell>
        </row>
        <row r="293">
          <cell r="A293" t="str">
            <v>2 S 01 101 33</v>
          </cell>
          <cell r="B293" t="str">
            <v>-</v>
          </cell>
          <cell r="C293" t="str">
            <v>Esc. carga transp. mat 2a cat DMT 3000 a 5000m c/e</v>
          </cell>
          <cell r="D293" t="str">
            <v>m³</v>
          </cell>
          <cell r="E293">
            <v>10.199999999999999</v>
          </cell>
          <cell r="F293">
            <v>2.4300000000000002</v>
          </cell>
          <cell r="G293">
            <v>12.64</v>
          </cell>
          <cell r="H293" t="str">
            <v>DNER-ES-280/97</v>
          </cell>
        </row>
        <row r="294">
          <cell r="A294" t="str">
            <v>2 S 01 102 01</v>
          </cell>
          <cell r="B294" t="str">
            <v>-</v>
          </cell>
          <cell r="C294" t="str">
            <v>Esc. carga transp. mat 3a cat DMT até 50m</v>
          </cell>
          <cell r="D294" t="str">
            <v>m³</v>
          </cell>
          <cell r="E294">
            <v>15.07</v>
          </cell>
          <cell r="F294">
            <v>3.6</v>
          </cell>
          <cell r="G294">
            <v>18.670000000000002</v>
          </cell>
          <cell r="H294" t="str">
            <v>DNER-ES-280/97</v>
          </cell>
        </row>
        <row r="295">
          <cell r="A295" t="str">
            <v>2 S 01 102 02</v>
          </cell>
          <cell r="B295" t="str">
            <v>-</v>
          </cell>
          <cell r="C295" t="str">
            <v>Esc. carga transp. mat 3a cat DMT 50 a 200m</v>
          </cell>
          <cell r="D295" t="str">
            <v>m³</v>
          </cell>
          <cell r="E295">
            <v>17.62</v>
          </cell>
          <cell r="F295">
            <v>4.21</v>
          </cell>
          <cell r="G295">
            <v>21.83</v>
          </cell>
          <cell r="H295" t="str">
            <v>DNER-ES-280/97</v>
          </cell>
        </row>
        <row r="296">
          <cell r="A296" t="str">
            <v>2 S 01 102 03</v>
          </cell>
          <cell r="B296" t="str">
            <v>-</v>
          </cell>
          <cell r="C296" t="str">
            <v>Esc. carga transp. mat 3a cat DMT 200 a 400m</v>
          </cell>
          <cell r="D296" t="str">
            <v>m³</v>
          </cell>
          <cell r="E296">
            <v>18.14</v>
          </cell>
          <cell r="F296">
            <v>4.33</v>
          </cell>
          <cell r="G296">
            <v>22.48</v>
          </cell>
          <cell r="H296" t="str">
            <v>DNER-ES-280/97</v>
          </cell>
        </row>
        <row r="297">
          <cell r="A297" t="str">
            <v>2 S 01 102 04</v>
          </cell>
          <cell r="B297" t="str">
            <v>-</v>
          </cell>
          <cell r="C297" t="str">
            <v>Esc. carga transp. mat 3a cat DMT 400 a 600m</v>
          </cell>
          <cell r="D297" t="str">
            <v>m³</v>
          </cell>
          <cell r="E297">
            <v>18.87</v>
          </cell>
          <cell r="F297">
            <v>4.51</v>
          </cell>
          <cell r="G297">
            <v>23.38</v>
          </cell>
          <cell r="H297" t="str">
            <v>DNER-ES-280/97</v>
          </cell>
        </row>
        <row r="298">
          <cell r="A298" t="str">
            <v>2 S 01 102 05</v>
          </cell>
          <cell r="B298" t="str">
            <v>-</v>
          </cell>
          <cell r="C298" t="str">
            <v>Esc. carga transp. mat 3a cat DMT 600 a 800m</v>
          </cell>
          <cell r="D298" t="str">
            <v>m³</v>
          </cell>
          <cell r="E298">
            <v>19.39</v>
          </cell>
          <cell r="F298">
            <v>4.63</v>
          </cell>
          <cell r="G298">
            <v>24.03</v>
          </cell>
          <cell r="H298" t="str">
            <v>DNER-ES-280/97</v>
          </cell>
        </row>
        <row r="299">
          <cell r="A299" t="str">
            <v>2 S 01 102 06</v>
          </cell>
          <cell r="B299" t="str">
            <v>-</v>
          </cell>
          <cell r="C299" t="str">
            <v>Esc. carga transp. mat 3a cat DMT 800 a 1000m</v>
          </cell>
          <cell r="D299" t="str">
            <v>m³</v>
          </cell>
          <cell r="E299">
            <v>19.920000000000002</v>
          </cell>
          <cell r="F299">
            <v>4.76</v>
          </cell>
          <cell r="G299">
            <v>24.68</v>
          </cell>
          <cell r="H299" t="str">
            <v>DNER-ES-280/97</v>
          </cell>
        </row>
        <row r="300">
          <cell r="A300" t="str">
            <v>2 S 01 102 07</v>
          </cell>
          <cell r="B300" t="str">
            <v>-</v>
          </cell>
          <cell r="C300" t="str">
            <v>Esc. carga transp. mat 3a cat DMT 1000 a 1200m</v>
          </cell>
          <cell r="D300" t="str">
            <v>m³</v>
          </cell>
          <cell r="E300">
            <v>20.14</v>
          </cell>
          <cell r="F300">
            <v>4.8099999999999996</v>
          </cell>
          <cell r="G300">
            <v>24.96</v>
          </cell>
          <cell r="H300" t="str">
            <v>DNER-ES-280/97</v>
          </cell>
        </row>
        <row r="301">
          <cell r="A301" t="str">
            <v>2 S 01 102 08</v>
          </cell>
          <cell r="B301" t="str">
            <v>-</v>
          </cell>
          <cell r="C301" t="str">
            <v>Esc. carga transp. mat 3a cat DMT 1200 a 1400m</v>
          </cell>
          <cell r="D301" t="str">
            <v>m³</v>
          </cell>
          <cell r="E301">
            <v>20.14</v>
          </cell>
          <cell r="F301">
            <v>4.8099999999999996</v>
          </cell>
          <cell r="G301">
            <v>24.96</v>
          </cell>
          <cell r="H301" t="str">
            <v>DNER-ES-280/97</v>
          </cell>
        </row>
        <row r="302">
          <cell r="A302" t="str">
            <v>2 S 01 300 01</v>
          </cell>
          <cell r="B302" t="str">
            <v>-</v>
          </cell>
          <cell r="C302" t="str">
            <v>Esc. carga transp. solos moles DMT 0 a 200m</v>
          </cell>
          <cell r="D302" t="str">
            <v>m³</v>
          </cell>
          <cell r="E302">
            <v>9.0500000000000007</v>
          </cell>
          <cell r="F302">
            <v>2.16</v>
          </cell>
          <cell r="G302">
            <v>11.21</v>
          </cell>
          <cell r="H302" t="str">
            <v>DNER-ES-280/97</v>
          </cell>
        </row>
        <row r="303">
          <cell r="A303" t="str">
            <v>2 S 01 300 02</v>
          </cell>
          <cell r="B303" t="str">
            <v>-</v>
          </cell>
          <cell r="C303" t="str">
            <v>Esc. carga transp. solos moles DMT 200 a 400m</v>
          </cell>
          <cell r="D303" t="str">
            <v>m³</v>
          </cell>
          <cell r="E303">
            <v>9.6999999999999993</v>
          </cell>
          <cell r="F303">
            <v>2.3199999999999998</v>
          </cell>
          <cell r="G303">
            <v>12.02</v>
          </cell>
          <cell r="H303" t="str">
            <v>DNER-ES-280/97</v>
          </cell>
        </row>
        <row r="304">
          <cell r="A304" t="str">
            <v>2 S 01 300 03</v>
          </cell>
          <cell r="B304" t="str">
            <v>-</v>
          </cell>
          <cell r="C304" t="str">
            <v>Esc. carga transp. solos moles DMT 400 a 600m</v>
          </cell>
          <cell r="D304" t="str">
            <v>m³</v>
          </cell>
          <cell r="E304">
            <v>9.98</v>
          </cell>
          <cell r="F304">
            <v>2.38</v>
          </cell>
          <cell r="G304">
            <v>12.37</v>
          </cell>
          <cell r="H304" t="str">
            <v>DNER-ES-280/97</v>
          </cell>
        </row>
        <row r="305">
          <cell r="A305" t="str">
            <v>2 S 01 300 04</v>
          </cell>
          <cell r="B305" t="str">
            <v>-</v>
          </cell>
          <cell r="C305" t="str">
            <v>Esc. carga transp. solos moles DMT 600 a 800m</v>
          </cell>
          <cell r="D305" t="str">
            <v>m³</v>
          </cell>
          <cell r="E305">
            <v>10.31</v>
          </cell>
          <cell r="F305">
            <v>2.46</v>
          </cell>
          <cell r="G305">
            <v>12.77</v>
          </cell>
          <cell r="H305" t="str">
            <v>DNER-ES-280/97</v>
          </cell>
        </row>
        <row r="306">
          <cell r="A306" t="str">
            <v>2 S 01 300 05</v>
          </cell>
          <cell r="B306" t="str">
            <v>-</v>
          </cell>
          <cell r="C306" t="str">
            <v>Esc. carga transp. solos moles DMT 800 a 1000m</v>
          </cell>
          <cell r="D306" t="str">
            <v>m³</v>
          </cell>
          <cell r="E306">
            <v>10.96</v>
          </cell>
          <cell r="F306">
            <v>2.61</v>
          </cell>
          <cell r="G306">
            <v>13.58</v>
          </cell>
          <cell r="H306" t="str">
            <v>DNER-ES-280/97</v>
          </cell>
        </row>
        <row r="307">
          <cell r="A307" t="str">
            <v>2 S 01 510 00</v>
          </cell>
          <cell r="B307" t="str">
            <v>-</v>
          </cell>
          <cell r="C307" t="str">
            <v>Compactação de aterros a 95% proctor normal</v>
          </cell>
          <cell r="D307" t="str">
            <v>m³</v>
          </cell>
          <cell r="E307">
            <v>1.39</v>
          </cell>
          <cell r="F307">
            <v>0.33</v>
          </cell>
          <cell r="G307">
            <v>1.73</v>
          </cell>
          <cell r="H307" t="str">
            <v>DNER-ES-282/97</v>
          </cell>
        </row>
        <row r="308">
          <cell r="A308" t="str">
            <v>2 S 01 511 00</v>
          </cell>
          <cell r="B308" t="str">
            <v>-</v>
          </cell>
          <cell r="C308" t="str">
            <v>Compactação de aterros a 100% proctor normal</v>
          </cell>
          <cell r="D308" t="str">
            <v>m³</v>
          </cell>
          <cell r="E308">
            <v>1.63</v>
          </cell>
          <cell r="F308">
            <v>0.38</v>
          </cell>
          <cell r="G308">
            <v>2.0099999999999998</v>
          </cell>
          <cell r="H308" t="str">
            <v>DNER-ES-282/97</v>
          </cell>
        </row>
        <row r="309">
          <cell r="A309" t="str">
            <v>2 S 01 512 01</v>
          </cell>
          <cell r="B309" t="str">
            <v>-</v>
          </cell>
          <cell r="C309" t="str">
            <v>Construção de corpo de aterro em rocha</v>
          </cell>
          <cell r="D309" t="str">
            <v>m³</v>
          </cell>
          <cell r="E309">
            <v>4.71</v>
          </cell>
          <cell r="F309">
            <v>1.1200000000000001</v>
          </cell>
          <cell r="G309">
            <v>5.83</v>
          </cell>
          <cell r="H309" t="str">
            <v>DNER-ES-282/97</v>
          </cell>
        </row>
        <row r="310">
          <cell r="A310" t="str">
            <v>2 S 01 512 02</v>
          </cell>
          <cell r="B310" t="str">
            <v>-</v>
          </cell>
          <cell r="C310" t="str">
            <v>Compactação de camada final de aterro de rocha</v>
          </cell>
          <cell r="D310" t="str">
            <v>m³</v>
          </cell>
          <cell r="E310">
            <v>13.34</v>
          </cell>
          <cell r="F310">
            <v>3.18</v>
          </cell>
          <cell r="G310">
            <v>16.53</v>
          </cell>
          <cell r="H310" t="str">
            <v>DNER-ES-282/97</v>
          </cell>
        </row>
        <row r="311">
          <cell r="A311" t="str">
            <v>2 S 01 512 52</v>
          </cell>
          <cell r="B311" t="str">
            <v>-</v>
          </cell>
          <cell r="C311" t="str">
            <v>Compactação camada final de aterro de rocha BC</v>
          </cell>
          <cell r="D311" t="str">
            <v>m³</v>
          </cell>
          <cell r="E311">
            <v>12.66</v>
          </cell>
          <cell r="F311">
            <v>3.02</v>
          </cell>
          <cell r="G311">
            <v>15.68</v>
          </cell>
          <cell r="H311" t="str">
            <v>DNER-ES-282/97</v>
          </cell>
        </row>
        <row r="312">
          <cell r="A312" t="str">
            <v>2 S 01 513 01</v>
          </cell>
          <cell r="B312" t="str">
            <v>-</v>
          </cell>
          <cell r="C312" t="str">
            <v>Compactação de material de "bota-fora"</v>
          </cell>
          <cell r="D312" t="str">
            <v>m³</v>
          </cell>
          <cell r="E312">
            <v>1.0900000000000001</v>
          </cell>
          <cell r="F312">
            <v>0.26</v>
          </cell>
          <cell r="G312">
            <v>1.35</v>
          </cell>
          <cell r="H312" t="str">
            <v>DNER-ES-282/97</v>
          </cell>
        </row>
        <row r="313">
          <cell r="A313" t="str">
            <v>2 S 02 100 00</v>
          </cell>
          <cell r="B313" t="str">
            <v>-</v>
          </cell>
          <cell r="C313" t="str">
            <v>Reforço do subleito</v>
          </cell>
          <cell r="D313" t="str">
            <v>m³</v>
          </cell>
          <cell r="E313">
            <v>7.32</v>
          </cell>
          <cell r="F313">
            <v>1.75</v>
          </cell>
          <cell r="G313">
            <v>9.07</v>
          </cell>
          <cell r="H313" t="str">
            <v>DNER-ES-300/97</v>
          </cell>
        </row>
        <row r="314">
          <cell r="A314" t="str">
            <v>2 S 02 110 00</v>
          </cell>
          <cell r="B314" t="str">
            <v>-</v>
          </cell>
          <cell r="C314" t="str">
            <v>Regularização do subleito</v>
          </cell>
          <cell r="D314" t="str">
            <v>m²</v>
          </cell>
          <cell r="E314">
            <v>0.42</v>
          </cell>
          <cell r="F314">
            <v>0.1</v>
          </cell>
          <cell r="G314">
            <v>0.52</v>
          </cell>
          <cell r="H314" t="str">
            <v>DNER-ES-299/97</v>
          </cell>
        </row>
        <row r="315">
          <cell r="A315" t="str">
            <v>2 S 02 110 01</v>
          </cell>
          <cell r="B315" t="str">
            <v>-</v>
          </cell>
          <cell r="C315" t="str">
            <v>Regul. subleito c/ fres. corte contr.autom. greide</v>
          </cell>
          <cell r="D315" t="str">
            <v>m²</v>
          </cell>
          <cell r="E315">
            <v>0.57999999999999996</v>
          </cell>
          <cell r="F315">
            <v>0.14000000000000001</v>
          </cell>
          <cell r="G315">
            <v>0.72</v>
          </cell>
          <cell r="H315" t="str">
            <v>-</v>
          </cell>
        </row>
        <row r="316">
          <cell r="A316" t="str">
            <v>2 S 02 200 00</v>
          </cell>
          <cell r="B316" t="str">
            <v>-</v>
          </cell>
          <cell r="C316" t="str">
            <v>Sub-base solo estabilizado granul. s/ mistura</v>
          </cell>
          <cell r="D316" t="str">
            <v>m³</v>
          </cell>
          <cell r="E316">
            <v>7.32</v>
          </cell>
          <cell r="F316">
            <v>1.75</v>
          </cell>
          <cell r="G316">
            <v>9.07</v>
          </cell>
          <cell r="H316" t="str">
            <v>DNER-ES-301/97</v>
          </cell>
        </row>
        <row r="317">
          <cell r="A317" t="str">
            <v>2 S 02 200 01</v>
          </cell>
          <cell r="B317" t="str">
            <v>-</v>
          </cell>
          <cell r="C317" t="str">
            <v>Base solo estabilizado granul. s/ mistura</v>
          </cell>
          <cell r="D317" t="str">
            <v>m³</v>
          </cell>
          <cell r="E317">
            <v>7.32</v>
          </cell>
          <cell r="F317">
            <v>1.75</v>
          </cell>
          <cell r="G317">
            <v>9.07</v>
          </cell>
          <cell r="H317" t="str">
            <v>DNER-ES-303/97</v>
          </cell>
        </row>
        <row r="318">
          <cell r="A318" t="str">
            <v>2 S 02 210 00</v>
          </cell>
          <cell r="B318" t="str">
            <v>-</v>
          </cell>
          <cell r="C318" t="str">
            <v>Sub-base estab. granul. c/ mistura solo na pista</v>
          </cell>
          <cell r="D318" t="str">
            <v>m³</v>
          </cell>
          <cell r="E318">
            <v>7.88</v>
          </cell>
          <cell r="F318">
            <v>1.88</v>
          </cell>
          <cell r="G318">
            <v>9.77</v>
          </cell>
          <cell r="H318" t="str">
            <v>-</v>
          </cell>
        </row>
        <row r="319">
          <cell r="A319" t="str">
            <v>2 S 02 210 01</v>
          </cell>
          <cell r="B319" t="str">
            <v>-</v>
          </cell>
          <cell r="C319" t="str">
            <v>Sub-base estab. granul. c/ mist. solo-areia pista</v>
          </cell>
          <cell r="D319" t="str">
            <v>m³</v>
          </cell>
          <cell r="E319">
            <v>8.8000000000000007</v>
          </cell>
          <cell r="F319">
            <v>2.1</v>
          </cell>
          <cell r="G319">
            <v>10.91</v>
          </cell>
          <cell r="H319" t="str">
            <v>-</v>
          </cell>
        </row>
        <row r="320">
          <cell r="A320" t="str">
            <v>2 S 02 210 02</v>
          </cell>
          <cell r="B320" t="str">
            <v>-</v>
          </cell>
          <cell r="C320" t="str">
            <v>Base estab.granul.c/ mist.solo - areia na pista</v>
          </cell>
          <cell r="D320" t="str">
            <v>m³</v>
          </cell>
          <cell r="E320">
            <v>8.8000000000000007</v>
          </cell>
          <cell r="F320">
            <v>2.1</v>
          </cell>
          <cell r="G320">
            <v>10.91</v>
          </cell>
          <cell r="H320" t="str">
            <v>-</v>
          </cell>
        </row>
        <row r="321">
          <cell r="A321" t="str">
            <v>2 S 02 210 51</v>
          </cell>
          <cell r="B321" t="str">
            <v>-</v>
          </cell>
          <cell r="C321" t="str">
            <v>Sub-base estab.granul.c/mist.soloareia pista AC</v>
          </cell>
          <cell r="D321" t="str">
            <v>m³</v>
          </cell>
          <cell r="E321">
            <v>14.09</v>
          </cell>
          <cell r="F321">
            <v>3.36</v>
          </cell>
          <cell r="G321">
            <v>17.45</v>
          </cell>
          <cell r="H321" t="str">
            <v>-</v>
          </cell>
        </row>
        <row r="322">
          <cell r="A322" t="str">
            <v>2 S 02 210 52</v>
          </cell>
          <cell r="B322" t="str">
            <v>-</v>
          </cell>
          <cell r="C322" t="str">
            <v>Base estab.granul.c/mist.soloareia na pista AC</v>
          </cell>
          <cell r="D322" t="str">
            <v>m³</v>
          </cell>
          <cell r="E322">
            <v>14.09</v>
          </cell>
          <cell r="F322">
            <v>3.36</v>
          </cell>
          <cell r="G322">
            <v>17.45</v>
          </cell>
          <cell r="H322" t="str">
            <v>-</v>
          </cell>
        </row>
        <row r="323">
          <cell r="A323" t="str">
            <v>2 S 02 220 00</v>
          </cell>
          <cell r="B323" t="str">
            <v>-</v>
          </cell>
          <cell r="C323" t="str">
            <v>Base estab.granul.c/ mistura solo - brita</v>
          </cell>
          <cell r="D323" t="str">
            <v>m³</v>
          </cell>
          <cell r="E323">
            <v>25.35</v>
          </cell>
          <cell r="F323">
            <v>6.05</v>
          </cell>
          <cell r="G323">
            <v>31.41</v>
          </cell>
          <cell r="H323" t="str">
            <v>-</v>
          </cell>
        </row>
        <row r="324">
          <cell r="A324" t="str">
            <v>2 S 02 220 50</v>
          </cell>
          <cell r="B324" t="str">
            <v>-</v>
          </cell>
          <cell r="C324" t="str">
            <v>Base estab.granul.c/ mistura solo - brita BC</v>
          </cell>
          <cell r="D324" t="str">
            <v>m³</v>
          </cell>
          <cell r="E324">
            <v>25</v>
          </cell>
          <cell r="F324">
            <v>5.97</v>
          </cell>
          <cell r="G324">
            <v>30.98</v>
          </cell>
          <cell r="H324" t="str">
            <v>-</v>
          </cell>
        </row>
        <row r="325">
          <cell r="A325" t="str">
            <v>2 S 02 230 00</v>
          </cell>
          <cell r="B325" t="str">
            <v>-</v>
          </cell>
          <cell r="C325" t="str">
            <v>Base de brita graduada</v>
          </cell>
          <cell r="D325" t="str">
            <v>m³</v>
          </cell>
          <cell r="E325">
            <v>41.4</v>
          </cell>
          <cell r="F325">
            <v>9.89</v>
          </cell>
          <cell r="G325">
            <v>51.3</v>
          </cell>
          <cell r="H325" t="str">
            <v>EP-P-01</v>
          </cell>
        </row>
        <row r="326">
          <cell r="A326" t="str">
            <v>2 S 02 230 01</v>
          </cell>
          <cell r="B326" t="str">
            <v>-</v>
          </cell>
          <cell r="C326" t="str">
            <v>Base brita grad. c/ dist. agreg. contr. de greide</v>
          </cell>
          <cell r="D326" t="str">
            <v>m³</v>
          </cell>
          <cell r="E326">
            <v>41.92</v>
          </cell>
          <cell r="F326">
            <v>10.02</v>
          </cell>
          <cell r="G326">
            <v>51.94</v>
          </cell>
          <cell r="H326" t="str">
            <v>-</v>
          </cell>
        </row>
        <row r="327">
          <cell r="A327" t="str">
            <v>2 S 02 230 50</v>
          </cell>
          <cell r="B327" t="str">
            <v>-</v>
          </cell>
          <cell r="C327" t="str">
            <v>Base de brita graduada BC</v>
          </cell>
          <cell r="D327" t="str">
            <v>m³</v>
          </cell>
          <cell r="E327">
            <v>40.549999999999997</v>
          </cell>
          <cell r="F327">
            <v>9.69</v>
          </cell>
          <cell r="G327">
            <v>50.24</v>
          </cell>
          <cell r="H327" t="str">
            <v>-</v>
          </cell>
        </row>
        <row r="328">
          <cell r="A328" t="str">
            <v>2 S 02 230 51</v>
          </cell>
          <cell r="B328" t="str">
            <v>-</v>
          </cell>
          <cell r="C328" t="str">
            <v>Base brita grad.c/dist.agreg.contr.de greide BC</v>
          </cell>
          <cell r="D328" t="str">
            <v>m³</v>
          </cell>
          <cell r="E328">
            <v>41.06</v>
          </cell>
          <cell r="F328">
            <v>9.81</v>
          </cell>
          <cell r="G328">
            <v>50.88</v>
          </cell>
          <cell r="H328" t="str">
            <v>-</v>
          </cell>
        </row>
        <row r="329">
          <cell r="A329" t="str">
            <v>2 S 02 231 00</v>
          </cell>
          <cell r="B329" t="str">
            <v>-</v>
          </cell>
          <cell r="C329" t="str">
            <v>Base de macadame hidráulico</v>
          </cell>
          <cell r="D329" t="str">
            <v>m³</v>
          </cell>
          <cell r="E329">
            <v>36.39</v>
          </cell>
          <cell r="F329">
            <v>8.69</v>
          </cell>
          <cell r="G329">
            <v>45.09</v>
          </cell>
          <cell r="H329" t="str">
            <v>-</v>
          </cell>
        </row>
        <row r="330">
          <cell r="A330" t="str">
            <v>2 S 02 231 50</v>
          </cell>
          <cell r="B330" t="str">
            <v>-</v>
          </cell>
          <cell r="C330" t="str">
            <v>Base de macadame hidráulico BC</v>
          </cell>
          <cell r="D330" t="str">
            <v>m³</v>
          </cell>
          <cell r="E330">
            <v>35.590000000000003</v>
          </cell>
          <cell r="F330">
            <v>8.5</v>
          </cell>
          <cell r="G330">
            <v>44.1</v>
          </cell>
          <cell r="H330" t="str">
            <v>-</v>
          </cell>
        </row>
        <row r="331">
          <cell r="A331" t="str">
            <v>2 S 02 241 01</v>
          </cell>
          <cell r="B331" t="str">
            <v>-</v>
          </cell>
          <cell r="C331" t="str">
            <v>Base de solo cimento c/ mistura em usina</v>
          </cell>
          <cell r="D331" t="str">
            <v>m³</v>
          </cell>
          <cell r="E331">
            <v>72.59</v>
          </cell>
          <cell r="F331">
            <v>17.350000000000001</v>
          </cell>
          <cell r="G331">
            <v>89.94</v>
          </cell>
          <cell r="H331" t="str">
            <v>-</v>
          </cell>
        </row>
        <row r="332">
          <cell r="A332" t="str">
            <v>2 S 02 243 01</v>
          </cell>
          <cell r="B332" t="str">
            <v>-</v>
          </cell>
          <cell r="C332" t="str">
            <v>Sub-base de solo melhor. c/ cimento mist. em usina</v>
          </cell>
          <cell r="D332" t="str">
            <v>m³</v>
          </cell>
          <cell r="E332">
            <v>42.86</v>
          </cell>
          <cell r="F332">
            <v>10.24</v>
          </cell>
          <cell r="G332">
            <v>53.1</v>
          </cell>
          <cell r="H332" t="str">
            <v>-</v>
          </cell>
        </row>
        <row r="333">
          <cell r="A333" t="str">
            <v>2 S 02 300 00</v>
          </cell>
          <cell r="B333" t="str">
            <v>-</v>
          </cell>
          <cell r="C333" t="str">
            <v>Imprimação</v>
          </cell>
          <cell r="D333" t="str">
            <v>m²</v>
          </cell>
          <cell r="E333">
            <v>0.12</v>
          </cell>
          <cell r="F333">
            <v>0.03</v>
          </cell>
          <cell r="G333">
            <v>0.16</v>
          </cell>
          <cell r="H333" t="str">
            <v>DNER-ES-306/97</v>
          </cell>
        </row>
        <row r="334">
          <cell r="A334" t="str">
            <v>2 S 02 400 00</v>
          </cell>
          <cell r="B334" t="str">
            <v>-</v>
          </cell>
          <cell r="C334" t="str">
            <v>Pintura de ligação</v>
          </cell>
          <cell r="D334" t="str">
            <v>m²</v>
          </cell>
          <cell r="E334">
            <v>0.09</v>
          </cell>
          <cell r="F334">
            <v>0.02</v>
          </cell>
          <cell r="G334">
            <v>0.11</v>
          </cell>
          <cell r="H334" t="str">
            <v>DNER-ES-307/97</v>
          </cell>
        </row>
        <row r="335">
          <cell r="A335" t="str">
            <v>2 S 02 500 00</v>
          </cell>
          <cell r="B335" t="str">
            <v>-</v>
          </cell>
          <cell r="C335" t="str">
            <v>Tratamento superficial simples c/ cap</v>
          </cell>
          <cell r="D335" t="str">
            <v>m²</v>
          </cell>
          <cell r="E335">
            <v>0.46</v>
          </cell>
          <cell r="F335">
            <v>0.11</v>
          </cell>
          <cell r="G335">
            <v>0.56999999999999995</v>
          </cell>
          <cell r="H335" t="str">
            <v>DNER-ES-308/97</v>
          </cell>
        </row>
        <row r="336">
          <cell r="A336" t="str">
            <v>2 S 02 500 01</v>
          </cell>
          <cell r="B336" t="str">
            <v>-</v>
          </cell>
          <cell r="C336" t="str">
            <v>Tratamento superficial simples c/ emulsão</v>
          </cell>
          <cell r="D336" t="str">
            <v>m²</v>
          </cell>
          <cell r="E336">
            <v>0.43</v>
          </cell>
          <cell r="F336">
            <v>0.1</v>
          </cell>
          <cell r="G336">
            <v>0.53</v>
          </cell>
          <cell r="H336" t="str">
            <v>DNER-ES-308/97</v>
          </cell>
        </row>
        <row r="337">
          <cell r="A337" t="str">
            <v>2 S 02 500 02</v>
          </cell>
          <cell r="B337" t="str">
            <v>-</v>
          </cell>
          <cell r="C337" t="str">
            <v>Tratamento superficial simples c/ banho diluído</v>
          </cell>
          <cell r="D337" t="str">
            <v>m²</v>
          </cell>
          <cell r="E337">
            <v>0.5</v>
          </cell>
          <cell r="F337">
            <v>0.11</v>
          </cell>
          <cell r="G337">
            <v>0.62</v>
          </cell>
          <cell r="H337" t="str">
            <v>DNER-ES-308/97</v>
          </cell>
        </row>
        <row r="338">
          <cell r="A338" t="str">
            <v>2 S 02 500 50</v>
          </cell>
          <cell r="B338" t="str">
            <v>-</v>
          </cell>
          <cell r="C338" t="str">
            <v>Tratamento superficial simples c/cap BC</v>
          </cell>
          <cell r="D338" t="str">
            <v>m²</v>
          </cell>
          <cell r="E338">
            <v>0.46</v>
          </cell>
          <cell r="F338">
            <v>0.11</v>
          </cell>
          <cell r="G338">
            <v>0.56999999999999995</v>
          </cell>
          <cell r="H338" t="str">
            <v>DNER-ES-308/97</v>
          </cell>
        </row>
        <row r="339">
          <cell r="A339" t="str">
            <v>2 S 02 500 51</v>
          </cell>
          <cell r="B339" t="str">
            <v>-</v>
          </cell>
          <cell r="C339" t="str">
            <v>Tratamento superficial simples c/emulsão BC</v>
          </cell>
          <cell r="D339" t="str">
            <v>m²</v>
          </cell>
          <cell r="E339">
            <v>0.43</v>
          </cell>
          <cell r="F339">
            <v>0.1</v>
          </cell>
          <cell r="G339">
            <v>0.53</v>
          </cell>
          <cell r="H339" t="str">
            <v>DNER-ES-308/97</v>
          </cell>
        </row>
        <row r="340">
          <cell r="A340" t="str">
            <v>2 S 02 500 52</v>
          </cell>
          <cell r="B340" t="str">
            <v>-</v>
          </cell>
          <cell r="C340" t="str">
            <v>Tratamento superf.simples c/banho diluído BC</v>
          </cell>
          <cell r="D340" t="str">
            <v>m²</v>
          </cell>
          <cell r="E340">
            <v>0.49</v>
          </cell>
          <cell r="F340">
            <v>0.11</v>
          </cell>
          <cell r="G340">
            <v>0.61</v>
          </cell>
          <cell r="H340" t="str">
            <v>DNER-ES-308/97</v>
          </cell>
        </row>
        <row r="341">
          <cell r="A341" t="str">
            <v>2 S 02 501 00</v>
          </cell>
          <cell r="B341" t="str">
            <v>-</v>
          </cell>
          <cell r="C341" t="str">
            <v>Tratamento superficial duplo c/ cap</v>
          </cell>
          <cell r="D341" t="str">
            <v>m²</v>
          </cell>
          <cell r="E341">
            <v>1.35</v>
          </cell>
          <cell r="F341">
            <v>0.32</v>
          </cell>
          <cell r="G341">
            <v>1.68</v>
          </cell>
          <cell r="H341" t="str">
            <v>DNER-ES-309/97</v>
          </cell>
        </row>
        <row r="342">
          <cell r="A342" t="str">
            <v>2 S 02 501 01</v>
          </cell>
          <cell r="B342" t="str">
            <v>-</v>
          </cell>
          <cell r="C342" t="str">
            <v>Tratamento superficial duplo c/ emulsão</v>
          </cell>
          <cell r="D342" t="str">
            <v>m²</v>
          </cell>
          <cell r="E342">
            <v>1.34</v>
          </cell>
          <cell r="F342">
            <v>0.32</v>
          </cell>
          <cell r="G342">
            <v>1.66</v>
          </cell>
          <cell r="H342" t="str">
            <v>DNER-ES-309/97</v>
          </cell>
        </row>
        <row r="343">
          <cell r="A343" t="str">
            <v>2 S 02 501 02</v>
          </cell>
          <cell r="B343" t="str">
            <v>-</v>
          </cell>
          <cell r="C343" t="str">
            <v>Tratamento superficial duplo c/ banho diluído</v>
          </cell>
          <cell r="D343" t="str">
            <v>m²</v>
          </cell>
          <cell r="E343">
            <v>1.49</v>
          </cell>
          <cell r="F343">
            <v>0.35</v>
          </cell>
          <cell r="G343">
            <v>1.84</v>
          </cell>
          <cell r="H343" t="str">
            <v>DNER-ES-309/97</v>
          </cell>
        </row>
        <row r="344">
          <cell r="A344" t="str">
            <v>2 S 02 501 50</v>
          </cell>
          <cell r="B344" t="str">
            <v>-</v>
          </cell>
          <cell r="C344" t="str">
            <v>Tratamento superficial duplo c/cap BC</v>
          </cell>
          <cell r="D344" t="str">
            <v>m²</v>
          </cell>
          <cell r="E344">
            <v>1.34</v>
          </cell>
          <cell r="F344">
            <v>0.32</v>
          </cell>
          <cell r="G344">
            <v>1.66</v>
          </cell>
          <cell r="H344" t="str">
            <v>DNER-ES-309/97</v>
          </cell>
        </row>
        <row r="345">
          <cell r="A345" t="str">
            <v>2 S 02 501 51</v>
          </cell>
          <cell r="B345" t="str">
            <v>-</v>
          </cell>
          <cell r="C345" t="str">
            <v>Tratamento superficial duplo c/ emulsão BC</v>
          </cell>
          <cell r="D345" t="str">
            <v>m²</v>
          </cell>
          <cell r="E345">
            <v>1.33</v>
          </cell>
          <cell r="F345">
            <v>0.31</v>
          </cell>
          <cell r="G345">
            <v>1.65</v>
          </cell>
          <cell r="H345" t="str">
            <v>DNER-ES-309/97</v>
          </cell>
        </row>
        <row r="346">
          <cell r="A346" t="str">
            <v>2 S 02 501 52</v>
          </cell>
          <cell r="B346" t="str">
            <v>-</v>
          </cell>
          <cell r="C346" t="str">
            <v>Tratamento superficial duplo c/banho diluído BC</v>
          </cell>
          <cell r="D346" t="str">
            <v>m²</v>
          </cell>
          <cell r="E346">
            <v>1.47</v>
          </cell>
          <cell r="F346">
            <v>0.35</v>
          </cell>
          <cell r="G346">
            <v>1.83</v>
          </cell>
          <cell r="H346" t="str">
            <v>DNER-ES-309/97</v>
          </cell>
        </row>
        <row r="347">
          <cell r="A347" t="str">
            <v>2 S 02 502 00</v>
          </cell>
          <cell r="B347" t="str">
            <v>-</v>
          </cell>
          <cell r="C347" t="str">
            <v>Tratamento superficial triplo c/ cap</v>
          </cell>
          <cell r="D347" t="str">
            <v>m²</v>
          </cell>
          <cell r="E347">
            <v>1.91</v>
          </cell>
          <cell r="F347">
            <v>0.45</v>
          </cell>
          <cell r="G347">
            <v>2.37</v>
          </cell>
          <cell r="H347" t="str">
            <v>DNER-ES-310/97</v>
          </cell>
        </row>
        <row r="348">
          <cell r="A348" t="str">
            <v>2 S 02 502 01</v>
          </cell>
          <cell r="B348" t="str">
            <v>-</v>
          </cell>
          <cell r="C348" t="str">
            <v>Tratamento superficial triplo c/ emulsão</v>
          </cell>
          <cell r="D348" t="str">
            <v>m²</v>
          </cell>
          <cell r="E348">
            <v>1.94</v>
          </cell>
          <cell r="F348">
            <v>0.46</v>
          </cell>
          <cell r="G348">
            <v>2.4</v>
          </cell>
          <cell r="H348" t="str">
            <v>DNER-ES-310/97</v>
          </cell>
        </row>
        <row r="349">
          <cell r="A349" t="str">
            <v>2 S 02 502 02</v>
          </cell>
          <cell r="B349" t="str">
            <v>-</v>
          </cell>
          <cell r="C349" t="str">
            <v>Tratamento superficial triplo c/ banho diluído</v>
          </cell>
          <cell r="D349" t="str">
            <v>m²</v>
          </cell>
          <cell r="E349">
            <v>2.11</v>
          </cell>
          <cell r="F349">
            <v>0.5</v>
          </cell>
          <cell r="G349">
            <v>2.61</v>
          </cell>
          <cell r="H349" t="str">
            <v>DNER-ES-310/97</v>
          </cell>
        </row>
        <row r="350">
          <cell r="A350" t="str">
            <v>2 S 02 502 50</v>
          </cell>
          <cell r="B350" t="str">
            <v>-</v>
          </cell>
          <cell r="C350" t="str">
            <v>Tratamento superficial triplo c/ cap BC</v>
          </cell>
          <cell r="D350" t="str">
            <v>m²</v>
          </cell>
          <cell r="E350">
            <v>1.9</v>
          </cell>
          <cell r="F350">
            <v>0.45</v>
          </cell>
          <cell r="G350">
            <v>2.35</v>
          </cell>
          <cell r="H350" t="str">
            <v>DNER-ES-310/97</v>
          </cell>
        </row>
        <row r="351">
          <cell r="A351" t="str">
            <v>2 S 02 502 51</v>
          </cell>
          <cell r="B351" t="str">
            <v>-</v>
          </cell>
          <cell r="C351" t="str">
            <v>Tratamento superficial triplo c/ emulsão BC</v>
          </cell>
          <cell r="D351" t="str">
            <v>m²</v>
          </cell>
          <cell r="E351">
            <v>1.92</v>
          </cell>
          <cell r="F351">
            <v>0.46</v>
          </cell>
          <cell r="G351">
            <v>2.38</v>
          </cell>
          <cell r="H351" t="str">
            <v>DNER-ES-310/97</v>
          </cell>
        </row>
        <row r="352">
          <cell r="A352" t="str">
            <v>2 S 02 502 52</v>
          </cell>
          <cell r="B352" t="str">
            <v>-</v>
          </cell>
          <cell r="C352" t="str">
            <v>Tratamento superficial triplo c/banho diluído BC</v>
          </cell>
          <cell r="D352" t="str">
            <v>m²</v>
          </cell>
          <cell r="E352">
            <v>2.09</v>
          </cell>
          <cell r="F352">
            <v>0.5</v>
          </cell>
          <cell r="G352">
            <v>2.59</v>
          </cell>
          <cell r="H352" t="str">
            <v>DNER-ES-310/97</v>
          </cell>
        </row>
        <row r="353">
          <cell r="A353" t="str">
            <v>2 S 02 530 00</v>
          </cell>
          <cell r="B353" t="str">
            <v>-</v>
          </cell>
          <cell r="C353" t="str">
            <v>Pré-misturado a frio</v>
          </cell>
          <cell r="D353" t="str">
            <v>m³</v>
          </cell>
          <cell r="E353">
            <v>54.99</v>
          </cell>
          <cell r="F353">
            <v>13.14</v>
          </cell>
          <cell r="G353">
            <v>68.14</v>
          </cell>
          <cell r="H353" t="str">
            <v>DNER-ES-317/97</v>
          </cell>
        </row>
        <row r="354">
          <cell r="A354" t="str">
            <v>2 S 02 530 50</v>
          </cell>
          <cell r="B354" t="str">
            <v>-</v>
          </cell>
          <cell r="C354" t="str">
            <v>Pré-misturado a frio AC/BC</v>
          </cell>
          <cell r="D354" t="str">
            <v>m³</v>
          </cell>
          <cell r="E354">
            <v>57.04</v>
          </cell>
          <cell r="F354">
            <v>13.63</v>
          </cell>
          <cell r="G354">
            <v>70.67</v>
          </cell>
          <cell r="H354" t="str">
            <v>DNER-ES-317/97</v>
          </cell>
        </row>
        <row r="355">
          <cell r="A355" t="str">
            <v>2 S 02 531 00</v>
          </cell>
          <cell r="B355" t="str">
            <v>-</v>
          </cell>
          <cell r="C355" t="str">
            <v>Macadame betuminoso por penetração</v>
          </cell>
          <cell r="D355" t="str">
            <v>m³</v>
          </cell>
          <cell r="E355">
            <v>48.57</v>
          </cell>
          <cell r="F355">
            <v>11.61</v>
          </cell>
          <cell r="G355">
            <v>60.18</v>
          </cell>
          <cell r="H355" t="str">
            <v>DNER-ES-311/97</v>
          </cell>
        </row>
        <row r="356">
          <cell r="A356" t="str">
            <v>2 S 02 531 50</v>
          </cell>
          <cell r="B356" t="str">
            <v>-</v>
          </cell>
          <cell r="C356" t="str">
            <v>Macadame betuminoso por penetração BC</v>
          </cell>
          <cell r="D356" t="str">
            <v>m³</v>
          </cell>
          <cell r="E356">
            <v>47.83</v>
          </cell>
          <cell r="F356">
            <v>11.43</v>
          </cell>
          <cell r="G356">
            <v>59.26</v>
          </cell>
          <cell r="H356" t="str">
            <v>DNER-ES-311/97</v>
          </cell>
        </row>
        <row r="357">
          <cell r="A357" t="str">
            <v>2 S 02 532 00</v>
          </cell>
          <cell r="B357" t="str">
            <v>-</v>
          </cell>
          <cell r="C357" t="str">
            <v>Areia-asfalto a quente</v>
          </cell>
          <cell r="D357" t="str">
            <v>t</v>
          </cell>
          <cell r="E357">
            <v>34.79</v>
          </cell>
          <cell r="F357">
            <v>8.31</v>
          </cell>
          <cell r="G357">
            <v>43.11</v>
          </cell>
          <cell r="H357" t="str">
            <v>DNIT 032/2005-ES</v>
          </cell>
        </row>
        <row r="358">
          <cell r="A358" t="str">
            <v>2 S 02 532 50</v>
          </cell>
          <cell r="B358" t="str">
            <v>-</v>
          </cell>
          <cell r="C358" t="str">
            <v>Areia-asfalto a quente AC</v>
          </cell>
          <cell r="D358" t="str">
            <v>t</v>
          </cell>
          <cell r="E358">
            <v>45.66</v>
          </cell>
          <cell r="F358">
            <v>10.91</v>
          </cell>
          <cell r="G358">
            <v>56.57</v>
          </cell>
          <cell r="H358" t="str">
            <v>DNIT 032/2005-ES</v>
          </cell>
        </row>
        <row r="359">
          <cell r="A359" t="str">
            <v>2 S 02 540 01</v>
          </cell>
          <cell r="B359" t="str">
            <v>-</v>
          </cell>
          <cell r="C359" t="str">
            <v>Conc. betuminoso usinado a quente - capa rolamento</v>
          </cell>
          <cell r="D359" t="str">
            <v>t</v>
          </cell>
          <cell r="E359">
            <v>31.75</v>
          </cell>
          <cell r="F359">
            <v>7.58</v>
          </cell>
          <cell r="G359">
            <v>39.340000000000003</v>
          </cell>
          <cell r="H359" t="str">
            <v>DNIT 031/2004-ES</v>
          </cell>
        </row>
        <row r="360">
          <cell r="A360" t="str">
            <v>2 S 02 540 02</v>
          </cell>
          <cell r="B360" t="str">
            <v>-</v>
          </cell>
          <cell r="C360" t="str">
            <v>Concreto betuminoso usinado a quente - "blinder"</v>
          </cell>
          <cell r="D360" t="str">
            <v>t</v>
          </cell>
          <cell r="E360">
            <v>31.2</v>
          </cell>
          <cell r="F360">
            <v>7.45</v>
          </cell>
          <cell r="G360">
            <v>38.659999999999997</v>
          </cell>
          <cell r="H360" t="str">
            <v>DNIT 031/2004-ES</v>
          </cell>
        </row>
        <row r="361">
          <cell r="A361" t="str">
            <v>2 S 02 540 51</v>
          </cell>
          <cell r="B361" t="str">
            <v>-</v>
          </cell>
          <cell r="C361" t="str">
            <v>CBUQ - capa rolamento AC/BC</v>
          </cell>
          <cell r="D361" t="str">
            <v>t</v>
          </cell>
          <cell r="E361">
            <v>33.94</v>
          </cell>
          <cell r="F361">
            <v>8.11</v>
          </cell>
          <cell r="G361">
            <v>42.05</v>
          </cell>
          <cell r="H361" t="str">
            <v>DNIT 031/2004-ES</v>
          </cell>
        </row>
        <row r="362">
          <cell r="A362" t="str">
            <v>2 S 02 540 52</v>
          </cell>
          <cell r="B362" t="str">
            <v>-</v>
          </cell>
          <cell r="C362" t="str">
            <v>CBUQ - "binder" AC/BC</v>
          </cell>
          <cell r="D362" t="str">
            <v>t</v>
          </cell>
          <cell r="E362">
            <v>33.380000000000003</v>
          </cell>
          <cell r="F362">
            <v>7.97</v>
          </cell>
          <cell r="G362">
            <v>41.35</v>
          </cell>
          <cell r="H362" t="str">
            <v>DNIT 031/2004-ES</v>
          </cell>
        </row>
        <row r="363">
          <cell r="A363" t="str">
            <v>2 S 02 603 00</v>
          </cell>
          <cell r="B363" t="str">
            <v>-</v>
          </cell>
          <cell r="C363" t="str">
            <v>Sub-base de concreto rolado</v>
          </cell>
          <cell r="D363" t="str">
            <v>m³</v>
          </cell>
          <cell r="E363">
            <v>68.31</v>
          </cell>
          <cell r="F363">
            <v>16.32</v>
          </cell>
          <cell r="G363">
            <v>84.63</v>
          </cell>
        </row>
        <row r="364">
          <cell r="A364" t="str">
            <v>2 S 02 603 50</v>
          </cell>
          <cell r="B364" t="str">
            <v>-</v>
          </cell>
          <cell r="C364" t="str">
            <v>Sub-base de concreto rolado AC/BC</v>
          </cell>
          <cell r="D364" t="str">
            <v>m³</v>
          </cell>
          <cell r="E364">
            <v>67.45</v>
          </cell>
          <cell r="F364">
            <v>16.12</v>
          </cell>
          <cell r="G364">
            <v>83.57</v>
          </cell>
        </row>
        <row r="365">
          <cell r="A365" t="str">
            <v>2 S 02 604 00</v>
          </cell>
          <cell r="B365" t="str">
            <v>-</v>
          </cell>
          <cell r="C365" t="str">
            <v>Sub-base de concreto de cimento portland</v>
          </cell>
          <cell r="D365" t="str">
            <v>m³</v>
          </cell>
          <cell r="E365">
            <v>112.16</v>
          </cell>
          <cell r="F365">
            <v>26.8</v>
          </cell>
          <cell r="G365">
            <v>138.97</v>
          </cell>
        </row>
        <row r="366">
          <cell r="A366" t="str">
            <v>2 S 02 604 50</v>
          </cell>
          <cell r="B366" t="str">
            <v>-</v>
          </cell>
          <cell r="C366" t="str">
            <v>Sub-base de concreto de cimento portland AC/BC</v>
          </cell>
          <cell r="D366" t="str">
            <v>m³</v>
          </cell>
          <cell r="E366">
            <v>111.31</v>
          </cell>
          <cell r="F366">
            <v>26.6</v>
          </cell>
          <cell r="G366">
            <v>137.91</v>
          </cell>
        </row>
        <row r="367">
          <cell r="A367" t="str">
            <v>2 S 02 606 00</v>
          </cell>
          <cell r="B367" t="str">
            <v>-</v>
          </cell>
          <cell r="C367" t="str">
            <v>Concreto de cimento portland com fôrma deslizante</v>
          </cell>
          <cell r="D367" t="str">
            <v>m³</v>
          </cell>
          <cell r="E367">
            <v>146.22</v>
          </cell>
          <cell r="F367">
            <v>34.94</v>
          </cell>
          <cell r="G367">
            <v>181.17</v>
          </cell>
        </row>
        <row r="368">
          <cell r="A368" t="str">
            <v>2 S 02 606 50</v>
          </cell>
          <cell r="B368" t="str">
            <v>-</v>
          </cell>
          <cell r="C368" t="str">
            <v>Concr.de cimento portl.com fôrma deslizante AC/BC</v>
          </cell>
          <cell r="D368" t="str">
            <v>m³</v>
          </cell>
          <cell r="E368">
            <v>156.04</v>
          </cell>
          <cell r="F368">
            <v>37.29</v>
          </cell>
          <cell r="G368">
            <v>193.34</v>
          </cell>
        </row>
        <row r="369">
          <cell r="A369" t="str">
            <v>2 S 02 607 00</v>
          </cell>
          <cell r="B369" t="str">
            <v>-</v>
          </cell>
          <cell r="C369" t="str">
            <v>Concreto cimento portland c/ equip. pequeno porte</v>
          </cell>
          <cell r="D369" t="str">
            <v>m³</v>
          </cell>
          <cell r="E369">
            <v>221.2</v>
          </cell>
          <cell r="F369">
            <v>52.86</v>
          </cell>
          <cell r="G369">
            <v>274.07</v>
          </cell>
        </row>
        <row r="370">
          <cell r="A370" t="str">
            <v>2 S 02 607 50</v>
          </cell>
          <cell r="B370" t="str">
            <v>-</v>
          </cell>
          <cell r="C370" t="str">
            <v>Concr.cimento portl.c/equip.pequeno porte AC/BC</v>
          </cell>
          <cell r="D370" t="str">
            <v>m³</v>
          </cell>
          <cell r="E370">
            <v>229.32</v>
          </cell>
          <cell r="F370">
            <v>54.8</v>
          </cell>
          <cell r="G370">
            <v>284.13</v>
          </cell>
        </row>
        <row r="371">
          <cell r="A371" t="str">
            <v>2 S 02 700 01</v>
          </cell>
          <cell r="B371" t="str">
            <v>-</v>
          </cell>
          <cell r="C371" t="str">
            <v>Execução pavim. c/ peças pré-moldadas concr.</v>
          </cell>
          <cell r="D371" t="str">
            <v>m²</v>
          </cell>
          <cell r="E371">
            <v>34.06</v>
          </cell>
          <cell r="F371">
            <v>8.14</v>
          </cell>
          <cell r="G371">
            <v>42.2</v>
          </cell>
        </row>
        <row r="372">
          <cell r="A372" t="str">
            <v>2 S 02 700 51</v>
          </cell>
          <cell r="B372" t="str">
            <v>-</v>
          </cell>
          <cell r="C372" t="str">
            <v>Execução pavim.c/peças pré-moldadas concr. AC/BC</v>
          </cell>
          <cell r="D372" t="str">
            <v>m²</v>
          </cell>
          <cell r="E372">
            <v>35.43</v>
          </cell>
          <cell r="F372">
            <v>8.4600000000000009</v>
          </cell>
          <cell r="G372">
            <v>43.9</v>
          </cell>
        </row>
        <row r="373">
          <cell r="A373" t="str">
            <v>2 S 02 702 00</v>
          </cell>
          <cell r="B373" t="str">
            <v>-</v>
          </cell>
          <cell r="C373" t="str">
            <v>Limpeza e enchimento de junta de pavimento de conc</v>
          </cell>
          <cell r="D373" t="str">
            <v>m</v>
          </cell>
          <cell r="E373">
            <v>4.8</v>
          </cell>
          <cell r="F373">
            <v>1.1399999999999999</v>
          </cell>
          <cell r="G373">
            <v>5.94</v>
          </cell>
        </row>
        <row r="374">
          <cell r="A374" t="str">
            <v>2 S 03 000 02</v>
          </cell>
          <cell r="B374" t="str">
            <v>-</v>
          </cell>
          <cell r="C374" t="str">
            <v>Escavação manual de cavas em material 1a cat</v>
          </cell>
          <cell r="D374" t="str">
            <v>m³</v>
          </cell>
          <cell r="E374">
            <v>23.32</v>
          </cell>
          <cell r="F374">
            <v>5.57</v>
          </cell>
          <cell r="G374">
            <v>29.9</v>
          </cell>
        </row>
        <row r="375">
          <cell r="A375" t="str">
            <v>2 S 03 000 03</v>
          </cell>
          <cell r="B375" t="str">
            <v>-</v>
          </cell>
          <cell r="C375" t="str">
            <v>Escavação manual de cavas em material 2a cat</v>
          </cell>
          <cell r="D375" t="str">
            <v>m³</v>
          </cell>
          <cell r="E375">
            <v>31.1</v>
          </cell>
          <cell r="F375">
            <v>7.43</v>
          </cell>
          <cell r="G375">
            <v>38.54</v>
          </cell>
        </row>
        <row r="376">
          <cell r="A376" t="str">
            <v>2 S 03 010 01</v>
          </cell>
          <cell r="B376" t="str">
            <v>-</v>
          </cell>
          <cell r="C376" t="str">
            <v>Escavação em cavas de fundação com esgotamento</v>
          </cell>
          <cell r="D376" t="str">
            <v>m³</v>
          </cell>
          <cell r="E376">
            <v>26.55</v>
          </cell>
          <cell r="F376">
            <v>6.34</v>
          </cell>
          <cell r="G376">
            <v>32.89</v>
          </cell>
        </row>
        <row r="377">
          <cell r="A377" t="str">
            <v>2 S 03 119 01</v>
          </cell>
          <cell r="B377" t="str">
            <v>-</v>
          </cell>
          <cell r="C377" t="str">
            <v>Escoramento com madeira de OAE</v>
          </cell>
          <cell r="D377" t="str">
            <v>m³</v>
          </cell>
          <cell r="E377">
            <v>23.68</v>
          </cell>
          <cell r="F377">
            <v>5.66</v>
          </cell>
          <cell r="G377">
            <v>29.35</v>
          </cell>
        </row>
        <row r="378">
          <cell r="A378" t="str">
            <v>2 S 03 300 01</v>
          </cell>
          <cell r="B378" t="str">
            <v>-</v>
          </cell>
          <cell r="C378" t="str">
            <v>Confecção e lançamento concr. magro em betoneira</v>
          </cell>
          <cell r="D378" t="str">
            <v>m³</v>
          </cell>
          <cell r="E378">
            <v>136.08000000000001</v>
          </cell>
          <cell r="F378">
            <v>32.520000000000003</v>
          </cell>
          <cell r="G378">
            <v>168.61</v>
          </cell>
        </row>
        <row r="379">
          <cell r="A379" t="str">
            <v>2 S 03 300 51</v>
          </cell>
          <cell r="B379" t="str">
            <v>-</v>
          </cell>
          <cell r="C379" t="str">
            <v>Confecção e lanç.de concr.magro em betoneira AC/BC</v>
          </cell>
          <cell r="D379" t="str">
            <v>m³</v>
          </cell>
          <cell r="E379">
            <v>146.4</v>
          </cell>
          <cell r="F379">
            <v>34.99</v>
          </cell>
          <cell r="G379">
            <v>181.39</v>
          </cell>
        </row>
        <row r="380">
          <cell r="A380" t="str">
            <v>2 S 03 321 00</v>
          </cell>
          <cell r="B380" t="str">
            <v>-</v>
          </cell>
          <cell r="C380" t="str">
            <v>Conc.estr.fck=8 MPa-contr.raz.uso ger.conf. e lanç</v>
          </cell>
          <cell r="D380" t="str">
            <v>m³</v>
          </cell>
          <cell r="E380">
            <v>158.27000000000001</v>
          </cell>
          <cell r="F380">
            <v>37.82</v>
          </cell>
          <cell r="G380">
            <v>196.1</v>
          </cell>
          <cell r="H380" t="str">
            <v>DNER-ES-335/97</v>
          </cell>
        </row>
        <row r="381">
          <cell r="A381" t="str">
            <v>2 S 03 321 50</v>
          </cell>
          <cell r="B381" t="str">
            <v>-</v>
          </cell>
          <cell r="C381" t="str">
            <v>Concr.estr.fck=8 MPa-c.raz.uso ger.conf.lanç.AC/BC</v>
          </cell>
          <cell r="D381" t="str">
            <v>m³</v>
          </cell>
          <cell r="E381">
            <v>167.9</v>
          </cell>
          <cell r="F381">
            <v>40.119999999999997</v>
          </cell>
          <cell r="G381">
            <v>208.02</v>
          </cell>
          <cell r="H381" t="str">
            <v>DNER-ES-335/97</v>
          </cell>
        </row>
        <row r="382">
          <cell r="A382" t="str">
            <v>2 S 03 322 00</v>
          </cell>
          <cell r="B382" t="str">
            <v>-</v>
          </cell>
          <cell r="C382" t="str">
            <v>Conc.estr.fck=10 MPa-contr.raz.uso ger.conf.e lanç</v>
          </cell>
          <cell r="D382" t="str">
            <v>m³</v>
          </cell>
          <cell r="E382">
            <v>165.78</v>
          </cell>
          <cell r="F382">
            <v>39.619999999999997</v>
          </cell>
          <cell r="G382">
            <v>205.4</v>
          </cell>
          <cell r="H382" t="str">
            <v>DNER-ES-335/97</v>
          </cell>
        </row>
        <row r="383">
          <cell r="A383" t="str">
            <v>2 S 03 322 50</v>
          </cell>
          <cell r="B383" t="str">
            <v>-</v>
          </cell>
          <cell r="C383" t="str">
            <v>Concr.estr.fck=10MPa-c.raz.uso ger.conf.lanç.AC/BC</v>
          </cell>
          <cell r="D383" t="str">
            <v>m³</v>
          </cell>
          <cell r="E383">
            <v>175.16</v>
          </cell>
          <cell r="F383">
            <v>41.86</v>
          </cell>
          <cell r="G383">
            <v>217.03</v>
          </cell>
          <cell r="H383" t="str">
            <v>DNER-ES-335/97</v>
          </cell>
        </row>
        <row r="384">
          <cell r="A384" t="str">
            <v>2 S 03 323 00</v>
          </cell>
          <cell r="B384" t="str">
            <v>-</v>
          </cell>
          <cell r="C384" t="str">
            <v>Conc.estr.fck=12 MPa-contr.raz.uso ger.conf.e lanç</v>
          </cell>
          <cell r="D384" t="str">
            <v>m³</v>
          </cell>
          <cell r="E384">
            <v>173.94</v>
          </cell>
          <cell r="F384">
            <v>41.57</v>
          </cell>
          <cell r="G384">
            <v>215.51</v>
          </cell>
          <cell r="H384" t="str">
            <v>DNER-ES-335/97</v>
          </cell>
        </row>
        <row r="385">
          <cell r="A385" t="str">
            <v>2 S 03 323 50</v>
          </cell>
          <cell r="B385" t="str">
            <v>-</v>
          </cell>
          <cell r="C385" t="str">
            <v>Concr.estr.fck=12MPa-c.raz.uso ger.conf.lanç.AC/BC</v>
          </cell>
          <cell r="D385" t="str">
            <v>m³</v>
          </cell>
          <cell r="E385">
            <v>183.08</v>
          </cell>
          <cell r="F385">
            <v>43.75</v>
          </cell>
          <cell r="G385">
            <v>226.83</v>
          </cell>
          <cell r="H385" t="str">
            <v>DNER-ES-335/97</v>
          </cell>
        </row>
        <row r="386">
          <cell r="A386" t="str">
            <v>2 S 03 324 00</v>
          </cell>
          <cell r="B386" t="str">
            <v>-</v>
          </cell>
          <cell r="C386" t="str">
            <v>Conc.estr.fck=15 MPa-contr.raz.uso ger.conf.e lanç</v>
          </cell>
          <cell r="D386" t="str">
            <v>m³</v>
          </cell>
          <cell r="E386">
            <v>182.43</v>
          </cell>
          <cell r="F386">
            <v>43.6</v>
          </cell>
          <cell r="G386">
            <v>226.03</v>
          </cell>
          <cell r="H386" t="str">
            <v>DNER-ES-335/97</v>
          </cell>
        </row>
        <row r="387">
          <cell r="A387" t="str">
            <v>2 S 03 324 01</v>
          </cell>
          <cell r="B387" t="str">
            <v>-</v>
          </cell>
          <cell r="C387" t="str">
            <v>Conc.estr.fck=15 MPa-contr.raz.c/adit.conf. e lanç</v>
          </cell>
          <cell r="D387" t="str">
            <v>m³</v>
          </cell>
          <cell r="E387">
            <v>167.69</v>
          </cell>
          <cell r="F387">
            <v>40.08</v>
          </cell>
          <cell r="G387">
            <v>207.77</v>
          </cell>
          <cell r="H387" t="str">
            <v>DNER-ES-335/97</v>
          </cell>
        </row>
        <row r="388">
          <cell r="A388" t="str">
            <v>2 S 03 324 50</v>
          </cell>
          <cell r="B388" t="str">
            <v>-</v>
          </cell>
          <cell r="C388" t="str">
            <v>Concr.estr.fck=15MPa-c.raz.c/adit conf.lanç.AC/BC</v>
          </cell>
          <cell r="D388" t="str">
            <v>m³</v>
          </cell>
          <cell r="E388">
            <v>191.29</v>
          </cell>
          <cell r="F388">
            <v>45.72</v>
          </cell>
          <cell r="G388">
            <v>237.01</v>
          </cell>
          <cell r="H388" t="str">
            <v>DNER-ES-335/97</v>
          </cell>
        </row>
        <row r="389">
          <cell r="A389" t="str">
            <v>2 S 03 324 51</v>
          </cell>
          <cell r="B389" t="str">
            <v>-</v>
          </cell>
          <cell r="C389" t="str">
            <v>Concr.estr.fck=15MPa-c.raz.uso ger conf.lançAC/BC</v>
          </cell>
          <cell r="D389" t="str">
            <v>m³</v>
          </cell>
          <cell r="E389">
            <v>176.96</v>
          </cell>
          <cell r="F389">
            <v>42.29</v>
          </cell>
          <cell r="G389">
            <v>219.26</v>
          </cell>
          <cell r="H389" t="str">
            <v>DNER-ES-335/97</v>
          </cell>
        </row>
        <row r="390">
          <cell r="A390" t="str">
            <v>2 S 03 325 00</v>
          </cell>
          <cell r="B390" t="str">
            <v>-</v>
          </cell>
          <cell r="C390" t="str">
            <v>Conc.estr.fck=18 MPa-contr.raz.uso ger.conf.e lanç</v>
          </cell>
          <cell r="D390" t="str">
            <v>m³</v>
          </cell>
          <cell r="E390">
            <v>190.9</v>
          </cell>
          <cell r="F390">
            <v>45.62</v>
          </cell>
          <cell r="G390">
            <v>236.53</v>
          </cell>
          <cell r="H390" t="str">
            <v>DNER-ES-335/97</v>
          </cell>
        </row>
        <row r="391">
          <cell r="A391" t="str">
            <v>2 S 03 325 01</v>
          </cell>
          <cell r="B391" t="str">
            <v>-</v>
          </cell>
          <cell r="C391" t="str">
            <v>Conc.estr.fck=18 MPa-contr.raz.c/adit.conf. e lanç</v>
          </cell>
          <cell r="D391" t="str">
            <v>m³</v>
          </cell>
          <cell r="E391">
            <v>175.53</v>
          </cell>
          <cell r="F391">
            <v>41.95</v>
          </cell>
          <cell r="G391">
            <v>217.48</v>
          </cell>
          <cell r="H391" t="str">
            <v>DNER-ES-335/97</v>
          </cell>
        </row>
        <row r="392">
          <cell r="A392" t="str">
            <v>2 S 03 325 50</v>
          </cell>
          <cell r="B392" t="str">
            <v>-</v>
          </cell>
          <cell r="C392" t="str">
            <v>Concr.estr.fck=18MPa-c.raz.uso ger.conf.lanç.AC/BC</v>
          </cell>
          <cell r="D392" t="str">
            <v>m³</v>
          </cell>
          <cell r="E392">
            <v>199.5</v>
          </cell>
          <cell r="F392">
            <v>47.68</v>
          </cell>
          <cell r="G392">
            <v>247.18</v>
          </cell>
          <cell r="H392" t="str">
            <v>DNER-ES-335/97</v>
          </cell>
        </row>
        <row r="393">
          <cell r="A393" t="str">
            <v>2 S 03 325 51</v>
          </cell>
          <cell r="B393" t="str">
            <v>-</v>
          </cell>
          <cell r="C393" t="str">
            <v>Concr.estr.fck=18MPa-c.raz.c/adit conf. lanç.AC/BC</v>
          </cell>
          <cell r="D393" t="str">
            <v>m³</v>
          </cell>
          <cell r="E393">
            <v>184.54</v>
          </cell>
          <cell r="F393">
            <v>44.1</v>
          </cell>
          <cell r="G393">
            <v>228.65</v>
          </cell>
          <cell r="H393" t="str">
            <v>DNER-ES-335/97</v>
          </cell>
        </row>
        <row r="394">
          <cell r="A394" t="str">
            <v>2 S 03 326 00</v>
          </cell>
          <cell r="B394" t="str">
            <v>-</v>
          </cell>
          <cell r="C394" t="str">
            <v>Conc.estr.fck=20 MPa-contr.raz.uso ger.conf.e lanç</v>
          </cell>
          <cell r="D394" t="str">
            <v>m³</v>
          </cell>
          <cell r="E394">
            <v>197.76</v>
          </cell>
          <cell r="F394">
            <v>47.26</v>
          </cell>
          <cell r="G394">
            <v>245.03</v>
          </cell>
          <cell r="H394" t="str">
            <v>DNER-ES-335/97</v>
          </cell>
        </row>
        <row r="395">
          <cell r="A395" t="str">
            <v>2 S 03 326 01</v>
          </cell>
          <cell r="B395" t="str">
            <v>-</v>
          </cell>
          <cell r="C395" t="str">
            <v>Conc.estr.fck=20 MPa-contr.raz.c/adit.conf. e lanç</v>
          </cell>
          <cell r="D395" t="str">
            <v>m³</v>
          </cell>
          <cell r="E395">
            <v>182.52</v>
          </cell>
          <cell r="F395">
            <v>43.62</v>
          </cell>
          <cell r="G395">
            <v>226.14</v>
          </cell>
          <cell r="H395" t="str">
            <v>DNER-ES-335/97</v>
          </cell>
        </row>
        <row r="396">
          <cell r="A396" t="str">
            <v>2 S 03 326 50</v>
          </cell>
          <cell r="B396" t="str">
            <v>-</v>
          </cell>
          <cell r="C396" t="str">
            <v>Concr.estr.fck=20MPa-c.raz.uso ger.conf.lanç AC/BC</v>
          </cell>
          <cell r="D396" t="str">
            <v>m³</v>
          </cell>
          <cell r="E396">
            <v>206.14</v>
          </cell>
          <cell r="F396">
            <v>49.26</v>
          </cell>
          <cell r="G396">
            <v>255.41</v>
          </cell>
          <cell r="H396" t="str">
            <v>DNER-ES-335/97</v>
          </cell>
        </row>
        <row r="397">
          <cell r="A397" t="str">
            <v>2 S 03 326 51</v>
          </cell>
          <cell r="B397" t="str">
            <v>-</v>
          </cell>
          <cell r="C397" t="str">
            <v>Concr.estr.fck=20MPa-c.raz.c/adit conf.lanç.AC/BC</v>
          </cell>
          <cell r="D397" t="str">
            <v>m³</v>
          </cell>
          <cell r="E397">
            <v>191.32</v>
          </cell>
          <cell r="F397">
            <v>45.72</v>
          </cell>
          <cell r="G397">
            <v>237.05</v>
          </cell>
          <cell r="H397" t="str">
            <v>DNER-ES-335/97</v>
          </cell>
        </row>
        <row r="398">
          <cell r="A398" t="str">
            <v>2 S 03 327 00</v>
          </cell>
          <cell r="B398" t="str">
            <v>-</v>
          </cell>
          <cell r="C398" t="str">
            <v>Conc.estr.fck=22 MPa-contr.raz.uso ger.conf.e lanç</v>
          </cell>
          <cell r="D398" t="str">
            <v>m³</v>
          </cell>
          <cell r="E398">
            <v>205.91</v>
          </cell>
          <cell r="F398">
            <v>49.21</v>
          </cell>
          <cell r="G398">
            <v>255.13</v>
          </cell>
          <cell r="H398" t="str">
            <v>DNER-ES-335/97</v>
          </cell>
        </row>
        <row r="399">
          <cell r="A399" t="str">
            <v>2 S 03 327 50</v>
          </cell>
          <cell r="B399" t="str">
            <v>-</v>
          </cell>
          <cell r="C399" t="str">
            <v>Concr estr.fck=24MPa-c.raz.uso ger conf.lanç.AC/BC</v>
          </cell>
          <cell r="D399" t="str">
            <v>m³</v>
          </cell>
          <cell r="E399">
            <v>214.04</v>
          </cell>
          <cell r="F399">
            <v>51.15</v>
          </cell>
          <cell r="G399">
            <v>265.2</v>
          </cell>
          <cell r="H399" t="str">
            <v>DNER-ES-335/97</v>
          </cell>
        </row>
        <row r="400">
          <cell r="A400" t="str">
            <v>2 S 03 328 00</v>
          </cell>
          <cell r="B400" t="str">
            <v>-</v>
          </cell>
          <cell r="C400" t="str">
            <v>Conc.estr.fck=24 MPa-contr.raz.uso ger.conf.e lanç</v>
          </cell>
          <cell r="D400" t="str">
            <v>m³</v>
          </cell>
          <cell r="E400">
            <v>214.16</v>
          </cell>
          <cell r="F400">
            <v>51.18</v>
          </cell>
          <cell r="G400">
            <v>265.35000000000002</v>
          </cell>
          <cell r="H400" t="str">
            <v>DNER-ES-335/97</v>
          </cell>
        </row>
        <row r="401">
          <cell r="A401" t="str">
            <v>2 S 03 328 50</v>
          </cell>
          <cell r="B401" t="str">
            <v>-</v>
          </cell>
          <cell r="C401" t="str">
            <v>Concr.estr.fck=25MPa-c.raz.c/adit conf.lanç.AC/BC</v>
          </cell>
          <cell r="D401" t="str">
            <v>m³</v>
          </cell>
          <cell r="E401">
            <v>222.29</v>
          </cell>
          <cell r="F401">
            <v>53.12</v>
          </cell>
          <cell r="G401">
            <v>275.42</v>
          </cell>
          <cell r="H401" t="str">
            <v>DNER-ES-335/97</v>
          </cell>
        </row>
        <row r="402">
          <cell r="A402" t="str">
            <v>2 S 03 329 00</v>
          </cell>
          <cell r="B402" t="str">
            <v>-</v>
          </cell>
          <cell r="C402" t="str">
            <v>Conc.estr.fck=25 MPa-contr.raz.c/adit.conf. e lanç</v>
          </cell>
          <cell r="D402" t="str">
            <v>m³</v>
          </cell>
          <cell r="E402">
            <v>198.24</v>
          </cell>
          <cell r="F402">
            <v>47.37</v>
          </cell>
          <cell r="G402">
            <v>245.61</v>
          </cell>
          <cell r="H402" t="str">
            <v>DNER-ES-335/97</v>
          </cell>
        </row>
        <row r="403">
          <cell r="A403" t="str">
            <v>2 S 03 329 01</v>
          </cell>
          <cell r="B403" t="str">
            <v>-</v>
          </cell>
          <cell r="C403" t="str">
            <v>Conc.estr.fck=26 MPa-contr.raz.uso ger.conf.e lanç</v>
          </cell>
          <cell r="D403" t="str">
            <v>m³</v>
          </cell>
          <cell r="E403">
            <v>221.66</v>
          </cell>
          <cell r="F403">
            <v>52.97</v>
          </cell>
          <cell r="G403">
            <v>274.64</v>
          </cell>
          <cell r="H403" t="str">
            <v>DNER-ES-335/97</v>
          </cell>
        </row>
        <row r="404">
          <cell r="A404" t="str">
            <v>2 S 03 329 02</v>
          </cell>
          <cell r="B404" t="str">
            <v>-</v>
          </cell>
          <cell r="C404" t="str">
            <v>Conc.estr.fck=30 MPa-contr.raz.uso ger.conf.e lanç</v>
          </cell>
          <cell r="D404" t="str">
            <v>m³</v>
          </cell>
          <cell r="E404">
            <v>229.08</v>
          </cell>
          <cell r="F404">
            <v>54.75</v>
          </cell>
          <cell r="G404">
            <v>283.83</v>
          </cell>
          <cell r="H404" t="str">
            <v>DNER-ES-335/97</v>
          </cell>
        </row>
        <row r="405">
          <cell r="A405" t="str">
            <v>2 S 03 329 03</v>
          </cell>
          <cell r="B405" t="str">
            <v>-</v>
          </cell>
          <cell r="C405" t="str">
            <v>Conc.estr.fck=30 MPa-contr.raz. c/adit.conf.e lanç</v>
          </cell>
          <cell r="D405" t="str">
            <v>m³</v>
          </cell>
          <cell r="E405">
            <v>212.58</v>
          </cell>
          <cell r="F405">
            <v>50.8</v>
          </cell>
          <cell r="G405">
            <v>263.39</v>
          </cell>
          <cell r="H405" t="str">
            <v>DNER-ES-335/97</v>
          </cell>
        </row>
        <row r="406">
          <cell r="A406" t="str">
            <v>2 S 03 329 04</v>
          </cell>
          <cell r="B406" t="str">
            <v>-</v>
          </cell>
          <cell r="C406" t="str">
            <v>Conc.estr.fck=35 MPa-contr.raz.c/adit.conf. e lanç</v>
          </cell>
          <cell r="D406" t="str">
            <v>m³</v>
          </cell>
          <cell r="E406">
            <v>226.67</v>
          </cell>
          <cell r="F406">
            <v>54.17</v>
          </cell>
          <cell r="G406">
            <v>280.83999999999997</v>
          </cell>
          <cell r="H406" t="str">
            <v>DNER-ES-335/97</v>
          </cell>
        </row>
        <row r="407">
          <cell r="A407" t="str">
            <v>2 S 03 329 50</v>
          </cell>
          <cell r="B407" t="str">
            <v>-</v>
          </cell>
          <cell r="C407" t="str">
            <v>Concr.estr.fck=26MPa-c.raz.uso ger conf.lanc.AC/BC</v>
          </cell>
          <cell r="D407" t="str">
            <v>m³</v>
          </cell>
          <cell r="E407">
            <v>206.55</v>
          </cell>
          <cell r="F407">
            <v>49.36</v>
          </cell>
          <cell r="G407">
            <v>255.92</v>
          </cell>
          <cell r="H407" t="str">
            <v>DNER-ES-335/97</v>
          </cell>
        </row>
        <row r="408">
          <cell r="A408" t="str">
            <v>2 S 03 329 51</v>
          </cell>
          <cell r="B408" t="str">
            <v>-</v>
          </cell>
          <cell r="C408" t="str">
            <v>Concr.estr.fck=30MPa-c.raz.uso ger.conf.lanc.AC/BC</v>
          </cell>
          <cell r="D408" t="str">
            <v>m³</v>
          </cell>
          <cell r="E408">
            <v>229.52</v>
          </cell>
          <cell r="F408">
            <v>54.85</v>
          </cell>
          <cell r="G408">
            <v>284.37</v>
          </cell>
          <cell r="H408" t="str">
            <v>DNER-ES-335/97</v>
          </cell>
        </row>
        <row r="409">
          <cell r="A409" t="str">
            <v>2 S 03 329 52</v>
          </cell>
          <cell r="B409" t="str">
            <v>-</v>
          </cell>
          <cell r="C409" t="str">
            <v>Concr.estr.fck=30MPa-c.raz.c/adit.conf.lanc.AC/BC</v>
          </cell>
          <cell r="D409" t="str">
            <v>m³</v>
          </cell>
          <cell r="E409">
            <v>236.47</v>
          </cell>
          <cell r="F409">
            <v>56.51</v>
          </cell>
          <cell r="G409">
            <v>292.98</v>
          </cell>
          <cell r="H409" t="str">
            <v>DNER-ES-335/97</v>
          </cell>
        </row>
        <row r="410">
          <cell r="A410" t="str">
            <v>2 S 03 329 53</v>
          </cell>
          <cell r="B410" t="str">
            <v>-</v>
          </cell>
          <cell r="C410" t="str">
            <v>Concr.estr.fck=35MPa-c.raz.uso ger.conf.lanc.AC/BC</v>
          </cell>
          <cell r="D410" t="str">
            <v>m³</v>
          </cell>
          <cell r="E410">
            <v>220.48</v>
          </cell>
          <cell r="F410">
            <v>52.69</v>
          </cell>
          <cell r="G410">
            <v>273.17</v>
          </cell>
          <cell r="H410" t="str">
            <v>DNER-ES-335/97</v>
          </cell>
        </row>
        <row r="411">
          <cell r="A411" t="str">
            <v>2 S 03 329 54</v>
          </cell>
          <cell r="B411" t="str">
            <v>-</v>
          </cell>
          <cell r="C411" t="str">
            <v>Concr.estr.fck=35Mpa-c.raz c/adit.conf.lanc.AC/BC</v>
          </cell>
          <cell r="D411" t="str">
            <v>m³</v>
          </cell>
          <cell r="E411">
            <v>234.05</v>
          </cell>
          <cell r="F411">
            <v>55.93</v>
          </cell>
          <cell r="G411">
            <v>289.99</v>
          </cell>
          <cell r="H411" t="str">
            <v>DNER-ES-335/97</v>
          </cell>
        </row>
        <row r="412">
          <cell r="A412" t="str">
            <v>2 S 03 370 00</v>
          </cell>
          <cell r="B412" t="str">
            <v>-</v>
          </cell>
          <cell r="C412" t="str">
            <v>Forma comum de madeira</v>
          </cell>
          <cell r="D412" t="str">
            <v>m²</v>
          </cell>
          <cell r="E412">
            <v>30.39</v>
          </cell>
          <cell r="F412">
            <v>7.26</v>
          </cell>
          <cell r="G412">
            <v>37.659999999999997</v>
          </cell>
          <cell r="H412" t="str">
            <v>DNER-ES-333/97</v>
          </cell>
        </row>
        <row r="413">
          <cell r="A413" t="str">
            <v>2 S 03 371 01</v>
          </cell>
          <cell r="B413" t="str">
            <v>-</v>
          </cell>
          <cell r="C413" t="str">
            <v>Forma de placa compensada resinada</v>
          </cell>
          <cell r="D413" t="str">
            <v>m²</v>
          </cell>
          <cell r="E413">
            <v>21.9</v>
          </cell>
          <cell r="F413">
            <v>5.23</v>
          </cell>
          <cell r="G413">
            <v>27.13</v>
          </cell>
          <cell r="H413" t="str">
            <v>DNER-ES-333/97</v>
          </cell>
        </row>
        <row r="414">
          <cell r="A414" t="str">
            <v>2 S 03 371 02</v>
          </cell>
          <cell r="B414" t="str">
            <v>-</v>
          </cell>
          <cell r="C414" t="str">
            <v>Forma de placa compensada plastificada</v>
          </cell>
          <cell r="D414" t="str">
            <v>m²</v>
          </cell>
          <cell r="E414">
            <v>24.01</v>
          </cell>
          <cell r="F414">
            <v>5.74</v>
          </cell>
          <cell r="G414">
            <v>29.75</v>
          </cell>
          <cell r="H414" t="str">
            <v>DNER-ES-333/97</v>
          </cell>
        </row>
        <row r="415">
          <cell r="A415" t="str">
            <v>2 S 03 372 01</v>
          </cell>
          <cell r="B415" t="str">
            <v>-</v>
          </cell>
          <cell r="C415" t="str">
            <v>Formas para tubulão</v>
          </cell>
          <cell r="D415" t="str">
            <v>m²</v>
          </cell>
          <cell r="E415">
            <v>14.83</v>
          </cell>
          <cell r="F415">
            <v>3.54</v>
          </cell>
          <cell r="G415">
            <v>18.37</v>
          </cell>
          <cell r="H415" t="str">
            <v>DNER-ES-333/97</v>
          </cell>
        </row>
        <row r="416">
          <cell r="A416" t="str">
            <v>2 S 03 401 01</v>
          </cell>
          <cell r="B416" t="str">
            <v>-</v>
          </cell>
          <cell r="C416" t="str">
            <v>Estaca tipo Franki D=350 mm</v>
          </cell>
          <cell r="D416" t="str">
            <v>m</v>
          </cell>
          <cell r="E416">
            <v>110.41</v>
          </cell>
          <cell r="F416">
            <v>26.38</v>
          </cell>
          <cell r="G416">
            <v>136.80000000000001</v>
          </cell>
          <cell r="H416" t="str">
            <v>EC-OAE-22</v>
          </cell>
        </row>
        <row r="417">
          <cell r="A417" t="str">
            <v>2 S 03 401 02</v>
          </cell>
          <cell r="B417" t="str">
            <v>-</v>
          </cell>
          <cell r="C417" t="str">
            <v>Estaca tipo Franki D=400 mm</v>
          </cell>
          <cell r="D417" t="str">
            <v>m</v>
          </cell>
          <cell r="E417">
            <v>120.22</v>
          </cell>
          <cell r="F417">
            <v>28.73</v>
          </cell>
          <cell r="G417">
            <v>148.94999999999999</v>
          </cell>
          <cell r="H417" t="str">
            <v>EC-OAE-22</v>
          </cell>
        </row>
        <row r="418">
          <cell r="A418" t="str">
            <v>2 S 03 401 03</v>
          </cell>
          <cell r="B418" t="str">
            <v>-</v>
          </cell>
          <cell r="C418" t="str">
            <v>Estaca tipo Franki D=520 mm</v>
          </cell>
          <cell r="D418" t="str">
            <v>m</v>
          </cell>
          <cell r="E418">
            <v>166.79</v>
          </cell>
          <cell r="F418">
            <v>39.86</v>
          </cell>
          <cell r="G418">
            <v>206.66</v>
          </cell>
          <cell r="H418" t="str">
            <v>EC-OAE-22</v>
          </cell>
        </row>
        <row r="419">
          <cell r="A419" t="str">
            <v>2 S 03 401 04</v>
          </cell>
          <cell r="B419" t="str">
            <v>-</v>
          </cell>
          <cell r="C419" t="str">
            <v>Estaca tipo Franki D=600 mm</v>
          </cell>
          <cell r="D419" t="str">
            <v>m</v>
          </cell>
          <cell r="E419">
            <v>209.15</v>
          </cell>
          <cell r="F419">
            <v>49.98</v>
          </cell>
          <cell r="G419">
            <v>259.14</v>
          </cell>
          <cell r="H419" t="str">
            <v>EC-OAE-22</v>
          </cell>
        </row>
        <row r="420">
          <cell r="A420" t="str">
            <v>2 S 03 401 51</v>
          </cell>
          <cell r="B420" t="str">
            <v>-</v>
          </cell>
          <cell r="C420" t="str">
            <v>Estaca tipo Franki D=350 mm AC/BC</v>
          </cell>
          <cell r="D420" t="str">
            <v>m</v>
          </cell>
          <cell r="E420">
            <v>111.3</v>
          </cell>
          <cell r="F420">
            <v>26.6</v>
          </cell>
          <cell r="G420">
            <v>137.9</v>
          </cell>
          <cell r="H420" t="str">
            <v>EC-OAE-22</v>
          </cell>
        </row>
        <row r="421">
          <cell r="A421" t="str">
            <v>2 S 03 401 52</v>
          </cell>
          <cell r="B421" t="str">
            <v>-</v>
          </cell>
          <cell r="C421" t="str">
            <v>Estaca tipo Franki D=400 mm AC/BC</v>
          </cell>
          <cell r="D421" t="str">
            <v>m</v>
          </cell>
          <cell r="E421">
            <v>121.28</v>
          </cell>
          <cell r="F421">
            <v>28.98</v>
          </cell>
          <cell r="G421">
            <v>150.27000000000001</v>
          </cell>
          <cell r="H421" t="str">
            <v>EC-OAE-22</v>
          </cell>
        </row>
        <row r="422">
          <cell r="A422" t="str">
            <v>2 S 03 401 53</v>
          </cell>
          <cell r="B422" t="str">
            <v>-</v>
          </cell>
          <cell r="C422" t="str">
            <v>Estaca tipo Franki D=520 mm AC/BC</v>
          </cell>
          <cell r="D422" t="str">
            <v>m</v>
          </cell>
          <cell r="E422">
            <v>168.66</v>
          </cell>
          <cell r="F422">
            <v>40.299999999999997</v>
          </cell>
          <cell r="G422">
            <v>208.97</v>
          </cell>
          <cell r="H422" t="str">
            <v>EC-OAE-22</v>
          </cell>
        </row>
        <row r="423">
          <cell r="A423" t="str">
            <v>2 S 03 401 54</v>
          </cell>
          <cell r="B423" t="str">
            <v>-</v>
          </cell>
          <cell r="C423" t="str">
            <v>Estaca tipo Franki D=600 mm AC/BC</v>
          </cell>
          <cell r="D423" t="str">
            <v>m</v>
          </cell>
          <cell r="E423">
            <v>211.64</v>
          </cell>
          <cell r="F423">
            <v>50.58</v>
          </cell>
          <cell r="G423">
            <v>262.22000000000003</v>
          </cell>
          <cell r="H423" t="str">
            <v>EC-OAE-22</v>
          </cell>
        </row>
        <row r="424">
          <cell r="A424" t="str">
            <v>2 S 03 402 01</v>
          </cell>
          <cell r="B424" t="str">
            <v>-</v>
          </cell>
          <cell r="C424" t="str">
            <v>Cravação estacas pré-mold. de concreto 30 x 30 cm</v>
          </cell>
          <cell r="D424" t="str">
            <v>m</v>
          </cell>
          <cell r="E424">
            <v>114.46</v>
          </cell>
          <cell r="F424">
            <v>27.35</v>
          </cell>
          <cell r="G424">
            <v>141.81</v>
          </cell>
        </row>
        <row r="425">
          <cell r="A425" t="str">
            <v>2 S 03 402 51</v>
          </cell>
          <cell r="B425" t="str">
            <v>-</v>
          </cell>
          <cell r="C425" t="str">
            <v>Cravação estacas pré-mold. concreto 30x30 cm AC/BC</v>
          </cell>
          <cell r="D425" t="str">
            <v>m</v>
          </cell>
          <cell r="E425">
            <v>115.26</v>
          </cell>
          <cell r="F425">
            <v>27.54</v>
          </cell>
          <cell r="G425">
            <v>142.80000000000001</v>
          </cell>
        </row>
        <row r="426">
          <cell r="A426" t="str">
            <v>2 S 03 404 01</v>
          </cell>
          <cell r="B426" t="str">
            <v>-</v>
          </cell>
          <cell r="C426" t="str">
            <v>Forn. e crav. estacas perfil met. I de 10" simples</v>
          </cell>
          <cell r="D426" t="str">
            <v>m</v>
          </cell>
          <cell r="E426">
            <v>257.24</v>
          </cell>
          <cell r="F426">
            <v>61.48</v>
          </cell>
          <cell r="G426">
            <v>318.72000000000003</v>
          </cell>
        </row>
        <row r="427">
          <cell r="A427" t="str">
            <v>2 S 03 404 04</v>
          </cell>
          <cell r="B427" t="str">
            <v>-</v>
          </cell>
          <cell r="C427" t="str">
            <v>Forn. e crav. estacas perfil met. I de 10" duplo</v>
          </cell>
          <cell r="D427" t="str">
            <v>m</v>
          </cell>
          <cell r="E427">
            <v>416.51</v>
          </cell>
          <cell r="F427">
            <v>99.54</v>
          </cell>
          <cell r="G427">
            <v>516.05999999999995</v>
          </cell>
        </row>
        <row r="428">
          <cell r="A428" t="str">
            <v>2 S 03 404 11</v>
          </cell>
          <cell r="B428" t="str">
            <v>-</v>
          </cell>
          <cell r="C428" t="str">
            <v>Cravação estacas met. trilhos soldados - estrela</v>
          </cell>
          <cell r="D428" t="str">
            <v>m</v>
          </cell>
          <cell r="E428">
            <v>463.98</v>
          </cell>
          <cell r="F428">
            <v>110.89</v>
          </cell>
          <cell r="G428">
            <v>574.87</v>
          </cell>
        </row>
        <row r="429">
          <cell r="A429" t="str">
            <v>2 S 03 410 01</v>
          </cell>
          <cell r="B429" t="str">
            <v>-</v>
          </cell>
          <cell r="C429" t="str">
            <v>Tubulão a céu aberto diâmetro externo = 1,00 m</v>
          </cell>
          <cell r="D429" t="str">
            <v>m</v>
          </cell>
          <cell r="E429">
            <v>741.31</v>
          </cell>
          <cell r="F429">
            <v>177.17</v>
          </cell>
          <cell r="G429">
            <v>918.49</v>
          </cell>
          <cell r="H429" t="str">
            <v>DNER-ES-334/97</v>
          </cell>
        </row>
        <row r="430">
          <cell r="A430" t="str">
            <v>2 S 03 410 11</v>
          </cell>
          <cell r="B430" t="str">
            <v>-</v>
          </cell>
          <cell r="C430" t="str">
            <v>Tubulão a céu aberto diâmetro externo = 1,20 m</v>
          </cell>
          <cell r="D430" t="str">
            <v>m</v>
          </cell>
          <cell r="E430">
            <v>947.19</v>
          </cell>
          <cell r="F430">
            <v>226.37</v>
          </cell>
          <cell r="G430">
            <v>1173.57</v>
          </cell>
          <cell r="H430" t="str">
            <v>DNER-ES-334/97</v>
          </cell>
        </row>
        <row r="431">
          <cell r="A431" t="str">
            <v>2 S 03 410 21</v>
          </cell>
          <cell r="B431" t="str">
            <v>-</v>
          </cell>
          <cell r="C431" t="str">
            <v>Tubulão a céu aberto diâmetro externo = 1,40 m</v>
          </cell>
          <cell r="D431" t="str">
            <v>m</v>
          </cell>
          <cell r="E431">
            <v>1171</v>
          </cell>
          <cell r="F431">
            <v>279.86</v>
          </cell>
          <cell r="G431">
            <v>1450.87</v>
          </cell>
          <cell r="H431" t="str">
            <v>DNER-ES-334/97</v>
          </cell>
        </row>
        <row r="432">
          <cell r="A432" t="str">
            <v>2 S 03 410 31</v>
          </cell>
          <cell r="B432" t="str">
            <v>-</v>
          </cell>
          <cell r="C432" t="str">
            <v>Tubulão a céu aberto diâmetro externo = 1,60 m</v>
          </cell>
          <cell r="D432" t="str">
            <v>m</v>
          </cell>
          <cell r="E432">
            <v>1399.71</v>
          </cell>
          <cell r="F432">
            <v>334.53</v>
          </cell>
          <cell r="G432">
            <v>1734.24</v>
          </cell>
          <cell r="H432" t="str">
            <v>DNER-ES-334/97</v>
          </cell>
        </row>
        <row r="433">
          <cell r="A433" t="str">
            <v>2 S 03 410 41</v>
          </cell>
          <cell r="B433" t="str">
            <v>-</v>
          </cell>
          <cell r="C433" t="str">
            <v>Tubulão a céu aberto diâmetro externo = 1,80 m</v>
          </cell>
          <cell r="D433" t="str">
            <v>m</v>
          </cell>
          <cell r="E433">
            <v>1672.3</v>
          </cell>
          <cell r="F433">
            <v>399.68</v>
          </cell>
          <cell r="G433">
            <v>2071.98</v>
          </cell>
          <cell r="H433" t="str">
            <v>DNER-ES-334/97</v>
          </cell>
        </row>
        <row r="434">
          <cell r="A434" t="str">
            <v>2 S 03 410 51</v>
          </cell>
          <cell r="B434" t="str">
            <v>-</v>
          </cell>
          <cell r="C434" t="str">
            <v>Tubulão a céu aberto diâmetro externo = 2,00 m</v>
          </cell>
          <cell r="D434" t="str">
            <v>m</v>
          </cell>
          <cell r="E434">
            <v>1976.96</v>
          </cell>
          <cell r="F434">
            <v>472.49</v>
          </cell>
          <cell r="G434">
            <v>2449.46</v>
          </cell>
          <cell r="H434" t="str">
            <v>DNER-ES-334/97</v>
          </cell>
        </row>
        <row r="435">
          <cell r="A435" t="str">
            <v>2 S 03 410 61</v>
          </cell>
          <cell r="B435" t="str">
            <v>-</v>
          </cell>
          <cell r="C435" t="str">
            <v>Tubulão a céu aberto diâmetro externo = 2,20 m</v>
          </cell>
          <cell r="D435" t="str">
            <v>m</v>
          </cell>
          <cell r="E435">
            <v>2349.23</v>
          </cell>
          <cell r="F435">
            <v>561.46</v>
          </cell>
          <cell r="G435">
            <v>2910.69</v>
          </cell>
          <cell r="H435" t="str">
            <v>DNER-ES-334/97</v>
          </cell>
        </row>
        <row r="436">
          <cell r="A436" t="str">
            <v>2 S 03 411 11</v>
          </cell>
          <cell r="B436" t="str">
            <v>-</v>
          </cell>
          <cell r="C436" t="str">
            <v>Tub.ar comp.D=1,2 m prof.até 12 m lâmina d'água LF</v>
          </cell>
          <cell r="D436" t="str">
            <v>m</v>
          </cell>
          <cell r="E436">
            <v>1993.4</v>
          </cell>
          <cell r="F436">
            <v>476.42</v>
          </cell>
          <cell r="G436">
            <v>2469.8200000000002</v>
          </cell>
          <cell r="H436" t="str">
            <v>DNER-ES-334/97</v>
          </cell>
        </row>
        <row r="437">
          <cell r="A437" t="str">
            <v>2 S 03 411 12</v>
          </cell>
          <cell r="B437" t="str">
            <v>-</v>
          </cell>
          <cell r="C437" t="str">
            <v>Tub.ar comp.D=1,2 m prof. 12/18 m lâmina d'água LF</v>
          </cell>
          <cell r="D437" t="str">
            <v>m</v>
          </cell>
          <cell r="E437">
            <v>2202.86</v>
          </cell>
          <cell r="F437">
            <v>526.48</v>
          </cell>
          <cell r="G437">
            <v>2739.35</v>
          </cell>
          <cell r="H437" t="str">
            <v>DNER-ES-334/97</v>
          </cell>
        </row>
        <row r="438">
          <cell r="A438" t="str">
            <v>2 S 03 411 13</v>
          </cell>
          <cell r="B438" t="str">
            <v>-</v>
          </cell>
          <cell r="C438" t="str">
            <v>Tub.ar comp.D=1,2 m prof. 18/24 m lâmina d'água LF</v>
          </cell>
          <cell r="D438" t="str">
            <v>m</v>
          </cell>
          <cell r="E438">
            <v>2431.29</v>
          </cell>
          <cell r="F438">
            <v>581.08000000000004</v>
          </cell>
          <cell r="G438">
            <v>3012.37</v>
          </cell>
          <cell r="H438" t="str">
            <v>DNER-ES-334/97</v>
          </cell>
        </row>
        <row r="439">
          <cell r="A439" t="str">
            <v>2 S 03 411 14</v>
          </cell>
          <cell r="B439" t="str">
            <v>-</v>
          </cell>
          <cell r="C439" t="str">
            <v>Tub.ar comp.D=1,2 m prof. 24/27 m lâmina d'água LF</v>
          </cell>
          <cell r="D439" t="str">
            <v>m</v>
          </cell>
          <cell r="E439">
            <v>2767.64</v>
          </cell>
          <cell r="F439">
            <v>661.46</v>
          </cell>
          <cell r="G439">
            <v>3429.11</v>
          </cell>
          <cell r="H439" t="str">
            <v>DNER-ES-334/97</v>
          </cell>
        </row>
        <row r="440">
          <cell r="A440" t="str">
            <v>2 S 03 411 15</v>
          </cell>
          <cell r="B440" t="str">
            <v>-</v>
          </cell>
          <cell r="C440" t="str">
            <v>Tub.ar.comp.D=1,2 m prof. 27/31 m lâmina d'água LF</v>
          </cell>
          <cell r="D440" t="str">
            <v>m</v>
          </cell>
          <cell r="E440">
            <v>3253.02</v>
          </cell>
          <cell r="F440">
            <v>777.47</v>
          </cell>
          <cell r="G440">
            <v>4030.5</v>
          </cell>
          <cell r="H440" t="str">
            <v>DNER-ES-334/97</v>
          </cell>
        </row>
        <row r="441">
          <cell r="A441" t="str">
            <v>2 S 03 411 21</v>
          </cell>
          <cell r="B441" t="str">
            <v>-</v>
          </cell>
          <cell r="C441" t="str">
            <v>Tub.ar.comp.D=1,4 m prof.até 12 m lâmina d'água LF</v>
          </cell>
          <cell r="D441" t="str">
            <v>m</v>
          </cell>
          <cell r="E441">
            <v>2555.09</v>
          </cell>
          <cell r="F441">
            <v>610.66</v>
          </cell>
          <cell r="G441">
            <v>3165.76</v>
          </cell>
          <cell r="H441" t="str">
            <v>DNER-ES-334/97</v>
          </cell>
        </row>
        <row r="442">
          <cell r="A442" t="str">
            <v>2 S 03 411 22</v>
          </cell>
          <cell r="B442" t="str">
            <v>-</v>
          </cell>
          <cell r="C442" t="str">
            <v>Tub.ar comp.D=1,4 m prof. 12/18 m lâmina d'água LF</v>
          </cell>
          <cell r="D442" t="str">
            <v>m</v>
          </cell>
          <cell r="E442">
            <v>2836.51</v>
          </cell>
          <cell r="F442">
            <v>677.92</v>
          </cell>
          <cell r="G442">
            <v>3514.44</v>
          </cell>
          <cell r="H442" t="str">
            <v>DNER-ES-334/97</v>
          </cell>
        </row>
        <row r="443">
          <cell r="A443" t="str">
            <v>2 S 03 411 23</v>
          </cell>
          <cell r="B443" t="str">
            <v>-</v>
          </cell>
          <cell r="C443" t="str">
            <v>Tub.ar comp.D=1,4 m prof. 18/24 m lâmina d'água LF</v>
          </cell>
          <cell r="D443" t="str">
            <v>m</v>
          </cell>
          <cell r="E443">
            <v>3142.81</v>
          </cell>
          <cell r="F443">
            <v>751.13</v>
          </cell>
          <cell r="G443">
            <v>3893.94</v>
          </cell>
          <cell r="H443" t="str">
            <v>DNER-ES-334/97</v>
          </cell>
        </row>
        <row r="444">
          <cell r="A444" t="str">
            <v>2 S 03 411 24</v>
          </cell>
          <cell r="B444" t="str">
            <v>-</v>
          </cell>
          <cell r="C444" t="str">
            <v>Tub.ar comp.D=1,4 m prof. 24/27 m lâmina d'água LF</v>
          </cell>
          <cell r="D444" t="str">
            <v>m</v>
          </cell>
          <cell r="E444">
            <v>3594.12</v>
          </cell>
          <cell r="F444">
            <v>858.99</v>
          </cell>
          <cell r="G444">
            <v>4453.1099999999997</v>
          </cell>
          <cell r="H444" t="str">
            <v>DNER-ES-334/97</v>
          </cell>
        </row>
        <row r="445">
          <cell r="A445" t="str">
            <v>2 S 03 411 25</v>
          </cell>
          <cell r="B445" t="str">
            <v>-</v>
          </cell>
          <cell r="C445" t="str">
            <v>Tub.ar comp.D=1,4 m prof. 27/31 m lâmina d'água LF</v>
          </cell>
          <cell r="D445" t="str">
            <v>m</v>
          </cell>
          <cell r="E445">
            <v>4360.33</v>
          </cell>
          <cell r="F445">
            <v>1042.1199999999999</v>
          </cell>
          <cell r="G445">
            <v>5402.45</v>
          </cell>
          <cell r="H445" t="str">
            <v>DNER-ES-334/97</v>
          </cell>
        </row>
        <row r="446">
          <cell r="A446" t="str">
            <v>2 S 03 411 31</v>
          </cell>
          <cell r="B446" t="str">
            <v>-</v>
          </cell>
          <cell r="C446" t="str">
            <v>Tub.ar comp.D=1,6 m prof.até 12 m lâmina d'água LF</v>
          </cell>
          <cell r="D446" t="str">
            <v>m</v>
          </cell>
          <cell r="E446">
            <v>3218.92</v>
          </cell>
          <cell r="F446">
            <v>769.32</v>
          </cell>
          <cell r="G446">
            <v>3988.25</v>
          </cell>
          <cell r="H446" t="str">
            <v>DNER-ES-334/97</v>
          </cell>
        </row>
        <row r="447">
          <cell r="A447" t="str">
            <v>2 S 03 411 32</v>
          </cell>
          <cell r="B447" t="str">
            <v>-</v>
          </cell>
          <cell r="C447" t="str">
            <v>Tub.ar comp.D=1,6 m prof. 12/18 m lâmina d'água LF</v>
          </cell>
          <cell r="D447" t="str">
            <v>m</v>
          </cell>
          <cell r="E447">
            <v>3590.53</v>
          </cell>
          <cell r="F447">
            <v>858.13</v>
          </cell>
          <cell r="G447">
            <v>4448.67</v>
          </cell>
          <cell r="H447" t="str">
            <v>DNER-ES-334/97</v>
          </cell>
        </row>
        <row r="448">
          <cell r="A448" t="str">
            <v>2 S 03 411 33</v>
          </cell>
          <cell r="B448" t="str">
            <v>-</v>
          </cell>
          <cell r="C448" t="str">
            <v>Tub.ar comp.D=1,6 m prof. 18/24 m lâmina d'água LF</v>
          </cell>
          <cell r="D448" t="str">
            <v>m</v>
          </cell>
          <cell r="E448">
            <v>3995.32</v>
          </cell>
          <cell r="F448">
            <v>954.88</v>
          </cell>
          <cell r="G448">
            <v>4950.2</v>
          </cell>
          <cell r="H448" t="str">
            <v>DNER-ES-334/97</v>
          </cell>
        </row>
        <row r="449">
          <cell r="A449" t="str">
            <v>2 S 03 411 34</v>
          </cell>
          <cell r="B449" t="str">
            <v>-</v>
          </cell>
          <cell r="C449" t="str">
            <v>Tub.ar comp.D=1,6 m prof. 24/27 m lâmina d'água LF</v>
          </cell>
          <cell r="D449" t="str">
            <v>m</v>
          </cell>
          <cell r="E449">
            <v>4591.9799999999996</v>
          </cell>
          <cell r="F449">
            <v>1097.48</v>
          </cell>
          <cell r="G449">
            <v>5689.47</v>
          </cell>
          <cell r="H449" t="str">
            <v>DNER-ES-334/97</v>
          </cell>
        </row>
        <row r="450">
          <cell r="A450" t="str">
            <v>2 S 03 411 35</v>
          </cell>
          <cell r="B450" t="str">
            <v>-</v>
          </cell>
          <cell r="C450" t="str">
            <v>Tub.ar comp.D=1,6 m prof. 27/31 m lâmina d'água LF</v>
          </cell>
          <cell r="D450" t="str">
            <v>m</v>
          </cell>
          <cell r="E450">
            <v>5604.28</v>
          </cell>
          <cell r="F450">
            <v>1339.42</v>
          </cell>
          <cell r="G450">
            <v>6943.7</v>
          </cell>
          <cell r="H450" t="str">
            <v>DNER-ES-334/97</v>
          </cell>
        </row>
        <row r="451">
          <cell r="A451" t="str">
            <v>2 S 03 411 41</v>
          </cell>
          <cell r="B451" t="str">
            <v>-</v>
          </cell>
          <cell r="C451" t="str">
            <v>Tub.ar comp.D=1,8 m prof.até 12 m lâmina d'água LF</v>
          </cell>
          <cell r="D451" t="str">
            <v>m</v>
          </cell>
          <cell r="E451">
            <v>4011.6</v>
          </cell>
          <cell r="F451">
            <v>958.77</v>
          </cell>
          <cell r="G451">
            <v>4970.38</v>
          </cell>
          <cell r="H451" t="str">
            <v>DNER-ES-334/97</v>
          </cell>
        </row>
        <row r="452">
          <cell r="A452" t="str">
            <v>2 S 03 411 42</v>
          </cell>
          <cell r="B452" t="str">
            <v>-</v>
          </cell>
          <cell r="C452" t="str">
            <v>Tub.ar comp.D=1,8 m prof. 12/18 m lâmina d'água LF</v>
          </cell>
          <cell r="D452" t="str">
            <v>m</v>
          </cell>
          <cell r="E452">
            <v>4488.34</v>
          </cell>
          <cell r="F452">
            <v>1072.71</v>
          </cell>
          <cell r="G452">
            <v>5561.06</v>
          </cell>
          <cell r="H452" t="str">
            <v>DNER-ES-334/97</v>
          </cell>
        </row>
        <row r="453">
          <cell r="A453" t="str">
            <v>2 S 03 411 43</v>
          </cell>
          <cell r="B453" t="str">
            <v>-</v>
          </cell>
          <cell r="C453" t="str">
            <v>Tub.ar comp.D=1,8 m prof. 18/24 m lâmina d'água LF</v>
          </cell>
          <cell r="D453" t="str">
            <v>m</v>
          </cell>
          <cell r="E453">
            <v>5011.3999999999996</v>
          </cell>
          <cell r="F453">
            <v>1197.72</v>
          </cell>
          <cell r="G453">
            <v>6219.13</v>
          </cell>
          <cell r="H453" t="str">
            <v>DNER-ES-334/97</v>
          </cell>
        </row>
        <row r="454">
          <cell r="A454" t="str">
            <v>2 S 03 411 44</v>
          </cell>
          <cell r="B454" t="str">
            <v>-</v>
          </cell>
          <cell r="C454" t="str">
            <v>Tub.ar comp.D=1,8 m prof. 24/27 m lâmina d'água LF</v>
          </cell>
          <cell r="D454" t="str">
            <v>m</v>
          </cell>
          <cell r="E454">
            <v>5785.53</v>
          </cell>
          <cell r="F454">
            <v>1382.74</v>
          </cell>
          <cell r="G454">
            <v>7168.28</v>
          </cell>
          <cell r="H454" t="str">
            <v>DNER-ES-334/97</v>
          </cell>
        </row>
        <row r="455">
          <cell r="A455" t="str">
            <v>2 S 03 411 45</v>
          </cell>
          <cell r="B455" t="str">
            <v>-</v>
          </cell>
          <cell r="C455" t="str">
            <v>Tub.ar comp.D=1,8 m prof. 27/31 m lâmina d'água LF</v>
          </cell>
          <cell r="D455" t="str">
            <v>m</v>
          </cell>
          <cell r="E455">
            <v>7093.4</v>
          </cell>
          <cell r="F455">
            <v>1695.32</v>
          </cell>
          <cell r="G455">
            <v>8788.7199999999993</v>
          </cell>
          <cell r="H455" t="str">
            <v>DNER-ES-334/97</v>
          </cell>
        </row>
        <row r="456">
          <cell r="A456" t="str">
            <v>2 S 03 411 51</v>
          </cell>
          <cell r="B456" t="str">
            <v>-</v>
          </cell>
          <cell r="C456" t="str">
            <v>Tub.ar comp.D=2,0 m até 12 m lâmina d'água LF</v>
          </cell>
          <cell r="D456" t="str">
            <v>m</v>
          </cell>
          <cell r="E456">
            <v>4766.1899999999996</v>
          </cell>
          <cell r="F456">
            <v>1139.1199999999999</v>
          </cell>
          <cell r="G456">
            <v>5905.32</v>
          </cell>
          <cell r="H456" t="str">
            <v>DNER-ES-334/97</v>
          </cell>
        </row>
        <row r="457">
          <cell r="A457" t="str">
            <v>2 S 03 411 52</v>
          </cell>
          <cell r="B457" t="str">
            <v>-</v>
          </cell>
          <cell r="C457" t="str">
            <v>Tub.ar comp.D=2,0 m prof. 12/18 m lâmina d'água LF</v>
          </cell>
          <cell r="D457" t="str">
            <v>m</v>
          </cell>
          <cell r="E457">
            <v>5342</v>
          </cell>
          <cell r="F457">
            <v>1276.73</v>
          </cell>
          <cell r="G457">
            <v>6618.74</v>
          </cell>
          <cell r="H457" t="str">
            <v>DNER-ES-334/97</v>
          </cell>
        </row>
        <row r="458">
          <cell r="A458" t="str">
            <v>2 S 03 411 53</v>
          </cell>
          <cell r="B458" t="str">
            <v>-</v>
          </cell>
          <cell r="C458" t="str">
            <v>Tub.ar comp.D=2,0 m prof.18/24 m lâmina d'água LF</v>
          </cell>
          <cell r="D458" t="str">
            <v>m</v>
          </cell>
          <cell r="E458">
            <v>5991.78</v>
          </cell>
          <cell r="F458">
            <v>1432.03</v>
          </cell>
          <cell r="G458">
            <v>7423.81</v>
          </cell>
          <cell r="H458" t="str">
            <v>DNER-ES-334/97</v>
          </cell>
        </row>
        <row r="459">
          <cell r="A459" t="str">
            <v>2 S 03 411 54</v>
          </cell>
          <cell r="B459" t="str">
            <v>-</v>
          </cell>
          <cell r="C459" t="str">
            <v>Tub.ar comp.D=2,0 m prof.24/27 m lâmina d'água LF</v>
          </cell>
          <cell r="D459" t="str">
            <v>m</v>
          </cell>
          <cell r="E459">
            <v>6894.5</v>
          </cell>
          <cell r="F459">
            <v>1647.78</v>
          </cell>
          <cell r="G459">
            <v>8542.2800000000007</v>
          </cell>
          <cell r="H459" t="str">
            <v>DNER-ES-334/97</v>
          </cell>
        </row>
        <row r="460">
          <cell r="A460" t="str">
            <v>2 S 03 411 55</v>
          </cell>
          <cell r="B460" t="str">
            <v>-</v>
          </cell>
          <cell r="C460" t="str">
            <v>Tub.ar comp.D=2,0 m prof.27/31 m lâmina d'água LF</v>
          </cell>
          <cell r="D460" t="str">
            <v>m</v>
          </cell>
          <cell r="E460">
            <v>8463.9500000000007</v>
          </cell>
          <cell r="F460">
            <v>2022.88</v>
          </cell>
          <cell r="G460">
            <v>10486.84</v>
          </cell>
          <cell r="H460" t="str">
            <v>DNER-ES-334/97</v>
          </cell>
        </row>
        <row r="461">
          <cell r="A461" t="str">
            <v>2 S 03 411 61</v>
          </cell>
          <cell r="B461" t="str">
            <v>-</v>
          </cell>
          <cell r="C461" t="str">
            <v>Tub.ar comp.D=2,2 m prof.até 12 m lâmina d'água LF</v>
          </cell>
          <cell r="D461" t="str">
            <v>m</v>
          </cell>
          <cell r="E461">
            <v>5836.08</v>
          </cell>
          <cell r="F461">
            <v>1394.82</v>
          </cell>
          <cell r="G461">
            <v>7230.9</v>
          </cell>
          <cell r="H461" t="str">
            <v>DNER-ES-334/97</v>
          </cell>
        </row>
        <row r="462">
          <cell r="A462" t="str">
            <v>2 S 03 411 62</v>
          </cell>
          <cell r="B462" t="str">
            <v>-</v>
          </cell>
          <cell r="C462" t="str">
            <v>Tub.ar comp.D=2,2 m prof.12/18 m lâmina d'água LF</v>
          </cell>
          <cell r="D462" t="str">
            <v>m</v>
          </cell>
          <cell r="E462">
            <v>6555.67</v>
          </cell>
          <cell r="F462">
            <v>1566.8</v>
          </cell>
          <cell r="G462">
            <v>8122.48</v>
          </cell>
          <cell r="H462" t="str">
            <v>DNER-ES-334/97</v>
          </cell>
        </row>
        <row r="463">
          <cell r="A463" t="str">
            <v>2 S 03 411 63</v>
          </cell>
          <cell r="B463" t="str">
            <v>-</v>
          </cell>
          <cell r="C463" t="str">
            <v>Tub.ar comp.D=2,2 m prof.18/24 m lâmina d'água LF</v>
          </cell>
          <cell r="D463" t="str">
            <v>m</v>
          </cell>
          <cell r="E463">
            <v>7341.13</v>
          </cell>
          <cell r="F463">
            <v>1754.53</v>
          </cell>
          <cell r="G463">
            <v>9095.66</v>
          </cell>
          <cell r="H463" t="str">
            <v>DNER-ES-334/97</v>
          </cell>
        </row>
        <row r="464">
          <cell r="A464" t="str">
            <v>2 S 03 411 64</v>
          </cell>
          <cell r="B464" t="str">
            <v>-</v>
          </cell>
          <cell r="C464" t="str">
            <v>Tub.ar comp.D=2,2 m prof.24/27 m lâmina d'água LF</v>
          </cell>
          <cell r="D464" t="str">
            <v>m</v>
          </cell>
          <cell r="E464">
            <v>8496.82</v>
          </cell>
          <cell r="F464">
            <v>2030.74</v>
          </cell>
          <cell r="G464">
            <v>10527.56</v>
          </cell>
          <cell r="H464" t="str">
            <v>DNER-ES-334/97</v>
          </cell>
        </row>
        <row r="465">
          <cell r="A465" t="str">
            <v>2 S 03 411 65</v>
          </cell>
          <cell r="B465" t="str">
            <v>-</v>
          </cell>
          <cell r="C465" t="str">
            <v>Tub.ar comp.D=2,2 m prof.27/31m lâmina d'água LF</v>
          </cell>
          <cell r="D465" t="str">
            <v>m</v>
          </cell>
          <cell r="E465">
            <v>10119.93</v>
          </cell>
          <cell r="F465">
            <v>2418.66</v>
          </cell>
          <cell r="G465">
            <v>12538.6</v>
          </cell>
          <cell r="H465" t="str">
            <v>DNER-ES-334/97</v>
          </cell>
        </row>
        <row r="466">
          <cell r="A466" t="str">
            <v>2 S 03 412 01</v>
          </cell>
          <cell r="B466" t="str">
            <v>-</v>
          </cell>
          <cell r="C466" t="str">
            <v>Esc.p/alarg. base tub.ar comp.prof. até 12 m LF</v>
          </cell>
          <cell r="D466" t="str">
            <v>m³</v>
          </cell>
          <cell r="E466">
            <v>1048.28</v>
          </cell>
          <cell r="F466">
            <v>250.54</v>
          </cell>
          <cell r="G466">
            <v>1298.82</v>
          </cell>
        </row>
        <row r="467">
          <cell r="A467" t="str">
            <v>2 S 03 412 02</v>
          </cell>
          <cell r="B467" t="str">
            <v>-</v>
          </cell>
          <cell r="C467" t="str">
            <v>Esc.p/alarg. base tub.ar comp.prof.12/18 m LF</v>
          </cell>
          <cell r="D467" t="str">
            <v>m³</v>
          </cell>
          <cell r="E467">
            <v>1230.58</v>
          </cell>
          <cell r="F467">
            <v>294.11</v>
          </cell>
          <cell r="G467">
            <v>1524.7</v>
          </cell>
        </row>
        <row r="468">
          <cell r="A468" t="str">
            <v>2 S 03 412 03</v>
          </cell>
          <cell r="B468" t="str">
            <v>-</v>
          </cell>
          <cell r="C468" t="str">
            <v>Esc.p/alarg. base tub.ar comp.prof.18/24 m LF</v>
          </cell>
          <cell r="D468" t="str">
            <v>m³</v>
          </cell>
          <cell r="E468">
            <v>1429.1</v>
          </cell>
          <cell r="F468">
            <v>341.55</v>
          </cell>
          <cell r="G468">
            <v>1770.66</v>
          </cell>
        </row>
        <row r="469">
          <cell r="A469" t="str">
            <v>2 S 03 411 04</v>
          </cell>
          <cell r="B469" t="str">
            <v>-</v>
          </cell>
          <cell r="C469" t="str">
            <v>Esc.p/alarg. base tub.ar comp.prof.24/27 m LF</v>
          </cell>
          <cell r="D469" t="str">
            <v>m³</v>
          </cell>
          <cell r="E469">
            <v>1721.3</v>
          </cell>
          <cell r="F469">
            <v>411.39</v>
          </cell>
          <cell r="G469">
            <v>2132.69</v>
          </cell>
        </row>
        <row r="470">
          <cell r="A470" t="str">
            <v>2 S 03 411 05</v>
          </cell>
          <cell r="B470" t="str">
            <v>-</v>
          </cell>
          <cell r="C470" t="str">
            <v>Esc.p/alarg. base tub.ar comp.prof.27/31m LF</v>
          </cell>
          <cell r="D470" t="str">
            <v>m³</v>
          </cell>
          <cell r="E470">
            <v>2118.37</v>
          </cell>
          <cell r="F470">
            <v>530.19000000000005</v>
          </cell>
          <cell r="G470">
            <v>2648.56</v>
          </cell>
        </row>
        <row r="471">
          <cell r="A471" t="str">
            <v>2 S 03 411 11</v>
          </cell>
          <cell r="B471" t="str">
            <v>-</v>
          </cell>
          <cell r="C471" t="str">
            <v>Forn.lanç.conc. base tub.ar comp.até 12m LF</v>
          </cell>
          <cell r="D471" t="str">
            <v>m³</v>
          </cell>
          <cell r="E471">
            <v>219.67</v>
          </cell>
          <cell r="F471">
            <v>52.5</v>
          </cell>
          <cell r="G471">
            <v>272.17</v>
          </cell>
          <cell r="H471" t="str">
            <v>DNER-ES-335/97</v>
          </cell>
        </row>
        <row r="472">
          <cell r="A472" t="str">
            <v>2 S 03 411 12</v>
          </cell>
          <cell r="B472" t="str">
            <v>-</v>
          </cell>
          <cell r="C472" t="str">
            <v>Forn.lanc.conc.base tub.ar comp.prof.12/18m LF</v>
          </cell>
          <cell r="D472" t="str">
            <v>m³</v>
          </cell>
          <cell r="E472">
            <v>235.26</v>
          </cell>
          <cell r="F472">
            <v>56.22</v>
          </cell>
          <cell r="G472">
            <v>291.49</v>
          </cell>
          <cell r="H472" t="str">
            <v>DNER-ES-335/97</v>
          </cell>
        </row>
        <row r="473">
          <cell r="A473" t="str">
            <v>2 S 03 411 13</v>
          </cell>
          <cell r="B473" t="str">
            <v>-</v>
          </cell>
          <cell r="C473" t="str">
            <v>Forn.lanç.conc.base tub.ar comp.prof.18/24m LF</v>
          </cell>
          <cell r="D473" t="str">
            <v>m³</v>
          </cell>
          <cell r="E473">
            <v>252.27</v>
          </cell>
          <cell r="F473">
            <v>60.29</v>
          </cell>
          <cell r="G473">
            <v>312.57</v>
          </cell>
          <cell r="H473" t="str">
            <v>DNER-ES-335/97</v>
          </cell>
        </row>
        <row r="474">
          <cell r="A474" t="str">
            <v>2 S 03 411 14</v>
          </cell>
          <cell r="B474" t="str">
            <v>-</v>
          </cell>
          <cell r="C474" t="str">
            <v>Forn.lanç.conc.base tub.ar comp.prof.24/27m LF</v>
          </cell>
          <cell r="D474" t="str">
            <v>m³</v>
          </cell>
          <cell r="E474">
            <v>276.95999999999998</v>
          </cell>
          <cell r="F474">
            <v>66.19</v>
          </cell>
          <cell r="G474">
            <v>343.15</v>
          </cell>
          <cell r="H474" t="str">
            <v>DNER-ES-335/97</v>
          </cell>
        </row>
        <row r="475">
          <cell r="A475" t="str">
            <v>2 S 03 411 15</v>
          </cell>
          <cell r="B475" t="str">
            <v>-</v>
          </cell>
          <cell r="C475" t="str">
            <v>Forn.lanç.conc.base tub.ar comp.prof. 27/31m LF</v>
          </cell>
          <cell r="D475" t="str">
            <v>m³</v>
          </cell>
          <cell r="E475">
            <v>318.41000000000003</v>
          </cell>
          <cell r="F475">
            <v>76.099999999999994</v>
          </cell>
          <cell r="G475">
            <v>394.51</v>
          </cell>
          <cell r="H475" t="str">
            <v>DNER-ES-335/97</v>
          </cell>
        </row>
        <row r="476">
          <cell r="A476" t="str">
            <v>2 S 03 411 61</v>
          </cell>
          <cell r="B476" t="str">
            <v>-</v>
          </cell>
          <cell r="C476" t="str">
            <v>Forn.lanç.c. base tub.ar comp.até 12m LF/AC/BC/PC</v>
          </cell>
          <cell r="D476" t="str">
            <v>m³</v>
          </cell>
          <cell r="E476">
            <v>227.12</v>
          </cell>
          <cell r="F476">
            <v>54.28</v>
          </cell>
          <cell r="G476">
            <v>281.39999999999998</v>
          </cell>
          <cell r="H476" t="str">
            <v>DNER-ES-335/97</v>
          </cell>
        </row>
        <row r="477">
          <cell r="A477" t="str">
            <v>2 S 03 411 62</v>
          </cell>
          <cell r="B477" t="str">
            <v>-</v>
          </cell>
          <cell r="C477" t="str">
            <v>Forn.lanc.c.base tub.ar comp.pr.12/18m LF/AC/BC/PC</v>
          </cell>
          <cell r="D477" t="str">
            <v>m³</v>
          </cell>
          <cell r="E477">
            <v>263.70999999999998</v>
          </cell>
          <cell r="F477">
            <v>63.02</v>
          </cell>
          <cell r="G477">
            <v>326.74</v>
          </cell>
          <cell r="H477" t="str">
            <v>DNER-ES-335/97</v>
          </cell>
        </row>
        <row r="478">
          <cell r="A478" t="str">
            <v>2 S 03 411 63</v>
          </cell>
          <cell r="B478" t="str">
            <v>-</v>
          </cell>
          <cell r="C478" t="str">
            <v>Forn.lanç.c.base tub.ar comp.pr.18/24m LF/AC/BC/PC</v>
          </cell>
          <cell r="D478" t="str">
            <v>m³</v>
          </cell>
          <cell r="E478">
            <v>259.72000000000003</v>
          </cell>
          <cell r="F478">
            <v>62.07</v>
          </cell>
          <cell r="G478">
            <v>321.8</v>
          </cell>
          <cell r="H478" t="str">
            <v>DNER-ES-335/97</v>
          </cell>
        </row>
        <row r="479">
          <cell r="A479" t="str">
            <v>2 S 03 411 64</v>
          </cell>
          <cell r="B479" t="str">
            <v>-</v>
          </cell>
          <cell r="C479" t="str">
            <v>Forn.lanç.c.base tub.ar comp.pr.24/27m LF/AC/BC/PC</v>
          </cell>
          <cell r="D479" t="str">
            <v>m³</v>
          </cell>
          <cell r="E479">
            <v>284.41000000000003</v>
          </cell>
          <cell r="F479">
            <v>67.97</v>
          </cell>
          <cell r="G479">
            <v>352.38</v>
          </cell>
          <cell r="H479" t="str">
            <v>DNER-ES-335/97</v>
          </cell>
        </row>
        <row r="480">
          <cell r="A480" t="str">
            <v>2 S 03 411 65</v>
          </cell>
          <cell r="B480" t="str">
            <v>-</v>
          </cell>
          <cell r="C480" t="str">
            <v>Forn.lanç.c.base tub.ar comp.pr.27/31m LF/AC/BC/PC</v>
          </cell>
          <cell r="D480" t="str">
            <v>m³</v>
          </cell>
          <cell r="E480">
            <v>325.86</v>
          </cell>
          <cell r="F480">
            <v>77.88</v>
          </cell>
          <cell r="G480">
            <v>403.74</v>
          </cell>
          <cell r="H480" t="str">
            <v>DNER-ES-335/97</v>
          </cell>
        </row>
        <row r="481">
          <cell r="A481" t="str">
            <v>2 S 03 415 01</v>
          </cell>
          <cell r="B481" t="str">
            <v>-</v>
          </cell>
          <cell r="C481" t="str">
            <v>Tub.céu aberto diâmetro externo=1,00 m c/AC/BC/PC</v>
          </cell>
          <cell r="D481" t="str">
            <v>m</v>
          </cell>
          <cell r="E481">
            <v>747.73</v>
          </cell>
          <cell r="F481">
            <v>178.7</v>
          </cell>
          <cell r="G481">
            <v>926.44</v>
          </cell>
        </row>
        <row r="482">
          <cell r="A482" t="str">
            <v>2 S 03 415 11</v>
          </cell>
          <cell r="B482" t="str">
            <v>-</v>
          </cell>
          <cell r="C482" t="str">
            <v>Tub.céu aberto diâmetro externo =1,20 m c/AC/BC/PC</v>
          </cell>
          <cell r="D482" t="str">
            <v>m</v>
          </cell>
          <cell r="E482">
            <v>956.5</v>
          </cell>
          <cell r="F482">
            <v>228.6</v>
          </cell>
          <cell r="G482">
            <v>1185.0999999999999</v>
          </cell>
        </row>
        <row r="483">
          <cell r="A483" t="str">
            <v>2 S03 415 21</v>
          </cell>
          <cell r="B483" t="str">
            <v>-</v>
          </cell>
          <cell r="C483" t="str">
            <v>Tub.céu aberto diâmetro externo=1,40 m c/AC/BC/PC</v>
          </cell>
          <cell r="D483" t="str">
            <v>m</v>
          </cell>
          <cell r="E483">
            <v>1183.53</v>
          </cell>
          <cell r="F483">
            <v>282.86</v>
          </cell>
          <cell r="G483">
            <v>1466.4</v>
          </cell>
        </row>
        <row r="484">
          <cell r="A484" t="str">
            <v>2 S 03 415 31</v>
          </cell>
          <cell r="B484" t="str">
            <v>-</v>
          </cell>
          <cell r="C484" t="str">
            <v>Tub.céu aberto diâmetro externo=1,60 m c/AC/BC/PC</v>
          </cell>
          <cell r="D484" t="str">
            <v>m</v>
          </cell>
          <cell r="E484">
            <v>1415.92</v>
          </cell>
          <cell r="F484">
            <v>338.4</v>
          </cell>
          <cell r="G484">
            <v>1754.33</v>
          </cell>
        </row>
        <row r="485">
          <cell r="A485" t="str">
            <v>2 S 03 415 41</v>
          </cell>
          <cell r="B485" t="str">
            <v>-</v>
          </cell>
          <cell r="C485" t="str">
            <v>Tub.céu aberto diâmetro externo=1,80 m c/AC/BC/PC</v>
          </cell>
          <cell r="D485" t="str">
            <v>m</v>
          </cell>
          <cell r="E485">
            <v>1692.98</v>
          </cell>
          <cell r="F485">
            <v>404.62</v>
          </cell>
          <cell r="G485">
            <v>2097.6</v>
          </cell>
        </row>
        <row r="486">
          <cell r="A486" t="str">
            <v>2 S 03 415 51</v>
          </cell>
          <cell r="B486" t="str">
            <v>-</v>
          </cell>
          <cell r="C486" t="str">
            <v>Tub.céu aberto diâmetro externo=2,00 m c/AC/BC/PC</v>
          </cell>
          <cell r="D486" t="str">
            <v>m</v>
          </cell>
          <cell r="E486">
            <v>2002.62</v>
          </cell>
          <cell r="F486">
            <v>478.62</v>
          </cell>
          <cell r="G486">
            <v>2481.25</v>
          </cell>
        </row>
        <row r="487">
          <cell r="A487" t="str">
            <v>2 S 03 415 61</v>
          </cell>
          <cell r="B487" t="str">
            <v>-</v>
          </cell>
          <cell r="C487" t="str">
            <v>Tub.céu aberto diâmetro externo=2,20 m c/AC/BC/PC</v>
          </cell>
          <cell r="D487" t="str">
            <v>m</v>
          </cell>
          <cell r="E487">
            <v>2380.08</v>
          </cell>
          <cell r="F487">
            <v>568.83000000000004</v>
          </cell>
          <cell r="G487">
            <v>2948.92</v>
          </cell>
        </row>
        <row r="488">
          <cell r="A488" t="str">
            <v>2 S 03 416 11</v>
          </cell>
          <cell r="B488" t="str">
            <v>-</v>
          </cell>
          <cell r="C488" t="str">
            <v>Tub.ar comp.D=1,2m prof.12m lâm.d'água LF/AC/BC/PC</v>
          </cell>
          <cell r="D488" t="str">
            <v>m</v>
          </cell>
          <cell r="E488">
            <v>2002.71</v>
          </cell>
          <cell r="F488">
            <v>478.64</v>
          </cell>
          <cell r="G488">
            <v>2481.36</v>
          </cell>
        </row>
        <row r="489">
          <cell r="A489" t="str">
            <v>2 S 03 416 12</v>
          </cell>
          <cell r="B489" t="str">
            <v>-</v>
          </cell>
          <cell r="C489" t="str">
            <v>Tub.ar c.D=1,2m prof.12/18m lâm.d'água LF/AC/BC/PC</v>
          </cell>
          <cell r="D489" t="str">
            <v>m</v>
          </cell>
          <cell r="E489">
            <v>2212.17</v>
          </cell>
          <cell r="F489">
            <v>528.71</v>
          </cell>
          <cell r="G489">
            <v>2740.88</v>
          </cell>
        </row>
        <row r="490">
          <cell r="A490" t="str">
            <v>2 S 03 416 13</v>
          </cell>
          <cell r="B490" t="str">
            <v>-</v>
          </cell>
          <cell r="C490" t="str">
            <v>Tub.ar c.D=1,2m prof.18/24m lâm.d'água LF/AC/BC/PC</v>
          </cell>
          <cell r="D490" t="str">
            <v>m</v>
          </cell>
          <cell r="E490">
            <v>2440.6</v>
          </cell>
          <cell r="F490">
            <v>583.29999999999995</v>
          </cell>
          <cell r="G490">
            <v>3023.91</v>
          </cell>
        </row>
        <row r="491">
          <cell r="A491" t="str">
            <v>2 S 03 416 14</v>
          </cell>
          <cell r="B491" t="str">
            <v>-</v>
          </cell>
          <cell r="C491" t="str">
            <v>Tub.ar c.D=1,2m prof.24/27m lâm.d'água LF/AC/BC/PC</v>
          </cell>
          <cell r="D491" t="str">
            <v>m</v>
          </cell>
          <cell r="E491">
            <v>2776.95</v>
          </cell>
          <cell r="F491">
            <v>663.69</v>
          </cell>
          <cell r="G491">
            <v>3440.65</v>
          </cell>
        </row>
        <row r="492">
          <cell r="A492" t="str">
            <v>2 S 03 416 15</v>
          </cell>
          <cell r="B492" t="str">
            <v>-</v>
          </cell>
          <cell r="C492" t="str">
            <v>Tub.ar.c.D=1,2m prof.27/31m lâm.d'água LF/AC/BC/PC</v>
          </cell>
          <cell r="D492" t="str">
            <v>m</v>
          </cell>
          <cell r="E492">
            <v>3262.33</v>
          </cell>
          <cell r="F492">
            <v>779.69</v>
          </cell>
          <cell r="G492">
            <v>4042.03</v>
          </cell>
        </row>
        <row r="493">
          <cell r="A493" t="str">
            <v>2 S 03 416 21</v>
          </cell>
          <cell r="B493" t="str">
            <v>-</v>
          </cell>
          <cell r="C493" t="str">
            <v>Tub.ar c.D=1,4m prof.até12m lâm.d'água LF/AC/BC/PC</v>
          </cell>
          <cell r="D493" t="str">
            <v>m</v>
          </cell>
          <cell r="E493">
            <v>2567.62</v>
          </cell>
          <cell r="F493">
            <v>613.66</v>
          </cell>
          <cell r="G493">
            <v>3181.29</v>
          </cell>
        </row>
        <row r="494">
          <cell r="A494" t="str">
            <v>2 S 03 416 22</v>
          </cell>
          <cell r="B494" t="str">
            <v>-</v>
          </cell>
          <cell r="C494" t="str">
            <v>Tub.ar c.D=1,4m prof.12/18m lâm.d'água LF/AC/BC/PC</v>
          </cell>
          <cell r="D494" t="str">
            <v>m</v>
          </cell>
          <cell r="E494">
            <v>2849.05</v>
          </cell>
          <cell r="F494">
            <v>680.92</v>
          </cell>
          <cell r="G494">
            <v>3529.97</v>
          </cell>
        </row>
        <row r="495">
          <cell r="A495" t="str">
            <v>2 S 03 416 23</v>
          </cell>
          <cell r="B495" t="str">
            <v>-</v>
          </cell>
          <cell r="C495" t="str">
            <v>Tub.ar c.D=1,4m prof.18/24m lâm.d'água LF/AC/BC/PC</v>
          </cell>
          <cell r="D495" t="str">
            <v>m</v>
          </cell>
          <cell r="E495">
            <v>3155.34</v>
          </cell>
          <cell r="F495">
            <v>754.12</v>
          </cell>
          <cell r="G495">
            <v>3909.47</v>
          </cell>
        </row>
        <row r="496">
          <cell r="A496" t="str">
            <v>2 S 03 416 24</v>
          </cell>
          <cell r="B496" t="str">
            <v>-</v>
          </cell>
          <cell r="C496" t="str">
            <v>Tub.ar c.D=1,4m prof.24/27m lâm.d'água LF/AC/BC/PC</v>
          </cell>
          <cell r="D496" t="str">
            <v>m</v>
          </cell>
          <cell r="E496">
            <v>3606.65</v>
          </cell>
          <cell r="F496">
            <v>861.99</v>
          </cell>
          <cell r="G496">
            <v>4468.6400000000003</v>
          </cell>
        </row>
        <row r="497">
          <cell r="A497" t="str">
            <v>2 S 03 416 25</v>
          </cell>
          <cell r="B497" t="str">
            <v>-</v>
          </cell>
          <cell r="C497" t="str">
            <v>Tub.ar c.D=1,4m prof.27/31m lâm.d'água LF/AC/BC/PC</v>
          </cell>
          <cell r="D497" t="str">
            <v>m</v>
          </cell>
          <cell r="E497">
            <v>4372.87</v>
          </cell>
          <cell r="F497">
            <v>1045.1099999999999</v>
          </cell>
          <cell r="G497">
            <v>5417.98</v>
          </cell>
        </row>
        <row r="498">
          <cell r="A498" t="str">
            <v>2 S 03 416 31</v>
          </cell>
          <cell r="B498" t="str">
            <v>-</v>
          </cell>
          <cell r="C498" t="str">
            <v>Tub.ar c.D=1,6m prof.até12m lâm.d'água LF/AC/BC/PC</v>
          </cell>
          <cell r="D498" t="str">
            <v>m</v>
          </cell>
          <cell r="E498">
            <v>3235.14</v>
          </cell>
          <cell r="F498">
            <v>773.19</v>
          </cell>
          <cell r="G498">
            <v>4008.34</v>
          </cell>
        </row>
        <row r="499">
          <cell r="A499" t="str">
            <v>2 S 03 416 32</v>
          </cell>
          <cell r="B499" t="str">
            <v>-</v>
          </cell>
          <cell r="C499" t="str">
            <v>Tub.ar c.D=1,6m prof.12/18m lâm.d'água LF/AC/BC/PC</v>
          </cell>
          <cell r="D499" t="str">
            <v>m</v>
          </cell>
          <cell r="E499">
            <v>3606.75</v>
          </cell>
          <cell r="F499">
            <v>862.01</v>
          </cell>
          <cell r="G499">
            <v>4468.76</v>
          </cell>
        </row>
        <row r="500">
          <cell r="A500" t="str">
            <v>2 S 03 416 33</v>
          </cell>
          <cell r="B500" t="str">
            <v>-</v>
          </cell>
          <cell r="C500" t="str">
            <v>Tub.ar c.D=1,6m prof.18/24m lâm.d'água LF/AC/BC/PC</v>
          </cell>
          <cell r="D500" t="str">
            <v>m</v>
          </cell>
          <cell r="E500">
            <v>4011.53</v>
          </cell>
          <cell r="F500">
            <v>958.75</v>
          </cell>
          <cell r="G500">
            <v>4970.29</v>
          </cell>
        </row>
        <row r="501">
          <cell r="A501" t="str">
            <v>2 S 03 416 34</v>
          </cell>
          <cell r="B501" t="str">
            <v>-</v>
          </cell>
          <cell r="C501" t="str">
            <v>Tub.ar c.D=1,6m prof.24/27m lâm.d'água LF/AC/BC/PC</v>
          </cell>
          <cell r="D501" t="str">
            <v>m</v>
          </cell>
          <cell r="E501">
            <v>4608.2</v>
          </cell>
          <cell r="F501">
            <v>1101.3599999999999</v>
          </cell>
          <cell r="G501">
            <v>5709.56</v>
          </cell>
        </row>
        <row r="502">
          <cell r="A502" t="str">
            <v>2 S 03 416 35</v>
          </cell>
          <cell r="B502" t="str">
            <v>-</v>
          </cell>
          <cell r="C502" t="str">
            <v>Tub.ar c.D=1,6m prof.27/31m lâm.d'água LF/AC/BC/PC</v>
          </cell>
          <cell r="D502" t="str">
            <v>m</v>
          </cell>
          <cell r="E502">
            <v>5620.49</v>
          </cell>
          <cell r="F502">
            <v>1343.29</v>
          </cell>
          <cell r="G502">
            <v>6963.79</v>
          </cell>
        </row>
        <row r="503">
          <cell r="A503" t="str">
            <v>2 S 03 416 41</v>
          </cell>
          <cell r="B503" t="str">
            <v>-</v>
          </cell>
          <cell r="C503" t="str">
            <v>Tub.ar c.D=1,8m prof.até12m lâm.d'água LF/AC/BC/PC</v>
          </cell>
          <cell r="D503" t="str">
            <v>m</v>
          </cell>
        </row>
        <row r="504">
          <cell r="A504" t="str">
            <v>2 S 03 416 42</v>
          </cell>
          <cell r="B504" t="str">
            <v>-</v>
          </cell>
          <cell r="C504" t="str">
            <v>Tub.ar c.D=1,8m prof.12/18m lâm.d'água LF AC/BC/PC</v>
          </cell>
          <cell r="D504" t="str">
            <v>m</v>
          </cell>
        </row>
        <row r="505">
          <cell r="A505" t="str">
            <v>2 S 03 416 43</v>
          </cell>
          <cell r="B505" t="str">
            <v>-</v>
          </cell>
          <cell r="C505" t="str">
            <v>Tub.ar c.D=1,8m prof.18/24m lâm.d'água LF/AC/BC/PC</v>
          </cell>
          <cell r="D505" t="str">
            <v>m</v>
          </cell>
        </row>
        <row r="506">
          <cell r="A506" t="str">
            <v>2 S 03 416 44</v>
          </cell>
          <cell r="B506" t="str">
            <v>-</v>
          </cell>
          <cell r="C506" t="str">
            <v>Tub.ar c.D=1,8m prof.24/27m lâm.d'água LF/AC/BC/PC</v>
          </cell>
          <cell r="D506" t="str">
            <v>m</v>
          </cell>
        </row>
        <row r="507">
          <cell r="A507" t="str">
            <v>2 S 03 416 45</v>
          </cell>
          <cell r="B507" t="str">
            <v>-</v>
          </cell>
          <cell r="C507" t="str">
            <v>Tub.ar c.D=1,8m prof.27/31m lâm.d'água LF/AC/BC/PC</v>
          </cell>
          <cell r="D507" t="str">
            <v>m</v>
          </cell>
        </row>
        <row r="508">
          <cell r="A508" t="str">
            <v>2 S 03 416 51</v>
          </cell>
          <cell r="B508" t="str">
            <v>-</v>
          </cell>
          <cell r="C508" t="str">
            <v>Tub.ar c.D=2,0m prof.até12m lâm.d'água LF/AC/BC/PC</v>
          </cell>
          <cell r="D508" t="str">
            <v>m</v>
          </cell>
        </row>
        <row r="509">
          <cell r="A509" t="str">
            <v>2 S 03 416 52</v>
          </cell>
          <cell r="B509" t="str">
            <v>-</v>
          </cell>
          <cell r="C509" t="str">
            <v>Tub.ar c.D=2,0m prof.12/18m lâm.d'água LF/AC/BC/PC</v>
          </cell>
          <cell r="D509" t="str">
            <v>m</v>
          </cell>
        </row>
        <row r="510">
          <cell r="A510" t="str">
            <v>2 S 03 416 53</v>
          </cell>
          <cell r="B510" t="str">
            <v>-</v>
          </cell>
          <cell r="C510" t="str">
            <v>Tub.ar c.D=2,0m prof.18/24m lâm.d'água LF/AC/BC/PC</v>
          </cell>
          <cell r="D510" t="str">
            <v>m</v>
          </cell>
        </row>
        <row r="511">
          <cell r="A511" t="str">
            <v>2 S 03 416 54</v>
          </cell>
          <cell r="B511" t="str">
            <v>-</v>
          </cell>
          <cell r="C511" t="str">
            <v>Tub.ar c.D=2,0m prof.24/27m lâm.d'água LF/AC/BC/PC</v>
          </cell>
          <cell r="D511" t="str">
            <v>m</v>
          </cell>
        </row>
        <row r="512">
          <cell r="A512" t="str">
            <v>2 S 03 416 55</v>
          </cell>
          <cell r="B512" t="str">
            <v>-</v>
          </cell>
          <cell r="C512" t="str">
            <v>Tub.ar c.D=2,0m prof.27/31m lâm.d'água LF/AC/BC/PC</v>
          </cell>
          <cell r="D512" t="str">
            <v>m</v>
          </cell>
        </row>
        <row r="513">
          <cell r="A513" t="str">
            <v>2 S 03 416 61</v>
          </cell>
          <cell r="B513" t="str">
            <v>-</v>
          </cell>
          <cell r="C513" t="str">
            <v>Tub.ar c.D=2,2m prof.até12m lâm.d'água LF/AC/BC/PC</v>
          </cell>
          <cell r="D513" t="str">
            <v>m</v>
          </cell>
        </row>
        <row r="514">
          <cell r="A514" t="str">
            <v>2 S 03 416 62</v>
          </cell>
          <cell r="B514" t="str">
            <v>-</v>
          </cell>
          <cell r="C514" t="str">
            <v>Tub.ar c.D=2,2m prof.12/18m lâm.d'água LF/AC/BC/PC</v>
          </cell>
          <cell r="D514" t="str">
            <v>m</v>
          </cell>
        </row>
        <row r="515">
          <cell r="A515" t="str">
            <v>2 S 03 416 63</v>
          </cell>
          <cell r="B515" t="str">
            <v>-</v>
          </cell>
          <cell r="C515" t="str">
            <v>Tub.ar c.D=2,2m prof.18/24m lâm.d'água LF/AC/BC/PC</v>
          </cell>
          <cell r="D515" t="str">
            <v>m</v>
          </cell>
        </row>
        <row r="516">
          <cell r="A516" t="str">
            <v>2 S 03 416 64</v>
          </cell>
          <cell r="B516" t="str">
            <v>-</v>
          </cell>
          <cell r="C516" t="str">
            <v>Tub.ar c.D=2,2m prof.24/27m lâm.d'água LF/AC/BC/PC</v>
          </cell>
          <cell r="D516" t="str">
            <v>m</v>
          </cell>
        </row>
        <row r="517">
          <cell r="A517" t="str">
            <v>2 S 03 416 65</v>
          </cell>
          <cell r="B517" t="str">
            <v>-</v>
          </cell>
          <cell r="C517" t="str">
            <v>Tub.ar c.D=2,2m prof.27/31m lâm.d'água LF/AC/BC/PC</v>
          </cell>
          <cell r="D517" t="str">
            <v>m</v>
          </cell>
        </row>
        <row r="518">
          <cell r="A518" t="str">
            <v>2 S 03 510 00</v>
          </cell>
          <cell r="B518" t="str">
            <v>-</v>
          </cell>
          <cell r="C518" t="str">
            <v>Aparelho Apoio em Neoperene Fretado - forn. e aplic.</v>
          </cell>
          <cell r="D518" t="str">
            <v>kg</v>
          </cell>
          <cell r="H518" t="str">
            <v>EC-OAE-03</v>
          </cell>
        </row>
        <row r="519">
          <cell r="A519" t="str">
            <v>2 S 03 510 50</v>
          </cell>
          <cell r="B519" t="str">
            <v>-</v>
          </cell>
          <cell r="C519" t="str">
            <v>Fabric.guarda-corpo tipo GM,moldado no local AC/BC</v>
          </cell>
          <cell r="D519" t="str">
            <v>kg</v>
          </cell>
        </row>
        <row r="520">
          <cell r="A520" t="str">
            <v>2 S 03 580 01</v>
          </cell>
          <cell r="B520" t="str">
            <v>-</v>
          </cell>
          <cell r="C520" t="str">
            <v>Fornecimento, preparo e colocação formas aço CA 60</v>
          </cell>
          <cell r="D520" t="str">
            <v>kg</v>
          </cell>
          <cell r="H520" t="str">
            <v>DNER-ES-331/97</v>
          </cell>
        </row>
        <row r="521">
          <cell r="A521" t="str">
            <v>2 S 03 580 02</v>
          </cell>
          <cell r="B521" t="str">
            <v>-</v>
          </cell>
          <cell r="C521" t="str">
            <v>Fornecimento, preparo e colocação formas aço CA 50</v>
          </cell>
          <cell r="D521" t="str">
            <v>kg</v>
          </cell>
          <cell r="H521" t="str">
            <v>DNER-ES-331/97</v>
          </cell>
        </row>
        <row r="522">
          <cell r="A522" t="str">
            <v>2 S 03 580 03</v>
          </cell>
          <cell r="B522" t="str">
            <v>-</v>
          </cell>
          <cell r="C522" t="str">
            <v>Fornecimento, preparo e colocação formas aço CA 25</v>
          </cell>
          <cell r="D522" t="str">
            <v>kg</v>
          </cell>
          <cell r="H522" t="str">
            <v>DNER-ES-331/97</v>
          </cell>
        </row>
        <row r="523">
          <cell r="A523" t="str">
            <v>2 S 03 700 01</v>
          </cell>
          <cell r="B523" t="str">
            <v>-</v>
          </cell>
          <cell r="C523" t="str">
            <v>Fabricação guarda-corpo tipo GM, moldado no local</v>
          </cell>
          <cell r="D523" t="str">
            <v>m</v>
          </cell>
        </row>
        <row r="524">
          <cell r="A524" t="str">
            <v>2 S 03 700 51</v>
          </cell>
          <cell r="B524" t="str">
            <v>-</v>
          </cell>
          <cell r="C524" t="str">
            <v>Abertura concretag.bases tubulões céu aberto AC/BC</v>
          </cell>
          <cell r="D524" t="str">
            <v>m</v>
          </cell>
        </row>
        <row r="525">
          <cell r="A525" t="str">
            <v>2 S 03 920 01</v>
          </cell>
          <cell r="B525" t="str">
            <v>-</v>
          </cell>
          <cell r="C525" t="str">
            <v>Abertura concretagem bases tubulões céu aberto</v>
          </cell>
          <cell r="D525" t="str">
            <v>m³</v>
          </cell>
        </row>
        <row r="526">
          <cell r="A526" t="str">
            <v>2 S 03 930 00</v>
          </cell>
          <cell r="B526" t="str">
            <v>-</v>
          </cell>
          <cell r="C526" t="str">
            <v>Junta de cantoneira</v>
          </cell>
          <cell r="D526" t="str">
            <v>m</v>
          </cell>
        </row>
        <row r="527">
          <cell r="A527" t="str">
            <v>2 S 03 940 00</v>
          </cell>
          <cell r="B527" t="str">
            <v>-</v>
          </cell>
          <cell r="C527" t="str">
            <v>Compactação manual</v>
          </cell>
          <cell r="D527" t="str">
            <v>m³</v>
          </cell>
        </row>
        <row r="528">
          <cell r="A528" t="str">
            <v>2 S 03 940 01</v>
          </cell>
          <cell r="B528" t="str">
            <v>-</v>
          </cell>
          <cell r="C528" t="str">
            <v>Reaterro e compactação</v>
          </cell>
          <cell r="D528" t="str">
            <v>m³</v>
          </cell>
          <cell r="H528" t="str">
            <v>EC-D-01</v>
          </cell>
        </row>
        <row r="529">
          <cell r="A529" t="str">
            <v>2 S 03 951 01</v>
          </cell>
          <cell r="B529" t="str">
            <v>-</v>
          </cell>
          <cell r="C529" t="str">
            <v>Pintura com nata de cimento</v>
          </cell>
          <cell r="D529" t="str">
            <v>m²</v>
          </cell>
          <cell r="H529" t="str">
            <v>DNER-ES-330/97</v>
          </cell>
        </row>
        <row r="530">
          <cell r="A530" t="str">
            <v>2 S 03 990 01</v>
          </cell>
          <cell r="B530" t="str">
            <v>-</v>
          </cell>
          <cell r="C530" t="str">
            <v>Confecção e colocação cabo 4 cord de 12,7 mm - MAC</v>
          </cell>
          <cell r="D530" t="str">
            <v>kg</v>
          </cell>
        </row>
        <row r="531">
          <cell r="A531" t="str">
            <v>2 S 03 990 02</v>
          </cell>
          <cell r="B531" t="str">
            <v>-</v>
          </cell>
          <cell r="C531" t="str">
            <v>Confecção e colocação cabo 6 cord de 12,7 mm - MAC</v>
          </cell>
          <cell r="D531" t="str">
            <v>kg</v>
          </cell>
        </row>
        <row r="532">
          <cell r="A532" t="str">
            <v>2 S 03 990 03</v>
          </cell>
          <cell r="B532" t="str">
            <v>-</v>
          </cell>
          <cell r="C532" t="str">
            <v>Confecção e colocação cabo 7 cord de 12,7 mm - MAC</v>
          </cell>
          <cell r="D532" t="str">
            <v>kg</v>
          </cell>
        </row>
        <row r="533">
          <cell r="A533" t="str">
            <v>2 S 03 990 04</v>
          </cell>
          <cell r="B533" t="str">
            <v>-</v>
          </cell>
          <cell r="C533" t="str">
            <v>Confecção e colocação cabo 12 cord de 12,7 mm -MAC</v>
          </cell>
          <cell r="D533" t="str">
            <v>kg</v>
          </cell>
        </row>
        <row r="534">
          <cell r="A534" t="str">
            <v>2 S 03 990 05</v>
          </cell>
          <cell r="B534" t="str">
            <v>-</v>
          </cell>
          <cell r="C534" t="str">
            <v>Confecção e colocação cabo 4 cord. D=12,7mm FREYSS</v>
          </cell>
          <cell r="D534" t="str">
            <v>kg</v>
          </cell>
        </row>
        <row r="535">
          <cell r="A535" t="str">
            <v>2 S 03 990 06</v>
          </cell>
          <cell r="B535" t="str">
            <v>-</v>
          </cell>
          <cell r="C535" t="str">
            <v>Confecção e colocação cabo 6 cord. D=12,7mm FREYSS</v>
          </cell>
          <cell r="D535" t="str">
            <v>kg</v>
          </cell>
        </row>
        <row r="536">
          <cell r="A536" t="str">
            <v>2 S 03 990 07</v>
          </cell>
          <cell r="B536" t="str">
            <v>-</v>
          </cell>
          <cell r="C536" t="str">
            <v>Confecção e colocação cabo 7 cord. D=12,7mm FREYSS</v>
          </cell>
          <cell r="D536" t="str">
            <v>kg</v>
          </cell>
        </row>
        <row r="537">
          <cell r="A537" t="str">
            <v>2 S 03 990 08</v>
          </cell>
          <cell r="B537" t="str">
            <v>-</v>
          </cell>
          <cell r="C537" t="str">
            <v>Confecção e colocação cabo 12cord. D=12,7mm FREYSS</v>
          </cell>
          <cell r="D537" t="str">
            <v>kg</v>
          </cell>
        </row>
        <row r="538">
          <cell r="A538" t="str">
            <v>2 S 03 991 01</v>
          </cell>
          <cell r="B538" t="str">
            <v>-</v>
          </cell>
          <cell r="C538" t="str">
            <v>Dreno de PVC D=75 mm</v>
          </cell>
          <cell r="D538" t="str">
            <v>und</v>
          </cell>
          <cell r="H538" t="str">
            <v>DNIT 015-204-ES</v>
          </cell>
        </row>
        <row r="539">
          <cell r="A539" t="str">
            <v>2 S 03 991 02</v>
          </cell>
          <cell r="B539" t="str">
            <v>-</v>
          </cell>
          <cell r="C539" t="str">
            <v>Dreno de PVC D=100 mm</v>
          </cell>
          <cell r="D539" t="str">
            <v>und</v>
          </cell>
          <cell r="H539" t="str">
            <v>DNIT 015-204-ES</v>
          </cell>
        </row>
        <row r="540">
          <cell r="A540" t="str">
            <v>2 S 03 999 01</v>
          </cell>
          <cell r="B540" t="str">
            <v>-</v>
          </cell>
          <cell r="C540" t="str">
            <v>Protensão e injeção cabo 4 cord. D=12,7 mm - MAC</v>
          </cell>
          <cell r="D540" t="str">
            <v>und</v>
          </cell>
        </row>
        <row r="541">
          <cell r="A541" t="str">
            <v>2 S 03 999 02</v>
          </cell>
          <cell r="B541" t="str">
            <v>-</v>
          </cell>
          <cell r="C541" t="str">
            <v>Protensão e injeção cabo 6 cord. D=12,7 mm - MAC</v>
          </cell>
          <cell r="D541" t="str">
            <v>und</v>
          </cell>
        </row>
        <row r="542">
          <cell r="A542" t="str">
            <v>2 S 03 999 03</v>
          </cell>
          <cell r="B542" t="str">
            <v>-</v>
          </cell>
          <cell r="C542" t="str">
            <v>Protensão e injeção cabo 7 cord. D=12,7 mm - MAC</v>
          </cell>
          <cell r="D542" t="str">
            <v>und</v>
          </cell>
        </row>
        <row r="543">
          <cell r="A543" t="str">
            <v>2 S 03 999 04</v>
          </cell>
          <cell r="B543" t="str">
            <v>-</v>
          </cell>
          <cell r="C543" t="str">
            <v>Protensão e injeção cabo 12 cord. D=12,7 mm - MAC</v>
          </cell>
          <cell r="D543" t="str">
            <v>und</v>
          </cell>
        </row>
        <row r="544">
          <cell r="A544" t="str">
            <v>2 S 03 999 05</v>
          </cell>
          <cell r="B544" t="str">
            <v>-</v>
          </cell>
          <cell r="C544" t="str">
            <v>Protensão e injeção cabo 4 cord. D=12,7mm - FREYSS</v>
          </cell>
          <cell r="D544" t="str">
            <v>und</v>
          </cell>
        </row>
        <row r="545">
          <cell r="A545" t="str">
            <v>2 S 03 999 06</v>
          </cell>
          <cell r="B545" t="str">
            <v>-</v>
          </cell>
          <cell r="C545" t="str">
            <v>Protensão e injeção cabo 6 cord. D=12,7mm - FREYSS</v>
          </cell>
          <cell r="D545" t="str">
            <v>und</v>
          </cell>
        </row>
        <row r="546">
          <cell r="A546" t="str">
            <v>2 S 03 999 07</v>
          </cell>
          <cell r="B546" t="str">
            <v>-</v>
          </cell>
          <cell r="C546" t="str">
            <v>Protensão e injeção cabo 7 cord. D=12,7mm - FREYSS</v>
          </cell>
          <cell r="D546" t="str">
            <v>und</v>
          </cell>
        </row>
        <row r="547">
          <cell r="A547" t="str">
            <v>2 S 03 999 08</v>
          </cell>
          <cell r="B547" t="str">
            <v>-</v>
          </cell>
          <cell r="C547" t="str">
            <v>Protensão e injeção cabo 12 cord. D=12,7mm FREYSS</v>
          </cell>
          <cell r="D547" t="str">
            <v>und</v>
          </cell>
        </row>
        <row r="548">
          <cell r="A548" t="str">
            <v>2 S 04 000 00</v>
          </cell>
          <cell r="B548" t="str">
            <v>-</v>
          </cell>
          <cell r="C548" t="str">
            <v>Escavação manual em material de 1a cat</v>
          </cell>
          <cell r="D548" t="str">
            <v>m³</v>
          </cell>
          <cell r="H548" t="str">
            <v>EC-D-02</v>
          </cell>
        </row>
        <row r="549">
          <cell r="A549" t="str">
            <v>2 S 04 000 01</v>
          </cell>
          <cell r="B549" t="str">
            <v>-</v>
          </cell>
          <cell r="C549" t="str">
            <v>Escavação manual reat.compact.mat.1a cat.</v>
          </cell>
          <cell r="D549" t="str">
            <v>m³</v>
          </cell>
          <cell r="H549" t="str">
            <v>EC-D-02</v>
          </cell>
        </row>
        <row r="550">
          <cell r="A550" t="str">
            <v>2 S 04 001 00</v>
          </cell>
          <cell r="B550" t="str">
            <v>-</v>
          </cell>
          <cell r="C550" t="str">
            <v>Escavação mecânica de vala em mat.1a cat.</v>
          </cell>
          <cell r="D550" t="str">
            <v>m³</v>
          </cell>
          <cell r="H550" t="str">
            <v>EC-D-01</v>
          </cell>
        </row>
        <row r="551">
          <cell r="A551" t="str">
            <v>2 S 04 001 01</v>
          </cell>
          <cell r="B551" t="str">
            <v>-</v>
          </cell>
          <cell r="C551" t="str">
            <v>Escavação mecânica reat. e comp. vala mat.1a cat.</v>
          </cell>
          <cell r="D551" t="str">
            <v>m³</v>
          </cell>
          <cell r="H551" t="str">
            <v>EC-D-03</v>
          </cell>
        </row>
        <row r="552">
          <cell r="A552" t="str">
            <v>2 S 04 002 01</v>
          </cell>
          <cell r="B552" t="str">
            <v>-</v>
          </cell>
          <cell r="C552" t="str">
            <v>Perfuração para dreno sub-horizontal mat. 1a cat.</v>
          </cell>
          <cell r="D552" t="str">
            <v>m</v>
          </cell>
        </row>
        <row r="553">
          <cell r="A553" t="str">
            <v>2 S 04 010 00</v>
          </cell>
          <cell r="B553" t="str">
            <v>-</v>
          </cell>
          <cell r="C553" t="str">
            <v>Escavação manual material 2a categoria</v>
          </cell>
          <cell r="D553" t="str">
            <v>m³</v>
          </cell>
          <cell r="H553" t="str">
            <v>EC-D-02</v>
          </cell>
        </row>
        <row r="554">
          <cell r="A554" t="str">
            <v>2 S 04 010 01</v>
          </cell>
          <cell r="B554" t="str">
            <v>-</v>
          </cell>
          <cell r="C554" t="str">
            <v>Escavação manual reat.compactação em mat.2a cat.</v>
          </cell>
          <cell r="D554" t="str">
            <v>m³</v>
          </cell>
          <cell r="H554" t="str">
            <v>EC-D-02</v>
          </cell>
        </row>
        <row r="555">
          <cell r="A555" t="str">
            <v>2 S 04 011 00</v>
          </cell>
          <cell r="B555" t="str">
            <v>-</v>
          </cell>
          <cell r="C555" t="str">
            <v>Escavação mecânica de vala em mat. 2a categoria</v>
          </cell>
          <cell r="D555" t="str">
            <v>m³</v>
          </cell>
          <cell r="H555" t="str">
            <v>EC-D-01</v>
          </cell>
        </row>
        <row r="556">
          <cell r="A556" t="str">
            <v>2 S 04 011 01</v>
          </cell>
          <cell r="B556" t="str">
            <v>-</v>
          </cell>
          <cell r="C556" t="str">
            <v>Escavação mecânica reat.compact. vala mat.2a cat.</v>
          </cell>
          <cell r="D556" t="str">
            <v>m³</v>
          </cell>
          <cell r="H556" t="str">
            <v>EC-D-03</v>
          </cell>
        </row>
        <row r="557">
          <cell r="A557" t="str">
            <v>2 S 04 012 01</v>
          </cell>
          <cell r="B557" t="str">
            <v>-</v>
          </cell>
          <cell r="C557" t="str">
            <v>Perfuração para dreno sub-horizontal mat 2a cat.</v>
          </cell>
          <cell r="D557" t="str">
            <v>m</v>
          </cell>
        </row>
        <row r="558">
          <cell r="A558" t="str">
            <v>2 S 04 020 00</v>
          </cell>
          <cell r="B558" t="str">
            <v>-</v>
          </cell>
          <cell r="C558" t="str">
            <v>Escavação em vala material de 3a categoria</v>
          </cell>
          <cell r="D558" t="str">
            <v>m³</v>
          </cell>
          <cell r="H558" t="str">
            <v>EC-D-02</v>
          </cell>
        </row>
        <row r="559">
          <cell r="A559" t="str">
            <v>2 S 04 100 01</v>
          </cell>
          <cell r="B559" t="str">
            <v>-</v>
          </cell>
          <cell r="C559" t="str">
            <v>Corpo BSTC D=0,60m</v>
          </cell>
          <cell r="D559" t="str">
            <v>m</v>
          </cell>
          <cell r="H559" t="str">
            <v>DNIT 023/2004-ES</v>
          </cell>
        </row>
        <row r="560">
          <cell r="A560" t="str">
            <v>2 S 04 100 02</v>
          </cell>
          <cell r="B560" t="str">
            <v>-</v>
          </cell>
          <cell r="C560" t="str">
            <v>Corpo BSTC D=0,80m</v>
          </cell>
          <cell r="D560" t="str">
            <v>m</v>
          </cell>
          <cell r="H560" t="str">
            <v>DNIT 023/2004-ES</v>
          </cell>
        </row>
        <row r="561">
          <cell r="A561" t="str">
            <v>2 S 04 100 03</v>
          </cell>
          <cell r="B561" t="str">
            <v>-</v>
          </cell>
          <cell r="C561" t="str">
            <v>Corpo BSTC D=1,00m</v>
          </cell>
          <cell r="D561" t="str">
            <v>m</v>
          </cell>
          <cell r="H561" t="str">
            <v>DNIT 023/2004-ES</v>
          </cell>
        </row>
        <row r="562">
          <cell r="A562" t="str">
            <v>2 S 04 100 04</v>
          </cell>
          <cell r="B562" t="str">
            <v>-</v>
          </cell>
          <cell r="C562" t="str">
            <v>Corpo BSTC D=1,20m</v>
          </cell>
          <cell r="D562" t="str">
            <v>m</v>
          </cell>
          <cell r="H562" t="str">
            <v>DNIT 023/2004-ES</v>
          </cell>
        </row>
        <row r="563">
          <cell r="A563" t="str">
            <v>2 S 04 100 05</v>
          </cell>
          <cell r="B563" t="str">
            <v>-</v>
          </cell>
          <cell r="C563" t="str">
            <v>Corpo BSTC D=1,50m</v>
          </cell>
          <cell r="D563" t="str">
            <v>m</v>
          </cell>
          <cell r="H563" t="str">
            <v>DNIT 023/2004-ES</v>
          </cell>
        </row>
        <row r="564">
          <cell r="A564" t="str">
            <v>2 S 04 100 51</v>
          </cell>
          <cell r="B564" t="str">
            <v>-</v>
          </cell>
          <cell r="C564" t="str">
            <v>Corpo BSTC D=0,60 m AC/BC/PC</v>
          </cell>
          <cell r="D564" t="str">
            <v>m</v>
          </cell>
          <cell r="H564" t="str">
            <v>DNIT 023/2004-ES</v>
          </cell>
        </row>
        <row r="565">
          <cell r="A565" t="str">
            <v>2 S 04 100 52</v>
          </cell>
          <cell r="B565" t="str">
            <v>-</v>
          </cell>
          <cell r="C565" t="str">
            <v>Corpo BSTC D=0,80 m AC/BC/PC</v>
          </cell>
          <cell r="D565" t="str">
            <v>m</v>
          </cell>
          <cell r="H565" t="str">
            <v>DNIT 023/2004-ES</v>
          </cell>
        </row>
        <row r="566">
          <cell r="A566" t="str">
            <v>2 S 04 100 53</v>
          </cell>
          <cell r="B566" t="str">
            <v>-</v>
          </cell>
          <cell r="C566" t="str">
            <v>Corpo BSTC D=1,00 m AC/BC/PC</v>
          </cell>
          <cell r="D566" t="str">
            <v>m</v>
          </cell>
          <cell r="H566" t="str">
            <v>DNIT 023/2004-ES</v>
          </cell>
        </row>
        <row r="567">
          <cell r="A567" t="str">
            <v>2 S 04 100 54</v>
          </cell>
          <cell r="B567" t="str">
            <v>-</v>
          </cell>
          <cell r="C567" t="str">
            <v>Corpo BSTC D=1,20 m AC/BC/PC</v>
          </cell>
          <cell r="D567" t="str">
            <v>m</v>
          </cell>
          <cell r="H567" t="str">
            <v>DNIT 023/2004-ES</v>
          </cell>
        </row>
        <row r="568">
          <cell r="A568" t="str">
            <v>2 S 04 100 55</v>
          </cell>
          <cell r="B568" t="str">
            <v>-</v>
          </cell>
          <cell r="C568" t="str">
            <v>Corpo BSTC D=1,50 m AC/BC/PC</v>
          </cell>
          <cell r="D568" t="str">
            <v>m</v>
          </cell>
          <cell r="H568" t="str">
            <v>DNIT 023/2004-ES</v>
          </cell>
        </row>
        <row r="569">
          <cell r="A569" t="str">
            <v>2 S 04 101 01</v>
          </cell>
          <cell r="B569" t="str">
            <v>-</v>
          </cell>
          <cell r="C569" t="str">
            <v>Boca BSTC D=0,60 m normal</v>
          </cell>
          <cell r="D569" t="str">
            <v>und</v>
          </cell>
          <cell r="H569" t="str">
            <v>DNIT 023/2004-ES</v>
          </cell>
        </row>
        <row r="570">
          <cell r="A570" t="str">
            <v>2 S 04 101 02</v>
          </cell>
          <cell r="B570" t="str">
            <v>-</v>
          </cell>
          <cell r="C570" t="str">
            <v>Boca BSTC D=0,80m normal</v>
          </cell>
          <cell r="D570" t="str">
            <v>und</v>
          </cell>
          <cell r="H570" t="str">
            <v>DNIT 023/2004-ES</v>
          </cell>
        </row>
        <row r="571">
          <cell r="A571" t="str">
            <v>2 S 04 101 03</v>
          </cell>
          <cell r="B571" t="str">
            <v>-</v>
          </cell>
          <cell r="C571" t="str">
            <v>Boca BSTC D=1,00m normal</v>
          </cell>
          <cell r="D571" t="str">
            <v>und</v>
          </cell>
          <cell r="H571" t="str">
            <v>DNIT 023/2004-ES</v>
          </cell>
        </row>
        <row r="572">
          <cell r="A572" t="str">
            <v>2 S 04 101 04</v>
          </cell>
          <cell r="B572" t="str">
            <v>-</v>
          </cell>
          <cell r="C572" t="str">
            <v>Boca BSTC D=1,20m normal</v>
          </cell>
          <cell r="D572" t="str">
            <v>und</v>
          </cell>
          <cell r="H572" t="str">
            <v>DNIT 023/2004-ES</v>
          </cell>
        </row>
        <row r="573">
          <cell r="A573" t="str">
            <v>2 S 04 101 05</v>
          </cell>
          <cell r="B573" t="str">
            <v>-</v>
          </cell>
          <cell r="C573" t="str">
            <v>Boca BSTC D=1,50m normal</v>
          </cell>
          <cell r="D573" t="str">
            <v>und</v>
          </cell>
          <cell r="H573" t="str">
            <v>DNIT 023/2004-ES</v>
          </cell>
        </row>
        <row r="574">
          <cell r="A574" t="str">
            <v>2 S 04 101 06</v>
          </cell>
          <cell r="B574" t="str">
            <v>-</v>
          </cell>
          <cell r="C574" t="str">
            <v>Boca BSTC D=0,60m - esc.=15</v>
          </cell>
          <cell r="D574" t="str">
            <v>und</v>
          </cell>
          <cell r="H574" t="str">
            <v>DNIT 023/2004-ES</v>
          </cell>
        </row>
        <row r="575">
          <cell r="A575" t="str">
            <v>2 S 04 101 07</v>
          </cell>
          <cell r="B575" t="str">
            <v>-</v>
          </cell>
          <cell r="C575" t="str">
            <v>Boca BSTC D=0,80 m - esc.=15</v>
          </cell>
          <cell r="D575" t="str">
            <v>und</v>
          </cell>
          <cell r="H575" t="str">
            <v>DNIT 023/2004-ES</v>
          </cell>
        </row>
        <row r="576">
          <cell r="A576" t="str">
            <v>2 S 04 101 08</v>
          </cell>
          <cell r="B576" t="str">
            <v>-</v>
          </cell>
          <cell r="C576" t="str">
            <v>Boca BSTC D=1,00 m - esc.=15</v>
          </cell>
          <cell r="D576" t="str">
            <v>und</v>
          </cell>
          <cell r="H576" t="str">
            <v>DNIT 023/2004-ES</v>
          </cell>
        </row>
        <row r="577">
          <cell r="A577" t="str">
            <v>2 S 04 101 09</v>
          </cell>
          <cell r="B577" t="str">
            <v>-</v>
          </cell>
          <cell r="C577" t="str">
            <v>Boca BSTC D=1,20 m - esc.=15</v>
          </cell>
          <cell r="D577" t="str">
            <v>und</v>
          </cell>
          <cell r="H577" t="str">
            <v>DNIT 023/2004-ES</v>
          </cell>
        </row>
        <row r="578">
          <cell r="A578" t="str">
            <v>2 S 04 101 10</v>
          </cell>
          <cell r="B578" t="str">
            <v>-</v>
          </cell>
          <cell r="C578" t="str">
            <v>Boca BSTC D=1,50 m - esc.=15</v>
          </cell>
          <cell r="D578" t="str">
            <v>und</v>
          </cell>
          <cell r="H578" t="str">
            <v>DNIT 023/2004-ES</v>
          </cell>
        </row>
        <row r="579">
          <cell r="A579" t="str">
            <v>2 S 04 101 11</v>
          </cell>
          <cell r="B579" t="str">
            <v>-</v>
          </cell>
          <cell r="C579" t="str">
            <v>Boca BSTC D=0,60 m - esc.=30</v>
          </cell>
          <cell r="D579" t="str">
            <v>und</v>
          </cell>
          <cell r="H579" t="str">
            <v>DNIT 023/2004-ES</v>
          </cell>
        </row>
        <row r="580">
          <cell r="A580" t="str">
            <v>2 S 04 101 12</v>
          </cell>
          <cell r="B580" t="str">
            <v>-</v>
          </cell>
          <cell r="C580" t="str">
            <v>Boca BSTC D=0,80 m - esc.=30</v>
          </cell>
          <cell r="D580" t="str">
            <v>und</v>
          </cell>
          <cell r="H580" t="str">
            <v>DNIT 023/2004-ES</v>
          </cell>
        </row>
        <row r="581">
          <cell r="A581" t="str">
            <v>2 S 04 101 13</v>
          </cell>
          <cell r="B581" t="str">
            <v>-</v>
          </cell>
          <cell r="C581" t="str">
            <v>Boca BSTC D=1,00 m - esc.=30</v>
          </cell>
          <cell r="D581" t="str">
            <v>und</v>
          </cell>
          <cell r="H581" t="str">
            <v>DNIT 023/2004-ES</v>
          </cell>
        </row>
        <row r="582">
          <cell r="A582" t="str">
            <v>2 S 04 101 14</v>
          </cell>
          <cell r="B582" t="str">
            <v>-</v>
          </cell>
          <cell r="C582" t="str">
            <v>Boca BSTC D=1,20 m - esc.=30</v>
          </cell>
          <cell r="D582" t="str">
            <v>und</v>
          </cell>
          <cell r="H582" t="str">
            <v>DNIT 023/2004-ES</v>
          </cell>
        </row>
        <row r="583">
          <cell r="A583" t="str">
            <v>2 S 04 101 15</v>
          </cell>
          <cell r="B583" t="str">
            <v>-</v>
          </cell>
          <cell r="C583" t="str">
            <v>Boca BSTC D=1,50 m - esc.=30</v>
          </cell>
          <cell r="D583" t="str">
            <v>und</v>
          </cell>
          <cell r="H583" t="str">
            <v>DNIT 023/2004-ES</v>
          </cell>
        </row>
        <row r="584">
          <cell r="A584" t="str">
            <v>2 S 04 101 16</v>
          </cell>
          <cell r="B584" t="str">
            <v>-</v>
          </cell>
          <cell r="C584" t="str">
            <v>Boca BSTC D=0,60 m - esc.=45</v>
          </cell>
          <cell r="D584" t="str">
            <v>und</v>
          </cell>
          <cell r="H584" t="str">
            <v>DNIT 023/2004-ES</v>
          </cell>
        </row>
        <row r="585">
          <cell r="A585" t="str">
            <v>2 S 04 101 17</v>
          </cell>
          <cell r="B585" t="str">
            <v>-</v>
          </cell>
          <cell r="C585" t="str">
            <v>Boca BSTC D=0,80 m - esc.=45</v>
          </cell>
          <cell r="D585" t="str">
            <v>und</v>
          </cell>
          <cell r="H585" t="str">
            <v>DNIT 023/2004-ES</v>
          </cell>
        </row>
        <row r="586">
          <cell r="A586" t="str">
            <v>2 S 04 101 18</v>
          </cell>
          <cell r="B586" t="str">
            <v>-</v>
          </cell>
          <cell r="C586" t="str">
            <v>Boca BSTC D=1,00 m - esc.=45</v>
          </cell>
          <cell r="D586" t="str">
            <v>und</v>
          </cell>
          <cell r="H586" t="str">
            <v>DNIT 023/2004-ES</v>
          </cell>
        </row>
        <row r="587">
          <cell r="A587" t="str">
            <v>2 S 04 101 19</v>
          </cell>
          <cell r="B587" t="str">
            <v>-</v>
          </cell>
          <cell r="C587" t="str">
            <v>Boca BSTC D=1,20 m - esc.=45</v>
          </cell>
          <cell r="D587" t="str">
            <v>und</v>
          </cell>
          <cell r="H587" t="str">
            <v>DNIT 023/2004-ES</v>
          </cell>
        </row>
        <row r="588">
          <cell r="A588" t="str">
            <v>2 S 04 101 20</v>
          </cell>
          <cell r="B588" t="str">
            <v>-</v>
          </cell>
          <cell r="C588" t="str">
            <v>Boca BSTC D=1,50 m - esc.=45</v>
          </cell>
          <cell r="D588" t="str">
            <v>und</v>
          </cell>
          <cell r="H588" t="str">
            <v>DNIT 023/2004-ES</v>
          </cell>
        </row>
        <row r="589">
          <cell r="A589" t="str">
            <v>2 S 04 101 51</v>
          </cell>
          <cell r="B589" t="str">
            <v>-</v>
          </cell>
          <cell r="C589" t="str">
            <v>Boca BSTC D=0,60 m normal AC/BC/PC</v>
          </cell>
          <cell r="D589" t="str">
            <v>und</v>
          </cell>
          <cell r="H589" t="str">
            <v>DNIT 023/2004-ES</v>
          </cell>
        </row>
        <row r="590">
          <cell r="A590" t="str">
            <v>2 S 04 101 52</v>
          </cell>
          <cell r="B590" t="str">
            <v>-</v>
          </cell>
          <cell r="C590" t="str">
            <v>Boca BSTC D=0,80 m normal AC/BC/PC</v>
          </cell>
          <cell r="D590" t="str">
            <v>und</v>
          </cell>
          <cell r="H590" t="str">
            <v>DNIT 023/2004-ES</v>
          </cell>
        </row>
        <row r="591">
          <cell r="A591" t="str">
            <v>2 S 04 101 53</v>
          </cell>
          <cell r="B591" t="str">
            <v>-</v>
          </cell>
          <cell r="C591" t="str">
            <v>Boca BSTC D=1,00 m normal AC/BC/PC</v>
          </cell>
          <cell r="D591" t="str">
            <v>und</v>
          </cell>
          <cell r="H591" t="str">
            <v>DNIT 023/2004-ES</v>
          </cell>
        </row>
        <row r="592">
          <cell r="A592" t="str">
            <v>2 S 04 101 54</v>
          </cell>
          <cell r="B592" t="str">
            <v>-</v>
          </cell>
          <cell r="C592" t="str">
            <v>Boca BSTC D=1,20 m normal AC/BC/PC</v>
          </cell>
          <cell r="D592" t="str">
            <v>und</v>
          </cell>
          <cell r="H592" t="str">
            <v>DNIT 023/2004-ES</v>
          </cell>
        </row>
        <row r="593">
          <cell r="A593" t="str">
            <v>2 S 04 101 55</v>
          </cell>
          <cell r="B593" t="str">
            <v>-</v>
          </cell>
          <cell r="C593" t="str">
            <v>Boca BSTC D=1,50 m normal AC/BC/PC</v>
          </cell>
          <cell r="D593" t="str">
            <v>und</v>
          </cell>
          <cell r="H593" t="str">
            <v>DNIT 023/2004-ES</v>
          </cell>
        </row>
        <row r="594">
          <cell r="A594" t="str">
            <v>2 S 04 101 56</v>
          </cell>
          <cell r="B594" t="str">
            <v>-</v>
          </cell>
          <cell r="C594" t="str">
            <v>Boca BSTC D=0,60 m - esc=15 AC/BC/PC</v>
          </cell>
          <cell r="D594" t="str">
            <v>und</v>
          </cell>
          <cell r="H594" t="str">
            <v>DNIT 023/2004-ES</v>
          </cell>
        </row>
        <row r="595">
          <cell r="A595" t="str">
            <v>2 S 04 101 57</v>
          </cell>
          <cell r="B595" t="str">
            <v>-</v>
          </cell>
          <cell r="C595" t="str">
            <v>Boca BSTC D=0,80 m - esc=15 AC/BC/PC</v>
          </cell>
          <cell r="D595" t="str">
            <v>und</v>
          </cell>
          <cell r="H595" t="str">
            <v>DNIT 023/2004-ES</v>
          </cell>
        </row>
        <row r="596">
          <cell r="A596" t="str">
            <v>2 S 04 101 58</v>
          </cell>
          <cell r="B596" t="str">
            <v>-</v>
          </cell>
          <cell r="C596" t="str">
            <v>Boca BSTC D=1,00 m - esc=15 AC/BC/PC</v>
          </cell>
          <cell r="D596" t="str">
            <v>und</v>
          </cell>
          <cell r="H596" t="str">
            <v>DNIT 023/2004-ES</v>
          </cell>
        </row>
        <row r="597">
          <cell r="A597" t="str">
            <v>2 S 04 101 59</v>
          </cell>
          <cell r="B597" t="str">
            <v>-</v>
          </cell>
          <cell r="C597" t="str">
            <v>Boca BSTC D=1,20 m - esc=15 AC/BC/PC</v>
          </cell>
          <cell r="D597" t="str">
            <v>und</v>
          </cell>
          <cell r="H597" t="str">
            <v>DNIT 023/2004-ES</v>
          </cell>
        </row>
        <row r="598">
          <cell r="A598" t="str">
            <v>2 S 04 101 60</v>
          </cell>
          <cell r="B598" t="str">
            <v>-</v>
          </cell>
          <cell r="C598" t="str">
            <v>Boca BSTC D=1,50 m - esc=15 AC/BC/PC</v>
          </cell>
          <cell r="D598" t="str">
            <v>und</v>
          </cell>
          <cell r="H598" t="str">
            <v>DNIT 023/2004-ES</v>
          </cell>
        </row>
        <row r="599">
          <cell r="A599" t="str">
            <v>2 S 04 101 61</v>
          </cell>
          <cell r="B599" t="str">
            <v>-</v>
          </cell>
          <cell r="C599" t="str">
            <v>Boca BSTC D=0,60 m - esc=30 AC/BC/PC</v>
          </cell>
          <cell r="D599" t="str">
            <v>und</v>
          </cell>
          <cell r="H599" t="str">
            <v>DNIT 023/2004-ES</v>
          </cell>
        </row>
        <row r="600">
          <cell r="A600" t="str">
            <v>2 S 04 101 62</v>
          </cell>
          <cell r="B600" t="str">
            <v>-</v>
          </cell>
          <cell r="C600" t="str">
            <v>Boca BSTC D=0,80 m - esc=30 AC/BC/PC</v>
          </cell>
          <cell r="D600" t="str">
            <v>und</v>
          </cell>
          <cell r="H600" t="str">
            <v>DNIT 023/2004-ES</v>
          </cell>
        </row>
        <row r="601">
          <cell r="A601" t="str">
            <v>2 S 04 101 63</v>
          </cell>
          <cell r="B601" t="str">
            <v>-</v>
          </cell>
          <cell r="C601" t="str">
            <v>Boca BSTC D=1,00 m - esc=30 AC/BC/PC</v>
          </cell>
          <cell r="D601" t="str">
            <v>und</v>
          </cell>
          <cell r="H601" t="str">
            <v>DNIT 023/2004-ES</v>
          </cell>
        </row>
        <row r="602">
          <cell r="A602" t="str">
            <v>2 S 04 101 64</v>
          </cell>
          <cell r="B602" t="str">
            <v>-</v>
          </cell>
          <cell r="C602" t="str">
            <v>Boca BSTC D=1,20 m - esc=30 AC/BC/PC</v>
          </cell>
          <cell r="D602" t="str">
            <v>und</v>
          </cell>
          <cell r="H602" t="str">
            <v>DNIT 023/2004-ES</v>
          </cell>
        </row>
        <row r="603">
          <cell r="A603" t="str">
            <v>2 S 04 101 65</v>
          </cell>
          <cell r="B603" t="str">
            <v>-</v>
          </cell>
          <cell r="C603" t="str">
            <v>Boca BSTC D=1,50 m - esc=30 AC/BC/PC</v>
          </cell>
          <cell r="D603" t="str">
            <v>und</v>
          </cell>
          <cell r="H603" t="str">
            <v>DNIT 023/2004-ES</v>
          </cell>
        </row>
        <row r="604">
          <cell r="A604" t="str">
            <v>2 S 04 101 66</v>
          </cell>
          <cell r="B604" t="str">
            <v>-</v>
          </cell>
          <cell r="C604" t="str">
            <v>Boca BSTC D=0,60 m - esc=45 AC/BC/PC</v>
          </cell>
          <cell r="D604" t="str">
            <v>und</v>
          </cell>
          <cell r="H604" t="str">
            <v>DNIT 023/2004-ES</v>
          </cell>
        </row>
        <row r="605">
          <cell r="A605" t="str">
            <v>2 S 04 101 67</v>
          </cell>
          <cell r="B605" t="str">
            <v>-</v>
          </cell>
          <cell r="C605" t="str">
            <v>Boca BSTC D=0,80 m - esc=45 AC/BC/PC</v>
          </cell>
          <cell r="D605" t="str">
            <v>und</v>
          </cell>
          <cell r="H605" t="str">
            <v>DNIT 023/2004-ES</v>
          </cell>
        </row>
        <row r="606">
          <cell r="A606" t="str">
            <v>2 S 04 101 68</v>
          </cell>
          <cell r="B606" t="str">
            <v>-</v>
          </cell>
          <cell r="C606" t="str">
            <v>Boca BSTC D=1,00 m - esc=45 AC/BC/PC</v>
          </cell>
          <cell r="D606" t="str">
            <v>und</v>
          </cell>
          <cell r="H606" t="str">
            <v>DNIT 023/2004-ES</v>
          </cell>
        </row>
        <row r="607">
          <cell r="A607" t="str">
            <v>2 S 04 101 69</v>
          </cell>
          <cell r="B607" t="str">
            <v>-</v>
          </cell>
          <cell r="C607" t="str">
            <v>Boca BSTC D=1,20 m - esc=45 AC/BC/PC</v>
          </cell>
          <cell r="D607" t="str">
            <v>und</v>
          </cell>
          <cell r="H607" t="str">
            <v>DNIT 023/2004-ES</v>
          </cell>
        </row>
        <row r="608">
          <cell r="A608" t="str">
            <v>2 S 04 101 70</v>
          </cell>
          <cell r="B608" t="str">
            <v>-</v>
          </cell>
          <cell r="C608" t="str">
            <v>Boca BSTC D=1,50 m - esc=45 AC/BC/PC</v>
          </cell>
          <cell r="D608" t="str">
            <v>und</v>
          </cell>
          <cell r="H608" t="str">
            <v>DNIT 023/2004-ES</v>
          </cell>
        </row>
        <row r="609">
          <cell r="A609" t="str">
            <v>2 S 04 110 01</v>
          </cell>
          <cell r="B609" t="str">
            <v>-</v>
          </cell>
          <cell r="C609" t="str">
            <v>Corpo BDTC D=1,00m</v>
          </cell>
          <cell r="D609" t="str">
            <v>m</v>
          </cell>
          <cell r="H609" t="str">
            <v>DNIT 023/2004-ES</v>
          </cell>
        </row>
        <row r="610">
          <cell r="A610" t="str">
            <v>2 S 04 110 02</v>
          </cell>
          <cell r="B610" t="str">
            <v>-</v>
          </cell>
          <cell r="C610" t="str">
            <v>Corpo BDTC D=1,20m</v>
          </cell>
          <cell r="D610" t="str">
            <v>m</v>
          </cell>
          <cell r="H610" t="str">
            <v>DNIT 023/2004-ES</v>
          </cell>
        </row>
        <row r="611">
          <cell r="A611" t="str">
            <v>2 S 04 110 03</v>
          </cell>
          <cell r="B611" t="str">
            <v>-</v>
          </cell>
          <cell r="C611" t="str">
            <v>Corpo BDTC D=1,50m</v>
          </cell>
          <cell r="D611" t="str">
            <v>m</v>
          </cell>
          <cell r="H611" t="str">
            <v>DNIT 023/2004-ES</v>
          </cell>
        </row>
        <row r="612">
          <cell r="A612" t="str">
            <v>2 S 04 110 51</v>
          </cell>
          <cell r="B612" t="str">
            <v>-</v>
          </cell>
          <cell r="C612" t="str">
            <v>Corpo BDTC D=1,00 m AC/BC/PC</v>
          </cell>
          <cell r="D612" t="str">
            <v>m</v>
          </cell>
          <cell r="H612" t="str">
            <v>DNIT 023/2004-ES</v>
          </cell>
        </row>
        <row r="613">
          <cell r="A613" t="str">
            <v>2 S 04 110 52</v>
          </cell>
          <cell r="B613" t="str">
            <v>-</v>
          </cell>
          <cell r="C613" t="str">
            <v>Corpo BDTC D=1,20 m AC/BC/PC</v>
          </cell>
          <cell r="D613" t="str">
            <v>m</v>
          </cell>
          <cell r="H613" t="str">
            <v>DNIT 023/2004-ES</v>
          </cell>
        </row>
        <row r="614">
          <cell r="A614" t="str">
            <v>2 S 04 110 53</v>
          </cell>
          <cell r="B614" t="str">
            <v>-</v>
          </cell>
          <cell r="C614" t="str">
            <v>Corpo BDTC D=1,50 m AC/BC/PC</v>
          </cell>
          <cell r="D614" t="str">
            <v>m</v>
          </cell>
          <cell r="H614" t="str">
            <v>DNIT 023/2004-ES</v>
          </cell>
        </row>
        <row r="615">
          <cell r="A615" t="str">
            <v>2 S 04 111 01</v>
          </cell>
          <cell r="B615" t="str">
            <v>-</v>
          </cell>
          <cell r="C615" t="str">
            <v>Boca BDTC D=1,00m normal</v>
          </cell>
          <cell r="D615" t="str">
            <v>und</v>
          </cell>
          <cell r="H615" t="str">
            <v>DNIT 023/2004-ES</v>
          </cell>
        </row>
        <row r="616">
          <cell r="A616" t="str">
            <v>2 S 04 111 02</v>
          </cell>
          <cell r="B616" t="str">
            <v>-</v>
          </cell>
          <cell r="C616" t="str">
            <v>Boca BDTC D=1,20m normal</v>
          </cell>
          <cell r="D616" t="str">
            <v>und</v>
          </cell>
          <cell r="H616" t="str">
            <v>DNIT 023/2004-ES</v>
          </cell>
        </row>
        <row r="617">
          <cell r="A617" t="str">
            <v>2 S 04 111 03</v>
          </cell>
          <cell r="B617" t="str">
            <v>-</v>
          </cell>
          <cell r="C617" t="str">
            <v>Boca BDTC D=1,50m normal</v>
          </cell>
          <cell r="D617" t="str">
            <v>und</v>
          </cell>
          <cell r="H617" t="str">
            <v>DNIT 023/2004-ES</v>
          </cell>
        </row>
        <row r="618">
          <cell r="A618" t="str">
            <v>2 S 04 111 05</v>
          </cell>
          <cell r="B618" t="str">
            <v>-</v>
          </cell>
          <cell r="C618" t="str">
            <v>Boca BDTC D=1,00 m - esc.=15</v>
          </cell>
          <cell r="D618" t="str">
            <v>und</v>
          </cell>
          <cell r="H618" t="str">
            <v>DNIT 023/2004-ES</v>
          </cell>
        </row>
        <row r="619">
          <cell r="A619" t="str">
            <v>2 S 04 111 06</v>
          </cell>
          <cell r="B619" t="str">
            <v>-</v>
          </cell>
          <cell r="C619" t="str">
            <v>Boca BDTC D=1,20 m - esc.=15</v>
          </cell>
          <cell r="D619" t="str">
            <v>und</v>
          </cell>
          <cell r="H619" t="str">
            <v>DNIT 023/2004-ES</v>
          </cell>
        </row>
        <row r="620">
          <cell r="A620" t="str">
            <v>2 S 04 111 07</v>
          </cell>
          <cell r="B620" t="str">
            <v>-</v>
          </cell>
          <cell r="C620" t="str">
            <v>Boca BDTC D=1,50 m - esc.=15</v>
          </cell>
          <cell r="D620" t="str">
            <v>und</v>
          </cell>
          <cell r="H620" t="str">
            <v>DNIT 023/2004-ES</v>
          </cell>
        </row>
        <row r="621">
          <cell r="A621" t="str">
            <v>2 S 04 111 08</v>
          </cell>
          <cell r="B621" t="str">
            <v>-</v>
          </cell>
          <cell r="C621" t="str">
            <v>Boca BDTC D=1,00 - esc.=30</v>
          </cell>
          <cell r="D621" t="str">
            <v>und</v>
          </cell>
          <cell r="H621" t="str">
            <v>DNIT 023/2004-ES</v>
          </cell>
        </row>
        <row r="622">
          <cell r="A622" t="str">
            <v>2 S 04 111 09</v>
          </cell>
          <cell r="B622" t="str">
            <v>-</v>
          </cell>
          <cell r="C622" t="str">
            <v>Boca BDTC D=1,20 m - esc.=30</v>
          </cell>
          <cell r="D622" t="str">
            <v>und</v>
          </cell>
          <cell r="H622" t="str">
            <v>DNIT 023/2004-ES</v>
          </cell>
        </row>
        <row r="623">
          <cell r="A623" t="str">
            <v>2 S 04 111 10</v>
          </cell>
          <cell r="B623" t="str">
            <v>-</v>
          </cell>
          <cell r="C623" t="str">
            <v>Boca BDTC D=1,50 m - esc.=30</v>
          </cell>
          <cell r="D623" t="str">
            <v>und</v>
          </cell>
          <cell r="H623" t="str">
            <v>DNIT 023/2004-ES</v>
          </cell>
        </row>
        <row r="624">
          <cell r="A624" t="str">
            <v>2 S 04 111 11</v>
          </cell>
          <cell r="B624" t="str">
            <v>-</v>
          </cell>
          <cell r="C624" t="str">
            <v>Boca BDTC D=1,00 m - esc.=45</v>
          </cell>
          <cell r="D624" t="str">
            <v>und</v>
          </cell>
          <cell r="H624" t="str">
            <v>DNIT 023/2004-ES</v>
          </cell>
        </row>
        <row r="625">
          <cell r="A625" t="str">
            <v>2 S 04 111 12</v>
          </cell>
          <cell r="B625" t="str">
            <v>-</v>
          </cell>
          <cell r="C625" t="str">
            <v>Boca BDTC D=1,20 m - esc.=45</v>
          </cell>
          <cell r="D625" t="str">
            <v>und</v>
          </cell>
          <cell r="H625" t="str">
            <v>DNIT 023/2004-ES</v>
          </cell>
        </row>
        <row r="626">
          <cell r="A626" t="str">
            <v>2 S 04 111 13</v>
          </cell>
          <cell r="B626" t="str">
            <v>-</v>
          </cell>
          <cell r="C626" t="str">
            <v>Boca BDTC D=1,50 m - esc.=45</v>
          </cell>
          <cell r="D626" t="str">
            <v>und</v>
          </cell>
          <cell r="H626" t="str">
            <v>DNIT 023/2004-ES</v>
          </cell>
        </row>
        <row r="627">
          <cell r="A627" t="str">
            <v>2 S 04 111 51</v>
          </cell>
          <cell r="B627" t="str">
            <v>-</v>
          </cell>
          <cell r="C627" t="str">
            <v>Boca BDTC D=1,00 m normal AC/BC/PC</v>
          </cell>
          <cell r="D627" t="str">
            <v>und</v>
          </cell>
          <cell r="H627" t="str">
            <v>DNIT 023/2004-ES</v>
          </cell>
        </row>
        <row r="628">
          <cell r="A628" t="str">
            <v>2 S 04 111 52</v>
          </cell>
          <cell r="B628" t="str">
            <v>-</v>
          </cell>
          <cell r="C628" t="str">
            <v>Boca BDTC D=1,20 m normal AC/BC/PC</v>
          </cell>
          <cell r="D628" t="str">
            <v>und</v>
          </cell>
          <cell r="H628" t="str">
            <v>DNIT 023/2004-ES</v>
          </cell>
        </row>
        <row r="629">
          <cell r="A629" t="str">
            <v>2 S 04 111 53</v>
          </cell>
          <cell r="B629" t="str">
            <v>-</v>
          </cell>
          <cell r="C629" t="str">
            <v>Boca BDTC D=1,50 m normal AC/BC/PC</v>
          </cell>
          <cell r="D629" t="str">
            <v>und</v>
          </cell>
          <cell r="H629" t="str">
            <v>DNIT 023/2004-ES</v>
          </cell>
        </row>
        <row r="630">
          <cell r="A630" t="str">
            <v>2 S 04 111 55</v>
          </cell>
          <cell r="B630" t="str">
            <v>-</v>
          </cell>
          <cell r="C630" t="str">
            <v>Boca BDTC D=1,00 m - esc=15 AC/BC/PC</v>
          </cell>
          <cell r="D630" t="str">
            <v>und</v>
          </cell>
          <cell r="H630" t="str">
            <v>DNIT 023/2004-ES</v>
          </cell>
        </row>
        <row r="631">
          <cell r="A631" t="str">
            <v>2 S 04 111 56</v>
          </cell>
          <cell r="B631" t="str">
            <v>-</v>
          </cell>
          <cell r="C631" t="str">
            <v>Boca BDTC D=1,20 m - esc=15 AC/BC/PC</v>
          </cell>
          <cell r="D631" t="str">
            <v>und</v>
          </cell>
          <cell r="H631" t="str">
            <v>DNIT 023/2004-ES</v>
          </cell>
        </row>
        <row r="632">
          <cell r="A632" t="str">
            <v>2 S 04 111 57</v>
          </cell>
          <cell r="B632" t="str">
            <v>-</v>
          </cell>
          <cell r="C632" t="str">
            <v>Boca BDTC D=1,50 m - esc=15 AC/BC/PC</v>
          </cell>
          <cell r="D632" t="str">
            <v>und</v>
          </cell>
          <cell r="H632" t="str">
            <v>DNIT 023/2004-ES</v>
          </cell>
        </row>
        <row r="633">
          <cell r="A633" t="str">
            <v>2 S 04 111 58</v>
          </cell>
          <cell r="B633" t="str">
            <v>-</v>
          </cell>
          <cell r="C633" t="str">
            <v>Boca BDTC D=1,00 m - esc=30 AC/BC/PC</v>
          </cell>
          <cell r="D633" t="str">
            <v>und</v>
          </cell>
          <cell r="H633" t="str">
            <v>DNIT 023/2004-ES</v>
          </cell>
        </row>
        <row r="634">
          <cell r="A634" t="str">
            <v>2 S 04 111 59</v>
          </cell>
          <cell r="B634" t="str">
            <v>-</v>
          </cell>
          <cell r="C634" t="str">
            <v>Boca BDTC D=1,20 m - esc=30 AC/BC/PC</v>
          </cell>
          <cell r="D634" t="str">
            <v>und</v>
          </cell>
          <cell r="H634" t="str">
            <v>DNIT 023/2004-ES</v>
          </cell>
        </row>
        <row r="635">
          <cell r="A635" t="str">
            <v>2 S 04 111 60</v>
          </cell>
          <cell r="B635" t="str">
            <v>-</v>
          </cell>
          <cell r="C635" t="str">
            <v>Boca BDTC D=1,50 m - esc=30 AC/BC/PC</v>
          </cell>
          <cell r="D635" t="str">
            <v>und</v>
          </cell>
          <cell r="H635" t="str">
            <v>DNIT 023/2004-ES</v>
          </cell>
        </row>
        <row r="636">
          <cell r="A636" t="str">
            <v>2 S 04 111 61</v>
          </cell>
          <cell r="B636" t="str">
            <v>-</v>
          </cell>
          <cell r="C636" t="str">
            <v>Boca BDTC D=1,00 m - esc=45 AC/BC/PC</v>
          </cell>
          <cell r="D636" t="str">
            <v>und</v>
          </cell>
          <cell r="H636" t="str">
            <v>DNIT 023/2004-ES</v>
          </cell>
        </row>
        <row r="637">
          <cell r="A637" t="str">
            <v>2 S 04 111 62</v>
          </cell>
          <cell r="B637" t="str">
            <v>-</v>
          </cell>
          <cell r="C637" t="str">
            <v>Boca BDTC D=1,20 m - esc=45 AC/BC/PC</v>
          </cell>
          <cell r="D637" t="str">
            <v>und</v>
          </cell>
          <cell r="H637" t="str">
            <v>DNIT 023/2004-ES</v>
          </cell>
        </row>
        <row r="638">
          <cell r="A638" t="str">
            <v>2 S 04 111 63</v>
          </cell>
          <cell r="B638" t="str">
            <v>-</v>
          </cell>
          <cell r="C638" t="str">
            <v>Boca BDTC D=1,50 m - esc=45 AC/BC/PC</v>
          </cell>
          <cell r="D638" t="str">
            <v>und</v>
          </cell>
          <cell r="H638" t="str">
            <v>DNIT 023/2004-ES</v>
          </cell>
        </row>
        <row r="639">
          <cell r="A639" t="str">
            <v>2 S 04 120 01</v>
          </cell>
          <cell r="B639" t="str">
            <v>-</v>
          </cell>
          <cell r="C639" t="str">
            <v>Corpo BTTC D=1,00m</v>
          </cell>
          <cell r="D639" t="str">
            <v>m</v>
          </cell>
          <cell r="H639" t="str">
            <v>DNIT 023/2004-ES</v>
          </cell>
        </row>
        <row r="640">
          <cell r="A640" t="str">
            <v>2 S 04 120 02</v>
          </cell>
          <cell r="B640" t="str">
            <v>-</v>
          </cell>
          <cell r="C640" t="str">
            <v>Corpo BTTC D=1,20m</v>
          </cell>
          <cell r="D640" t="str">
            <v>m</v>
          </cell>
          <cell r="H640" t="str">
            <v>DNIT 023/2004-ES</v>
          </cell>
        </row>
        <row r="641">
          <cell r="A641" t="str">
            <v>2 S 04 120 03</v>
          </cell>
          <cell r="B641" t="str">
            <v>-</v>
          </cell>
          <cell r="C641" t="str">
            <v>Corpo BTTC D=1,50m</v>
          </cell>
          <cell r="D641" t="str">
            <v>m</v>
          </cell>
          <cell r="H641" t="str">
            <v>DNIT 023/2004-ES</v>
          </cell>
        </row>
        <row r="642">
          <cell r="A642" t="str">
            <v>2 S 04 120 51</v>
          </cell>
          <cell r="B642" t="str">
            <v>-</v>
          </cell>
          <cell r="C642" t="str">
            <v>Corpo BTTC D=1,00 m AC/BC/PC</v>
          </cell>
          <cell r="D642" t="str">
            <v>m</v>
          </cell>
          <cell r="H642" t="str">
            <v>DNIT 023/2004-ES</v>
          </cell>
        </row>
        <row r="643">
          <cell r="A643" t="str">
            <v>2 S 04 120 52</v>
          </cell>
          <cell r="B643" t="str">
            <v>-</v>
          </cell>
          <cell r="C643" t="str">
            <v>Corpo BTTC D=1,20 m AC/BC/PC</v>
          </cell>
          <cell r="D643" t="str">
            <v>m</v>
          </cell>
          <cell r="H643" t="str">
            <v>DNIT 023/2004-ES</v>
          </cell>
        </row>
        <row r="644">
          <cell r="A644" t="str">
            <v>2 S 04 120 53</v>
          </cell>
          <cell r="B644" t="str">
            <v>-</v>
          </cell>
          <cell r="C644" t="str">
            <v>Corpo BTTC D=1,50 m AC/BC/PC</v>
          </cell>
          <cell r="D644" t="str">
            <v>m</v>
          </cell>
          <cell r="H644" t="str">
            <v>DNIT 023/2004-ES</v>
          </cell>
        </row>
        <row r="645">
          <cell r="A645" t="str">
            <v>2 S 04 121 01</v>
          </cell>
          <cell r="B645" t="str">
            <v>-</v>
          </cell>
          <cell r="C645" t="str">
            <v>Boca BTTC D=1,00m normal</v>
          </cell>
          <cell r="D645" t="str">
            <v>und</v>
          </cell>
          <cell r="H645" t="str">
            <v>DNIT 023/2004-ES</v>
          </cell>
        </row>
        <row r="646">
          <cell r="A646" t="str">
            <v>2 S 04 121 02</v>
          </cell>
          <cell r="B646" t="str">
            <v>-</v>
          </cell>
          <cell r="C646" t="str">
            <v>Boca BTTC D=1,20m normal</v>
          </cell>
          <cell r="D646" t="str">
            <v>und</v>
          </cell>
          <cell r="H646" t="str">
            <v>DNIT 023/2004-ES</v>
          </cell>
        </row>
        <row r="647">
          <cell r="A647" t="str">
            <v>2 S 04 121 03</v>
          </cell>
          <cell r="B647" t="str">
            <v>-</v>
          </cell>
          <cell r="C647" t="str">
            <v>Boca BTTC D=1,50m normal</v>
          </cell>
          <cell r="D647" t="str">
            <v>und</v>
          </cell>
          <cell r="H647" t="str">
            <v>DNIT 023/2004-ES</v>
          </cell>
        </row>
        <row r="648">
          <cell r="A648" t="str">
            <v>2 S 04 121 04</v>
          </cell>
          <cell r="B648" t="str">
            <v>-</v>
          </cell>
          <cell r="C648" t="str">
            <v>Boca BTTC D=1,00 m - esc.=15</v>
          </cell>
          <cell r="D648" t="str">
            <v>und</v>
          </cell>
          <cell r="H648" t="str">
            <v>DNIT 023/2004-ES</v>
          </cell>
        </row>
        <row r="649">
          <cell r="A649" t="str">
            <v>2 S 04 121 05</v>
          </cell>
          <cell r="B649" t="str">
            <v>-</v>
          </cell>
          <cell r="C649" t="str">
            <v>Boca BTTC D=1,20 m - esc.=15</v>
          </cell>
          <cell r="D649" t="str">
            <v>und</v>
          </cell>
          <cell r="H649" t="str">
            <v>DNIT 023/2004-ES</v>
          </cell>
        </row>
        <row r="650">
          <cell r="A650" t="str">
            <v>2 S 04 121 06</v>
          </cell>
          <cell r="B650" t="str">
            <v>-</v>
          </cell>
          <cell r="C650" t="str">
            <v>Boca BTTC D=1,50 m - esc.=15</v>
          </cell>
          <cell r="D650" t="str">
            <v>und</v>
          </cell>
          <cell r="H650" t="str">
            <v>DNIT 023/2004-ES</v>
          </cell>
        </row>
        <row r="651">
          <cell r="A651" t="str">
            <v>2 S 04 121 07</v>
          </cell>
          <cell r="B651" t="str">
            <v>-</v>
          </cell>
          <cell r="C651" t="str">
            <v>Boca BTTC D=1,00 m - esc.=30</v>
          </cell>
          <cell r="D651" t="str">
            <v>und</v>
          </cell>
          <cell r="H651" t="str">
            <v>DNIT 023/2004-ES</v>
          </cell>
        </row>
        <row r="652">
          <cell r="A652" t="str">
            <v>2 S 04 121 08</v>
          </cell>
          <cell r="B652" t="str">
            <v>-</v>
          </cell>
          <cell r="C652" t="str">
            <v>Boca BTTC D=1,20 m - esc.=30</v>
          </cell>
          <cell r="D652" t="str">
            <v>und</v>
          </cell>
          <cell r="H652" t="str">
            <v>DNIT 023/2004-ES</v>
          </cell>
        </row>
        <row r="653">
          <cell r="A653" t="str">
            <v>2 S 04 121 09</v>
          </cell>
          <cell r="B653" t="str">
            <v>-</v>
          </cell>
          <cell r="C653" t="str">
            <v>Boca BTTC D=1,50 m - esc.=30</v>
          </cell>
          <cell r="D653" t="str">
            <v>und</v>
          </cell>
          <cell r="H653" t="str">
            <v>DNIT 023/2004-ES</v>
          </cell>
        </row>
        <row r="654">
          <cell r="A654" t="str">
            <v>2 S 04 121 10</v>
          </cell>
          <cell r="B654" t="str">
            <v>-</v>
          </cell>
          <cell r="C654" t="str">
            <v>Boca BTTC D=1,00 m - esc.=45</v>
          </cell>
          <cell r="D654" t="str">
            <v>und</v>
          </cell>
          <cell r="H654" t="str">
            <v>DNIT 023/2004-ES</v>
          </cell>
        </row>
        <row r="655">
          <cell r="A655" t="str">
            <v>2 S 04 121 11</v>
          </cell>
          <cell r="B655" t="str">
            <v>-</v>
          </cell>
          <cell r="C655" t="str">
            <v>Boca BTTC D=1,20 m - esc.=45</v>
          </cell>
          <cell r="D655" t="str">
            <v>und</v>
          </cell>
          <cell r="H655" t="str">
            <v>DNIT 023/2004-ES</v>
          </cell>
        </row>
        <row r="656">
          <cell r="A656" t="str">
            <v>2 S 04 121 12</v>
          </cell>
          <cell r="B656" t="str">
            <v>-</v>
          </cell>
          <cell r="C656" t="str">
            <v>Boca BTTC D=1,50 m - esc.=45</v>
          </cell>
          <cell r="D656" t="str">
            <v>und</v>
          </cell>
          <cell r="H656" t="str">
            <v>DNIT 023/2004-ES</v>
          </cell>
        </row>
        <row r="657">
          <cell r="A657" t="str">
            <v>2 S 04 121 51</v>
          </cell>
          <cell r="B657" t="str">
            <v>-</v>
          </cell>
          <cell r="C657" t="str">
            <v>Boca BTTC D=1,00 m normal AC/BC/PC</v>
          </cell>
          <cell r="D657" t="str">
            <v>und</v>
          </cell>
          <cell r="H657" t="str">
            <v>DNIT 023/2004-ES</v>
          </cell>
        </row>
        <row r="658">
          <cell r="A658" t="str">
            <v>2 S 04 121 52</v>
          </cell>
          <cell r="B658" t="str">
            <v>-</v>
          </cell>
          <cell r="C658" t="str">
            <v>Boca BTTC D=1,20 m normal AC/BC/PC</v>
          </cell>
          <cell r="D658" t="str">
            <v>und</v>
          </cell>
          <cell r="H658" t="str">
            <v>DNIT 023/2004-ES</v>
          </cell>
        </row>
        <row r="659">
          <cell r="A659" t="str">
            <v>2 S 04 121 53</v>
          </cell>
          <cell r="B659" t="str">
            <v>-</v>
          </cell>
          <cell r="C659" t="str">
            <v>Boca BTTC D=1,50 m normal AC/BC/PC</v>
          </cell>
          <cell r="D659" t="str">
            <v>und</v>
          </cell>
          <cell r="H659" t="str">
            <v>DNIT 023/2004-ES</v>
          </cell>
        </row>
        <row r="660">
          <cell r="A660" t="str">
            <v>2 S 04 121 54</v>
          </cell>
          <cell r="B660" t="str">
            <v>-</v>
          </cell>
          <cell r="C660" t="str">
            <v>Boca BTTC D=1,00 m - esc=15 AC/BC/PC</v>
          </cell>
          <cell r="D660" t="str">
            <v>und</v>
          </cell>
          <cell r="H660" t="str">
            <v>DNIT 023/2004-ES</v>
          </cell>
        </row>
        <row r="661">
          <cell r="A661" t="str">
            <v>2 S 04 121 55</v>
          </cell>
          <cell r="B661" t="str">
            <v>-</v>
          </cell>
          <cell r="C661" t="str">
            <v>Boca BTTC D=1,20 m - esc=15 AC/BC/PC</v>
          </cell>
          <cell r="D661" t="str">
            <v>und</v>
          </cell>
          <cell r="H661" t="str">
            <v>DNIT 023/2004-ES</v>
          </cell>
        </row>
        <row r="662">
          <cell r="A662" t="str">
            <v>2 S 04 121 56</v>
          </cell>
          <cell r="B662" t="str">
            <v>-</v>
          </cell>
          <cell r="C662" t="str">
            <v>Boca BTTC D=1,50 m - esc=15 AC/BC/PC</v>
          </cell>
          <cell r="D662" t="str">
            <v>und</v>
          </cell>
          <cell r="H662" t="str">
            <v>DNIT 023/2004-ES</v>
          </cell>
        </row>
        <row r="663">
          <cell r="A663" t="str">
            <v>2 S 04 121 57</v>
          </cell>
          <cell r="B663" t="str">
            <v>-</v>
          </cell>
          <cell r="C663" t="str">
            <v>Boca BTTC D=1,00 m - esc=30 AC/BC/PC</v>
          </cell>
          <cell r="D663" t="str">
            <v>und</v>
          </cell>
          <cell r="H663" t="str">
            <v>DNIT 023/2004-ES</v>
          </cell>
        </row>
        <row r="664">
          <cell r="A664" t="str">
            <v>2 S 04 121 58</v>
          </cell>
          <cell r="B664" t="str">
            <v>-</v>
          </cell>
          <cell r="C664" t="str">
            <v>Boca BTTC D=1,20 m - esc=30 AC/BC/PC</v>
          </cell>
          <cell r="D664" t="str">
            <v>und</v>
          </cell>
          <cell r="H664" t="str">
            <v>DNIT 023/2004-ES</v>
          </cell>
        </row>
        <row r="665">
          <cell r="A665" t="str">
            <v>2 S 04 121 59</v>
          </cell>
          <cell r="B665" t="str">
            <v>-</v>
          </cell>
          <cell r="C665" t="str">
            <v>Boca BTTC D=1,50 m - esc=30 AC/BC/PC</v>
          </cell>
          <cell r="D665" t="str">
            <v>und</v>
          </cell>
          <cell r="H665" t="str">
            <v>DNIT 023/2004-ES</v>
          </cell>
        </row>
        <row r="666">
          <cell r="A666" t="str">
            <v>2 S 04 121 60</v>
          </cell>
          <cell r="B666" t="str">
            <v>-</v>
          </cell>
          <cell r="C666" t="str">
            <v>Boca BTTC D=1,00 m - esc=45 AC/BC/PC</v>
          </cell>
          <cell r="D666" t="str">
            <v>und</v>
          </cell>
          <cell r="H666" t="str">
            <v>DNIT 023/2004-ES</v>
          </cell>
        </row>
        <row r="667">
          <cell r="A667" t="str">
            <v>2 S 04 121 61</v>
          </cell>
          <cell r="B667" t="str">
            <v>-</v>
          </cell>
          <cell r="C667" t="str">
            <v>Boca BTTC D=1,20 m - esc=45 AC/BC/PC</v>
          </cell>
          <cell r="D667" t="str">
            <v>und</v>
          </cell>
          <cell r="H667" t="str">
            <v>DNIT 023/2004-ES</v>
          </cell>
        </row>
        <row r="668">
          <cell r="A668" t="str">
            <v>2 S 04 121 62</v>
          </cell>
          <cell r="B668" t="str">
            <v>-</v>
          </cell>
          <cell r="C668" t="str">
            <v>Boca BTTC D=1,50 m - esc=45 AC/BC/PC</v>
          </cell>
          <cell r="D668" t="str">
            <v>und</v>
          </cell>
          <cell r="H668" t="str">
            <v>DNIT 023/2004-ES</v>
          </cell>
        </row>
        <row r="669">
          <cell r="A669" t="str">
            <v>2 S 04 200 01</v>
          </cell>
          <cell r="B669" t="str">
            <v>-</v>
          </cell>
          <cell r="C669" t="str">
            <v>Corpo BSCC 1,50 x 1,50 m alt. 0 a 1,00 m</v>
          </cell>
          <cell r="D669" t="str">
            <v>und</v>
          </cell>
          <cell r="H669" t="str">
            <v>DNIT 025/2004-ES</v>
          </cell>
        </row>
        <row r="670">
          <cell r="A670" t="str">
            <v>2 S 04 200 02</v>
          </cell>
          <cell r="B670" t="str">
            <v>-</v>
          </cell>
          <cell r="C670" t="str">
            <v>Corpo BSCC 2,00 x 2,00 m alt. 0 a 1,00 m</v>
          </cell>
          <cell r="D670" t="str">
            <v>und</v>
          </cell>
          <cell r="H670" t="str">
            <v>DNIT 025/2004-ES</v>
          </cell>
        </row>
        <row r="671">
          <cell r="A671" t="str">
            <v>2 S 04 200 03</v>
          </cell>
          <cell r="B671" t="str">
            <v>-</v>
          </cell>
          <cell r="C671" t="str">
            <v>Corpo BSCC 2,50 x 2,50 m alt. 0 a 1,00 m</v>
          </cell>
          <cell r="D671" t="str">
            <v>m</v>
          </cell>
          <cell r="H671" t="str">
            <v>DNIT 025/2004-ES</v>
          </cell>
        </row>
        <row r="672">
          <cell r="A672" t="str">
            <v>2 S 04 200 04</v>
          </cell>
          <cell r="B672" t="str">
            <v>-</v>
          </cell>
          <cell r="C672" t="str">
            <v>Corpo BSCC 3,00 x 3,00 m alt. 0 a 1,00 m</v>
          </cell>
          <cell r="D672" t="str">
            <v>m</v>
          </cell>
          <cell r="H672" t="str">
            <v>DNIT 025/2004-ES</v>
          </cell>
        </row>
        <row r="673">
          <cell r="A673" t="str">
            <v>2 S 04 200 05</v>
          </cell>
          <cell r="B673" t="str">
            <v>-</v>
          </cell>
          <cell r="C673" t="str">
            <v>Corpo BSCC 1,50 x 1,50 m alt. 1,00 a 2,50 m</v>
          </cell>
          <cell r="D673" t="str">
            <v>m</v>
          </cell>
          <cell r="H673" t="str">
            <v>DNIT 025/2004-ES</v>
          </cell>
        </row>
        <row r="674">
          <cell r="A674" t="str">
            <v>2 S 04 200 06</v>
          </cell>
          <cell r="B674" t="str">
            <v>-</v>
          </cell>
          <cell r="C674" t="str">
            <v>Corpo BSCC 2,00 x 2,00 m alt. 1,00 a 2,50 m</v>
          </cell>
          <cell r="D674" t="str">
            <v>m</v>
          </cell>
          <cell r="H674" t="str">
            <v>DNIT 025/2004-ES</v>
          </cell>
        </row>
        <row r="675">
          <cell r="A675" t="str">
            <v>2 S 04 200 07</v>
          </cell>
          <cell r="B675" t="str">
            <v>-</v>
          </cell>
          <cell r="C675" t="str">
            <v>Corpo BSCC 2,50 x 2,50 m alt. 1,00 a 2,50 m</v>
          </cell>
          <cell r="D675" t="str">
            <v>m</v>
          </cell>
          <cell r="H675" t="str">
            <v>DNIT 025/2004-ES</v>
          </cell>
        </row>
        <row r="676">
          <cell r="A676" t="str">
            <v>2 S 04 200 08</v>
          </cell>
          <cell r="B676" t="str">
            <v>-</v>
          </cell>
          <cell r="C676" t="str">
            <v>Corpo BSCC 3,00 x 3,00 m alt. 1,00 a 2,50 m</v>
          </cell>
          <cell r="D676" t="str">
            <v>m</v>
          </cell>
          <cell r="H676" t="str">
            <v>DNIT 025/2004-ES</v>
          </cell>
        </row>
        <row r="677">
          <cell r="A677" t="str">
            <v>2 S 04 200 09</v>
          </cell>
          <cell r="B677" t="str">
            <v>-</v>
          </cell>
          <cell r="C677" t="str">
            <v>Corpo BSCC 1,50 x 1,50 m alt. 2,50 a 5,00 m</v>
          </cell>
          <cell r="D677" t="str">
            <v>m</v>
          </cell>
          <cell r="H677" t="str">
            <v>DNIT 025/2004-ES</v>
          </cell>
        </row>
        <row r="678">
          <cell r="A678" t="str">
            <v>2 S 04 200 10</v>
          </cell>
          <cell r="B678" t="str">
            <v>-</v>
          </cell>
          <cell r="C678" t="str">
            <v>Corpo BSCC 2,00 x 2,00 m alt. 2,50 a 5,00 m</v>
          </cell>
          <cell r="D678" t="str">
            <v>m</v>
          </cell>
          <cell r="H678" t="str">
            <v>DNIT 025/2004-ES</v>
          </cell>
        </row>
        <row r="679">
          <cell r="A679" t="str">
            <v>2 S 04 200 11</v>
          </cell>
          <cell r="B679" t="str">
            <v>-</v>
          </cell>
          <cell r="C679" t="str">
            <v>Corpo BSCC 2,50 x 2,50 m alt. 2,50 a 5,00 m</v>
          </cell>
          <cell r="D679" t="str">
            <v>m</v>
          </cell>
          <cell r="H679" t="str">
            <v>DNIT 025/2004-ES</v>
          </cell>
        </row>
        <row r="680">
          <cell r="A680" t="str">
            <v>2 S 04 200 12</v>
          </cell>
          <cell r="B680" t="str">
            <v>-</v>
          </cell>
          <cell r="C680" t="str">
            <v>Corpo BSCC 3,00 x 3,00 m alt. 2,50 a 5,00 m</v>
          </cell>
          <cell r="D680" t="str">
            <v>m</v>
          </cell>
          <cell r="H680" t="str">
            <v>DNIT 025/2004-ES</v>
          </cell>
        </row>
        <row r="681">
          <cell r="A681" t="str">
            <v>2 S 04 200 13</v>
          </cell>
          <cell r="B681" t="str">
            <v>-</v>
          </cell>
          <cell r="C681" t="str">
            <v>Corpo BSCC 1,50 x 1,50 m alt. 5,00 a 7,50 m</v>
          </cell>
          <cell r="D681" t="str">
            <v>m</v>
          </cell>
          <cell r="H681" t="str">
            <v>DNIT 025/2004-ES</v>
          </cell>
        </row>
        <row r="682">
          <cell r="A682" t="str">
            <v>2 S 04 200 14</v>
          </cell>
          <cell r="B682" t="str">
            <v>-</v>
          </cell>
          <cell r="C682" t="str">
            <v>Corpo BSCC 2,00 x 2,00 m alt. 5,00 a 7,50 m</v>
          </cell>
          <cell r="D682" t="str">
            <v>m</v>
          </cell>
          <cell r="H682" t="str">
            <v>DNIT 025/2004-ES</v>
          </cell>
        </row>
        <row r="683">
          <cell r="A683" t="str">
            <v>2 S 04 200 15</v>
          </cell>
          <cell r="B683" t="str">
            <v>-</v>
          </cell>
          <cell r="C683" t="str">
            <v>Corpo BSCC 2,50 x 2,50 m alt. 5,00 a 7,50 m</v>
          </cell>
          <cell r="D683" t="str">
            <v>m</v>
          </cell>
          <cell r="H683" t="str">
            <v>DNIT 025/2004-ES</v>
          </cell>
        </row>
        <row r="684">
          <cell r="A684" t="str">
            <v>2 S 04 200 16</v>
          </cell>
          <cell r="B684" t="str">
            <v>-</v>
          </cell>
          <cell r="C684" t="str">
            <v>Corpo BSCC 3,00 x 3,00 m alt. 5,00 a 7,50 m</v>
          </cell>
          <cell r="D684" t="str">
            <v>m</v>
          </cell>
          <cell r="H684" t="str">
            <v>DNIT 025/2004-ES</v>
          </cell>
        </row>
        <row r="685">
          <cell r="A685" t="str">
            <v>2 S 04 200 17</v>
          </cell>
          <cell r="B685" t="str">
            <v>-</v>
          </cell>
          <cell r="C685" t="str">
            <v>Corpo BSCC 1,50 x 1,50 m alt. 7,50 a 10,00 m</v>
          </cell>
          <cell r="D685" t="str">
            <v>m</v>
          </cell>
          <cell r="H685" t="str">
            <v>DNIT 025/2004-ES</v>
          </cell>
        </row>
        <row r="686">
          <cell r="A686" t="str">
            <v>2 S 04 200 18</v>
          </cell>
          <cell r="B686" t="str">
            <v>-</v>
          </cell>
          <cell r="C686" t="str">
            <v>Corpo BSCC 2,00 x 2,00 m alt. 7,50 a 10,00 m</v>
          </cell>
          <cell r="D686" t="str">
            <v>m</v>
          </cell>
          <cell r="H686" t="str">
            <v>DNIT 025/2004-ES</v>
          </cell>
        </row>
        <row r="687">
          <cell r="A687" t="str">
            <v>2 S 04 200 19</v>
          </cell>
          <cell r="B687" t="str">
            <v>-</v>
          </cell>
          <cell r="C687" t="str">
            <v>Corpo BSCC 2,50 x 2,50 m alt. 7,50 a 10,00 m</v>
          </cell>
          <cell r="D687" t="str">
            <v>m</v>
          </cell>
          <cell r="H687" t="str">
            <v>DNIT 025/2004-ES</v>
          </cell>
        </row>
        <row r="688">
          <cell r="A688" t="str">
            <v>2 S 04 200 20</v>
          </cell>
          <cell r="B688" t="str">
            <v>-</v>
          </cell>
          <cell r="C688" t="str">
            <v>Corpo BSCC 3,00 x 3,00 m alt. 7,50 a 10,00 m</v>
          </cell>
          <cell r="D688" t="str">
            <v>m</v>
          </cell>
          <cell r="H688" t="str">
            <v>DNIT 025/2004-ES</v>
          </cell>
        </row>
        <row r="689">
          <cell r="A689" t="str">
            <v>2 S 04 200 21</v>
          </cell>
          <cell r="B689" t="str">
            <v>-</v>
          </cell>
          <cell r="C689" t="str">
            <v>Corpo BSCC 1,50 x 1,50 m alt. 10,00 a 12,50 m</v>
          </cell>
          <cell r="D689" t="str">
            <v>m</v>
          </cell>
          <cell r="H689" t="str">
            <v>DNIT 025/2004-ES</v>
          </cell>
        </row>
        <row r="690">
          <cell r="A690" t="str">
            <v>2 S 04 200 22</v>
          </cell>
          <cell r="B690" t="str">
            <v>-</v>
          </cell>
          <cell r="C690" t="str">
            <v>Corpo BSCC 2,00 x 2,00 m alt. 10,00 a 12,50 m</v>
          </cell>
          <cell r="D690" t="str">
            <v>m</v>
          </cell>
          <cell r="H690" t="str">
            <v>DNIT 025/2004-ES</v>
          </cell>
        </row>
        <row r="691">
          <cell r="A691" t="str">
            <v>2 S 04 200 23</v>
          </cell>
          <cell r="B691" t="str">
            <v>-</v>
          </cell>
          <cell r="C691" t="str">
            <v>Corpo BSCC 2,50 x 2,50 m alt. 10,00 a 12,50 m</v>
          </cell>
          <cell r="D691" t="str">
            <v>m</v>
          </cell>
          <cell r="H691" t="str">
            <v>DNIT 025/2004-ES</v>
          </cell>
        </row>
        <row r="692">
          <cell r="A692" t="str">
            <v>2 S 04 200 24</v>
          </cell>
          <cell r="B692" t="str">
            <v>-</v>
          </cell>
          <cell r="C692" t="str">
            <v>Corpo BSCC 3,00 a 3,00 m alt. 10,00 a 12,50 m</v>
          </cell>
          <cell r="D692" t="str">
            <v>m</v>
          </cell>
          <cell r="H692" t="str">
            <v>DNIT 025/2004-ES</v>
          </cell>
        </row>
        <row r="693">
          <cell r="A693" t="str">
            <v>2 S 04 200 25</v>
          </cell>
          <cell r="B693" t="str">
            <v>-</v>
          </cell>
          <cell r="C693" t="str">
            <v>Corpo BSCC 1,50 x 1,50 m alt. 12,50 a 15,00 m</v>
          </cell>
          <cell r="D693" t="str">
            <v>m</v>
          </cell>
          <cell r="H693" t="str">
            <v>DNIT 025/2004-ES</v>
          </cell>
        </row>
        <row r="694">
          <cell r="A694" t="str">
            <v>2 S 04 200 26</v>
          </cell>
          <cell r="B694" t="str">
            <v>-</v>
          </cell>
          <cell r="C694" t="str">
            <v>Corpo BSCC 2,00 a 2,00 m alt. 12,50 a 15,00 m</v>
          </cell>
          <cell r="D694" t="str">
            <v>m</v>
          </cell>
          <cell r="H694" t="str">
            <v>DNIT 025/2004-ES</v>
          </cell>
        </row>
        <row r="695">
          <cell r="A695" t="str">
            <v>2 S 04 200 27</v>
          </cell>
          <cell r="B695" t="str">
            <v>-</v>
          </cell>
          <cell r="C695" t="str">
            <v>Corpo BSCC 2,50 x 2,50 m alt. 12,50 a 15,00 m</v>
          </cell>
          <cell r="D695" t="str">
            <v>m</v>
          </cell>
          <cell r="H695" t="str">
            <v>DNIT 025/2004-ES</v>
          </cell>
        </row>
        <row r="696">
          <cell r="A696" t="str">
            <v>2 S 04 200 28</v>
          </cell>
          <cell r="B696" t="str">
            <v>-</v>
          </cell>
          <cell r="C696" t="str">
            <v>Corpo BSCC 3,00 x 3,00 m alt. 12,50 a 15,00 m</v>
          </cell>
          <cell r="D696" t="str">
            <v>m</v>
          </cell>
          <cell r="H696" t="str">
            <v>DNIT 025/2004-ES</v>
          </cell>
        </row>
        <row r="697">
          <cell r="A697" t="str">
            <v>2 S 04 200 51</v>
          </cell>
          <cell r="B697" t="str">
            <v>-</v>
          </cell>
          <cell r="C697" t="str">
            <v>Corpo BSCC 1,50 x 1,50 m alt. 0 a 1,00 m AC/BC</v>
          </cell>
          <cell r="D697" t="str">
            <v>und</v>
          </cell>
          <cell r="H697" t="str">
            <v>DNIT 025/2004-ES</v>
          </cell>
        </row>
        <row r="698">
          <cell r="A698" t="str">
            <v>2 S 04 200 52</v>
          </cell>
          <cell r="B698" t="str">
            <v>-</v>
          </cell>
          <cell r="C698" t="str">
            <v>Corpo BSCC 2,00 x 2,00 m alt. 0 a 1,00 m AC/BC</v>
          </cell>
          <cell r="D698" t="str">
            <v>und</v>
          </cell>
          <cell r="H698" t="str">
            <v>DNIT 025/2004-ES</v>
          </cell>
        </row>
        <row r="699">
          <cell r="A699" t="str">
            <v>2 S 04 200 53</v>
          </cell>
          <cell r="B699" t="str">
            <v>-</v>
          </cell>
          <cell r="C699" t="str">
            <v>Corpo BSCC 2,50 x 2,50 m alt. 0 a 1,00 m AC/BC</v>
          </cell>
          <cell r="D699" t="str">
            <v>m</v>
          </cell>
          <cell r="H699" t="str">
            <v>DNIT 025/2004-ES</v>
          </cell>
        </row>
        <row r="700">
          <cell r="A700" t="str">
            <v>2 S 04 200 54</v>
          </cell>
          <cell r="B700" t="str">
            <v>-</v>
          </cell>
          <cell r="C700" t="str">
            <v>Corpo BSCC 3,00 x 3,00 m alt. 0 a 1,00 m AC/BC</v>
          </cell>
          <cell r="D700" t="str">
            <v>m</v>
          </cell>
          <cell r="H700" t="str">
            <v>DNIT 025/2004-ES</v>
          </cell>
        </row>
        <row r="701">
          <cell r="A701" t="str">
            <v>2 S 04 200 55</v>
          </cell>
          <cell r="B701" t="str">
            <v>-</v>
          </cell>
          <cell r="C701" t="str">
            <v>Corpo BSCC 1,50 x 1,50 m alt. 1,00 a 2,50 m AC/BC</v>
          </cell>
          <cell r="D701" t="str">
            <v>m</v>
          </cell>
          <cell r="H701" t="str">
            <v>DNIT 025/2004-ES</v>
          </cell>
        </row>
        <row r="702">
          <cell r="A702" t="str">
            <v>2 S 04 200 56</v>
          </cell>
          <cell r="B702" t="str">
            <v>-</v>
          </cell>
          <cell r="C702" t="str">
            <v>Corpo BSCC 2,00 x 2,00 m alt. 1,00 a 2,50 m AC/BC</v>
          </cell>
          <cell r="D702" t="str">
            <v>m</v>
          </cell>
          <cell r="H702" t="str">
            <v>DNIT 025/2004-ES</v>
          </cell>
        </row>
        <row r="703">
          <cell r="A703" t="str">
            <v>2 S 04 200 57</v>
          </cell>
          <cell r="B703" t="str">
            <v>-</v>
          </cell>
          <cell r="C703" t="str">
            <v>Corpo BSCC 2,50 x 2,50 m alt. 1,00 a 2,50 m AC/BC</v>
          </cell>
          <cell r="D703" t="str">
            <v>m</v>
          </cell>
          <cell r="H703" t="str">
            <v>DNIT 025/2004-ES</v>
          </cell>
        </row>
        <row r="704">
          <cell r="A704" t="str">
            <v>2 S 04 200 58</v>
          </cell>
          <cell r="B704" t="str">
            <v>-</v>
          </cell>
          <cell r="C704" t="str">
            <v>Corpo BSCC 3,00 x 3,00 m alt. 1,00 a 2,50 m AC/BC</v>
          </cell>
          <cell r="D704" t="str">
            <v>m</v>
          </cell>
          <cell r="H704" t="str">
            <v>DNIT 025/2004-ES</v>
          </cell>
        </row>
        <row r="705">
          <cell r="A705" t="str">
            <v>2 S 04 200 59</v>
          </cell>
          <cell r="B705" t="str">
            <v>-</v>
          </cell>
          <cell r="C705" t="str">
            <v>Corpo BSCC 1,50 x 1,50 m alt. 2,50 a 5,00 m AC/BC</v>
          </cell>
          <cell r="D705" t="str">
            <v>m</v>
          </cell>
          <cell r="H705" t="str">
            <v>DNIT 025/2004-ES</v>
          </cell>
        </row>
        <row r="706">
          <cell r="A706" t="str">
            <v>2 S 04 200 60</v>
          </cell>
          <cell r="B706" t="str">
            <v>-</v>
          </cell>
          <cell r="C706" t="str">
            <v>Corpo BSCC 2,00 x 2,00 m alt. 2,50 a 5,00 m AC/BC</v>
          </cell>
          <cell r="D706" t="str">
            <v>m</v>
          </cell>
          <cell r="H706" t="str">
            <v>DNIT 025/2004-ES</v>
          </cell>
        </row>
        <row r="707">
          <cell r="A707" t="str">
            <v>2 S 04 200 61</v>
          </cell>
          <cell r="B707" t="str">
            <v>-</v>
          </cell>
          <cell r="C707" t="str">
            <v>Corpo BSCC 2,50 x 2,50 m alt. 2,50 a 5,00 m AC/BC</v>
          </cell>
          <cell r="D707" t="str">
            <v>m</v>
          </cell>
          <cell r="H707" t="str">
            <v>DNIT 025/2004-ES</v>
          </cell>
        </row>
        <row r="708">
          <cell r="A708" t="str">
            <v>2 S 04 200 62</v>
          </cell>
          <cell r="B708" t="str">
            <v>-</v>
          </cell>
          <cell r="C708" t="str">
            <v>Corpo BSCC 3,00 x 3,00 m alt. 2,50 a 5,00 m AC/BC</v>
          </cell>
          <cell r="D708" t="str">
            <v>m</v>
          </cell>
          <cell r="H708" t="str">
            <v>DNIT 025/2004-ES</v>
          </cell>
        </row>
        <row r="709">
          <cell r="A709" t="str">
            <v>2 S 04 200 63</v>
          </cell>
          <cell r="B709" t="str">
            <v>-</v>
          </cell>
          <cell r="C709" t="str">
            <v>Corpo BSCC 1,50 a 1,50 m alt. 5,00 a 7,50 m AC/BC</v>
          </cell>
          <cell r="D709" t="str">
            <v>m</v>
          </cell>
          <cell r="H709" t="str">
            <v>DNIT 025/2004-ES</v>
          </cell>
        </row>
        <row r="710">
          <cell r="A710" t="str">
            <v>2 S 04 200 64</v>
          </cell>
          <cell r="B710" t="str">
            <v>-</v>
          </cell>
          <cell r="C710" t="str">
            <v>Corpo BSCC 2,00 x 2,00 m alt. 5,00 a 7,50 m AC/BC</v>
          </cell>
          <cell r="D710" t="str">
            <v>m</v>
          </cell>
          <cell r="H710" t="str">
            <v>DNIT 025/2004-ES</v>
          </cell>
        </row>
        <row r="711">
          <cell r="A711" t="str">
            <v>2 S 04 200 65</v>
          </cell>
          <cell r="B711" t="str">
            <v>-</v>
          </cell>
          <cell r="C711" t="str">
            <v>Corpo BSCC 2,50 x 2,50 m alt. 5,00 a 7,50 m AC/BC</v>
          </cell>
          <cell r="D711" t="str">
            <v>m</v>
          </cell>
          <cell r="H711" t="str">
            <v>DNIT 025/2004-ES</v>
          </cell>
        </row>
        <row r="712">
          <cell r="A712" t="str">
            <v>2 S 04 200 66</v>
          </cell>
          <cell r="B712" t="str">
            <v>-</v>
          </cell>
          <cell r="C712" t="str">
            <v>Corpo BSCC 3,00 x 3,00 m alt. 5,00 a 7,50 m AC/BC</v>
          </cell>
          <cell r="D712" t="str">
            <v>m</v>
          </cell>
          <cell r="H712" t="str">
            <v>DNIT 025/2004-ES</v>
          </cell>
        </row>
        <row r="713">
          <cell r="A713" t="str">
            <v>2 S 04 200 67</v>
          </cell>
          <cell r="B713" t="str">
            <v>-</v>
          </cell>
          <cell r="C713" t="str">
            <v>Corpo BSCC 1,50 x 1,50 m alt. 7,50 a 10,00 m AC/BC</v>
          </cell>
          <cell r="D713" t="str">
            <v>m</v>
          </cell>
          <cell r="H713" t="str">
            <v>DNIT 025/2004-ES</v>
          </cell>
        </row>
        <row r="714">
          <cell r="A714" t="str">
            <v>2 S 04 200 68</v>
          </cell>
          <cell r="B714" t="str">
            <v>-</v>
          </cell>
          <cell r="C714" t="str">
            <v>Corpo BSCC 2,00 x 2,00 m alt. 7,50 a 10,00 m AC/BC</v>
          </cell>
          <cell r="D714" t="str">
            <v>m</v>
          </cell>
          <cell r="H714" t="str">
            <v>DNIT 025/2004-ES</v>
          </cell>
        </row>
        <row r="715">
          <cell r="A715" t="str">
            <v>2 S 04 200 69</v>
          </cell>
          <cell r="B715" t="str">
            <v>-</v>
          </cell>
          <cell r="C715" t="str">
            <v>Corpo BSCC 2,50 x 2,50 m alt. 7,50 a 10,00 m AC/BC</v>
          </cell>
          <cell r="D715" t="str">
            <v>m</v>
          </cell>
          <cell r="H715" t="str">
            <v>DNIT 025/2004-ES</v>
          </cell>
        </row>
        <row r="716">
          <cell r="A716" t="str">
            <v>2 S 04 200 70</v>
          </cell>
          <cell r="B716" t="str">
            <v>-</v>
          </cell>
          <cell r="C716" t="str">
            <v>Corpo BSCC 3,00 x 3,00 m alt. 7,50 a 10,00 m AC/BC</v>
          </cell>
          <cell r="D716" t="str">
            <v>m</v>
          </cell>
          <cell r="H716" t="str">
            <v>DNIT 025/2004-ES</v>
          </cell>
        </row>
        <row r="717">
          <cell r="A717" t="str">
            <v>2 S 04 200 71</v>
          </cell>
          <cell r="B717" t="str">
            <v>-</v>
          </cell>
          <cell r="C717" t="str">
            <v>Corpo BSCC 1,50 x 1,50 m alt.10,00 a 12,50 m AC/BC</v>
          </cell>
          <cell r="D717" t="str">
            <v>m</v>
          </cell>
          <cell r="H717" t="str">
            <v>DNIT 025/2004-ES</v>
          </cell>
        </row>
        <row r="718">
          <cell r="A718" t="str">
            <v>2 S 04 200 72</v>
          </cell>
          <cell r="B718" t="str">
            <v>-</v>
          </cell>
          <cell r="C718" t="str">
            <v>Corpo BSCC 2,00 a 2,00 m alt.10,00 a 12,50 m AC/BC</v>
          </cell>
          <cell r="D718" t="str">
            <v>m</v>
          </cell>
          <cell r="H718" t="str">
            <v>DNIT 025/2004-ES</v>
          </cell>
        </row>
        <row r="719">
          <cell r="A719" t="str">
            <v>2 S 04 200 73</v>
          </cell>
          <cell r="B719" t="str">
            <v>-</v>
          </cell>
          <cell r="C719" t="str">
            <v>Corpo BSCC 2,50 x 2,50 m alt.10,00 a 12,50 m AC/BC</v>
          </cell>
          <cell r="D719" t="str">
            <v>m</v>
          </cell>
          <cell r="H719" t="str">
            <v>DNIT 025/2004-ES</v>
          </cell>
        </row>
        <row r="720">
          <cell r="A720" t="str">
            <v>2 S 04 200 74</v>
          </cell>
          <cell r="B720" t="str">
            <v>-</v>
          </cell>
          <cell r="C720" t="str">
            <v>Corpo BSCC 3,00 x 3,00 m alt.10,00 a 12,50 m AC/BC</v>
          </cell>
          <cell r="D720" t="str">
            <v>m</v>
          </cell>
          <cell r="H720" t="str">
            <v>DNIT 025/2004-ES</v>
          </cell>
        </row>
        <row r="721">
          <cell r="A721" t="str">
            <v>2 S 04 200 75</v>
          </cell>
          <cell r="B721" t="str">
            <v>-</v>
          </cell>
          <cell r="C721" t="str">
            <v>Corpo BSCC 1,50 x 1,50 m alt.12,50 a 15,00 m AC/BC</v>
          </cell>
          <cell r="D721" t="str">
            <v>m</v>
          </cell>
          <cell r="H721" t="str">
            <v>DNIT 025/2004-ES</v>
          </cell>
        </row>
        <row r="722">
          <cell r="A722" t="str">
            <v>2 S 04 200 76</v>
          </cell>
          <cell r="B722" t="str">
            <v>-</v>
          </cell>
          <cell r="C722" t="str">
            <v>Corpo BSCC 2,00 x 2,00 m alt.12,50 a 15,00 m AC/BC</v>
          </cell>
          <cell r="D722" t="str">
            <v>m</v>
          </cell>
          <cell r="H722" t="str">
            <v>DNIT 025/2004-ES</v>
          </cell>
        </row>
        <row r="723">
          <cell r="A723" t="str">
            <v>2 S 04 200 77</v>
          </cell>
          <cell r="B723" t="str">
            <v>-</v>
          </cell>
          <cell r="C723" t="str">
            <v>Corpo BSCC 2,50 a 2,50 m alt.12,50 a 15,00 m AC/BC</v>
          </cell>
          <cell r="D723" t="str">
            <v>m</v>
          </cell>
          <cell r="H723" t="str">
            <v>DNIT 025/2004-ES</v>
          </cell>
        </row>
        <row r="724">
          <cell r="A724" t="str">
            <v>2 S 04 200 78</v>
          </cell>
          <cell r="B724" t="str">
            <v>-</v>
          </cell>
          <cell r="C724" t="str">
            <v>Corpo BSCC 3,00 x 3,00 m alt.12,50 a 15,00 m AC/BC</v>
          </cell>
          <cell r="D724" t="str">
            <v>m</v>
          </cell>
          <cell r="H724" t="str">
            <v>DNIT 025/2004-ES</v>
          </cell>
        </row>
        <row r="725">
          <cell r="A725" t="str">
            <v>2 S 04 201 01</v>
          </cell>
          <cell r="B725" t="str">
            <v>-</v>
          </cell>
          <cell r="C725" t="str">
            <v>Boca BSCC 1,50 x 1,50 m normal</v>
          </cell>
          <cell r="D725" t="str">
            <v>und</v>
          </cell>
          <cell r="H725" t="str">
            <v>DNIT 025/2004-ES</v>
          </cell>
        </row>
        <row r="726">
          <cell r="A726" t="str">
            <v>2 S 04 201 02</v>
          </cell>
          <cell r="B726" t="str">
            <v>-</v>
          </cell>
          <cell r="C726" t="str">
            <v>Boca BSCC 2,00 x 2,00 m normal</v>
          </cell>
          <cell r="D726" t="str">
            <v>und</v>
          </cell>
          <cell r="H726" t="str">
            <v>DNIT 025/2004-ES</v>
          </cell>
        </row>
        <row r="727">
          <cell r="A727" t="str">
            <v>2 S 04 201 03</v>
          </cell>
          <cell r="B727" t="str">
            <v>-</v>
          </cell>
          <cell r="C727" t="str">
            <v>Boca BSCC 2,50 x 2,50 m normal</v>
          </cell>
          <cell r="D727" t="str">
            <v>und</v>
          </cell>
          <cell r="H727" t="str">
            <v>DNIT 025/2004-ES</v>
          </cell>
        </row>
        <row r="728">
          <cell r="A728" t="str">
            <v>2 S 04 201 04</v>
          </cell>
          <cell r="B728" t="str">
            <v>-</v>
          </cell>
          <cell r="C728" t="str">
            <v>Boca BSCC 3,00 x 3,00 m normal</v>
          </cell>
          <cell r="D728" t="str">
            <v>und</v>
          </cell>
          <cell r="H728" t="str">
            <v>DNIT 025/2004-ES</v>
          </cell>
        </row>
        <row r="729">
          <cell r="A729" t="str">
            <v>2 S 04 201 05</v>
          </cell>
          <cell r="B729" t="str">
            <v>-</v>
          </cell>
          <cell r="C729" t="str">
            <v>Boca BSCC 1,50 x 1,50 m - esc.=15</v>
          </cell>
          <cell r="D729" t="str">
            <v>und</v>
          </cell>
          <cell r="H729" t="str">
            <v>DNIT 025/2004-ES</v>
          </cell>
        </row>
        <row r="730">
          <cell r="A730" t="str">
            <v>2 S 04 201 06</v>
          </cell>
          <cell r="B730" t="str">
            <v>-</v>
          </cell>
          <cell r="C730" t="str">
            <v>Boca BSCC 2,00 x 2,00 m - esc.=15</v>
          </cell>
          <cell r="D730" t="str">
            <v>und</v>
          </cell>
          <cell r="H730" t="str">
            <v>DNIT 025/2004-ES</v>
          </cell>
        </row>
        <row r="731">
          <cell r="A731" t="str">
            <v>2 S 04 201 07</v>
          </cell>
          <cell r="B731" t="str">
            <v>-</v>
          </cell>
          <cell r="C731" t="str">
            <v>Boca BSCC 2,50 x 2,50 m - esc.=15</v>
          </cell>
          <cell r="D731" t="str">
            <v>und</v>
          </cell>
          <cell r="H731" t="str">
            <v>DNIT 025/2004-ES</v>
          </cell>
        </row>
        <row r="732">
          <cell r="A732" t="str">
            <v>2 S 04 201 08</v>
          </cell>
          <cell r="B732" t="str">
            <v>-</v>
          </cell>
          <cell r="C732" t="str">
            <v>Boca BSCC 3,00 x 3,00 m - esc.=15</v>
          </cell>
          <cell r="D732" t="str">
            <v>und</v>
          </cell>
          <cell r="H732" t="str">
            <v>DNIT 025/2004-ES</v>
          </cell>
        </row>
        <row r="733">
          <cell r="A733" t="str">
            <v>2 S 04 201 09</v>
          </cell>
          <cell r="B733" t="str">
            <v>-</v>
          </cell>
          <cell r="C733" t="str">
            <v>Boca BSCC 1,50 x 1,50 m - esc.=30</v>
          </cell>
          <cell r="D733" t="str">
            <v>und</v>
          </cell>
          <cell r="H733" t="str">
            <v>DNIT 025/2004-ES</v>
          </cell>
        </row>
        <row r="734">
          <cell r="A734" t="str">
            <v>2 S 04 201 10</v>
          </cell>
          <cell r="B734" t="str">
            <v>-</v>
          </cell>
          <cell r="C734" t="str">
            <v>Boca BSCC 2,00 x 2,00 m - esc.=30</v>
          </cell>
          <cell r="D734" t="str">
            <v>und</v>
          </cell>
          <cell r="H734" t="str">
            <v>DNIT 025/2004-ES</v>
          </cell>
        </row>
        <row r="735">
          <cell r="A735" t="str">
            <v>2 S 04 201 11</v>
          </cell>
          <cell r="B735" t="str">
            <v>-</v>
          </cell>
          <cell r="C735" t="str">
            <v>Boca BSCC 2,50 x 2,50 m - esc.=30</v>
          </cell>
          <cell r="D735" t="str">
            <v>und</v>
          </cell>
          <cell r="H735" t="str">
            <v>DNIT 025/2004-ES</v>
          </cell>
        </row>
        <row r="736">
          <cell r="A736" t="str">
            <v>2 S 04 201 12</v>
          </cell>
          <cell r="B736" t="str">
            <v>-</v>
          </cell>
          <cell r="C736" t="str">
            <v>Boca BSCC 3,00 x 3,00 m =esc.=30</v>
          </cell>
          <cell r="D736" t="str">
            <v>und</v>
          </cell>
          <cell r="H736" t="str">
            <v>DNIT 025/2004-ES</v>
          </cell>
        </row>
        <row r="737">
          <cell r="A737" t="str">
            <v>2 S 04 201 13</v>
          </cell>
          <cell r="B737" t="str">
            <v>-</v>
          </cell>
          <cell r="C737" t="str">
            <v>Boca BSCC 1,50 x 1,50 m - esc.=45</v>
          </cell>
          <cell r="D737" t="str">
            <v>und</v>
          </cell>
          <cell r="H737" t="str">
            <v>DNIT 025/2004-ES</v>
          </cell>
        </row>
        <row r="738">
          <cell r="A738" t="str">
            <v>2 S 04 201 14</v>
          </cell>
          <cell r="B738" t="str">
            <v>-</v>
          </cell>
          <cell r="C738" t="str">
            <v>Boca BSCC 2,00 x 2,00 m - esc.=45</v>
          </cell>
          <cell r="D738" t="str">
            <v>und</v>
          </cell>
          <cell r="H738" t="str">
            <v>DNIT 025/2004-ES</v>
          </cell>
        </row>
        <row r="739">
          <cell r="A739" t="str">
            <v>2 S 04 201 15</v>
          </cell>
          <cell r="B739" t="str">
            <v>-</v>
          </cell>
          <cell r="C739" t="str">
            <v>Boca BSCC 2,50 x 2,50 m - esc.=45</v>
          </cell>
          <cell r="D739" t="str">
            <v>und</v>
          </cell>
          <cell r="H739" t="str">
            <v>DNIT 025/2004-ES</v>
          </cell>
        </row>
        <row r="740">
          <cell r="A740" t="str">
            <v>2 S 04 201 16</v>
          </cell>
          <cell r="B740" t="str">
            <v>-</v>
          </cell>
          <cell r="C740" t="str">
            <v>Boca BSCC 3,00 x 3,00 m - esc.=45</v>
          </cell>
          <cell r="D740" t="str">
            <v>und</v>
          </cell>
          <cell r="H740" t="str">
            <v>DNIT 025/2004-ES</v>
          </cell>
        </row>
        <row r="741">
          <cell r="A741" t="str">
            <v>2 S 04 201 51</v>
          </cell>
          <cell r="B741" t="str">
            <v>-</v>
          </cell>
          <cell r="C741" t="str">
            <v>Boca BSCC 1,50 x 1,50 m normal AC/BC</v>
          </cell>
          <cell r="D741" t="str">
            <v>und</v>
          </cell>
          <cell r="H741" t="str">
            <v>DNIT 025/2004-ES</v>
          </cell>
        </row>
        <row r="742">
          <cell r="A742" t="str">
            <v>2 S 04 201 52</v>
          </cell>
          <cell r="B742" t="str">
            <v>-</v>
          </cell>
          <cell r="C742" t="str">
            <v>Boca BSCC 2,00 x 2,00 m normal AC/BC</v>
          </cell>
          <cell r="D742" t="str">
            <v>und</v>
          </cell>
          <cell r="H742" t="str">
            <v>DNIT 025/2004-ES</v>
          </cell>
        </row>
        <row r="743">
          <cell r="A743" t="str">
            <v>2 S 04 201 53</v>
          </cell>
          <cell r="B743" t="str">
            <v>-</v>
          </cell>
          <cell r="C743" t="str">
            <v>Boca BSCC 2,50 x 2,50 m normal AC/BC</v>
          </cell>
          <cell r="D743" t="str">
            <v>und</v>
          </cell>
          <cell r="H743" t="str">
            <v>DNIT 025/2004-ES</v>
          </cell>
        </row>
        <row r="744">
          <cell r="A744" t="str">
            <v>2 S 04 201 54</v>
          </cell>
          <cell r="B744" t="str">
            <v>-</v>
          </cell>
          <cell r="C744" t="str">
            <v>Boca BSCC 3,00 x 3,00 m normal AC/BC</v>
          </cell>
          <cell r="D744" t="str">
            <v>und</v>
          </cell>
          <cell r="H744" t="str">
            <v>DNIT 025/2004-ES</v>
          </cell>
        </row>
        <row r="745">
          <cell r="A745" t="str">
            <v>2 S 04 201 55</v>
          </cell>
          <cell r="B745" t="str">
            <v>-</v>
          </cell>
          <cell r="C745" t="str">
            <v>Boca BSCC 1,50 x 1,50 m - esc=15 AC/BC</v>
          </cell>
          <cell r="D745" t="str">
            <v>und</v>
          </cell>
          <cell r="H745" t="str">
            <v>DNIT 025/2004-ES</v>
          </cell>
        </row>
        <row r="746">
          <cell r="A746" t="str">
            <v>2 S 04 201 56</v>
          </cell>
          <cell r="B746" t="str">
            <v>-</v>
          </cell>
          <cell r="C746" t="str">
            <v>Boca BSCC 2,00 x 2,00 m - esc=15 AC/BC</v>
          </cell>
          <cell r="D746" t="str">
            <v>und</v>
          </cell>
          <cell r="H746" t="str">
            <v>DNIT 025/2004-ES</v>
          </cell>
        </row>
        <row r="747">
          <cell r="A747" t="str">
            <v>2 S 04 201 57</v>
          </cell>
          <cell r="B747" t="str">
            <v>-</v>
          </cell>
          <cell r="C747" t="str">
            <v>Boca BSCC 2,50 x 2,50 m - esc=15 AC/BC</v>
          </cell>
          <cell r="D747" t="str">
            <v>und</v>
          </cell>
          <cell r="H747" t="str">
            <v>DNIT 025/2004-ES</v>
          </cell>
        </row>
        <row r="748">
          <cell r="A748" t="str">
            <v>2 S 04 201 58</v>
          </cell>
          <cell r="B748" t="str">
            <v>-</v>
          </cell>
          <cell r="C748" t="str">
            <v>Boca BSCC 3,00 x 3,00 m - esc=15 AC/BC</v>
          </cell>
          <cell r="D748" t="str">
            <v>und</v>
          </cell>
          <cell r="H748" t="str">
            <v>DNIT 025/2004-ES</v>
          </cell>
        </row>
        <row r="749">
          <cell r="A749" t="str">
            <v>2 S 04 201 59</v>
          </cell>
          <cell r="B749" t="str">
            <v>-</v>
          </cell>
          <cell r="C749" t="str">
            <v>Boca BSCC 1,50 x 1,50 m - esc=30 AC/BC</v>
          </cell>
          <cell r="D749" t="str">
            <v>und</v>
          </cell>
          <cell r="H749" t="str">
            <v>DNIT 025/2004-ES</v>
          </cell>
        </row>
        <row r="750">
          <cell r="A750" t="str">
            <v>2 S 04 201 60</v>
          </cell>
          <cell r="B750" t="str">
            <v>-</v>
          </cell>
          <cell r="C750" t="str">
            <v>Boca BSCC 2,00 x 2,00 m - esc=30 AC/BC</v>
          </cell>
          <cell r="D750" t="str">
            <v>und</v>
          </cell>
          <cell r="H750" t="str">
            <v>DNIT 025/2004-ES</v>
          </cell>
        </row>
        <row r="751">
          <cell r="A751" t="str">
            <v>2 S 04 201 61</v>
          </cell>
          <cell r="B751" t="str">
            <v>-</v>
          </cell>
          <cell r="C751" t="str">
            <v>Boca BSCC 2,50 x 2,50 m - esc=30 AC/BC</v>
          </cell>
          <cell r="D751" t="str">
            <v>und</v>
          </cell>
          <cell r="H751" t="str">
            <v>DNIT 025/2004-ES</v>
          </cell>
        </row>
        <row r="752">
          <cell r="A752" t="str">
            <v>2 S 04 201 62</v>
          </cell>
          <cell r="B752" t="str">
            <v>-</v>
          </cell>
          <cell r="C752" t="str">
            <v>Boca BSCC 3,00 x 3,00 m - esc=30 AC/BC</v>
          </cell>
          <cell r="D752" t="str">
            <v>und</v>
          </cell>
          <cell r="H752" t="str">
            <v>DNIT 025/2004-ES</v>
          </cell>
        </row>
        <row r="753">
          <cell r="A753" t="str">
            <v>2 S 04 201 63</v>
          </cell>
          <cell r="B753" t="str">
            <v>-</v>
          </cell>
          <cell r="C753" t="str">
            <v>Boca BSCC 1,50 x 1,50 m - esc=45 AC/BC</v>
          </cell>
          <cell r="D753" t="str">
            <v>und</v>
          </cell>
          <cell r="H753" t="str">
            <v>DNIT 025/2004-ES</v>
          </cell>
        </row>
        <row r="754">
          <cell r="A754" t="str">
            <v>2 S 04 201 64</v>
          </cell>
          <cell r="B754" t="str">
            <v>-</v>
          </cell>
          <cell r="C754" t="str">
            <v>Boca BSCC 2,00 x 2,00 m - esc=45 AC/BC</v>
          </cell>
          <cell r="D754" t="str">
            <v>und</v>
          </cell>
          <cell r="H754" t="str">
            <v>DNIT 025/2004-ES</v>
          </cell>
        </row>
        <row r="755">
          <cell r="A755" t="str">
            <v>2 S 04 201 65</v>
          </cell>
          <cell r="B755" t="str">
            <v>-</v>
          </cell>
          <cell r="C755" t="str">
            <v>Boca BSCC 2,50 x 2,50 m - esc=45 AC/BC</v>
          </cell>
          <cell r="D755" t="str">
            <v>und</v>
          </cell>
          <cell r="H755" t="str">
            <v>DNIT 025/2004-ES</v>
          </cell>
        </row>
        <row r="756">
          <cell r="A756" t="str">
            <v>2 S 04 201 66</v>
          </cell>
          <cell r="B756" t="str">
            <v>-</v>
          </cell>
          <cell r="C756" t="str">
            <v>Boca BSCC 3,00 x 3,00 m - esc=45 AC/BC</v>
          </cell>
          <cell r="D756" t="str">
            <v>und</v>
          </cell>
          <cell r="H756" t="str">
            <v>DNIT 025/2004-ES</v>
          </cell>
        </row>
        <row r="757">
          <cell r="A757" t="str">
            <v>2 S 04 210 01</v>
          </cell>
          <cell r="B757" t="str">
            <v>-</v>
          </cell>
          <cell r="C757" t="str">
            <v>Corpo BDCC 1,50 x 1,50 m alt. 0 a 1,00 m</v>
          </cell>
          <cell r="D757" t="str">
            <v>m</v>
          </cell>
          <cell r="H757" t="str">
            <v>DNIT 025/2004-ES</v>
          </cell>
        </row>
        <row r="758">
          <cell r="A758" t="str">
            <v>2 S 04 210 02</v>
          </cell>
          <cell r="B758" t="str">
            <v>-</v>
          </cell>
          <cell r="C758" t="str">
            <v>Corpo BDCC 2,00 x 2,00 m alt. 0 a 1,00 m</v>
          </cell>
          <cell r="D758" t="str">
            <v>m</v>
          </cell>
          <cell r="H758" t="str">
            <v>DNIT 025/2004-ES</v>
          </cell>
        </row>
        <row r="759">
          <cell r="A759" t="str">
            <v>2 S 04 210 03</v>
          </cell>
          <cell r="B759" t="str">
            <v>-</v>
          </cell>
          <cell r="C759" t="str">
            <v>Corpo BDCC 2,50 x 2,50 m alt. 0 a 1,00 m</v>
          </cell>
          <cell r="D759" t="str">
            <v>m</v>
          </cell>
          <cell r="H759" t="str">
            <v>DNIT 025/2004-ES</v>
          </cell>
        </row>
        <row r="760">
          <cell r="A760" t="str">
            <v>2 S 04 210 04</v>
          </cell>
          <cell r="B760" t="str">
            <v>-</v>
          </cell>
          <cell r="C760" t="str">
            <v>Corpo BDCC 3,00 x 3,00 m alt. 0 a 1,00</v>
          </cell>
          <cell r="D760" t="str">
            <v>m</v>
          </cell>
          <cell r="H760" t="str">
            <v>DNIT 025/2004-ES</v>
          </cell>
        </row>
        <row r="761">
          <cell r="A761" t="str">
            <v>2 S 04 210 05</v>
          </cell>
          <cell r="B761" t="str">
            <v>-</v>
          </cell>
          <cell r="C761" t="str">
            <v>Corpo BDCC 1,50 x 1,50 m alt. 1,00 a 2,50 m</v>
          </cell>
          <cell r="D761" t="str">
            <v>m</v>
          </cell>
          <cell r="H761" t="str">
            <v>DNIT 025/2004-ES</v>
          </cell>
        </row>
        <row r="762">
          <cell r="A762" t="str">
            <v>2 S 04 210 06</v>
          </cell>
          <cell r="B762" t="str">
            <v>-</v>
          </cell>
          <cell r="C762" t="str">
            <v>Corpo BDCC 2,00 x 2,00 m alt. 1,00 a 2,50 m</v>
          </cell>
          <cell r="D762" t="str">
            <v>m</v>
          </cell>
          <cell r="H762" t="str">
            <v>DNIT 025/2004-ES</v>
          </cell>
        </row>
        <row r="763">
          <cell r="A763" t="str">
            <v>2 S 04 210 07</v>
          </cell>
          <cell r="B763" t="str">
            <v>-</v>
          </cell>
          <cell r="C763" t="str">
            <v>Corpo BDCC 2,50 x 2,50 m alt. 1,00 a 2,50 m</v>
          </cell>
          <cell r="D763" t="str">
            <v>m</v>
          </cell>
          <cell r="H763" t="str">
            <v>DNIT 025/2004-ES</v>
          </cell>
        </row>
        <row r="764">
          <cell r="A764" t="str">
            <v>2 S 04 210 08</v>
          </cell>
          <cell r="B764" t="str">
            <v>-</v>
          </cell>
          <cell r="C764" t="str">
            <v>Corpo BDCC 3,00 x 3,00 m alt. 1,00 a 2,50 m</v>
          </cell>
          <cell r="D764" t="str">
            <v>m</v>
          </cell>
          <cell r="H764" t="str">
            <v>DNIT 025/2004-ES</v>
          </cell>
        </row>
        <row r="765">
          <cell r="A765" t="str">
            <v>2 S 04 210 09</v>
          </cell>
          <cell r="B765" t="str">
            <v>-</v>
          </cell>
          <cell r="C765" t="str">
            <v>Corpo BDCC 1,50 x 1,50 m alt. 2,50 a 5,00 m</v>
          </cell>
          <cell r="D765" t="str">
            <v>m</v>
          </cell>
          <cell r="H765" t="str">
            <v>DNIT 025/2004-ES</v>
          </cell>
        </row>
        <row r="766">
          <cell r="A766" t="str">
            <v>2 S 04 210 10</v>
          </cell>
          <cell r="B766" t="str">
            <v>-</v>
          </cell>
          <cell r="C766" t="str">
            <v>Corpo BDCC 2,00 x 2,00 m alt. 2,50 a 5,00 m</v>
          </cell>
          <cell r="D766" t="str">
            <v>m</v>
          </cell>
          <cell r="H766" t="str">
            <v>DNIT 025/2004-ES</v>
          </cell>
        </row>
        <row r="767">
          <cell r="A767" t="str">
            <v>2 S 04 210 11</v>
          </cell>
          <cell r="B767" t="str">
            <v>-</v>
          </cell>
          <cell r="C767" t="str">
            <v>Corpo BDCC 2,50 x 2,50 m alt. 2,50 a 5,00 m</v>
          </cell>
          <cell r="D767" t="str">
            <v>m</v>
          </cell>
          <cell r="H767" t="str">
            <v>DNIT 025/2004-ES</v>
          </cell>
        </row>
        <row r="768">
          <cell r="A768" t="str">
            <v>2 S 04 210 12</v>
          </cell>
          <cell r="B768" t="str">
            <v>-</v>
          </cell>
          <cell r="C768" t="str">
            <v>Corpo BDCC 3,00 x 3,00 m alt. 2,50 a 5,00 m</v>
          </cell>
          <cell r="D768" t="str">
            <v>m</v>
          </cell>
          <cell r="H768" t="str">
            <v>DNIT 025/2004-ES</v>
          </cell>
        </row>
        <row r="769">
          <cell r="A769" t="str">
            <v>2 S 04 210 13</v>
          </cell>
          <cell r="B769" t="str">
            <v>-</v>
          </cell>
          <cell r="C769" t="str">
            <v>Corpo BDCC 1,50 x 1,50 m alt. 5,00 a 7,50 m</v>
          </cell>
          <cell r="D769" t="str">
            <v>m</v>
          </cell>
          <cell r="H769" t="str">
            <v>DNIT 025/2004-ES</v>
          </cell>
        </row>
        <row r="770">
          <cell r="A770" t="str">
            <v>2 S 04 210 14</v>
          </cell>
          <cell r="B770" t="str">
            <v>-</v>
          </cell>
          <cell r="C770" t="str">
            <v>Corpo BDCC 2,00 a 2,00 m alt. 5,00 a 7,50 m</v>
          </cell>
          <cell r="D770" t="str">
            <v>m</v>
          </cell>
          <cell r="H770" t="str">
            <v>DNIT 025/2004-ES</v>
          </cell>
        </row>
        <row r="771">
          <cell r="A771" t="str">
            <v>2 S 04 210 15</v>
          </cell>
          <cell r="B771" t="str">
            <v>-</v>
          </cell>
          <cell r="C771" t="str">
            <v>Corpo BDCC 2,50 x 2,50 m alt. 5,00 a 7,50 m</v>
          </cell>
          <cell r="D771" t="str">
            <v>m</v>
          </cell>
          <cell r="H771" t="str">
            <v>DNIT 025/2004-ES</v>
          </cell>
        </row>
        <row r="772">
          <cell r="A772" t="str">
            <v>2 S 04 210 16</v>
          </cell>
          <cell r="B772" t="str">
            <v>-</v>
          </cell>
          <cell r="C772" t="str">
            <v>Corpo BDCC 3,00 x 3,00 m alt. 5,00 a 7,50 m</v>
          </cell>
          <cell r="D772" t="str">
            <v>m</v>
          </cell>
          <cell r="H772" t="str">
            <v>DNIT 025/2004-ES</v>
          </cell>
        </row>
        <row r="773">
          <cell r="A773" t="str">
            <v>2 S 04 210 17</v>
          </cell>
          <cell r="B773" t="str">
            <v>-</v>
          </cell>
          <cell r="C773" t="str">
            <v>Corpo BDCC 1,50 x 1,50 m alt. 7,50 a 10,00 m</v>
          </cell>
          <cell r="D773" t="str">
            <v>m</v>
          </cell>
          <cell r="H773" t="str">
            <v>DNIT 025/2004-ES</v>
          </cell>
        </row>
        <row r="774">
          <cell r="A774" t="str">
            <v>2 S 04 210 18</v>
          </cell>
          <cell r="B774" t="str">
            <v>-</v>
          </cell>
          <cell r="C774" t="str">
            <v>Corpo BDCC 2,00 x 2,00 m alt. 7,50 a 10,00 m</v>
          </cell>
          <cell r="D774" t="str">
            <v>m</v>
          </cell>
          <cell r="H774" t="str">
            <v>DNIT 025/2004-ES</v>
          </cell>
        </row>
        <row r="775">
          <cell r="A775" t="str">
            <v>2 S 04 210 19</v>
          </cell>
          <cell r="B775" t="str">
            <v>-</v>
          </cell>
          <cell r="C775" t="str">
            <v>Corpo BDCC 2,50 x 2,50 m alt. 7,50 a 10,00 m</v>
          </cell>
          <cell r="D775" t="str">
            <v>m</v>
          </cell>
          <cell r="H775" t="str">
            <v>DNIT 025/2004-ES</v>
          </cell>
        </row>
        <row r="776">
          <cell r="A776" t="str">
            <v>2 S 04 210 20</v>
          </cell>
          <cell r="B776" t="str">
            <v>-</v>
          </cell>
          <cell r="C776" t="str">
            <v>Corpo BDCC 3,00 x 3,00 m alt. 7,50 a 10,00 m</v>
          </cell>
          <cell r="D776" t="str">
            <v>m</v>
          </cell>
          <cell r="H776" t="str">
            <v>DNIT 025/2004-ES</v>
          </cell>
        </row>
        <row r="777">
          <cell r="A777" t="str">
            <v>2 S 04 210 21</v>
          </cell>
          <cell r="B777" t="str">
            <v>-</v>
          </cell>
          <cell r="C777" t="str">
            <v>Corpo BDCC 1,50 x 1,50 m alt. 10,00 a 12,50 m</v>
          </cell>
          <cell r="D777" t="str">
            <v>m</v>
          </cell>
          <cell r="H777" t="str">
            <v>DNIT 025/2004-ES</v>
          </cell>
        </row>
        <row r="778">
          <cell r="A778" t="str">
            <v>2 S 04 210 22</v>
          </cell>
          <cell r="B778" t="str">
            <v>-</v>
          </cell>
          <cell r="C778" t="str">
            <v>Corpo BDCC 2,00 x 2,00 m alt. 10,00 a 12,50 m</v>
          </cell>
          <cell r="D778" t="str">
            <v>m</v>
          </cell>
          <cell r="H778" t="str">
            <v>DNIT 025/2004-ES</v>
          </cell>
        </row>
        <row r="779">
          <cell r="A779" t="str">
            <v>2 S 04 210 23</v>
          </cell>
          <cell r="B779" t="str">
            <v>-</v>
          </cell>
          <cell r="C779" t="str">
            <v>Corpo BDCC 2,50 x 2,50 m alt. 10,00 a 12,50 m</v>
          </cell>
          <cell r="D779" t="str">
            <v>m</v>
          </cell>
          <cell r="H779" t="str">
            <v>DNIT 025/2004-ES</v>
          </cell>
        </row>
        <row r="780">
          <cell r="A780" t="str">
            <v>2 S 04 210 24</v>
          </cell>
          <cell r="B780" t="str">
            <v>-</v>
          </cell>
          <cell r="C780" t="str">
            <v>Corpo BDCC 3,00 x 3,00 m alt. 10,00 a 12,50 m</v>
          </cell>
          <cell r="D780" t="str">
            <v>m</v>
          </cell>
          <cell r="H780" t="str">
            <v>DNIT 025/2004-ES</v>
          </cell>
        </row>
        <row r="781">
          <cell r="A781" t="str">
            <v>2 S 04 210 25</v>
          </cell>
          <cell r="B781" t="str">
            <v>-</v>
          </cell>
          <cell r="C781" t="str">
            <v>Corpo BDCC 1,50 x 1,50 m alt. 12,50 a 15,00 m</v>
          </cell>
          <cell r="D781" t="str">
            <v>m</v>
          </cell>
          <cell r="H781" t="str">
            <v>DNIT 025/2004-ES</v>
          </cell>
        </row>
        <row r="782">
          <cell r="A782" t="str">
            <v>2 S 04 210 26</v>
          </cell>
          <cell r="B782" t="str">
            <v>-</v>
          </cell>
          <cell r="C782" t="str">
            <v>Corpo BDCC 2,00 x 2,00 m alt. 12,50 a 15,00 m</v>
          </cell>
          <cell r="D782" t="str">
            <v>m</v>
          </cell>
          <cell r="H782" t="str">
            <v>DNIT 025/2004-ES</v>
          </cell>
        </row>
        <row r="783">
          <cell r="A783" t="str">
            <v>2 S 04 210 27</v>
          </cell>
          <cell r="B783" t="str">
            <v>-</v>
          </cell>
          <cell r="C783" t="str">
            <v>Corpo BDCC 2,50 x 2,50 m alt. 12,50 a 15,00 m</v>
          </cell>
          <cell r="D783" t="str">
            <v>m</v>
          </cell>
          <cell r="H783" t="str">
            <v>DNIT 025/2004-ES</v>
          </cell>
        </row>
        <row r="784">
          <cell r="A784" t="str">
            <v>2 S 04 210 28</v>
          </cell>
          <cell r="B784" t="str">
            <v>-</v>
          </cell>
          <cell r="C784" t="str">
            <v>Corpo BDCC 3,00 x 3,00 m alt. 12,50 a 15,00 m</v>
          </cell>
          <cell r="D784" t="str">
            <v>m</v>
          </cell>
          <cell r="H784" t="str">
            <v>DNIT 025/2004-ES</v>
          </cell>
        </row>
        <row r="785">
          <cell r="A785" t="str">
            <v>2 S 04 210 51</v>
          </cell>
          <cell r="B785" t="str">
            <v>-</v>
          </cell>
          <cell r="C785" t="str">
            <v>Corpo BDCC 1,50 x 1,50 m alt. 0 a 1,00 m AC/BC</v>
          </cell>
          <cell r="D785" t="str">
            <v>m</v>
          </cell>
          <cell r="H785" t="str">
            <v>DNIT 025/2004-ES</v>
          </cell>
        </row>
        <row r="786">
          <cell r="A786" t="str">
            <v>2 S 04 210 52</v>
          </cell>
          <cell r="B786" t="str">
            <v>-</v>
          </cell>
          <cell r="C786" t="str">
            <v>Corpo BDCC 2,00 x 2,00 m alt. 0 a 1,00 m AC/BC</v>
          </cell>
          <cell r="D786" t="str">
            <v>m</v>
          </cell>
          <cell r="H786" t="str">
            <v>DNIT 025/2004-ES</v>
          </cell>
        </row>
        <row r="787">
          <cell r="A787" t="str">
            <v>2 S 04 210 53</v>
          </cell>
          <cell r="B787" t="str">
            <v>-</v>
          </cell>
          <cell r="C787" t="str">
            <v>Corpo BDCC 2,50 a 2,50 m alt. 0 a 1,00 m AC/BC</v>
          </cell>
          <cell r="D787" t="str">
            <v>m</v>
          </cell>
          <cell r="H787" t="str">
            <v>DNIT 025/2004-ES</v>
          </cell>
        </row>
        <row r="788">
          <cell r="A788" t="str">
            <v>2 S 04 210 54</v>
          </cell>
          <cell r="B788" t="str">
            <v>-</v>
          </cell>
          <cell r="C788" t="str">
            <v>Corpo BDCC 3,00 x 3,00 m alt. 0 a 1,00 m AC/BC</v>
          </cell>
          <cell r="D788" t="str">
            <v>m</v>
          </cell>
          <cell r="H788" t="str">
            <v>DNIT 025/2004-ES</v>
          </cell>
        </row>
        <row r="789">
          <cell r="A789" t="str">
            <v>2 S 04 210 55</v>
          </cell>
          <cell r="B789" t="str">
            <v>-</v>
          </cell>
          <cell r="C789" t="str">
            <v>Corpo BDCC 1,50 x 1,50 m alt. 1,00 a 2,50 m AC/BC</v>
          </cell>
          <cell r="D789" t="str">
            <v>m</v>
          </cell>
          <cell r="H789" t="str">
            <v>DNIT 025/2004-ES</v>
          </cell>
        </row>
        <row r="790">
          <cell r="A790" t="str">
            <v>2 S 04 210 56</v>
          </cell>
          <cell r="B790" t="str">
            <v>-</v>
          </cell>
          <cell r="C790" t="str">
            <v>Corpo BDCC 2,00 x 2,00 m alt. 1,00 a 2,50 m AC/BC</v>
          </cell>
          <cell r="D790" t="str">
            <v>m</v>
          </cell>
          <cell r="H790" t="str">
            <v>DNIT 025/2004-ES</v>
          </cell>
        </row>
        <row r="791">
          <cell r="A791" t="str">
            <v>2 S 04 210 57</v>
          </cell>
          <cell r="B791" t="str">
            <v>-</v>
          </cell>
          <cell r="C791" t="str">
            <v>Corpo BDCC 2,50 x 2,50 m alt. 1,00 a 2,50 m AC/BC</v>
          </cell>
          <cell r="D791" t="str">
            <v>m</v>
          </cell>
          <cell r="H791" t="str">
            <v>DNIT 025/2004-ES</v>
          </cell>
        </row>
        <row r="792">
          <cell r="A792" t="str">
            <v>2 S 04 210 58</v>
          </cell>
          <cell r="B792" t="str">
            <v>-</v>
          </cell>
          <cell r="C792" t="str">
            <v>Corpo BDCC 3,00 x 3,00 m alt. 1,00 a 2,50 m AC/BC</v>
          </cell>
          <cell r="D792" t="str">
            <v>m</v>
          </cell>
          <cell r="H792" t="str">
            <v>DNIT 025/2004-ES</v>
          </cell>
        </row>
        <row r="793">
          <cell r="A793" t="str">
            <v>2 S 04 210 59</v>
          </cell>
          <cell r="B793" t="str">
            <v>-</v>
          </cell>
          <cell r="C793" t="str">
            <v>Corpo BDCC 1,50 x 1,50 m alt. 2,50 a 5,00 m AC/BC</v>
          </cell>
          <cell r="D793" t="str">
            <v>m</v>
          </cell>
          <cell r="H793" t="str">
            <v>DNIT 025/2004-ES</v>
          </cell>
        </row>
        <row r="794">
          <cell r="A794" t="str">
            <v>2 S 04 210 60</v>
          </cell>
          <cell r="B794" t="str">
            <v>-</v>
          </cell>
          <cell r="C794" t="str">
            <v>Corpo BDCC 2,00 x 2,00 m alt. 2,50 a 5,00 m AC/BC</v>
          </cell>
          <cell r="D794" t="str">
            <v>m</v>
          </cell>
          <cell r="H794" t="str">
            <v>DNIT 025/2004-ES</v>
          </cell>
        </row>
        <row r="795">
          <cell r="A795" t="str">
            <v>2 S 04 210 61</v>
          </cell>
          <cell r="B795" t="str">
            <v>-</v>
          </cell>
          <cell r="C795" t="str">
            <v>Corpo BDCC 2,50 x 2,50 m alt. 2,50 a 5,00 m AC/BC</v>
          </cell>
          <cell r="D795" t="str">
            <v>m</v>
          </cell>
          <cell r="H795" t="str">
            <v>DNIT 025/2004-ES</v>
          </cell>
        </row>
        <row r="796">
          <cell r="A796" t="str">
            <v>2 S 04 210 62</v>
          </cell>
          <cell r="B796" t="str">
            <v>-</v>
          </cell>
          <cell r="C796" t="str">
            <v>Corpo BDCC 3,00 x 3,00 m alt. 2,50 a 5,00 m AC/BC</v>
          </cell>
          <cell r="D796" t="str">
            <v>m</v>
          </cell>
          <cell r="H796" t="str">
            <v>DNIT 025/2004-ES</v>
          </cell>
        </row>
        <row r="797">
          <cell r="A797" t="str">
            <v>2 S 04 210 63</v>
          </cell>
          <cell r="B797" t="str">
            <v>-</v>
          </cell>
          <cell r="C797" t="str">
            <v>Corpo BDCC 1,50 x 1,50 m alt. 5,00 a 7,50 m AC/BC</v>
          </cell>
          <cell r="D797" t="str">
            <v>m</v>
          </cell>
          <cell r="H797" t="str">
            <v>DNIT 025/2004-ES</v>
          </cell>
        </row>
        <row r="798">
          <cell r="A798" t="str">
            <v>2 S 04 210 64</v>
          </cell>
          <cell r="B798" t="str">
            <v>-</v>
          </cell>
          <cell r="C798" t="str">
            <v>Corpo BDCC 2,00 x 2,00 m alt. 5,00 a 7,50 m AC/BC</v>
          </cell>
          <cell r="D798" t="str">
            <v>m</v>
          </cell>
          <cell r="H798" t="str">
            <v>DNIT 025/2004-ES</v>
          </cell>
        </row>
        <row r="799">
          <cell r="A799" t="str">
            <v>2 S 04 210 65</v>
          </cell>
          <cell r="B799" t="str">
            <v>-</v>
          </cell>
          <cell r="C799" t="str">
            <v>Corpo BDCC 2,50 x 2,50 m alt. 5,00 a 7,50 m AC/BC</v>
          </cell>
          <cell r="D799" t="str">
            <v>m</v>
          </cell>
          <cell r="H799" t="str">
            <v>DNIT 025/2004-ES</v>
          </cell>
        </row>
        <row r="800">
          <cell r="A800" t="str">
            <v>2 S 04 210 66</v>
          </cell>
          <cell r="B800" t="str">
            <v>-</v>
          </cell>
          <cell r="C800" t="str">
            <v>Corpo BDCC 3,00 x 3,00 m alt. 5,00 a 7,50 m AC/BC</v>
          </cell>
          <cell r="D800" t="str">
            <v>m</v>
          </cell>
          <cell r="H800" t="str">
            <v>DNIT 025/2004-ES</v>
          </cell>
        </row>
        <row r="801">
          <cell r="A801" t="str">
            <v>2 S 04 210 67</v>
          </cell>
          <cell r="B801" t="str">
            <v>-</v>
          </cell>
          <cell r="C801" t="str">
            <v>Corpo BDCC 1,50 x 1,50 m alt. 7,50 a 10,00 m AC/BC</v>
          </cell>
          <cell r="D801" t="str">
            <v>m</v>
          </cell>
          <cell r="H801" t="str">
            <v>DNIT 025/2004-ES</v>
          </cell>
        </row>
        <row r="802">
          <cell r="A802" t="str">
            <v>2 S 04 210 68</v>
          </cell>
          <cell r="B802" t="str">
            <v>-</v>
          </cell>
          <cell r="C802" t="str">
            <v>Corpo BDCC 2,00 x 2,00 m alt. 7,50 a 10,00 m AC/BC</v>
          </cell>
          <cell r="D802" t="str">
            <v>m</v>
          </cell>
          <cell r="H802" t="str">
            <v>DNIT 025/2004-ES</v>
          </cell>
        </row>
        <row r="803">
          <cell r="A803" t="str">
            <v>2 S 04 210 69</v>
          </cell>
          <cell r="B803" t="str">
            <v>-</v>
          </cell>
          <cell r="C803" t="str">
            <v>Corpo BDCC 2,50 x 2,50 m alt. 7,50 a 10,00 m AC/BC</v>
          </cell>
          <cell r="D803" t="str">
            <v>m</v>
          </cell>
          <cell r="H803" t="str">
            <v>DNIT 025/2004-ES</v>
          </cell>
        </row>
        <row r="804">
          <cell r="A804" t="str">
            <v>2 S 04 210 70</v>
          </cell>
          <cell r="B804" t="str">
            <v>-</v>
          </cell>
          <cell r="C804" t="str">
            <v>Corpo BDCC 3,00 x 3,00 m alt. 7,50 a 10,00 m AC/BC</v>
          </cell>
          <cell r="D804" t="str">
            <v>m</v>
          </cell>
          <cell r="H804" t="str">
            <v>DNIT 025/2004-ES</v>
          </cell>
        </row>
        <row r="805">
          <cell r="A805" t="str">
            <v>2 S 04 210 71</v>
          </cell>
          <cell r="B805" t="str">
            <v>-</v>
          </cell>
          <cell r="C805" t="str">
            <v>Corpo BDCC 1,50 x 1,50 m alt.10,00 a 12,50 m AC/BC</v>
          </cell>
          <cell r="D805" t="str">
            <v>m</v>
          </cell>
          <cell r="H805" t="str">
            <v>DNIT 025/2004-ES</v>
          </cell>
        </row>
        <row r="806">
          <cell r="A806" t="str">
            <v>2 S 04 210 72</v>
          </cell>
          <cell r="B806" t="str">
            <v>-</v>
          </cell>
          <cell r="C806" t="str">
            <v>Corpo BDCC 2,00 x 2,00 m alt.10,00 a 12,50 m AC/BC</v>
          </cell>
          <cell r="D806" t="str">
            <v>m</v>
          </cell>
          <cell r="H806" t="str">
            <v>DNIT 025/2004-ES</v>
          </cell>
        </row>
        <row r="807">
          <cell r="A807" t="str">
            <v>2 S 04 210 73</v>
          </cell>
          <cell r="B807" t="str">
            <v>-</v>
          </cell>
          <cell r="C807" t="str">
            <v>Corpo BDCC 2,50 x 2,50 m alt.10,00 a 12,50 m AC/BC</v>
          </cell>
          <cell r="D807" t="str">
            <v>m</v>
          </cell>
          <cell r="H807" t="str">
            <v>DNIT 025/2004-ES</v>
          </cell>
        </row>
        <row r="808">
          <cell r="A808" t="str">
            <v>2 S 04 210 74</v>
          </cell>
          <cell r="B808" t="str">
            <v>-</v>
          </cell>
          <cell r="C808" t="str">
            <v>Corpo BDCC 3,00 x 3,00 m alt.10,00 a 12,50 m AC/BC</v>
          </cell>
          <cell r="D808" t="str">
            <v>m</v>
          </cell>
          <cell r="H808" t="str">
            <v>DNIT 025/2004-ES</v>
          </cell>
        </row>
        <row r="809">
          <cell r="A809" t="str">
            <v>2 S 04 210 75</v>
          </cell>
          <cell r="B809" t="str">
            <v>-</v>
          </cell>
          <cell r="C809" t="str">
            <v>Corpo BDCC 1,50 x 1,50 m alt.12,50 a 15,00 m AC/BC</v>
          </cell>
          <cell r="D809" t="str">
            <v>m</v>
          </cell>
          <cell r="H809" t="str">
            <v>DNIT 025/2004-ES</v>
          </cell>
        </row>
        <row r="810">
          <cell r="A810" t="str">
            <v>2 S 04 210 76</v>
          </cell>
          <cell r="B810" t="str">
            <v>-</v>
          </cell>
          <cell r="C810" t="str">
            <v>Corpo BDCC 2,00 x 2,00 m alt.12,50 a 15,00 m AC/BC</v>
          </cell>
          <cell r="D810" t="str">
            <v>m</v>
          </cell>
          <cell r="H810" t="str">
            <v>DNIT 025/2004-ES</v>
          </cell>
        </row>
        <row r="811">
          <cell r="A811" t="str">
            <v>2 S 04 210 77</v>
          </cell>
          <cell r="B811" t="str">
            <v>-</v>
          </cell>
          <cell r="C811" t="str">
            <v>Corpo BDCC 2,50 x 2,50 m alt.12,50 a 15,00 m AC/BC</v>
          </cell>
          <cell r="D811" t="str">
            <v>m</v>
          </cell>
          <cell r="H811" t="str">
            <v>DNIT 025/2004-ES</v>
          </cell>
        </row>
        <row r="812">
          <cell r="A812" t="str">
            <v>2 S 04 210 78</v>
          </cell>
          <cell r="B812" t="str">
            <v>-</v>
          </cell>
          <cell r="C812" t="str">
            <v>Corpo BDCC 3,00 x 3,00 m alt.12,50 a 15,00 m AC/BC</v>
          </cell>
          <cell r="D812" t="str">
            <v>m</v>
          </cell>
          <cell r="H812" t="str">
            <v>DNIT 025/2004-ES</v>
          </cell>
        </row>
        <row r="813">
          <cell r="A813" t="str">
            <v>2 S 04 211 01</v>
          </cell>
          <cell r="B813" t="str">
            <v>-</v>
          </cell>
          <cell r="C813" t="str">
            <v>Boca BDCC 1,50 x 1,50 m normal</v>
          </cell>
          <cell r="D813" t="str">
            <v>und</v>
          </cell>
          <cell r="H813" t="str">
            <v>DNIT 025/2004-ES</v>
          </cell>
        </row>
        <row r="814">
          <cell r="A814" t="str">
            <v>2 S 04 211 02</v>
          </cell>
          <cell r="B814" t="str">
            <v>-</v>
          </cell>
          <cell r="C814" t="str">
            <v>Boca BDCC 2,00 x 2,00 m normal</v>
          </cell>
          <cell r="D814" t="str">
            <v>und</v>
          </cell>
          <cell r="H814" t="str">
            <v>DNIT 025/2004-ES</v>
          </cell>
        </row>
        <row r="815">
          <cell r="A815" t="str">
            <v>2 S 04 211 03</v>
          </cell>
          <cell r="B815" t="str">
            <v>-</v>
          </cell>
          <cell r="C815" t="str">
            <v>Boca BDCC 2,50 x 2,50 m normal</v>
          </cell>
          <cell r="D815" t="str">
            <v>und</v>
          </cell>
          <cell r="H815" t="str">
            <v>DNIT 025/2004-ES</v>
          </cell>
        </row>
        <row r="816">
          <cell r="A816" t="str">
            <v>2 S 04 211 04</v>
          </cell>
          <cell r="B816" t="str">
            <v>-</v>
          </cell>
          <cell r="C816" t="str">
            <v>Boca BDCC 3,00 x 3,00 m normal</v>
          </cell>
          <cell r="D816" t="str">
            <v>und</v>
          </cell>
          <cell r="H816" t="str">
            <v>DNIT 025/2004-ES</v>
          </cell>
        </row>
        <row r="817">
          <cell r="A817" t="str">
            <v>2 S 04 211 05</v>
          </cell>
          <cell r="B817" t="str">
            <v>-</v>
          </cell>
          <cell r="C817" t="str">
            <v>Boca BDCC 1,50 x 1,50 m esc.=15</v>
          </cell>
          <cell r="D817" t="str">
            <v>und</v>
          </cell>
          <cell r="H817" t="str">
            <v>DNIT 025/2004-ES</v>
          </cell>
        </row>
        <row r="818">
          <cell r="A818" t="str">
            <v>2 S 04 211 06</v>
          </cell>
          <cell r="B818" t="str">
            <v>-</v>
          </cell>
          <cell r="C818" t="str">
            <v>Boca BDCC 2,00 x 2,00 m esc=15</v>
          </cell>
          <cell r="D818" t="str">
            <v>und</v>
          </cell>
          <cell r="H818" t="str">
            <v>DNIT 025/2004-ES</v>
          </cell>
        </row>
        <row r="819">
          <cell r="A819" t="str">
            <v>2 S 04 211 07</v>
          </cell>
          <cell r="B819" t="str">
            <v>-</v>
          </cell>
          <cell r="C819" t="str">
            <v>Boca BDCC 2,50 x 2,50 m esc=15</v>
          </cell>
          <cell r="D819" t="str">
            <v>und</v>
          </cell>
          <cell r="H819" t="str">
            <v>DNIT 025/2004-ES</v>
          </cell>
        </row>
        <row r="820">
          <cell r="A820" t="str">
            <v>2 S 04 211 08</v>
          </cell>
          <cell r="B820" t="str">
            <v>-</v>
          </cell>
          <cell r="C820" t="str">
            <v>Boca BDCC 3,00 x 3,00 m esc=15</v>
          </cell>
          <cell r="D820" t="str">
            <v>und</v>
          </cell>
          <cell r="H820" t="str">
            <v>DNIT 025/2004-ES</v>
          </cell>
        </row>
        <row r="821">
          <cell r="A821" t="str">
            <v>2 S 04 211 09</v>
          </cell>
          <cell r="B821" t="str">
            <v>-</v>
          </cell>
          <cell r="C821" t="str">
            <v>Boca BDCC 1,50 x 1,50 m - esc.=30</v>
          </cell>
          <cell r="D821" t="str">
            <v>und</v>
          </cell>
          <cell r="H821" t="str">
            <v>DNIT 025/2004-ES</v>
          </cell>
        </row>
        <row r="822">
          <cell r="A822" t="str">
            <v>2 S 04 211 10</v>
          </cell>
          <cell r="B822" t="str">
            <v>-</v>
          </cell>
          <cell r="C822" t="str">
            <v>Boca BDCC 2,00 x 2,00 m esc=30</v>
          </cell>
          <cell r="D822" t="str">
            <v>und</v>
          </cell>
          <cell r="H822" t="str">
            <v>DNIT 025/2004-ES</v>
          </cell>
        </row>
        <row r="823">
          <cell r="A823" t="str">
            <v>2 S 04 211 11</v>
          </cell>
          <cell r="B823" t="str">
            <v>-</v>
          </cell>
          <cell r="C823" t="str">
            <v>Boca BDCC 2,50 x 2,50 m esc.=30</v>
          </cell>
          <cell r="D823" t="str">
            <v>und</v>
          </cell>
          <cell r="H823" t="str">
            <v>DNIT 025/2004-ES</v>
          </cell>
        </row>
        <row r="824">
          <cell r="A824" t="str">
            <v>2 S 04 211 12</v>
          </cell>
          <cell r="B824" t="str">
            <v>-</v>
          </cell>
          <cell r="C824" t="str">
            <v>Boca BDCC 3,00 x 3,00 m esc=30</v>
          </cell>
          <cell r="D824" t="str">
            <v>und</v>
          </cell>
          <cell r="H824" t="str">
            <v>DNIT 025/2004-ES</v>
          </cell>
        </row>
        <row r="825">
          <cell r="A825" t="str">
            <v>2 S 04 211 13</v>
          </cell>
          <cell r="B825" t="str">
            <v>-</v>
          </cell>
          <cell r="C825" t="str">
            <v>Boca BDCC 1,50 x 1,50 m esc=45</v>
          </cell>
          <cell r="D825" t="str">
            <v>Und</v>
          </cell>
          <cell r="H825" t="str">
            <v>DNIT 025/2004-ES</v>
          </cell>
        </row>
        <row r="826">
          <cell r="A826" t="str">
            <v>2 S 04 211 14</v>
          </cell>
          <cell r="B826" t="str">
            <v>-</v>
          </cell>
          <cell r="C826" t="str">
            <v>Boca BDCC 2,00 x 2,00 m esc=45</v>
          </cell>
          <cell r="D826" t="str">
            <v>Und</v>
          </cell>
          <cell r="H826" t="str">
            <v>DNIT 025/2004-ES</v>
          </cell>
        </row>
        <row r="827">
          <cell r="A827" t="str">
            <v>2 S 04 211 15</v>
          </cell>
          <cell r="B827" t="str">
            <v>-</v>
          </cell>
          <cell r="C827" t="str">
            <v>Boca BDCC 2,50 x 2,50 m esc=45</v>
          </cell>
          <cell r="D827" t="str">
            <v>Und</v>
          </cell>
          <cell r="H827" t="str">
            <v>DNIT 025/2004-ES</v>
          </cell>
        </row>
        <row r="828">
          <cell r="A828" t="str">
            <v>2 S 04 211 16</v>
          </cell>
          <cell r="B828" t="str">
            <v>-</v>
          </cell>
          <cell r="C828" t="str">
            <v>Boca BDCC 3,00x3,00m - esc=45</v>
          </cell>
          <cell r="D828" t="str">
            <v>Und</v>
          </cell>
          <cell r="H828" t="str">
            <v>DNIT 025/2004-ES</v>
          </cell>
        </row>
        <row r="829">
          <cell r="A829" t="str">
            <v>2 S 04 211 51</v>
          </cell>
          <cell r="B829" t="str">
            <v>-</v>
          </cell>
          <cell r="C829" t="str">
            <v>Boca BDCC 1,50 x 1,50 m normal AC/BC</v>
          </cell>
          <cell r="D829" t="str">
            <v>Und</v>
          </cell>
          <cell r="H829" t="str">
            <v>DNIT 025/2004-ES</v>
          </cell>
        </row>
        <row r="830">
          <cell r="A830" t="str">
            <v>2 S 04 211 52</v>
          </cell>
          <cell r="B830" t="str">
            <v>-</v>
          </cell>
          <cell r="C830" t="str">
            <v>Boca BDCC 2,00 x 2,00 m normal AC/BC</v>
          </cell>
          <cell r="D830" t="str">
            <v>Und</v>
          </cell>
          <cell r="H830" t="str">
            <v>DNIT 025/2004-ES</v>
          </cell>
        </row>
        <row r="831">
          <cell r="A831" t="str">
            <v>2 S 04 211 53</v>
          </cell>
          <cell r="B831" t="str">
            <v>-</v>
          </cell>
          <cell r="C831" t="str">
            <v>Boca BDCC 2,50 x 2,50 m normal AC/BC</v>
          </cell>
          <cell r="D831" t="str">
            <v>Und</v>
          </cell>
          <cell r="H831" t="str">
            <v>DNIT 025/2004-ES</v>
          </cell>
        </row>
        <row r="832">
          <cell r="A832" t="str">
            <v>2 S 04 211 54</v>
          </cell>
          <cell r="B832" t="str">
            <v>-</v>
          </cell>
          <cell r="C832" t="str">
            <v>Boca BDCC 3,00 x 3,00 m normal AC/BC</v>
          </cell>
          <cell r="D832" t="str">
            <v>Und</v>
          </cell>
          <cell r="H832" t="str">
            <v>DNIT 025/2004-ES</v>
          </cell>
        </row>
        <row r="833">
          <cell r="A833" t="str">
            <v>2 S 04 211 55</v>
          </cell>
          <cell r="B833" t="str">
            <v>-</v>
          </cell>
          <cell r="C833" t="str">
            <v>Boca BDCC 1,50 x 1,50 m esc=15 AC/BC</v>
          </cell>
          <cell r="D833" t="str">
            <v>Und</v>
          </cell>
          <cell r="H833" t="str">
            <v>DNIT 025/2004-ES</v>
          </cell>
        </row>
        <row r="834">
          <cell r="A834" t="str">
            <v>2 S 04 211 56</v>
          </cell>
          <cell r="B834" t="str">
            <v>-</v>
          </cell>
          <cell r="C834" t="str">
            <v>Boca BDCC 2,00 x 2,00 m esc=15 AC/BC</v>
          </cell>
          <cell r="D834" t="str">
            <v>Und</v>
          </cell>
          <cell r="H834" t="str">
            <v>DNIT 025/2004-ES</v>
          </cell>
        </row>
        <row r="835">
          <cell r="A835" t="str">
            <v>2 S 04 211 57</v>
          </cell>
          <cell r="B835" t="str">
            <v>-</v>
          </cell>
          <cell r="C835" t="str">
            <v>Boca BDCC 2,50 x 2,50 m esc=15 AC/BC</v>
          </cell>
          <cell r="D835" t="str">
            <v>Und</v>
          </cell>
          <cell r="H835" t="str">
            <v>DNIT 025/2004-ES</v>
          </cell>
        </row>
        <row r="836">
          <cell r="A836" t="str">
            <v>2 S 04 211 58</v>
          </cell>
          <cell r="B836" t="str">
            <v>-</v>
          </cell>
          <cell r="C836" t="str">
            <v>Boca BDCC 3,00 x 3,00 m esc=15 AC/BC</v>
          </cell>
          <cell r="D836" t="str">
            <v>Und</v>
          </cell>
          <cell r="H836" t="str">
            <v>DNIT 025/2004-ES</v>
          </cell>
        </row>
        <row r="837">
          <cell r="A837" t="str">
            <v>2 S 04 211 59</v>
          </cell>
          <cell r="B837" t="str">
            <v>-</v>
          </cell>
          <cell r="C837" t="str">
            <v>Boca BDCC 1,50 x 1,50 m esc=30 AC/BC</v>
          </cell>
          <cell r="D837" t="str">
            <v>Und</v>
          </cell>
          <cell r="H837" t="str">
            <v>DNIT 025/2004-ES</v>
          </cell>
        </row>
        <row r="838">
          <cell r="A838" t="str">
            <v>2 S 04 211 60</v>
          </cell>
          <cell r="B838" t="str">
            <v>-</v>
          </cell>
          <cell r="C838" t="str">
            <v>Boca BDCC 2,00 x 2,00 m esc=30 AC/BC</v>
          </cell>
          <cell r="D838" t="str">
            <v>Und</v>
          </cell>
          <cell r="H838" t="str">
            <v>DNIT 025/2004-ES</v>
          </cell>
        </row>
        <row r="839">
          <cell r="A839" t="str">
            <v>2 S 04 211 61</v>
          </cell>
          <cell r="B839" t="str">
            <v>-</v>
          </cell>
          <cell r="C839" t="str">
            <v>Boca BDCC 2,50 x 2,50 m - esc=30 AC/BC</v>
          </cell>
          <cell r="D839" t="str">
            <v>Und</v>
          </cell>
          <cell r="H839" t="str">
            <v>DNIT 025/2004-ES</v>
          </cell>
        </row>
        <row r="840">
          <cell r="A840" t="str">
            <v>2 S 04 211 62</v>
          </cell>
          <cell r="B840" t="str">
            <v>-</v>
          </cell>
          <cell r="C840" t="str">
            <v>Boca BDCC 3,00 x 3,00 m - esc=30 AC/BC</v>
          </cell>
          <cell r="D840" t="str">
            <v>Und</v>
          </cell>
          <cell r="H840" t="str">
            <v>DNIT 025/2004-ES</v>
          </cell>
        </row>
        <row r="841">
          <cell r="A841" t="str">
            <v>2 S 04 211 63</v>
          </cell>
          <cell r="B841" t="str">
            <v>-</v>
          </cell>
          <cell r="C841" t="str">
            <v>Boca BDCC 1,50 x 1,50 m - esc=45 AC/BC</v>
          </cell>
          <cell r="D841" t="str">
            <v>Und</v>
          </cell>
          <cell r="H841" t="str">
            <v>DNIT 025/2004-ES</v>
          </cell>
        </row>
        <row r="842">
          <cell r="A842" t="str">
            <v>2 S 04 211 64</v>
          </cell>
          <cell r="B842" t="str">
            <v>-</v>
          </cell>
          <cell r="C842" t="str">
            <v>Boca BDCC 2,00 x 2,00 m - esc=45 AC/BC</v>
          </cell>
          <cell r="D842" t="str">
            <v>Und</v>
          </cell>
          <cell r="H842" t="str">
            <v>DNIT 025/2004-ES</v>
          </cell>
        </row>
        <row r="843">
          <cell r="A843" t="str">
            <v>2 S 04 211 65</v>
          </cell>
          <cell r="B843" t="str">
            <v>-</v>
          </cell>
          <cell r="C843" t="str">
            <v>Boca BDCC 2,50 x 2,50 m - esc=45 AC/BC</v>
          </cell>
          <cell r="D843" t="str">
            <v>Und</v>
          </cell>
          <cell r="H843" t="str">
            <v>DNIT 025/2004-ES</v>
          </cell>
        </row>
        <row r="844">
          <cell r="A844" t="str">
            <v>2 S 04 211 66</v>
          </cell>
          <cell r="B844" t="str">
            <v>-</v>
          </cell>
          <cell r="C844" t="str">
            <v>Boca BDCC 3,00 x 3,00 m - esc=45 AC/BC</v>
          </cell>
          <cell r="D844" t="str">
            <v>Und</v>
          </cell>
          <cell r="H844" t="str">
            <v>DNIT 025/2004-ES</v>
          </cell>
        </row>
        <row r="845">
          <cell r="A845" t="str">
            <v>2 S 04 220 01</v>
          </cell>
          <cell r="B845" t="str">
            <v>-</v>
          </cell>
          <cell r="C845" t="str">
            <v>Corpo BTCC 1,50 x 1,50 m alt. 0 a 1,00 m</v>
          </cell>
          <cell r="D845" t="str">
            <v>m</v>
          </cell>
          <cell r="H845" t="str">
            <v>DNIT 025/2004-ES</v>
          </cell>
        </row>
        <row r="846">
          <cell r="A846" t="str">
            <v>2 S 04 220 02</v>
          </cell>
          <cell r="B846" t="str">
            <v>-</v>
          </cell>
          <cell r="C846" t="str">
            <v>Corpo BTCC 2,00 x 2,00 m alt. 0 a 1,00 m</v>
          </cell>
          <cell r="D846" t="str">
            <v>m</v>
          </cell>
          <cell r="H846" t="str">
            <v>DNIT 025/2004-ES</v>
          </cell>
        </row>
        <row r="847">
          <cell r="A847" t="str">
            <v>2 S 04 220 03</v>
          </cell>
          <cell r="B847" t="str">
            <v>-</v>
          </cell>
          <cell r="C847" t="str">
            <v>Corpo BTCC 2,50 x 2,50 m alt. 0 a 1,00 m</v>
          </cell>
          <cell r="D847" t="str">
            <v>m</v>
          </cell>
          <cell r="H847" t="str">
            <v>DNIT 025/2004-ES</v>
          </cell>
        </row>
        <row r="848">
          <cell r="A848" t="str">
            <v>2 S 04 220 04</v>
          </cell>
          <cell r="B848" t="str">
            <v>-</v>
          </cell>
          <cell r="C848" t="str">
            <v>Corpo BTCC 3,00 x 3,00 m alt. 0 a 1,00 m</v>
          </cell>
          <cell r="D848" t="str">
            <v>m</v>
          </cell>
          <cell r="H848" t="str">
            <v>DNIT 025/2004-ES</v>
          </cell>
        </row>
        <row r="849">
          <cell r="A849" t="str">
            <v>2 S 04 220 05</v>
          </cell>
          <cell r="B849" t="str">
            <v>-</v>
          </cell>
          <cell r="C849" t="str">
            <v>Corpo BTCC 1,50 x 1,50 m alt. 1,00 a 2,50 m</v>
          </cell>
          <cell r="D849" t="str">
            <v>m</v>
          </cell>
          <cell r="H849" t="str">
            <v>DNIT 025/2004-ES</v>
          </cell>
        </row>
        <row r="850">
          <cell r="A850" t="str">
            <v>2 S 04 220 06</v>
          </cell>
          <cell r="B850" t="str">
            <v>-</v>
          </cell>
          <cell r="C850" t="str">
            <v>Corpo BTCC 2,00 x 2,00 m alt. 1,00 a 2,50 m</v>
          </cell>
          <cell r="D850" t="str">
            <v>m</v>
          </cell>
          <cell r="H850" t="str">
            <v>DNIT 025/2004-ES</v>
          </cell>
        </row>
        <row r="851">
          <cell r="A851" t="str">
            <v>2 S 04 220 07</v>
          </cell>
          <cell r="B851" t="str">
            <v>-</v>
          </cell>
          <cell r="C851" t="str">
            <v>Corpo BTCC 2,50 a 2,50 m alt. 1,00 a 2,50 m</v>
          </cell>
          <cell r="D851" t="str">
            <v>m</v>
          </cell>
          <cell r="H851" t="str">
            <v>DNIT 025/2004-ES</v>
          </cell>
        </row>
        <row r="852">
          <cell r="A852" t="str">
            <v>2 S 04 220 08</v>
          </cell>
          <cell r="B852" t="str">
            <v>-</v>
          </cell>
          <cell r="C852" t="str">
            <v>Corpo BTCC 3,00 x 3,00 m alt. 1,00 a 2,50 m</v>
          </cell>
          <cell r="D852" t="str">
            <v>m</v>
          </cell>
          <cell r="H852" t="str">
            <v>DNIT 025/2004-ES</v>
          </cell>
        </row>
        <row r="853">
          <cell r="A853" t="str">
            <v>2 S 04 220 09</v>
          </cell>
          <cell r="B853" t="str">
            <v>-</v>
          </cell>
          <cell r="C853" t="str">
            <v>Corpo BTCC 1,50 x 1,50 m alt. 2,50 a 5,00 m</v>
          </cell>
          <cell r="D853" t="str">
            <v>m</v>
          </cell>
          <cell r="H853" t="str">
            <v>DNIT 025/2004-ES</v>
          </cell>
        </row>
        <row r="854">
          <cell r="A854" t="str">
            <v>2 S 04 220 10</v>
          </cell>
          <cell r="B854" t="str">
            <v>-</v>
          </cell>
          <cell r="C854" t="str">
            <v>Corpo BTCC 2,00 x 2,00 m alt. 2,50 a 5,00 m</v>
          </cell>
          <cell r="D854" t="str">
            <v>m</v>
          </cell>
          <cell r="H854" t="str">
            <v>DNIT 025/2004-ES</v>
          </cell>
        </row>
        <row r="855">
          <cell r="A855" t="str">
            <v>2 S 04 220 11</v>
          </cell>
          <cell r="B855" t="str">
            <v>-</v>
          </cell>
          <cell r="C855" t="str">
            <v>Corpo BTCC 2,50 x 2,50 m alt. 2,50 a 5,00 m</v>
          </cell>
          <cell r="D855" t="str">
            <v>m</v>
          </cell>
          <cell r="H855" t="str">
            <v>DNIT 025/2004-ES</v>
          </cell>
        </row>
        <row r="856">
          <cell r="A856" t="str">
            <v>2 S 04 220 12</v>
          </cell>
          <cell r="B856" t="str">
            <v>-</v>
          </cell>
          <cell r="C856" t="str">
            <v>Corpo BTCC 3,00 x 3,00 m alt. 2,50 a 5,00 m</v>
          </cell>
          <cell r="D856" t="str">
            <v>m</v>
          </cell>
          <cell r="H856" t="str">
            <v>DNIT 025/2004-ES</v>
          </cell>
        </row>
        <row r="857">
          <cell r="A857" t="str">
            <v>2 S 04 220 13</v>
          </cell>
          <cell r="B857" t="str">
            <v>-</v>
          </cell>
          <cell r="C857" t="str">
            <v>Corpo BTCC 1,50 x 1,50 m alt. 5,00 a 7,50 m</v>
          </cell>
          <cell r="D857" t="str">
            <v>m</v>
          </cell>
          <cell r="H857" t="str">
            <v>DNIT 025/2004-ES</v>
          </cell>
        </row>
        <row r="858">
          <cell r="A858" t="str">
            <v>2 S 04 220 14</v>
          </cell>
          <cell r="B858" t="str">
            <v>-</v>
          </cell>
          <cell r="C858" t="str">
            <v>Corpo BTCC 2,00 x 2,00 m alt. 5,00 a 7,50 m</v>
          </cell>
          <cell r="D858" t="str">
            <v>m</v>
          </cell>
          <cell r="H858" t="str">
            <v>DNIT 025/2004-ES</v>
          </cell>
        </row>
        <row r="859">
          <cell r="A859" t="str">
            <v>2 S 04 220 15</v>
          </cell>
          <cell r="B859" t="str">
            <v>-</v>
          </cell>
          <cell r="C859" t="str">
            <v>Corpo BTCC 2,50 x 2,50 m alt. 5,00 a 7,50 m</v>
          </cell>
          <cell r="D859" t="str">
            <v>m</v>
          </cell>
          <cell r="H859" t="str">
            <v>DNIT 025/2004-ES</v>
          </cell>
        </row>
        <row r="860">
          <cell r="A860" t="str">
            <v>2 S 04 220 16</v>
          </cell>
          <cell r="B860" t="str">
            <v>-</v>
          </cell>
          <cell r="C860" t="str">
            <v>Corpo BTCC 3,00 x 3,00 m alt. 5,00 a 7,50 m</v>
          </cell>
          <cell r="D860" t="str">
            <v>m</v>
          </cell>
          <cell r="H860" t="str">
            <v>DNIT 025/2004-ES</v>
          </cell>
        </row>
        <row r="861">
          <cell r="A861" t="str">
            <v>2 S 04 220 17</v>
          </cell>
          <cell r="B861" t="str">
            <v>-</v>
          </cell>
          <cell r="C861" t="str">
            <v>Corpo BTCC 1,50 x 1,50 m alt. 7,50 a 10,00 m</v>
          </cell>
          <cell r="D861" t="str">
            <v>m</v>
          </cell>
          <cell r="H861" t="str">
            <v>DNIT 025/2004-ES</v>
          </cell>
        </row>
        <row r="862">
          <cell r="A862" t="str">
            <v>2 S 04 220 18</v>
          </cell>
          <cell r="B862" t="str">
            <v>-</v>
          </cell>
          <cell r="C862" t="str">
            <v>Corpo BTCC 2,00 x 2,00 m alt. 7,50 m a 10,00 m</v>
          </cell>
          <cell r="D862" t="str">
            <v>m</v>
          </cell>
          <cell r="H862" t="str">
            <v>DNIT 025/2004-ES</v>
          </cell>
        </row>
        <row r="863">
          <cell r="A863" t="str">
            <v>2 S 04 220 19</v>
          </cell>
          <cell r="B863" t="str">
            <v>-</v>
          </cell>
          <cell r="C863" t="str">
            <v>Corpo BTCC 2,50 x 2,50 m alt. 7,50 a 10,00 m</v>
          </cell>
          <cell r="D863" t="str">
            <v>m</v>
          </cell>
          <cell r="H863" t="str">
            <v>DNIT 025/2004-ES</v>
          </cell>
        </row>
        <row r="864">
          <cell r="A864" t="str">
            <v>2 S 04 220 20</v>
          </cell>
          <cell r="B864" t="str">
            <v>-</v>
          </cell>
          <cell r="C864" t="str">
            <v>Corpo BTCC 3,00 x 3,00 m alt 7,50 a 10,00 m</v>
          </cell>
          <cell r="D864" t="str">
            <v>m</v>
          </cell>
          <cell r="H864" t="str">
            <v>DNIT 025/2004-ES</v>
          </cell>
        </row>
        <row r="865">
          <cell r="A865" t="str">
            <v>2 S 04 220 21</v>
          </cell>
          <cell r="B865" t="str">
            <v>-</v>
          </cell>
          <cell r="C865" t="str">
            <v>Corpo BTCC 1,50 x 1,50 m alt. 10,00 a 12,50 m</v>
          </cell>
          <cell r="D865" t="str">
            <v>m</v>
          </cell>
          <cell r="H865" t="str">
            <v>DNIT 025/2004-ES</v>
          </cell>
        </row>
        <row r="866">
          <cell r="A866" t="str">
            <v>2 S 04 220 22</v>
          </cell>
          <cell r="B866" t="str">
            <v>-</v>
          </cell>
          <cell r="C866" t="str">
            <v>Corpo BTCC 2,00 x 2,00 m alt. 10,00 a 12,50 m</v>
          </cell>
          <cell r="D866" t="str">
            <v>m</v>
          </cell>
          <cell r="H866" t="str">
            <v>DNIT 025/2004-ES</v>
          </cell>
        </row>
        <row r="867">
          <cell r="A867" t="str">
            <v>2 S 04 220 23</v>
          </cell>
          <cell r="B867" t="str">
            <v>-</v>
          </cell>
          <cell r="C867" t="str">
            <v>Corpo BTCC 2,50 x 2,50 m alt. 10,00 a 12,50 m</v>
          </cell>
          <cell r="D867" t="str">
            <v>m</v>
          </cell>
          <cell r="H867" t="str">
            <v>DNIT 025/2004-ES</v>
          </cell>
        </row>
        <row r="868">
          <cell r="A868" t="str">
            <v>2 S 04 220 24</v>
          </cell>
          <cell r="B868" t="str">
            <v>-</v>
          </cell>
          <cell r="C868" t="str">
            <v>Corpo BTCC 3,00 x 3,00 m alt. 10,00 a 12,50 m</v>
          </cell>
          <cell r="D868" t="str">
            <v>m</v>
          </cell>
          <cell r="H868" t="str">
            <v>DNIT 025/2004-ES</v>
          </cell>
        </row>
        <row r="869">
          <cell r="A869" t="str">
            <v>2 S 04 220 25</v>
          </cell>
          <cell r="B869" t="str">
            <v>-</v>
          </cell>
          <cell r="C869" t="str">
            <v>Corpo BTCC 1,50 x 1,50 m alt. 12,50 a 15,00 m</v>
          </cell>
          <cell r="D869" t="str">
            <v>m</v>
          </cell>
          <cell r="H869" t="str">
            <v>DNIT 025/2004-ES</v>
          </cell>
        </row>
        <row r="870">
          <cell r="A870" t="str">
            <v>2 S 04 220 26</v>
          </cell>
          <cell r="B870" t="str">
            <v>-</v>
          </cell>
          <cell r="C870" t="str">
            <v>Corpo BTCC 2,00 x 2,00 m alt. 12,50 a 15,00 m</v>
          </cell>
          <cell r="D870" t="str">
            <v>m</v>
          </cell>
          <cell r="H870" t="str">
            <v>DNIT 025/2004-ES</v>
          </cell>
        </row>
        <row r="871">
          <cell r="A871" t="str">
            <v>2 S 04 220 27</v>
          </cell>
          <cell r="B871" t="str">
            <v>-</v>
          </cell>
          <cell r="C871" t="str">
            <v>Corpo BTCC 2,50 x 2,50 m alt. 12,50 a 15,00 m</v>
          </cell>
          <cell r="D871" t="str">
            <v>m</v>
          </cell>
          <cell r="H871" t="str">
            <v>DNIT 025/2004-ES</v>
          </cell>
        </row>
        <row r="872">
          <cell r="A872" t="str">
            <v>2 S 04 220 28</v>
          </cell>
          <cell r="B872" t="str">
            <v>-</v>
          </cell>
          <cell r="C872" t="str">
            <v>Corpo BTCC 3,00 x 3,00 m alt. 12,50 a 15,00 m</v>
          </cell>
          <cell r="D872" t="str">
            <v>m</v>
          </cell>
          <cell r="H872" t="str">
            <v>DNIT 025/2004-ES</v>
          </cell>
        </row>
        <row r="873">
          <cell r="A873" t="str">
            <v>2 S 04 220 51</v>
          </cell>
          <cell r="B873" t="str">
            <v>-</v>
          </cell>
          <cell r="C873" t="str">
            <v>Corpo BTCC 1,50 x 1,50 m alt. 0 a 1,00 m AC/BC</v>
          </cell>
          <cell r="D873" t="str">
            <v>m</v>
          </cell>
          <cell r="H873" t="str">
            <v>DNIT 025/2004-ES</v>
          </cell>
        </row>
        <row r="874">
          <cell r="A874" t="str">
            <v>2 S 04 220 52</v>
          </cell>
          <cell r="B874" t="str">
            <v>-</v>
          </cell>
          <cell r="C874" t="str">
            <v>Corpo BTCC 2,00 x 2,00 m alt. 0 a 1,00 m AC/BC</v>
          </cell>
          <cell r="D874" t="str">
            <v>m</v>
          </cell>
          <cell r="H874" t="str">
            <v>DNIT 025/2004-ES</v>
          </cell>
        </row>
        <row r="875">
          <cell r="A875" t="str">
            <v>2 S 04 220 53</v>
          </cell>
          <cell r="B875" t="str">
            <v>-</v>
          </cell>
          <cell r="C875" t="str">
            <v>Corpo BTCC 2,50 x 2,50 m alt. 0 a 1,00 m AC/BC</v>
          </cell>
          <cell r="D875" t="str">
            <v>m</v>
          </cell>
          <cell r="H875" t="str">
            <v>DNIT 025/2004-ES</v>
          </cell>
        </row>
        <row r="876">
          <cell r="A876" t="str">
            <v>2 S 04 220 54</v>
          </cell>
          <cell r="B876" t="str">
            <v>-</v>
          </cell>
          <cell r="C876" t="str">
            <v>Corpo BTCC 3,00 x 3,00 m alt. 0 a 1,00 m AC/BC</v>
          </cell>
          <cell r="D876" t="str">
            <v>m</v>
          </cell>
          <cell r="H876" t="str">
            <v>DNIT 025/2004-ES</v>
          </cell>
        </row>
        <row r="877">
          <cell r="A877" t="str">
            <v>2 S 04 220 55</v>
          </cell>
          <cell r="B877" t="str">
            <v>-</v>
          </cell>
          <cell r="C877" t="str">
            <v>Corpo BTCC 1,50 x 1,50 m alt. 1,00 a 2,50 m AC/BC</v>
          </cell>
          <cell r="D877" t="str">
            <v>m</v>
          </cell>
          <cell r="H877" t="str">
            <v>DNIT 025/2004-ES</v>
          </cell>
        </row>
        <row r="878">
          <cell r="A878" t="str">
            <v>2 S 04 220 56</v>
          </cell>
          <cell r="B878" t="str">
            <v>-</v>
          </cell>
          <cell r="C878" t="str">
            <v>Corpo BTCC 2,00 x 2,00 m alt. 1,00 a 2,50 m AC/BC</v>
          </cell>
          <cell r="D878" t="str">
            <v>m</v>
          </cell>
          <cell r="H878" t="str">
            <v>DNIT 025/2004-ES</v>
          </cell>
        </row>
        <row r="879">
          <cell r="A879" t="str">
            <v>2 S 04 220 57</v>
          </cell>
          <cell r="B879" t="str">
            <v>-</v>
          </cell>
          <cell r="C879" t="str">
            <v>Corpo BTCC 2,50 x 2,50 m alt. 1,00 a 2,50 m AC/BC</v>
          </cell>
          <cell r="D879" t="str">
            <v>m</v>
          </cell>
          <cell r="H879" t="str">
            <v>DNIT 025/2004-ES</v>
          </cell>
        </row>
        <row r="880">
          <cell r="A880" t="str">
            <v>2 S 04 220 58</v>
          </cell>
          <cell r="B880" t="str">
            <v>-</v>
          </cell>
          <cell r="C880" t="str">
            <v>Corpo BTCC 3,00 x 3,00 m alt. 1,00 a 2,50 m AC/BC</v>
          </cell>
          <cell r="D880" t="str">
            <v>m</v>
          </cell>
          <cell r="H880" t="str">
            <v>DNIT 025/2004-ES</v>
          </cell>
        </row>
        <row r="881">
          <cell r="A881" t="str">
            <v>2 S 04 220 59</v>
          </cell>
          <cell r="B881" t="str">
            <v>-</v>
          </cell>
          <cell r="C881" t="str">
            <v>Corpo BTCC 1,50 x 1,50 m alt. 2,50 a 5,00 m AC/BC</v>
          </cell>
          <cell r="D881" t="str">
            <v>m</v>
          </cell>
          <cell r="H881" t="str">
            <v>DNIT 025/2004-ES</v>
          </cell>
        </row>
        <row r="882">
          <cell r="A882" t="str">
            <v>2 S 04 220 60</v>
          </cell>
          <cell r="B882" t="str">
            <v>-</v>
          </cell>
          <cell r="C882" t="str">
            <v>Corpo BTCC 2,00 x 2,00 m alt. 2,50 a 5,00 m AC/BC</v>
          </cell>
          <cell r="D882" t="str">
            <v>m</v>
          </cell>
          <cell r="H882" t="str">
            <v>DNIT 025/2004-ES</v>
          </cell>
        </row>
        <row r="883">
          <cell r="A883" t="str">
            <v>2 S 04 220 61</v>
          </cell>
          <cell r="B883" t="str">
            <v>-</v>
          </cell>
          <cell r="C883" t="str">
            <v>Corpo BTCC 2,50 x 2,50 m alt. 2,50 a 5,00 m AC/BC</v>
          </cell>
          <cell r="D883" t="str">
            <v>m</v>
          </cell>
          <cell r="H883" t="str">
            <v>DNIT 025/2004-ES</v>
          </cell>
        </row>
        <row r="884">
          <cell r="A884" t="str">
            <v>2 S 04 220 62</v>
          </cell>
          <cell r="B884" t="str">
            <v>-</v>
          </cell>
          <cell r="C884" t="str">
            <v>Corpo BTCC 3,00 x 3,00 m alt. 2,50 a 5,00 m AC/BC</v>
          </cell>
          <cell r="D884" t="str">
            <v>m</v>
          </cell>
          <cell r="H884" t="str">
            <v>DNIT 025/2004-ES</v>
          </cell>
        </row>
        <row r="885">
          <cell r="A885" t="str">
            <v>2 S 04 220 63</v>
          </cell>
          <cell r="B885" t="str">
            <v>-</v>
          </cell>
          <cell r="C885" t="str">
            <v>Corpo BTCC 1,50 x 1,50 m alt. 5,00 a 7,50 m AC/BC</v>
          </cell>
          <cell r="D885" t="str">
            <v>m</v>
          </cell>
          <cell r="H885" t="str">
            <v>DNIT 025/2004-ES</v>
          </cell>
        </row>
        <row r="886">
          <cell r="A886" t="str">
            <v>2 S 04 220 64</v>
          </cell>
          <cell r="B886" t="str">
            <v>-</v>
          </cell>
          <cell r="C886" t="str">
            <v>Corpo BTCC 2,00 x 2,00 m alt. 5,00 a 7,50 m AC/BC</v>
          </cell>
          <cell r="D886" t="str">
            <v>m</v>
          </cell>
          <cell r="H886" t="str">
            <v>DNIT 025/2004-ES</v>
          </cell>
        </row>
        <row r="887">
          <cell r="A887" t="str">
            <v>2 S 04 220 65</v>
          </cell>
          <cell r="B887" t="str">
            <v>-</v>
          </cell>
          <cell r="C887" t="str">
            <v>Corpo BTCC 2,50 x 2,50 m alt. 5,00 a 7,50 m AC/BC</v>
          </cell>
          <cell r="D887" t="str">
            <v>m</v>
          </cell>
          <cell r="H887" t="str">
            <v>DNIT 025/2004-ES</v>
          </cell>
        </row>
        <row r="888">
          <cell r="A888" t="str">
            <v>2 S 04 220 66</v>
          </cell>
          <cell r="B888" t="str">
            <v>-</v>
          </cell>
          <cell r="C888" t="str">
            <v>Corpo BTCC 3,00 x 3,00 m alt. 5,00 a 7,50 m AC/BC</v>
          </cell>
          <cell r="D888" t="str">
            <v>m</v>
          </cell>
          <cell r="H888" t="str">
            <v>DNIT 025/2004-ES</v>
          </cell>
        </row>
        <row r="889">
          <cell r="A889" t="str">
            <v>2 S 04 220 67</v>
          </cell>
          <cell r="B889" t="str">
            <v>-</v>
          </cell>
          <cell r="C889" t="str">
            <v>Corpo BTCC 1,50 x 1,50 m alt. 7,50 a 10,00 m AC/BC</v>
          </cell>
          <cell r="D889" t="str">
            <v>m</v>
          </cell>
          <cell r="H889" t="str">
            <v>DNIT 025/2004-ES</v>
          </cell>
        </row>
        <row r="890">
          <cell r="A890" t="str">
            <v>2 S 04 220 68</v>
          </cell>
          <cell r="B890" t="str">
            <v>-</v>
          </cell>
          <cell r="C890" t="str">
            <v>Corpo BTCC 2,00 x 2,00 m alt. 7,50 a 10,00 m AC/BC</v>
          </cell>
          <cell r="D890" t="str">
            <v>m</v>
          </cell>
          <cell r="H890" t="str">
            <v>DNIT 025/2004-ES</v>
          </cell>
        </row>
        <row r="891">
          <cell r="A891" t="str">
            <v>2 S 04 220 69</v>
          </cell>
          <cell r="B891" t="str">
            <v>-</v>
          </cell>
          <cell r="C891" t="str">
            <v>Corpo BTCC 2,50 x 2,50 m alt. 7,50 a 10,00 m AC/BC</v>
          </cell>
          <cell r="D891" t="str">
            <v>m</v>
          </cell>
          <cell r="H891" t="str">
            <v>DNIT 025/2004-ES</v>
          </cell>
        </row>
        <row r="892">
          <cell r="A892" t="str">
            <v>2 S 04 220 70</v>
          </cell>
          <cell r="B892" t="str">
            <v>-</v>
          </cell>
          <cell r="C892" t="str">
            <v>Corpo BTCC 3,00 x 3,00 m alt. 7,50 a 10,00 m AC/BC</v>
          </cell>
          <cell r="D892" t="str">
            <v>m</v>
          </cell>
          <cell r="H892" t="str">
            <v>DNIT 025/2004-ES</v>
          </cell>
        </row>
        <row r="893">
          <cell r="A893" t="str">
            <v>2 S 04 220 71</v>
          </cell>
          <cell r="B893" t="str">
            <v>-</v>
          </cell>
          <cell r="C893" t="str">
            <v>Corpo BTCC 1,50 x 1,50 m alt.10,00 a 12,50 m AC/BC</v>
          </cell>
          <cell r="D893" t="str">
            <v>m</v>
          </cell>
          <cell r="H893" t="str">
            <v>DNIT 025/2004-ES</v>
          </cell>
        </row>
        <row r="894">
          <cell r="A894" t="str">
            <v>2 S 04 220 72</v>
          </cell>
          <cell r="B894" t="str">
            <v>-</v>
          </cell>
          <cell r="C894" t="str">
            <v>Corpo BTCC 2,00 x 2,00 m alt.10,00 a 12,50 m AC/BC</v>
          </cell>
          <cell r="D894" t="str">
            <v>m</v>
          </cell>
          <cell r="H894" t="str">
            <v>DNIT 025/2004-ES</v>
          </cell>
        </row>
        <row r="895">
          <cell r="A895" t="str">
            <v>2 S 04 220 73</v>
          </cell>
          <cell r="B895" t="str">
            <v>-</v>
          </cell>
          <cell r="C895" t="str">
            <v>Corpo BTCC 2,50 x 2,50 m alt.10,00 a 12,50 m AC/BC</v>
          </cell>
          <cell r="D895" t="str">
            <v>m</v>
          </cell>
          <cell r="H895" t="str">
            <v>DNIT 025/2004-ES</v>
          </cell>
        </row>
        <row r="896">
          <cell r="A896" t="str">
            <v>2 S 04 220 74</v>
          </cell>
          <cell r="B896" t="str">
            <v>-</v>
          </cell>
          <cell r="C896" t="str">
            <v>Corpo BTCC 3,00 x 3,00 m alt.10,00 a 12,50 m AC/BC</v>
          </cell>
          <cell r="D896" t="str">
            <v>m</v>
          </cell>
          <cell r="H896" t="str">
            <v>DNIT 025/2004-ES</v>
          </cell>
        </row>
        <row r="897">
          <cell r="A897" t="str">
            <v>2 S 04 220 75</v>
          </cell>
          <cell r="B897" t="str">
            <v>-</v>
          </cell>
          <cell r="C897" t="str">
            <v>Corpo BTCC 1,50 x 1,50 m alt.12,50 a 15,00 m AC/BC</v>
          </cell>
          <cell r="D897" t="str">
            <v>m</v>
          </cell>
          <cell r="H897" t="str">
            <v>DNIT 025/2004-ES</v>
          </cell>
        </row>
        <row r="898">
          <cell r="A898" t="str">
            <v>2 S 04 220 76</v>
          </cell>
          <cell r="B898" t="str">
            <v>-</v>
          </cell>
          <cell r="C898" t="str">
            <v>Corpo BTCC 2,00 x 2,00 m alt.12,50 a 15,00 m AC/BC</v>
          </cell>
          <cell r="D898" t="str">
            <v>m</v>
          </cell>
          <cell r="H898" t="str">
            <v>DNIT 025/2004-ES</v>
          </cell>
        </row>
        <row r="899">
          <cell r="A899" t="str">
            <v>2 S 04 220 77</v>
          </cell>
          <cell r="B899" t="str">
            <v>-</v>
          </cell>
          <cell r="C899" t="str">
            <v>Corpo BTCC 2,50 x 2,50 m alt.12,50 a 15,00 m AC/BC</v>
          </cell>
          <cell r="D899" t="str">
            <v>m</v>
          </cell>
          <cell r="H899" t="str">
            <v>DNIT 025/2004-ES</v>
          </cell>
        </row>
        <row r="900">
          <cell r="A900" t="str">
            <v>2 S 04 220 78</v>
          </cell>
          <cell r="B900" t="str">
            <v>-</v>
          </cell>
          <cell r="C900" t="str">
            <v>Corpo BTCC 3,00 x 3,00 m alt.12,50 a 15,00 m AC/BC</v>
          </cell>
          <cell r="D900" t="str">
            <v>m</v>
          </cell>
          <cell r="H900" t="str">
            <v>DNIT 025/2004-ES</v>
          </cell>
        </row>
        <row r="901">
          <cell r="A901" t="str">
            <v>2 S 04 221 01</v>
          </cell>
          <cell r="B901" t="str">
            <v>-</v>
          </cell>
          <cell r="C901" t="str">
            <v>Boca BTCC 1,50 x 1,50 m normal</v>
          </cell>
          <cell r="D901" t="str">
            <v>und</v>
          </cell>
          <cell r="H901" t="str">
            <v>DNIT 025/2004-ES</v>
          </cell>
        </row>
        <row r="902">
          <cell r="A902" t="str">
            <v>2 S 04 221 02</v>
          </cell>
          <cell r="B902" t="str">
            <v>-</v>
          </cell>
          <cell r="C902" t="str">
            <v>Boca BTCC 2,00 x 2,00 m normal</v>
          </cell>
          <cell r="D902" t="str">
            <v>und</v>
          </cell>
          <cell r="H902" t="str">
            <v>DNIT 025/2004-ES</v>
          </cell>
        </row>
        <row r="903">
          <cell r="A903" t="str">
            <v>2 S 04 221 03</v>
          </cell>
          <cell r="B903" t="str">
            <v>-</v>
          </cell>
          <cell r="C903" t="str">
            <v>Boca BTCC 2,50 x 2,50 m normal</v>
          </cell>
          <cell r="D903" t="str">
            <v>und</v>
          </cell>
          <cell r="H903" t="str">
            <v>DNIT 025/2004-ES</v>
          </cell>
        </row>
        <row r="904">
          <cell r="A904" t="str">
            <v>2 S 04 221 04</v>
          </cell>
          <cell r="B904" t="str">
            <v>-</v>
          </cell>
          <cell r="C904" t="str">
            <v>Boca BTCC 3,00 x 3,00 m normal</v>
          </cell>
          <cell r="D904" t="str">
            <v>und</v>
          </cell>
          <cell r="H904" t="str">
            <v>DNIT 025/2004-ES</v>
          </cell>
        </row>
        <row r="905">
          <cell r="A905" t="str">
            <v>2 S 04 221 05</v>
          </cell>
          <cell r="B905" t="str">
            <v>-</v>
          </cell>
          <cell r="C905" t="str">
            <v>Boca BTCC 1,50 x 1,50 m esc=15</v>
          </cell>
          <cell r="D905" t="str">
            <v>und</v>
          </cell>
          <cell r="H905" t="str">
            <v>DNIT 025/2004-ES</v>
          </cell>
        </row>
        <row r="906">
          <cell r="A906" t="str">
            <v>2 S 04 221 06</v>
          </cell>
          <cell r="B906" t="str">
            <v>-</v>
          </cell>
          <cell r="C906" t="str">
            <v>Boca BTCC 2,00 x 2,00 m esc=15</v>
          </cell>
          <cell r="D906" t="str">
            <v>und</v>
          </cell>
          <cell r="H906" t="str">
            <v>DNIT 025/2004-ES</v>
          </cell>
        </row>
        <row r="907">
          <cell r="A907" t="str">
            <v>2 S 04 221 07</v>
          </cell>
          <cell r="B907" t="str">
            <v>-</v>
          </cell>
          <cell r="C907" t="str">
            <v>Boca BTCC 2,50 x 2,50 m esc=15</v>
          </cell>
          <cell r="D907" t="str">
            <v>und</v>
          </cell>
          <cell r="H907" t="str">
            <v>DNIT 025/2004-ES</v>
          </cell>
        </row>
        <row r="908">
          <cell r="A908" t="str">
            <v>2 S 04 221 08</v>
          </cell>
          <cell r="B908" t="str">
            <v>-</v>
          </cell>
          <cell r="C908" t="str">
            <v>Boca BTCC 3,00 x 3,00 m esc=15</v>
          </cell>
          <cell r="D908" t="str">
            <v>und</v>
          </cell>
          <cell r="H908" t="str">
            <v>DNIT 025/2004-ES</v>
          </cell>
        </row>
        <row r="909">
          <cell r="A909" t="str">
            <v>2 S 04 221 09</v>
          </cell>
          <cell r="B909" t="str">
            <v>-</v>
          </cell>
          <cell r="C909" t="str">
            <v>Boca BTCC 1,50 x 1,50 m esc=30</v>
          </cell>
          <cell r="D909" t="str">
            <v>und</v>
          </cell>
          <cell r="H909" t="str">
            <v>DNIT 025/2004-ES</v>
          </cell>
        </row>
        <row r="910">
          <cell r="A910" t="str">
            <v>2 S 04 221 10</v>
          </cell>
          <cell r="B910" t="str">
            <v>-</v>
          </cell>
          <cell r="C910" t="str">
            <v>Boca BTCC 2,00 x 2,00 m exc.=30</v>
          </cell>
          <cell r="D910" t="str">
            <v>und</v>
          </cell>
          <cell r="H910" t="str">
            <v>DNIT 025/2004-ES</v>
          </cell>
        </row>
        <row r="911">
          <cell r="A911" t="str">
            <v>2 S 04 221 11</v>
          </cell>
          <cell r="B911" t="str">
            <v>-</v>
          </cell>
          <cell r="C911" t="str">
            <v>Boca BTCC 2,50 x 2,50 m esc=30</v>
          </cell>
          <cell r="D911" t="str">
            <v>und</v>
          </cell>
          <cell r="H911" t="str">
            <v>DNIT 025/2004-ES</v>
          </cell>
        </row>
        <row r="912">
          <cell r="A912" t="str">
            <v>2 S 04 221 12</v>
          </cell>
          <cell r="B912" t="str">
            <v>-</v>
          </cell>
          <cell r="C912" t="str">
            <v>Boca BTCC 3,00 x 3,00 m esc=30</v>
          </cell>
          <cell r="D912" t="str">
            <v>und</v>
          </cell>
          <cell r="H912" t="str">
            <v>DNIT 025/2004-ES</v>
          </cell>
        </row>
        <row r="913">
          <cell r="A913" t="str">
            <v>2 S 04 221 13</v>
          </cell>
          <cell r="B913" t="str">
            <v>-</v>
          </cell>
          <cell r="C913" t="str">
            <v>Boca BTCC 1,50 x 1,50 m esc.=45</v>
          </cell>
          <cell r="D913" t="str">
            <v>und</v>
          </cell>
          <cell r="H913" t="str">
            <v>DNIT 025/2004-ES</v>
          </cell>
        </row>
        <row r="914">
          <cell r="A914" t="str">
            <v>2 S 04 221 14</v>
          </cell>
          <cell r="B914" t="str">
            <v>-</v>
          </cell>
          <cell r="C914" t="str">
            <v>Boca BTCC 2,00 x 2,00 m esc=45</v>
          </cell>
          <cell r="D914" t="str">
            <v>und</v>
          </cell>
          <cell r="H914" t="str">
            <v>DNIT 025/2004-ES</v>
          </cell>
        </row>
        <row r="915">
          <cell r="A915" t="str">
            <v>2 S 04 221 15</v>
          </cell>
          <cell r="B915" t="str">
            <v>-</v>
          </cell>
          <cell r="C915" t="str">
            <v>Boca BTCC 2,50 x 2,50 m esc=45</v>
          </cell>
          <cell r="D915" t="str">
            <v>und</v>
          </cell>
          <cell r="H915" t="str">
            <v>DNIT 025/2004-ES</v>
          </cell>
        </row>
        <row r="916">
          <cell r="A916" t="str">
            <v>2 S 04 221 16</v>
          </cell>
          <cell r="B916" t="str">
            <v>-</v>
          </cell>
          <cell r="C916" t="str">
            <v>Boca BTCC 3,00 x 3,00 m esc=45</v>
          </cell>
          <cell r="D916" t="str">
            <v>und</v>
          </cell>
          <cell r="H916" t="str">
            <v>DNIT 025/2004-ES</v>
          </cell>
        </row>
        <row r="917">
          <cell r="A917" t="str">
            <v>2 S 04 221 51</v>
          </cell>
          <cell r="B917" t="str">
            <v>-</v>
          </cell>
          <cell r="C917" t="str">
            <v>Boca BTCC 1,50 x 1,50 m normal AC/BC</v>
          </cell>
          <cell r="D917" t="str">
            <v>und</v>
          </cell>
          <cell r="H917" t="str">
            <v>DNIT 025/2004-ES</v>
          </cell>
        </row>
        <row r="918">
          <cell r="A918" t="str">
            <v>2 S 04 221 52</v>
          </cell>
          <cell r="B918" t="str">
            <v>-</v>
          </cell>
          <cell r="C918" t="str">
            <v>Boca BTCC 2,00 x 2,00 m normal AC/BC</v>
          </cell>
          <cell r="D918" t="str">
            <v>und</v>
          </cell>
          <cell r="H918" t="str">
            <v>DNIT 025/2004-ES</v>
          </cell>
        </row>
        <row r="919">
          <cell r="A919" t="str">
            <v>2 S 04 221 53</v>
          </cell>
          <cell r="B919" t="str">
            <v>-</v>
          </cell>
          <cell r="C919" t="str">
            <v>Boca BTCC 2,50 x 2,50 m normal AC/BC</v>
          </cell>
          <cell r="D919" t="str">
            <v>und</v>
          </cell>
          <cell r="H919" t="str">
            <v>DNIT 025/2004-ES</v>
          </cell>
        </row>
        <row r="920">
          <cell r="A920" t="str">
            <v>2 S 04 221 54</v>
          </cell>
          <cell r="B920" t="str">
            <v>-</v>
          </cell>
          <cell r="C920" t="str">
            <v>Boca BTCC 3,00 x 3,00 m normal AC/BC</v>
          </cell>
          <cell r="D920" t="str">
            <v>und</v>
          </cell>
          <cell r="H920" t="str">
            <v>DNIT 025/2004-ES</v>
          </cell>
        </row>
        <row r="921">
          <cell r="A921" t="str">
            <v>2 S 04 221 55</v>
          </cell>
          <cell r="B921" t="str">
            <v>-</v>
          </cell>
          <cell r="C921" t="str">
            <v>Boca BTCC 1,50 x 1,50 m - esc=15 AC/BC</v>
          </cell>
          <cell r="D921" t="str">
            <v>und</v>
          </cell>
          <cell r="H921" t="str">
            <v>DNIT 025/2004-ES</v>
          </cell>
        </row>
        <row r="922">
          <cell r="A922" t="str">
            <v>2 S 04 221 56</v>
          </cell>
          <cell r="B922" t="str">
            <v>-</v>
          </cell>
          <cell r="C922" t="str">
            <v>Boca BTCC 2,00 x 2,00 m - esc=15 AC/BC</v>
          </cell>
          <cell r="D922" t="str">
            <v>und</v>
          </cell>
          <cell r="H922" t="str">
            <v>DNIT 025/2004-ES</v>
          </cell>
        </row>
        <row r="923">
          <cell r="A923" t="str">
            <v>2 S 04 221 57</v>
          </cell>
          <cell r="B923" t="str">
            <v>-</v>
          </cell>
          <cell r="C923" t="str">
            <v>Boca BTCC 2,50 x 2,50 m - esc=15 AC/BC</v>
          </cell>
          <cell r="D923" t="str">
            <v>und</v>
          </cell>
          <cell r="H923" t="str">
            <v>DNIT 025/2004-ES</v>
          </cell>
        </row>
        <row r="924">
          <cell r="A924" t="str">
            <v>2 S 04 221 58</v>
          </cell>
          <cell r="B924" t="str">
            <v>-</v>
          </cell>
          <cell r="C924" t="str">
            <v>Boca BTCC 3,00 x 3,00 m - esc=15 AC/BC</v>
          </cell>
          <cell r="D924" t="str">
            <v>und</v>
          </cell>
          <cell r="H924" t="str">
            <v>DNIT 025/2004-ES</v>
          </cell>
        </row>
        <row r="925">
          <cell r="A925" t="str">
            <v>2 S 04 221 59</v>
          </cell>
          <cell r="B925" t="str">
            <v>-</v>
          </cell>
          <cell r="C925" t="str">
            <v>Boca BTCC 1,50 x 1,50 m - esc=30 AC/BC</v>
          </cell>
          <cell r="D925" t="str">
            <v>und</v>
          </cell>
          <cell r="H925" t="str">
            <v>DNIT 025/2004-ES</v>
          </cell>
        </row>
        <row r="926">
          <cell r="A926" t="str">
            <v>2 S 04 221 60</v>
          </cell>
          <cell r="B926" t="str">
            <v>-</v>
          </cell>
          <cell r="C926" t="str">
            <v>Boca BTCC 2,00 x 2,00 m - esc=30 AC/BC</v>
          </cell>
          <cell r="D926" t="str">
            <v>und</v>
          </cell>
          <cell r="H926" t="str">
            <v>DNIT 025/2004-ES</v>
          </cell>
        </row>
        <row r="927">
          <cell r="A927" t="str">
            <v>2 S 04 221 61</v>
          </cell>
          <cell r="B927" t="str">
            <v>-</v>
          </cell>
          <cell r="C927" t="str">
            <v>Boca BTCC 2,50 x 2,50 m - esc=30 AC/BC</v>
          </cell>
          <cell r="D927" t="str">
            <v>und</v>
          </cell>
          <cell r="H927" t="str">
            <v>DNIT 025/2004-ES</v>
          </cell>
        </row>
        <row r="928">
          <cell r="A928" t="str">
            <v>2 S 04 221 62</v>
          </cell>
          <cell r="B928" t="str">
            <v>-</v>
          </cell>
          <cell r="C928" t="str">
            <v>Boca BTCC 3,00 x 3,00 m - esc=30 AC/BC</v>
          </cell>
          <cell r="D928" t="str">
            <v>und</v>
          </cell>
          <cell r="H928" t="str">
            <v>DNIT 025/2004-ES</v>
          </cell>
        </row>
        <row r="929">
          <cell r="A929" t="str">
            <v>2 S 04 221 63</v>
          </cell>
          <cell r="B929" t="str">
            <v>-</v>
          </cell>
          <cell r="C929" t="str">
            <v>Boca BTCC 1,50 x 1,50 m - esc=45 AC/BC</v>
          </cell>
          <cell r="D929" t="str">
            <v>und</v>
          </cell>
          <cell r="H929" t="str">
            <v>DNIT 025/2004-ES</v>
          </cell>
        </row>
        <row r="930">
          <cell r="A930" t="str">
            <v>2 S 04 221 64</v>
          </cell>
          <cell r="B930" t="str">
            <v>-</v>
          </cell>
          <cell r="C930" t="str">
            <v>Boca BTCC 2,00 x 2,00 m - esc=45 AC/BC</v>
          </cell>
          <cell r="D930" t="str">
            <v>und</v>
          </cell>
          <cell r="H930" t="str">
            <v>DNIT 025/2004-ES</v>
          </cell>
        </row>
        <row r="931">
          <cell r="A931" t="str">
            <v>2 S 04 221 65</v>
          </cell>
          <cell r="B931" t="str">
            <v>-</v>
          </cell>
          <cell r="C931" t="str">
            <v>Boca BTCC 2,50 x 2,50 m - esc=45 AC/BC</v>
          </cell>
          <cell r="D931" t="str">
            <v>und</v>
          </cell>
          <cell r="H931" t="str">
            <v>DNIT 025/2004-ES</v>
          </cell>
        </row>
        <row r="932">
          <cell r="A932" t="str">
            <v>2 S 04 221 66</v>
          </cell>
          <cell r="B932" t="str">
            <v>-</v>
          </cell>
          <cell r="C932" t="str">
            <v>Boca BTCC 3,00 x 3,00 m - esc = 45 AC/BC</v>
          </cell>
          <cell r="D932" t="str">
            <v>und</v>
          </cell>
          <cell r="H932" t="str">
            <v>DNIT 025/2004-ES</v>
          </cell>
        </row>
        <row r="933">
          <cell r="A933" t="str">
            <v>2 S 04 300 16</v>
          </cell>
          <cell r="B933" t="str">
            <v>-</v>
          </cell>
          <cell r="C933" t="str">
            <v>Bueiro met. chapas múltiplas D=1,60 m galv.</v>
          </cell>
          <cell r="D933" t="str">
            <v>m</v>
          </cell>
        </row>
        <row r="934">
          <cell r="A934" t="str">
            <v>2 S 04 300 20</v>
          </cell>
          <cell r="B934" t="str">
            <v>-</v>
          </cell>
          <cell r="C934" t="str">
            <v>Bueiro met.chapas múltiplas D=2,00 m galv.</v>
          </cell>
          <cell r="D934" t="str">
            <v>m</v>
          </cell>
        </row>
        <row r="935">
          <cell r="A935" t="str">
            <v>2 S 04 300 66</v>
          </cell>
          <cell r="B935" t="str">
            <v>-</v>
          </cell>
          <cell r="C935" t="str">
            <v>Bueiro met.chapas múltiplas D=1,60 m galvan.BC</v>
          </cell>
          <cell r="D935" t="str">
            <v>m</v>
          </cell>
        </row>
        <row r="936">
          <cell r="A936" t="str">
            <v>2 S 04 300 70</v>
          </cell>
          <cell r="B936" t="str">
            <v>-</v>
          </cell>
          <cell r="C936" t="str">
            <v>Bueiro met.chapas múltiplas D=2,00 m galvan.BC</v>
          </cell>
          <cell r="D936" t="str">
            <v>m</v>
          </cell>
        </row>
        <row r="937">
          <cell r="A937" t="str">
            <v>2 S 04 301 16</v>
          </cell>
          <cell r="B937" t="str">
            <v>-</v>
          </cell>
          <cell r="C937" t="str">
            <v>Bueiro met. chapas múltiplas D=1,60 m rev. epoxy</v>
          </cell>
          <cell r="D937" t="str">
            <v>m</v>
          </cell>
        </row>
        <row r="938">
          <cell r="A938" t="str">
            <v>2 S 04 301 20</v>
          </cell>
          <cell r="B938" t="str">
            <v>-</v>
          </cell>
          <cell r="C938" t="str">
            <v>Bueiro met. chapa múltipla D=2,00 m rev. epoxy</v>
          </cell>
          <cell r="D938" t="str">
            <v>m</v>
          </cell>
        </row>
        <row r="939">
          <cell r="A939" t="str">
            <v>2 S 04 301 66</v>
          </cell>
          <cell r="B939" t="str">
            <v>-</v>
          </cell>
          <cell r="C939" t="str">
            <v>Bueiro met.chapas múlt. D=1,60 m rev. c/epoxy BC</v>
          </cell>
          <cell r="D939" t="str">
            <v>m</v>
          </cell>
        </row>
        <row r="940">
          <cell r="A940" t="str">
            <v>2 S 04 301 70</v>
          </cell>
          <cell r="B940" t="str">
            <v>-</v>
          </cell>
          <cell r="C940" t="str">
            <v>Bueiro met.chapas múlt. D=2,00 m rev. c/epoxy BC</v>
          </cell>
          <cell r="D940" t="str">
            <v>m</v>
          </cell>
        </row>
        <row r="941">
          <cell r="A941" t="str">
            <v>2 S 04 310 12</v>
          </cell>
          <cell r="B941" t="str">
            <v>-</v>
          </cell>
          <cell r="C941" t="str">
            <v>Bueiro met.s/interrupção traf. D=1,20m galv.</v>
          </cell>
          <cell r="D941" t="str">
            <v>m</v>
          </cell>
          <cell r="H941" t="str">
            <v>DNIT 024/2004-ES</v>
          </cell>
        </row>
        <row r="942">
          <cell r="A942" t="str">
            <v>2 S 04 310 16</v>
          </cell>
          <cell r="B942" t="str">
            <v>-</v>
          </cell>
          <cell r="C942" t="str">
            <v>Bueiro met.s/ interrupção tráf. D=1,60m galv.</v>
          </cell>
          <cell r="D942" t="str">
            <v>m</v>
          </cell>
          <cell r="H942" t="str">
            <v>DNIT 024/2004-ES</v>
          </cell>
        </row>
        <row r="943">
          <cell r="A943" t="str">
            <v>2 S 04 310 20</v>
          </cell>
          <cell r="B943" t="str">
            <v>-</v>
          </cell>
          <cell r="C943" t="str">
            <v>Bueiro met.s/ interrupção tráf. D=2,00m galv.</v>
          </cell>
          <cell r="D943" t="str">
            <v>m</v>
          </cell>
          <cell r="H943" t="str">
            <v>DNIT 024/2004-ES</v>
          </cell>
        </row>
        <row r="944">
          <cell r="A944" t="str">
            <v>2 S 04 311 12</v>
          </cell>
          <cell r="B944" t="str">
            <v>-</v>
          </cell>
          <cell r="C944" t="str">
            <v>Bueiro met.s/interrupção traf. D=1,20m epoxy</v>
          </cell>
          <cell r="D944" t="str">
            <v>m</v>
          </cell>
          <cell r="H944" t="str">
            <v>DNIT 024/2004-ES</v>
          </cell>
        </row>
        <row r="945">
          <cell r="A945" t="str">
            <v>2 S 04 311 16</v>
          </cell>
          <cell r="B945" t="str">
            <v>-</v>
          </cell>
          <cell r="C945" t="str">
            <v>Bueiro met.s/interrupção tráf.D=1,60 m rev.epoxy</v>
          </cell>
          <cell r="D945" t="str">
            <v>m</v>
          </cell>
          <cell r="H945" t="str">
            <v>DNIT 024/2004-ES</v>
          </cell>
        </row>
        <row r="946">
          <cell r="A946" t="str">
            <v>2 S 04 311 20</v>
          </cell>
          <cell r="B946" t="str">
            <v>-</v>
          </cell>
          <cell r="C946" t="str">
            <v>Bueiro met.s/interrupção traf.D=2,00 m rev.epoxy</v>
          </cell>
          <cell r="D946" t="str">
            <v>m</v>
          </cell>
          <cell r="H946" t="str">
            <v>DNIT 024/2004-ES</v>
          </cell>
        </row>
        <row r="947">
          <cell r="A947" t="str">
            <v>2 S 04 400 01</v>
          </cell>
          <cell r="B947" t="str">
            <v>-</v>
          </cell>
          <cell r="C947" t="str">
            <v>Valeta prot.cortes c/revest. vegetal - VPC 01</v>
          </cell>
          <cell r="D947" t="str">
            <v>m</v>
          </cell>
          <cell r="H947" t="str">
            <v>DNIT 018/2004-ES</v>
          </cell>
        </row>
        <row r="948">
          <cell r="A948" t="str">
            <v>2 S 04 400 02</v>
          </cell>
          <cell r="B948" t="str">
            <v>-</v>
          </cell>
          <cell r="C948" t="str">
            <v>Valeta prot.cortes c/revest. vegetal - VPC 02</v>
          </cell>
          <cell r="D948" t="str">
            <v>m</v>
          </cell>
          <cell r="H948" t="str">
            <v>DNIT 018/2004-ES</v>
          </cell>
        </row>
        <row r="949">
          <cell r="A949" t="str">
            <v>2 S 04 400 03</v>
          </cell>
          <cell r="B949" t="str">
            <v>-</v>
          </cell>
          <cell r="C949" t="str">
            <v>Valeta prot.cortes c/revest.concreto - VPC 03</v>
          </cell>
          <cell r="D949" t="str">
            <v>m</v>
          </cell>
          <cell r="H949" t="str">
            <v>DNIT 018/2004-ES</v>
          </cell>
        </row>
        <row r="950">
          <cell r="A950" t="str">
            <v>2 S 04 400 04</v>
          </cell>
          <cell r="B950" t="str">
            <v>-</v>
          </cell>
          <cell r="C950" t="str">
            <v>Valeta prot.cortes c/revest.concreto - VPC 04</v>
          </cell>
          <cell r="D950" t="str">
            <v>m</v>
          </cell>
          <cell r="H950" t="str">
            <v>DNIT 018/2004-ES</v>
          </cell>
        </row>
        <row r="951">
          <cell r="A951" t="str">
            <v>2 S 04 400 53</v>
          </cell>
          <cell r="B951" t="str">
            <v>-</v>
          </cell>
          <cell r="C951" t="str">
            <v>Valeta prot.de cortes c/revest.concr.VPC 03 AC/BC</v>
          </cell>
          <cell r="D951" t="str">
            <v>m</v>
          </cell>
          <cell r="H951" t="str">
            <v>DNIT 018/2004-ES</v>
          </cell>
        </row>
        <row r="952">
          <cell r="A952" t="str">
            <v>2 S 04 400 54</v>
          </cell>
          <cell r="B952" t="str">
            <v>-</v>
          </cell>
          <cell r="C952" t="str">
            <v>Valeta prot.de cortes c/revest.concr.VPC 04 AC/BC</v>
          </cell>
          <cell r="D952" t="str">
            <v>m</v>
          </cell>
          <cell r="H952" t="str">
            <v>DNIT 018/2004-ES</v>
          </cell>
        </row>
        <row r="953">
          <cell r="A953" t="str">
            <v>2 S 04 401 01</v>
          </cell>
          <cell r="B953" t="str">
            <v>-</v>
          </cell>
          <cell r="C953" t="str">
            <v>Valeta prot.aterros c/revest. vegetal - VPA 01</v>
          </cell>
          <cell r="D953" t="str">
            <v>m</v>
          </cell>
          <cell r="H953" t="str">
            <v>DNIT 018/2004-ES</v>
          </cell>
        </row>
        <row r="954">
          <cell r="A954" t="str">
            <v>2 S 04 401 02</v>
          </cell>
          <cell r="B954" t="str">
            <v>-</v>
          </cell>
          <cell r="C954" t="str">
            <v>Valeta prot.aterros c/revest. vegetal - VPA 02</v>
          </cell>
          <cell r="D954" t="str">
            <v>m</v>
          </cell>
          <cell r="H954" t="str">
            <v>DNIT 018/2004-ES</v>
          </cell>
        </row>
        <row r="955">
          <cell r="A955" t="str">
            <v>2 S 04 401 03</v>
          </cell>
          <cell r="B955" t="str">
            <v>-</v>
          </cell>
          <cell r="C955" t="str">
            <v>Valeta prot.aterro c/revest. concreto - VPA 03</v>
          </cell>
          <cell r="D955" t="str">
            <v>m</v>
          </cell>
          <cell r="H955" t="str">
            <v>DNIT 018/2004-ES</v>
          </cell>
        </row>
        <row r="956">
          <cell r="A956" t="str">
            <v>2 S 04 401 04</v>
          </cell>
          <cell r="B956" t="str">
            <v>-</v>
          </cell>
          <cell r="C956" t="str">
            <v>Valeta prot.aterro c/revest. concreto - VPA 04</v>
          </cell>
          <cell r="D956" t="str">
            <v>m</v>
          </cell>
          <cell r="H956" t="str">
            <v>DNIT 018/2004-ES</v>
          </cell>
        </row>
        <row r="957">
          <cell r="A957" t="str">
            <v>2 S 04 401 05</v>
          </cell>
          <cell r="B957" t="str">
            <v>-</v>
          </cell>
          <cell r="C957" t="str">
            <v>Valeta prot.corte/aterro s/rev. - VPC 05/VPA 05</v>
          </cell>
          <cell r="D957" t="str">
            <v>m</v>
          </cell>
          <cell r="H957" t="str">
            <v>DNIT 018/2004-ES</v>
          </cell>
        </row>
        <row r="958">
          <cell r="A958" t="str">
            <v>2 S 04 401 06</v>
          </cell>
          <cell r="B958" t="str">
            <v>-</v>
          </cell>
          <cell r="C958" t="str">
            <v>Valeta prot.corte/aterro s/rev. - VPC 06/VPA 06</v>
          </cell>
          <cell r="D958" t="str">
            <v>m</v>
          </cell>
          <cell r="H958" t="str">
            <v>DNIT 018/2004-ES</v>
          </cell>
        </row>
        <row r="959">
          <cell r="A959" t="str">
            <v>2 S 04 401 53</v>
          </cell>
          <cell r="B959" t="str">
            <v>-</v>
          </cell>
          <cell r="C959" t="str">
            <v>Valeta prot.de aterro c/revest.concr.VPA 03 AC/BC</v>
          </cell>
          <cell r="D959" t="str">
            <v>m</v>
          </cell>
          <cell r="H959" t="str">
            <v>DNIT 018/2004-ES</v>
          </cell>
        </row>
        <row r="960">
          <cell r="A960" t="str">
            <v>2 S 04 401 54</v>
          </cell>
          <cell r="B960" t="str">
            <v>-</v>
          </cell>
          <cell r="C960" t="str">
            <v>Valeta prot.de aterro c/revest.concr.VPA 04 AC/BC</v>
          </cell>
          <cell r="D960" t="str">
            <v>m</v>
          </cell>
          <cell r="H960" t="str">
            <v>DNIT 018/2004-ES</v>
          </cell>
        </row>
        <row r="961">
          <cell r="A961" t="str">
            <v>2 S 04 500 01</v>
          </cell>
          <cell r="B961" t="str">
            <v>-</v>
          </cell>
          <cell r="C961" t="str">
            <v>Dreno longitudinal prof. p/corte em solo - DPS 01</v>
          </cell>
          <cell r="D961" t="str">
            <v>m</v>
          </cell>
          <cell r="H961" t="str">
            <v>DNIT 015/2004-ES</v>
          </cell>
        </row>
        <row r="962">
          <cell r="A962" t="str">
            <v>2 S 04 500 02</v>
          </cell>
          <cell r="B962" t="str">
            <v>-</v>
          </cell>
          <cell r="C962" t="str">
            <v>Dreno longitudinal prof. p/corte em solo - DPS 02</v>
          </cell>
          <cell r="D962" t="str">
            <v>m</v>
          </cell>
          <cell r="H962" t="str">
            <v>DNIT 015/2004-ES</v>
          </cell>
        </row>
        <row r="963">
          <cell r="A963" t="str">
            <v>2 S 04 500 03</v>
          </cell>
          <cell r="B963" t="str">
            <v>-</v>
          </cell>
          <cell r="C963" t="str">
            <v>Dreno longitudinal prof. p/corte em solo - DPS 03</v>
          </cell>
          <cell r="D963" t="str">
            <v>m</v>
          </cell>
          <cell r="H963" t="str">
            <v>DNIT 015/2004-ES</v>
          </cell>
        </row>
        <row r="964">
          <cell r="A964" t="str">
            <v>2 S 04 500 04</v>
          </cell>
          <cell r="B964" t="str">
            <v>-</v>
          </cell>
          <cell r="C964" t="str">
            <v>Dreno longitudinal prof. p/corte em solo - DPS 04</v>
          </cell>
          <cell r="D964" t="str">
            <v>m</v>
          </cell>
          <cell r="H964" t="str">
            <v>DNIT 015/2004-ES</v>
          </cell>
        </row>
        <row r="965">
          <cell r="A965" t="str">
            <v>2 S 04 500 05</v>
          </cell>
          <cell r="B965" t="str">
            <v>-</v>
          </cell>
          <cell r="C965" t="str">
            <v>Dreno longitudinal prof. p/corte em solo - DPS 05</v>
          </cell>
          <cell r="D965" t="str">
            <v>m</v>
          </cell>
          <cell r="H965" t="str">
            <v>DNIT 015/2004-ES</v>
          </cell>
        </row>
        <row r="966">
          <cell r="A966" t="str">
            <v>2 S 04 500 06</v>
          </cell>
          <cell r="B966" t="str">
            <v>-</v>
          </cell>
          <cell r="C966" t="str">
            <v>Dreno longitudinal prof. p/corte em solo - DPS 06</v>
          </cell>
          <cell r="D966" t="str">
            <v>m</v>
          </cell>
          <cell r="H966" t="str">
            <v>DNIT 015/2004-ES</v>
          </cell>
        </row>
        <row r="967">
          <cell r="A967" t="str">
            <v>2 S 04 500 07</v>
          </cell>
          <cell r="B967" t="str">
            <v>-</v>
          </cell>
          <cell r="C967" t="str">
            <v>Dreno longitudinal prof. p/corte em solo - DPS 07</v>
          </cell>
          <cell r="D967" t="str">
            <v>m</v>
          </cell>
          <cell r="H967" t="str">
            <v>DNIT 015/2004-ES</v>
          </cell>
        </row>
        <row r="968">
          <cell r="A968" t="str">
            <v>2 S 04 500 08</v>
          </cell>
          <cell r="B968" t="str">
            <v>-</v>
          </cell>
          <cell r="C968" t="str">
            <v>Dreno longitudinal prof. p/corte em solo - DPS 08</v>
          </cell>
          <cell r="D968" t="str">
            <v>m</v>
          </cell>
          <cell r="H968" t="str">
            <v>DNIT 015/2004-ES</v>
          </cell>
        </row>
        <row r="969">
          <cell r="A969" t="str">
            <v>2 S 04 500 51</v>
          </cell>
          <cell r="B969" t="str">
            <v>-</v>
          </cell>
          <cell r="C969" t="str">
            <v>Dreno longit. prof.p/corte em solo - DPS 01 AC/BC</v>
          </cell>
          <cell r="D969" t="str">
            <v>m</v>
          </cell>
          <cell r="H969" t="str">
            <v>DNIT 015/2004-ES</v>
          </cell>
        </row>
        <row r="970">
          <cell r="A970" t="str">
            <v>2 S 04 500 52</v>
          </cell>
          <cell r="B970" t="str">
            <v>-</v>
          </cell>
          <cell r="C970" t="str">
            <v>Dreno longit.prof. p/corte em solo - DPS 02 AC/BC</v>
          </cell>
          <cell r="D970" t="str">
            <v>m</v>
          </cell>
          <cell r="H970" t="str">
            <v>DNIT 015/2004-ES</v>
          </cell>
        </row>
        <row r="971">
          <cell r="A971" t="str">
            <v>2 S 04 500 53</v>
          </cell>
          <cell r="B971" t="str">
            <v>-</v>
          </cell>
          <cell r="C971" t="str">
            <v>Dreno longit.prof. p/corte em solo - DPS 03 AC/BC</v>
          </cell>
          <cell r="D971" t="str">
            <v>m</v>
          </cell>
          <cell r="H971" t="str">
            <v>DNIT 015/2004-ES</v>
          </cell>
        </row>
        <row r="972">
          <cell r="A972" t="str">
            <v xml:space="preserve">2 S 04 500 54 </v>
          </cell>
          <cell r="B972" t="str">
            <v>-</v>
          </cell>
          <cell r="C972" t="str">
            <v>Dreno longit.prof. p/corte em solo - DPS 04 AC/BC</v>
          </cell>
          <cell r="D972" t="str">
            <v>m</v>
          </cell>
          <cell r="H972" t="str">
            <v>DNIT 015/2004-ES</v>
          </cell>
        </row>
        <row r="973">
          <cell r="A973" t="str">
            <v>2 S 04 500 55</v>
          </cell>
          <cell r="B973" t="str">
            <v>-</v>
          </cell>
          <cell r="C973" t="str">
            <v>Dreno longit.prof. p/corte em solo - DPS 05 AC/BC</v>
          </cell>
          <cell r="D973" t="str">
            <v>m</v>
          </cell>
          <cell r="H973" t="str">
            <v>DNIT 015/2004-ES</v>
          </cell>
        </row>
        <row r="974">
          <cell r="A974" t="str">
            <v>2 S 04 500 56</v>
          </cell>
          <cell r="B974" t="str">
            <v>-</v>
          </cell>
          <cell r="C974" t="str">
            <v>Dreno longit.prof. p/corte em solo - DPS 06 AC/BC</v>
          </cell>
          <cell r="D974" t="str">
            <v>m</v>
          </cell>
          <cell r="H974" t="str">
            <v>DNIT 015/2004-ES</v>
          </cell>
        </row>
        <row r="975">
          <cell r="A975" t="str">
            <v>2 S 04 500 57</v>
          </cell>
          <cell r="B975" t="str">
            <v>-</v>
          </cell>
          <cell r="C975" t="str">
            <v>Dreno longit.prof. p/corte em solo - DPS 07 AC/BC</v>
          </cell>
          <cell r="D975" t="str">
            <v>m</v>
          </cell>
          <cell r="H975" t="str">
            <v>DNIT 015/2004-ES</v>
          </cell>
        </row>
        <row r="976">
          <cell r="A976" t="str">
            <v>2 S 04 500 58</v>
          </cell>
          <cell r="B976" t="str">
            <v>-</v>
          </cell>
          <cell r="C976" t="str">
            <v>Dreno longit.prof. p/corte em solo - DPS 08 AC/BC</v>
          </cell>
          <cell r="D976" t="str">
            <v>m</v>
          </cell>
          <cell r="H976" t="str">
            <v>DNIT 015/2004-ES</v>
          </cell>
        </row>
        <row r="977">
          <cell r="A977" t="str">
            <v>2 S 04 501 01</v>
          </cell>
          <cell r="B977" t="str">
            <v>-</v>
          </cell>
          <cell r="C977" t="str">
            <v>Dreno longitudinal prof. p/corte em rocha - DPR 01</v>
          </cell>
          <cell r="D977" t="str">
            <v>m</v>
          </cell>
          <cell r="H977" t="str">
            <v>DNIT 015/2004-ES</v>
          </cell>
        </row>
        <row r="978">
          <cell r="A978" t="str">
            <v>2 S 04 501 02</v>
          </cell>
          <cell r="B978" t="str">
            <v>-</v>
          </cell>
          <cell r="C978" t="str">
            <v>Dreno longitudinal prof. p/corte em rocha - DPR 02</v>
          </cell>
          <cell r="D978" t="str">
            <v>m</v>
          </cell>
          <cell r="H978" t="str">
            <v>DNIT 015/2004-ES</v>
          </cell>
        </row>
        <row r="979">
          <cell r="A979" t="str">
            <v>2 S 04 501 03</v>
          </cell>
          <cell r="B979" t="str">
            <v>-</v>
          </cell>
          <cell r="C979" t="str">
            <v>Dreno longitudinal prof. p/corte em rocha - DPR 03</v>
          </cell>
          <cell r="D979" t="str">
            <v>m</v>
          </cell>
          <cell r="H979" t="str">
            <v>DNIT 015/2004-ES</v>
          </cell>
        </row>
        <row r="980">
          <cell r="A980" t="str">
            <v>2 S 04 501 04</v>
          </cell>
          <cell r="B980" t="str">
            <v>-</v>
          </cell>
          <cell r="C980" t="str">
            <v>Dreno longitudinal prof. p/corte em rocha - DPR 04</v>
          </cell>
          <cell r="D980" t="str">
            <v>m</v>
          </cell>
          <cell r="H980" t="str">
            <v>DNIT 015/2004-ES</v>
          </cell>
        </row>
        <row r="981">
          <cell r="A981" t="str">
            <v>2 S 04 501 05</v>
          </cell>
          <cell r="B981" t="str">
            <v>-</v>
          </cell>
          <cell r="C981" t="str">
            <v>Dreno longitudinal prof. p/corte em rocha - DPR 05</v>
          </cell>
          <cell r="D981" t="str">
            <v>m</v>
          </cell>
          <cell r="H981" t="str">
            <v>DNIT 015/2004-ES</v>
          </cell>
        </row>
        <row r="982">
          <cell r="A982" t="str">
            <v>2 S 04 501 51</v>
          </cell>
          <cell r="B982" t="str">
            <v>-</v>
          </cell>
          <cell r="C982" t="str">
            <v>Dreno longit.prof. p/corte em rocha - DPR 01 AC/BC</v>
          </cell>
          <cell r="D982" t="str">
            <v>m</v>
          </cell>
          <cell r="H982" t="str">
            <v>DNIT 015/2004-ES</v>
          </cell>
        </row>
        <row r="983">
          <cell r="A983" t="str">
            <v>2 S 04 501 52</v>
          </cell>
          <cell r="B983" t="str">
            <v>-</v>
          </cell>
          <cell r="C983" t="str">
            <v>Dreno longit.prof. p/corte em rocha - DPR 02 AC/BC</v>
          </cell>
          <cell r="D983" t="str">
            <v>m</v>
          </cell>
          <cell r="H983" t="str">
            <v>DNIT 015/2004-ES</v>
          </cell>
        </row>
        <row r="984">
          <cell r="A984" t="str">
            <v>2 S 04 501 53</v>
          </cell>
          <cell r="B984" t="str">
            <v>-</v>
          </cell>
          <cell r="C984" t="str">
            <v>Dreno longit.prof. p/corte em rocha - DPR 03 BC</v>
          </cell>
          <cell r="D984" t="str">
            <v>m</v>
          </cell>
          <cell r="H984" t="str">
            <v>DNIT 015/2004-ES</v>
          </cell>
        </row>
        <row r="985">
          <cell r="A985" t="str">
            <v>2 S 04 501 54</v>
          </cell>
          <cell r="B985" t="str">
            <v>-</v>
          </cell>
          <cell r="C985" t="str">
            <v>Dreno longit.prof. p/corte em rocha - DPR 04 BC</v>
          </cell>
          <cell r="D985" t="str">
            <v>m</v>
          </cell>
          <cell r="H985" t="str">
            <v>DNIT 015/2004-ES</v>
          </cell>
        </row>
        <row r="986">
          <cell r="A986" t="str">
            <v>2 S 04 501 55</v>
          </cell>
          <cell r="B986" t="str">
            <v>-</v>
          </cell>
          <cell r="C986" t="str">
            <v>Dreno longit.prof. p/corte em rocha - DPR 05 AC/BC</v>
          </cell>
          <cell r="D986" t="str">
            <v>m</v>
          </cell>
          <cell r="H986" t="str">
            <v>DNIT 015/2004-ES</v>
          </cell>
        </row>
        <row r="987">
          <cell r="A987" t="str">
            <v>2 S 04 502 01</v>
          </cell>
          <cell r="B987" t="str">
            <v>-</v>
          </cell>
          <cell r="C987" t="str">
            <v>Boca saída p/dreno longitudinal prof. BSD 01</v>
          </cell>
          <cell r="D987" t="str">
            <v>m</v>
          </cell>
          <cell r="H987" t="str">
            <v>DNIT 015/2004-ES</v>
          </cell>
        </row>
        <row r="988">
          <cell r="A988" t="str">
            <v>2 S 04 502 02</v>
          </cell>
          <cell r="B988" t="str">
            <v>-</v>
          </cell>
          <cell r="C988" t="str">
            <v>Boca saída p/dreno longitudinal prof. BSD 02</v>
          </cell>
          <cell r="D988" t="str">
            <v>m</v>
          </cell>
          <cell r="H988" t="str">
            <v>DNIT 015/2004-ES</v>
          </cell>
        </row>
        <row r="989">
          <cell r="A989" t="str">
            <v>2 S 04 502 51</v>
          </cell>
          <cell r="B989" t="str">
            <v>-</v>
          </cell>
          <cell r="C989" t="str">
            <v>Boca de saída p/dreno longit. prof. - BSD 01 AC/BC</v>
          </cell>
          <cell r="D989" t="str">
            <v>m</v>
          </cell>
          <cell r="H989" t="str">
            <v>DNIT 015/2004-ES</v>
          </cell>
        </row>
        <row r="990">
          <cell r="A990" t="str">
            <v>2 S 04 502 52</v>
          </cell>
          <cell r="B990" t="str">
            <v>-</v>
          </cell>
          <cell r="C990" t="str">
            <v>Boca de saída p/dreno longit. prof. - BSD 02 AC/BC</v>
          </cell>
          <cell r="D990" t="str">
            <v>m</v>
          </cell>
          <cell r="H990" t="str">
            <v>DNIT 015/2004-ES</v>
          </cell>
        </row>
        <row r="991">
          <cell r="A991" t="str">
            <v>2 S 04 510 01</v>
          </cell>
          <cell r="B991" t="str">
            <v>-</v>
          </cell>
          <cell r="C991" t="str">
            <v>Dreno sub-superficial - DSS 01</v>
          </cell>
          <cell r="D991" t="str">
            <v>m</v>
          </cell>
          <cell r="H991" t="str">
            <v>DNIT 016/2004-ES</v>
          </cell>
        </row>
        <row r="992">
          <cell r="A992" t="str">
            <v>2 S 04 510 02</v>
          </cell>
          <cell r="B992" t="str">
            <v>-</v>
          </cell>
          <cell r="C992" t="str">
            <v>Dreno sub-superficial - DSS 02</v>
          </cell>
          <cell r="D992" t="str">
            <v>m</v>
          </cell>
          <cell r="H992" t="str">
            <v>DNIT 016/2004-ES</v>
          </cell>
        </row>
        <row r="993">
          <cell r="A993" t="str">
            <v>2 S 04 510 03</v>
          </cell>
          <cell r="B993" t="str">
            <v>-</v>
          </cell>
          <cell r="C993" t="str">
            <v>Dreno sub-superficial - DSS 03</v>
          </cell>
          <cell r="D993" t="str">
            <v>m</v>
          </cell>
          <cell r="H993" t="str">
            <v>DNIT 016/2004-ES</v>
          </cell>
        </row>
        <row r="994">
          <cell r="A994" t="str">
            <v>2 S 04 510 04</v>
          </cell>
          <cell r="B994" t="str">
            <v>-</v>
          </cell>
          <cell r="C994" t="str">
            <v>Dreno sub-superficial - DSS 04</v>
          </cell>
          <cell r="D994" t="str">
            <v>m</v>
          </cell>
          <cell r="H994" t="str">
            <v>DNIT 016/2004-ES</v>
          </cell>
        </row>
        <row r="995">
          <cell r="A995" t="str">
            <v>2 S 04 510 51</v>
          </cell>
          <cell r="B995" t="str">
            <v>-</v>
          </cell>
          <cell r="C995" t="str">
            <v>Dreno sub-superficial - DSS 01 AC</v>
          </cell>
          <cell r="D995" t="str">
            <v>m</v>
          </cell>
          <cell r="H995" t="str">
            <v>DNIT 016/2004-ES</v>
          </cell>
        </row>
        <row r="996">
          <cell r="A996" t="str">
            <v>2 S 04 510 52</v>
          </cell>
          <cell r="B996" t="str">
            <v>-</v>
          </cell>
          <cell r="C996" t="str">
            <v>Dreno sub-superficial - DSS 02 BC</v>
          </cell>
          <cell r="D996" t="str">
            <v>m</v>
          </cell>
          <cell r="H996" t="str">
            <v>DNIT 016/2004-ES</v>
          </cell>
        </row>
        <row r="997">
          <cell r="A997" t="str">
            <v>2 S 04 510 53</v>
          </cell>
          <cell r="B997" t="str">
            <v>-</v>
          </cell>
          <cell r="C997" t="str">
            <v>Dreno sub-superficial - DSS 03 BC</v>
          </cell>
          <cell r="D997" t="str">
            <v>m</v>
          </cell>
          <cell r="H997" t="str">
            <v>DNIT 016/2004-ES</v>
          </cell>
        </row>
        <row r="998">
          <cell r="A998" t="str">
            <v>2 S 04 510 54</v>
          </cell>
          <cell r="B998" t="str">
            <v>-</v>
          </cell>
          <cell r="C998" t="str">
            <v>Dreno sub-superficial - DSS 04 BC</v>
          </cell>
          <cell r="D998" t="str">
            <v>m</v>
          </cell>
          <cell r="H998" t="str">
            <v>DNIT 016/2004-ES</v>
          </cell>
        </row>
        <row r="999">
          <cell r="A999" t="str">
            <v>2 S 04 511 01</v>
          </cell>
          <cell r="B999" t="str">
            <v>-</v>
          </cell>
          <cell r="C999" t="str">
            <v>Boca saída p/dreno sub-superficial - BSD 03</v>
          </cell>
          <cell r="D999" t="str">
            <v>m</v>
          </cell>
          <cell r="H999" t="str">
            <v>DNIT 016/2004-ES</v>
          </cell>
        </row>
        <row r="1000">
          <cell r="A1000" t="str">
            <v>2 S 04 511 51</v>
          </cell>
          <cell r="B1000" t="str">
            <v>-</v>
          </cell>
          <cell r="C1000" t="str">
            <v>Boca de saída p/dreno sub-superficial-BSD 03 AC/BC</v>
          </cell>
          <cell r="D1000" t="str">
            <v>Und</v>
          </cell>
          <cell r="H1000" t="str">
            <v>DNIT 016/2004-ES</v>
          </cell>
        </row>
        <row r="1001">
          <cell r="A1001" t="str">
            <v>2 S 04 520 01</v>
          </cell>
          <cell r="B1001" t="str">
            <v>-</v>
          </cell>
          <cell r="C1001" t="str">
            <v>Dreno sub-horizontal - DSH 01</v>
          </cell>
          <cell r="D1001" t="str">
            <v>m</v>
          </cell>
          <cell r="H1001" t="str">
            <v>DNIT 017/2004-ES</v>
          </cell>
        </row>
        <row r="1002">
          <cell r="A1002" t="str">
            <v>2 S 04 520 51</v>
          </cell>
          <cell r="B1002" t="str">
            <v>-</v>
          </cell>
          <cell r="C1002" t="str">
            <v>Dreno sub-horizontal - DSH 01</v>
          </cell>
          <cell r="D1002" t="str">
            <v>m</v>
          </cell>
          <cell r="H1002" t="str">
            <v>DNIT 017/2004-ES</v>
          </cell>
        </row>
        <row r="1003">
          <cell r="A1003" t="str">
            <v>2 S 04 521 01</v>
          </cell>
          <cell r="B1003" t="str">
            <v>-</v>
          </cell>
          <cell r="C1003" t="str">
            <v>Boca saída p/dreno sub-horizontal - BSD 04</v>
          </cell>
          <cell r="D1003" t="str">
            <v>Und</v>
          </cell>
          <cell r="H1003" t="str">
            <v>DNIT 017/2004-ES</v>
          </cell>
        </row>
        <row r="1004">
          <cell r="A1004" t="str">
            <v>2 S 04 521 51</v>
          </cell>
          <cell r="B1004" t="str">
            <v>-</v>
          </cell>
          <cell r="C1004" t="str">
            <v>Boca de saída p/dreno sub-superficial-BSD 04 AC/BC</v>
          </cell>
          <cell r="D1004" t="str">
            <v>Und</v>
          </cell>
          <cell r="H1004" t="str">
            <v>DNIT 017/2004-ES</v>
          </cell>
        </row>
        <row r="1005">
          <cell r="A1005" t="str">
            <v>2 S 04 900 01</v>
          </cell>
          <cell r="B1005" t="str">
            <v>-</v>
          </cell>
          <cell r="C1005" t="str">
            <v>Sarjeta triangular de concreto - STC 01</v>
          </cell>
          <cell r="D1005" t="str">
            <v>m</v>
          </cell>
          <cell r="H1005" t="str">
            <v>DNIT 018/2004-ES</v>
          </cell>
        </row>
        <row r="1006">
          <cell r="A1006" t="str">
            <v>2 S 04 900 02</v>
          </cell>
          <cell r="B1006" t="str">
            <v>-</v>
          </cell>
          <cell r="C1006" t="str">
            <v>Sarjeta triangular de concreto - STC 02</v>
          </cell>
          <cell r="D1006" t="str">
            <v>m</v>
          </cell>
          <cell r="H1006" t="str">
            <v>DNIT 018/2004-ES</v>
          </cell>
        </row>
        <row r="1007">
          <cell r="A1007" t="str">
            <v>2 S 04 900 03</v>
          </cell>
          <cell r="B1007" t="str">
            <v>-</v>
          </cell>
          <cell r="C1007" t="str">
            <v>Sarjeta triangular de concreto - STC 03</v>
          </cell>
          <cell r="D1007" t="str">
            <v>m</v>
          </cell>
          <cell r="H1007" t="str">
            <v>DNIT 018/2004-ES</v>
          </cell>
        </row>
        <row r="1008">
          <cell r="A1008" t="str">
            <v>2 S 04 900 04</v>
          </cell>
          <cell r="B1008" t="str">
            <v>-</v>
          </cell>
          <cell r="C1008" t="str">
            <v>Sarjeta triangular de concreto - STC 04</v>
          </cell>
          <cell r="D1008" t="str">
            <v>m</v>
          </cell>
          <cell r="H1008" t="str">
            <v>DNIT 018/2004-ES</v>
          </cell>
        </row>
        <row r="1009">
          <cell r="A1009" t="str">
            <v>2 S 04 900 05</v>
          </cell>
          <cell r="B1009" t="str">
            <v>-</v>
          </cell>
          <cell r="C1009" t="str">
            <v>Sarjeta triangular de concreto - STC 05</v>
          </cell>
          <cell r="D1009" t="str">
            <v>m</v>
          </cell>
          <cell r="H1009" t="str">
            <v>DNIT 018/2004-ES</v>
          </cell>
        </row>
        <row r="1010">
          <cell r="A1010" t="str">
            <v>2 S 04 900 06</v>
          </cell>
          <cell r="B1010" t="str">
            <v>-</v>
          </cell>
          <cell r="C1010" t="str">
            <v>Sarjeta triangular de concreto - STC 06</v>
          </cell>
          <cell r="D1010" t="str">
            <v>m</v>
          </cell>
          <cell r="H1010" t="str">
            <v>DNIT 018/2004-ES</v>
          </cell>
        </row>
        <row r="1011">
          <cell r="A1011" t="str">
            <v>2 S 04 900 07</v>
          </cell>
          <cell r="B1011" t="str">
            <v>-</v>
          </cell>
          <cell r="C1011" t="str">
            <v>Sarjeta triangular de concreto - STC 07</v>
          </cell>
          <cell r="D1011" t="str">
            <v>m</v>
          </cell>
          <cell r="H1011" t="str">
            <v>DNIT 018/2004-ES</v>
          </cell>
        </row>
        <row r="1012">
          <cell r="A1012" t="str">
            <v>2 S 04 900 08</v>
          </cell>
          <cell r="B1012" t="str">
            <v>-</v>
          </cell>
          <cell r="C1012" t="str">
            <v>Sarjeta triangular de concreto - STC 08</v>
          </cell>
          <cell r="D1012" t="str">
            <v>m</v>
          </cell>
          <cell r="H1012" t="str">
            <v>DNIT 018/2004-ES</v>
          </cell>
        </row>
        <row r="1013">
          <cell r="A1013" t="str">
            <v>2 S 04 900 21</v>
          </cell>
          <cell r="B1013" t="str">
            <v>-</v>
          </cell>
          <cell r="C1013" t="str">
            <v>Sarjeta canteiro central concreto - SCC 01</v>
          </cell>
          <cell r="D1013" t="str">
            <v>m</v>
          </cell>
          <cell r="H1013" t="str">
            <v>DNIT 018/2004-ES</v>
          </cell>
        </row>
        <row r="1014">
          <cell r="A1014" t="str">
            <v>2 S 04 900 22</v>
          </cell>
          <cell r="B1014" t="str">
            <v>-</v>
          </cell>
          <cell r="C1014" t="str">
            <v>Sarjeta canteiro central concreto - SCC 02</v>
          </cell>
          <cell r="D1014" t="str">
            <v>m</v>
          </cell>
          <cell r="H1014" t="str">
            <v>DNIT 018/2004-ES</v>
          </cell>
        </row>
        <row r="1015">
          <cell r="A1015" t="str">
            <v>2 S 04 900 31</v>
          </cell>
          <cell r="B1015" t="str">
            <v>-</v>
          </cell>
          <cell r="C1015" t="str">
            <v>Sarjeta triangular de grama - STG 01</v>
          </cell>
          <cell r="D1015" t="str">
            <v>m</v>
          </cell>
          <cell r="H1015" t="str">
            <v>DNIT 018/2004-ES</v>
          </cell>
        </row>
        <row r="1016">
          <cell r="A1016" t="str">
            <v>2 S 04 900 32</v>
          </cell>
          <cell r="B1016" t="str">
            <v>-</v>
          </cell>
          <cell r="C1016" t="str">
            <v>Sarjeta triangular de grama - STG 02</v>
          </cell>
          <cell r="D1016" t="str">
            <v>m</v>
          </cell>
          <cell r="H1016" t="str">
            <v>DNIT 018/2004-ES</v>
          </cell>
        </row>
        <row r="1017">
          <cell r="A1017" t="str">
            <v>2 S 04 900 33</v>
          </cell>
          <cell r="B1017" t="str">
            <v>-</v>
          </cell>
          <cell r="C1017" t="str">
            <v>Sarjeta triangular de grama - STG 03</v>
          </cell>
          <cell r="D1017" t="str">
            <v>m</v>
          </cell>
          <cell r="H1017" t="str">
            <v>DNIT 018/2004-ES</v>
          </cell>
        </row>
        <row r="1018">
          <cell r="A1018" t="str">
            <v>2 S 04 900 34</v>
          </cell>
          <cell r="B1018" t="str">
            <v>-</v>
          </cell>
          <cell r="C1018" t="str">
            <v>Sarjeta triangular de grama - STG 04</v>
          </cell>
          <cell r="D1018" t="str">
            <v>m</v>
          </cell>
          <cell r="H1018" t="str">
            <v>DNIT 018/2004-ES</v>
          </cell>
        </row>
        <row r="1019">
          <cell r="A1019" t="str">
            <v>2 S 04 900 41</v>
          </cell>
          <cell r="B1019" t="str">
            <v>-</v>
          </cell>
          <cell r="C1019" t="str">
            <v>Sarjeta triangular não revestida - STT 01</v>
          </cell>
          <cell r="D1019" t="str">
            <v>m</v>
          </cell>
          <cell r="H1019" t="str">
            <v>DNIT 018/2004-ES</v>
          </cell>
        </row>
        <row r="1020">
          <cell r="A1020" t="str">
            <v>2 S 04 900 42</v>
          </cell>
          <cell r="B1020" t="str">
            <v>-</v>
          </cell>
          <cell r="C1020" t="str">
            <v>Sarjeta triangular não revestida - STT 02</v>
          </cell>
          <cell r="D1020" t="str">
            <v>m</v>
          </cell>
          <cell r="H1020" t="str">
            <v>DNIT 018/2004-ES</v>
          </cell>
        </row>
        <row r="1021">
          <cell r="A1021" t="str">
            <v>2 S 04 900 43</v>
          </cell>
          <cell r="B1021" t="str">
            <v>-</v>
          </cell>
          <cell r="C1021" t="str">
            <v>Sarjeta triangular não revestida - STT 03</v>
          </cell>
          <cell r="D1021" t="str">
            <v>m</v>
          </cell>
          <cell r="H1021" t="str">
            <v>DNIT 018/2004-ES</v>
          </cell>
        </row>
        <row r="1022">
          <cell r="A1022" t="str">
            <v>2 S 04 900 44</v>
          </cell>
          <cell r="B1022" t="str">
            <v>-</v>
          </cell>
          <cell r="C1022" t="str">
            <v>Sarjeta triangular não revestida - STT 04</v>
          </cell>
          <cell r="D1022" t="str">
            <v>m</v>
          </cell>
          <cell r="H1022" t="str">
            <v>DNIT 018/2004-ES</v>
          </cell>
        </row>
        <row r="1023">
          <cell r="A1023" t="str">
            <v>2 S 04 900 51</v>
          </cell>
          <cell r="B1023" t="str">
            <v>-</v>
          </cell>
          <cell r="C1023" t="str">
            <v>Sarjeta triangular de concreto - STC 01 AC/BC</v>
          </cell>
          <cell r="D1023" t="str">
            <v>m</v>
          </cell>
          <cell r="H1023" t="str">
            <v>DNIT 018/2004-ES</v>
          </cell>
        </row>
        <row r="1024">
          <cell r="A1024" t="str">
            <v>2 S 04 900 52</v>
          </cell>
          <cell r="B1024" t="str">
            <v>-</v>
          </cell>
          <cell r="C1024" t="str">
            <v>Sarjeta triangular de concreto - STC 02 AC/BC</v>
          </cell>
          <cell r="D1024" t="str">
            <v>m</v>
          </cell>
          <cell r="H1024" t="str">
            <v>DNIT 018/2004-ES</v>
          </cell>
        </row>
        <row r="1025">
          <cell r="A1025" t="str">
            <v>2 S 04 900 53</v>
          </cell>
          <cell r="B1025" t="str">
            <v>-</v>
          </cell>
          <cell r="C1025" t="str">
            <v>Sarjeta triangular de concreto - STC 03 AC/BC</v>
          </cell>
          <cell r="D1025" t="str">
            <v>m</v>
          </cell>
          <cell r="H1025" t="str">
            <v>DNIT 018/2004-ES</v>
          </cell>
        </row>
        <row r="1026">
          <cell r="A1026" t="str">
            <v>2 S 04 900 54</v>
          </cell>
          <cell r="B1026" t="str">
            <v>-</v>
          </cell>
          <cell r="C1026" t="str">
            <v>Sarjeta triangular de concreto - STC 04 AC/BC</v>
          </cell>
          <cell r="D1026" t="str">
            <v>m</v>
          </cell>
          <cell r="H1026" t="str">
            <v>DNIT 018/2004-ES</v>
          </cell>
        </row>
        <row r="1027">
          <cell r="A1027" t="str">
            <v>2 S 04 900 55</v>
          </cell>
          <cell r="B1027" t="str">
            <v>-</v>
          </cell>
          <cell r="C1027" t="str">
            <v>Sarjeta triangular de concreto - STC 05 AC/BC</v>
          </cell>
          <cell r="D1027" t="str">
            <v>m</v>
          </cell>
          <cell r="H1027" t="str">
            <v>DNIT 018/2004-ES</v>
          </cell>
        </row>
        <row r="1028">
          <cell r="A1028" t="str">
            <v>2 S 04 900 56</v>
          </cell>
          <cell r="B1028" t="str">
            <v>-</v>
          </cell>
          <cell r="C1028" t="str">
            <v>Sarjeta triangular de concreto - STC 06 AC/BC</v>
          </cell>
          <cell r="D1028" t="str">
            <v>m</v>
          </cell>
          <cell r="H1028" t="str">
            <v>DNIT 018/2004-ES</v>
          </cell>
        </row>
        <row r="1029">
          <cell r="A1029" t="str">
            <v>2 S 04 900 57</v>
          </cell>
          <cell r="B1029" t="str">
            <v>-</v>
          </cell>
          <cell r="C1029" t="str">
            <v>Sarjeta triangular de concreto - STC 07 AC/BC</v>
          </cell>
          <cell r="D1029" t="str">
            <v>m</v>
          </cell>
          <cell r="H1029" t="str">
            <v>DNIT 018/2004-ES</v>
          </cell>
        </row>
        <row r="1030">
          <cell r="A1030" t="str">
            <v>2 S 04 900 58</v>
          </cell>
          <cell r="B1030" t="str">
            <v>-</v>
          </cell>
          <cell r="C1030" t="str">
            <v>Sarjeta triangular de concreto - STC 08 AC/BC</v>
          </cell>
          <cell r="D1030" t="str">
            <v>m</v>
          </cell>
          <cell r="H1030" t="str">
            <v>DNIT 018/2004-ES</v>
          </cell>
        </row>
        <row r="1031">
          <cell r="A1031" t="str">
            <v>2 S 04 900 71</v>
          </cell>
          <cell r="B1031" t="str">
            <v>-</v>
          </cell>
          <cell r="C1031" t="str">
            <v>Sarjeta canteiro central concreto - SCC 01 AC/BC</v>
          </cell>
          <cell r="D1031" t="str">
            <v>m</v>
          </cell>
          <cell r="H1031" t="str">
            <v>DNIT 018/2004-ES</v>
          </cell>
        </row>
        <row r="1032">
          <cell r="A1032" t="str">
            <v>2 S 04 900 72</v>
          </cell>
          <cell r="B1032" t="str">
            <v>-</v>
          </cell>
          <cell r="C1032" t="str">
            <v>Sarjeta canteiro central concreto - SCC 02 AC/BC</v>
          </cell>
          <cell r="D1032" t="str">
            <v>m</v>
          </cell>
          <cell r="H1032" t="str">
            <v>DNIT 018/2004-ES</v>
          </cell>
        </row>
        <row r="1033">
          <cell r="A1033" t="str">
            <v>2 S 04 901 01</v>
          </cell>
          <cell r="B1033" t="str">
            <v>-</v>
          </cell>
          <cell r="C1033" t="str">
            <v>Sarjeta trapezoidal de concreto - SZC 01</v>
          </cell>
          <cell r="D1033" t="str">
            <v>m</v>
          </cell>
          <cell r="H1033" t="str">
            <v>DNIT 018/2004-ES</v>
          </cell>
        </row>
        <row r="1034">
          <cell r="A1034" t="str">
            <v>2 S 04 901 02</v>
          </cell>
          <cell r="B1034" t="str">
            <v>-</v>
          </cell>
          <cell r="C1034" t="str">
            <v>Sarjeta trapezoidal de concreto - SZC 02</v>
          </cell>
          <cell r="D1034" t="str">
            <v>m</v>
          </cell>
          <cell r="H1034" t="str">
            <v>DNIT 018/2004-ES</v>
          </cell>
        </row>
        <row r="1035">
          <cell r="A1035" t="str">
            <v>2 S 04 901 21</v>
          </cell>
          <cell r="B1035" t="str">
            <v>-</v>
          </cell>
          <cell r="C1035" t="str">
            <v>Sarjeta de canteiro central de concreto - SCC 03</v>
          </cell>
          <cell r="D1035" t="str">
            <v>m</v>
          </cell>
          <cell r="H1035" t="str">
            <v>DNIT 018/2004-ES</v>
          </cell>
        </row>
        <row r="1036">
          <cell r="A1036" t="str">
            <v>2 S 04 901 22</v>
          </cell>
          <cell r="B1036" t="str">
            <v>-</v>
          </cell>
          <cell r="C1036" t="str">
            <v>Sarjeta de canteiro central de cocnreto - SCC 04</v>
          </cell>
          <cell r="D1036" t="str">
            <v>m</v>
          </cell>
          <cell r="H1036" t="str">
            <v>DNIT 018/2004-ES</v>
          </cell>
        </row>
        <row r="1037">
          <cell r="A1037" t="str">
            <v>2 S 04 901 31</v>
          </cell>
          <cell r="B1037" t="str">
            <v>-</v>
          </cell>
          <cell r="C1037" t="str">
            <v>Sarjeta trapezoidal de grama - SZG 01</v>
          </cell>
          <cell r="D1037" t="str">
            <v>m</v>
          </cell>
          <cell r="H1037" t="str">
            <v>DNIT 018/2004-ES</v>
          </cell>
        </row>
        <row r="1038">
          <cell r="A1038" t="str">
            <v>2 S 04 901 32</v>
          </cell>
          <cell r="B1038" t="str">
            <v>-</v>
          </cell>
          <cell r="C1038" t="str">
            <v>Sarjeta trapezoidal de grama - SZG 02</v>
          </cell>
          <cell r="D1038" t="str">
            <v>m</v>
          </cell>
          <cell r="H1038" t="str">
            <v>DNIT 018/2004-ES</v>
          </cell>
        </row>
        <row r="1039">
          <cell r="A1039" t="str">
            <v>2 S 04 901 41</v>
          </cell>
          <cell r="B1039" t="str">
            <v>-</v>
          </cell>
          <cell r="C1039" t="str">
            <v>Sarjeta trapezoidal não revestida - SZT 01</v>
          </cell>
          <cell r="D1039" t="str">
            <v>m</v>
          </cell>
          <cell r="H1039" t="str">
            <v>DNIT 018/2004-ES</v>
          </cell>
        </row>
        <row r="1040">
          <cell r="A1040" t="str">
            <v>2 S 04 901 42</v>
          </cell>
          <cell r="B1040" t="str">
            <v>-</v>
          </cell>
          <cell r="C1040" t="str">
            <v>Sarjeta trapezoidal não revestida - SZT 02</v>
          </cell>
          <cell r="D1040" t="str">
            <v>m</v>
          </cell>
          <cell r="H1040" t="str">
            <v>DNIT 018/2004-ES</v>
          </cell>
        </row>
        <row r="1041">
          <cell r="A1041" t="str">
            <v>2 S 04 901 51</v>
          </cell>
          <cell r="B1041" t="str">
            <v>-</v>
          </cell>
          <cell r="C1041" t="str">
            <v>Sarjeta trapezoidal de concreto - SZC 01 AC/BC</v>
          </cell>
          <cell r="D1041" t="str">
            <v>m</v>
          </cell>
          <cell r="H1041" t="str">
            <v>DNIT 018/2004-ES</v>
          </cell>
        </row>
        <row r="1042">
          <cell r="A1042" t="str">
            <v>2 S 04 901 52</v>
          </cell>
          <cell r="B1042" t="str">
            <v>-</v>
          </cell>
          <cell r="C1042" t="str">
            <v>Sarjeta trapezoidal de concreto - SZC 02 AC/BC</v>
          </cell>
          <cell r="D1042" t="str">
            <v>m</v>
          </cell>
          <cell r="H1042" t="str">
            <v>DNIT 018/2004-ES</v>
          </cell>
        </row>
        <row r="1043">
          <cell r="A1043" t="str">
            <v>2 S 04 901 71</v>
          </cell>
          <cell r="B1043" t="str">
            <v>-</v>
          </cell>
          <cell r="C1043" t="str">
            <v>Sarjeta canteiro central concreto - SCC 03 AC/BC</v>
          </cell>
          <cell r="D1043" t="str">
            <v>m</v>
          </cell>
          <cell r="H1043" t="str">
            <v>DNIT 018/2004-ES</v>
          </cell>
        </row>
        <row r="1044">
          <cell r="A1044" t="str">
            <v>2 S 04 901 72</v>
          </cell>
          <cell r="B1044" t="str">
            <v>-</v>
          </cell>
          <cell r="C1044" t="str">
            <v>Sarjeta canteiro central concreto - SCC 04 AC/BC</v>
          </cell>
          <cell r="D1044" t="str">
            <v>m</v>
          </cell>
          <cell r="H1044" t="str">
            <v>DNIT 018/2004-ES</v>
          </cell>
        </row>
        <row r="1045">
          <cell r="A1045" t="str">
            <v>2 S 04 910 01</v>
          </cell>
          <cell r="B1045" t="str">
            <v>-</v>
          </cell>
          <cell r="C1045" t="str">
            <v>Meio fio de concreto - MFC 01</v>
          </cell>
          <cell r="D1045" t="str">
            <v>m</v>
          </cell>
          <cell r="H1045" t="str">
            <v>DNIT 020/2004-ES</v>
          </cell>
        </row>
        <row r="1046">
          <cell r="A1046" t="str">
            <v>2 S 04 910 02</v>
          </cell>
          <cell r="B1046" t="str">
            <v>-</v>
          </cell>
          <cell r="C1046" t="str">
            <v>Meio fio de concreto - MFC 02</v>
          </cell>
          <cell r="D1046" t="str">
            <v>m</v>
          </cell>
          <cell r="H1046" t="str">
            <v>DNIT 020/2004-ES</v>
          </cell>
        </row>
        <row r="1047">
          <cell r="A1047" t="str">
            <v>2 S 04 910 03</v>
          </cell>
          <cell r="B1047" t="str">
            <v>-</v>
          </cell>
          <cell r="C1047" t="str">
            <v>Meio fio de concreto - MFC 03</v>
          </cell>
          <cell r="D1047" t="str">
            <v>m</v>
          </cell>
          <cell r="H1047" t="str">
            <v>DNIT 020/2004-ES</v>
          </cell>
        </row>
        <row r="1048">
          <cell r="A1048" t="str">
            <v>2 S 04 910 04</v>
          </cell>
          <cell r="B1048" t="str">
            <v>-</v>
          </cell>
          <cell r="C1048" t="str">
            <v>Meio fio de concreto - MFC 04</v>
          </cell>
          <cell r="D1048" t="str">
            <v>m</v>
          </cell>
          <cell r="H1048" t="str">
            <v>DNIT 020/2004-ES</v>
          </cell>
        </row>
        <row r="1049">
          <cell r="A1049" t="str">
            <v>2 S 04 910 05</v>
          </cell>
          <cell r="B1049" t="str">
            <v>-</v>
          </cell>
          <cell r="C1049" t="str">
            <v>Meio fio de concreto - MFC 05</v>
          </cell>
          <cell r="D1049" t="str">
            <v>m</v>
          </cell>
          <cell r="H1049" t="str">
            <v>DNIT 020/2004-ES</v>
          </cell>
        </row>
        <row r="1050">
          <cell r="A1050" t="str">
            <v>2 S 04 910 06</v>
          </cell>
          <cell r="B1050" t="str">
            <v>-</v>
          </cell>
          <cell r="C1050" t="str">
            <v>Meio fio de concreto - MFC 06</v>
          </cell>
          <cell r="D1050" t="str">
            <v>m</v>
          </cell>
          <cell r="H1050" t="str">
            <v>DNIT 020/2004-ES</v>
          </cell>
        </row>
        <row r="1051">
          <cell r="A1051" t="str">
            <v>2 S 04 910 07</v>
          </cell>
          <cell r="B1051" t="str">
            <v>-</v>
          </cell>
          <cell r="C1051" t="str">
            <v>Meio fio de concreto - MFC 07</v>
          </cell>
          <cell r="D1051" t="str">
            <v>m</v>
          </cell>
          <cell r="H1051" t="str">
            <v>DNIT 020/2004-ES</v>
          </cell>
        </row>
        <row r="1052">
          <cell r="A1052" t="str">
            <v>2 S 04 910 08</v>
          </cell>
          <cell r="B1052" t="str">
            <v>-</v>
          </cell>
          <cell r="C1052" t="str">
            <v>Meio fio de concreto - MFC 08</v>
          </cell>
          <cell r="D1052" t="str">
            <v>m</v>
          </cell>
          <cell r="H1052" t="str">
            <v>DNIT 020/2004-ES</v>
          </cell>
        </row>
        <row r="1053">
          <cell r="A1053" t="str">
            <v>2 S 04 910 51</v>
          </cell>
          <cell r="B1053" t="str">
            <v>-</v>
          </cell>
          <cell r="C1053" t="str">
            <v>Meio-fio de concreto - MFC 01 AC/BC</v>
          </cell>
          <cell r="D1053" t="str">
            <v>m</v>
          </cell>
          <cell r="H1053" t="str">
            <v>DNIT 020/2004-ES</v>
          </cell>
        </row>
        <row r="1054">
          <cell r="A1054" t="str">
            <v>2 S 04 910 52</v>
          </cell>
          <cell r="B1054" t="str">
            <v>-</v>
          </cell>
          <cell r="C1054" t="str">
            <v>Meio-fio de concreto - MFC 02 AC/BC</v>
          </cell>
          <cell r="D1054" t="str">
            <v>m</v>
          </cell>
          <cell r="H1054" t="str">
            <v>DNIT 020/2004-ES</v>
          </cell>
        </row>
        <row r="1055">
          <cell r="A1055" t="str">
            <v>2 S 04 910 53</v>
          </cell>
          <cell r="B1055" t="str">
            <v>-</v>
          </cell>
          <cell r="C1055" t="str">
            <v>Meio-fio de concreto - MFC 03 AC/BC</v>
          </cell>
          <cell r="D1055" t="str">
            <v>m</v>
          </cell>
          <cell r="H1055" t="str">
            <v>DNIT 020/2004-ES</v>
          </cell>
        </row>
        <row r="1056">
          <cell r="A1056" t="str">
            <v>2 S 04 910 54</v>
          </cell>
          <cell r="B1056" t="str">
            <v>-</v>
          </cell>
          <cell r="C1056" t="str">
            <v>Meio-fio de concreto - MFC 04 AC/BC</v>
          </cell>
          <cell r="D1056" t="str">
            <v>m</v>
          </cell>
          <cell r="H1056" t="str">
            <v>DNIT 020/2004-ES</v>
          </cell>
        </row>
        <row r="1057">
          <cell r="A1057" t="str">
            <v>2 S 04 910 55</v>
          </cell>
          <cell r="B1057" t="str">
            <v>-</v>
          </cell>
          <cell r="C1057" t="str">
            <v>Meio-fio de concreto - MFC 05 AC/BC</v>
          </cell>
          <cell r="D1057" t="str">
            <v>m</v>
          </cell>
          <cell r="H1057" t="str">
            <v>DNIT 020/2004-ES</v>
          </cell>
        </row>
        <row r="1058">
          <cell r="A1058" t="str">
            <v>2 S 04 910 56</v>
          </cell>
          <cell r="B1058" t="str">
            <v>-</v>
          </cell>
          <cell r="C1058" t="str">
            <v>Meio-fio de concreto - MFC 06 AC/BC</v>
          </cell>
          <cell r="D1058" t="str">
            <v>m</v>
          </cell>
          <cell r="H1058" t="str">
            <v>DNIT 020/2004-ES</v>
          </cell>
        </row>
        <row r="1059">
          <cell r="A1059" t="str">
            <v>2 S 04 910 57</v>
          </cell>
          <cell r="B1059" t="str">
            <v>-</v>
          </cell>
          <cell r="C1059" t="str">
            <v>Meio-fio de concreto - MFC 07 AC/BC</v>
          </cell>
          <cell r="D1059" t="str">
            <v>m</v>
          </cell>
          <cell r="H1059" t="str">
            <v>DNIT 020/2004-ES</v>
          </cell>
        </row>
        <row r="1060">
          <cell r="A1060" t="str">
            <v>2 S 04 910 58</v>
          </cell>
          <cell r="B1060" t="str">
            <v>-</v>
          </cell>
          <cell r="C1060" t="str">
            <v>Meio-fio de concreto - MFC 08 AC/BC</v>
          </cell>
          <cell r="D1060" t="str">
            <v>m</v>
          </cell>
          <cell r="H1060" t="str">
            <v>DNIT 020/2004-ES</v>
          </cell>
        </row>
        <row r="1061">
          <cell r="A1061" t="str">
            <v>2 S 04 930 01</v>
          </cell>
          <cell r="B1061" t="str">
            <v>-</v>
          </cell>
          <cell r="C1061" t="str">
            <v>Caixa coletora de sarjeta - CCS 01</v>
          </cell>
          <cell r="D1061" t="str">
            <v>und</v>
          </cell>
          <cell r="H1061" t="str">
            <v>DNIT 026/2004-ES</v>
          </cell>
        </row>
        <row r="1062">
          <cell r="A1062" t="str">
            <v>2 S 04 930 02</v>
          </cell>
          <cell r="B1062" t="str">
            <v>-</v>
          </cell>
          <cell r="C1062" t="str">
            <v>Caixa coletora de sarjeta - CCS 02</v>
          </cell>
          <cell r="D1062" t="str">
            <v>und</v>
          </cell>
          <cell r="H1062" t="str">
            <v>DNIT 026/2004-ES</v>
          </cell>
        </row>
        <row r="1063">
          <cell r="A1063" t="str">
            <v>2 S 04 930 03</v>
          </cell>
          <cell r="B1063" t="str">
            <v>-</v>
          </cell>
          <cell r="C1063" t="str">
            <v>Caixa coletora de sarjeta - CCS 03</v>
          </cell>
          <cell r="D1063" t="str">
            <v>und</v>
          </cell>
          <cell r="H1063" t="str">
            <v>DNIT 026/2004-ES</v>
          </cell>
        </row>
        <row r="1064">
          <cell r="A1064" t="str">
            <v>2 S 04 930 04</v>
          </cell>
          <cell r="B1064" t="str">
            <v>-</v>
          </cell>
          <cell r="C1064" t="str">
            <v>Caixa coletora de sarjeta - CCS 04</v>
          </cell>
          <cell r="D1064" t="str">
            <v>und</v>
          </cell>
          <cell r="H1064" t="str">
            <v>DNIT 026/2004-ES</v>
          </cell>
        </row>
        <row r="1065">
          <cell r="A1065" t="str">
            <v>2 S 04 930 05</v>
          </cell>
          <cell r="B1065" t="str">
            <v>-</v>
          </cell>
          <cell r="C1065" t="str">
            <v>Caixa coletora de sarjeta - CCS 05</v>
          </cell>
          <cell r="D1065" t="str">
            <v>und</v>
          </cell>
          <cell r="H1065" t="str">
            <v>DNIT 026/2004-ES</v>
          </cell>
        </row>
        <row r="1066">
          <cell r="A1066" t="str">
            <v>2 S 04 930 06</v>
          </cell>
          <cell r="B1066" t="str">
            <v>-</v>
          </cell>
          <cell r="C1066" t="str">
            <v>Caixa coletora de sarjeta - CCS 06</v>
          </cell>
          <cell r="D1066" t="str">
            <v>und</v>
          </cell>
          <cell r="H1066" t="str">
            <v>DNIT 026/2004-ES</v>
          </cell>
        </row>
        <row r="1067">
          <cell r="A1067" t="str">
            <v>2 S 04 930 07</v>
          </cell>
          <cell r="B1067" t="str">
            <v>-</v>
          </cell>
          <cell r="C1067" t="str">
            <v>Caixa coletora de sarjeta - CCS 07</v>
          </cell>
          <cell r="D1067" t="str">
            <v>und</v>
          </cell>
          <cell r="H1067" t="str">
            <v>DNIT 026/2004-ES</v>
          </cell>
        </row>
        <row r="1068">
          <cell r="A1068" t="str">
            <v>2 S 04 930 08</v>
          </cell>
          <cell r="B1068" t="str">
            <v>-</v>
          </cell>
          <cell r="C1068" t="str">
            <v>Caixa coletora de sarjeta - CCS 08</v>
          </cell>
          <cell r="D1068" t="str">
            <v>und</v>
          </cell>
          <cell r="H1068" t="str">
            <v>DNIT 026/2004-ES</v>
          </cell>
        </row>
        <row r="1069">
          <cell r="A1069" t="str">
            <v>2 S 04 930 09</v>
          </cell>
          <cell r="B1069" t="str">
            <v>-</v>
          </cell>
          <cell r="C1069" t="str">
            <v>Caixa coletora de sarjeta - CCS 09</v>
          </cell>
          <cell r="D1069" t="str">
            <v>und</v>
          </cell>
          <cell r="H1069" t="str">
            <v>DNIT 026/2004-ES</v>
          </cell>
        </row>
        <row r="1070">
          <cell r="A1070" t="str">
            <v>2 S 04 930 10</v>
          </cell>
          <cell r="B1070" t="str">
            <v>-</v>
          </cell>
          <cell r="C1070" t="str">
            <v>Caixa coletora de sarjeta - CCS 10</v>
          </cell>
          <cell r="D1070" t="str">
            <v>und</v>
          </cell>
          <cell r="H1070" t="str">
            <v>DNIT 026/2004-ES</v>
          </cell>
        </row>
        <row r="1071">
          <cell r="A1071" t="str">
            <v>2 S 04 930 11</v>
          </cell>
          <cell r="B1071" t="str">
            <v>-</v>
          </cell>
          <cell r="C1071" t="str">
            <v>Caixa coletora de sarjeta - CCS 11</v>
          </cell>
          <cell r="D1071" t="str">
            <v>und</v>
          </cell>
          <cell r="H1071" t="str">
            <v>DNIT 026/2004-ES</v>
          </cell>
        </row>
        <row r="1072">
          <cell r="A1072" t="str">
            <v>2 S 04 930 12</v>
          </cell>
          <cell r="B1072" t="str">
            <v>-</v>
          </cell>
          <cell r="C1072" t="str">
            <v>Caixa coletora de sarjeta - CCS 12</v>
          </cell>
          <cell r="D1072" t="str">
            <v>und</v>
          </cell>
          <cell r="H1072" t="str">
            <v>DNIT 026/2004-ES</v>
          </cell>
        </row>
        <row r="1073">
          <cell r="A1073" t="str">
            <v>2 S 04 930 13</v>
          </cell>
          <cell r="B1073" t="str">
            <v>-</v>
          </cell>
          <cell r="C1073" t="str">
            <v>Caixa coletora de sarjeta - CCS 13</v>
          </cell>
          <cell r="D1073" t="str">
            <v>und</v>
          </cell>
          <cell r="H1073" t="str">
            <v>DNIT 026/2004-ES</v>
          </cell>
        </row>
        <row r="1074">
          <cell r="A1074" t="str">
            <v>2 S 04 930 14</v>
          </cell>
          <cell r="B1074" t="str">
            <v>-</v>
          </cell>
          <cell r="C1074" t="str">
            <v>Caixa coletora de sarjeta - CCS14</v>
          </cell>
          <cell r="D1074" t="str">
            <v>und</v>
          </cell>
          <cell r="H1074" t="str">
            <v>DNIT 026/2004-ES</v>
          </cell>
        </row>
        <row r="1075">
          <cell r="A1075" t="str">
            <v>2 S 04 930 15</v>
          </cell>
          <cell r="B1075" t="str">
            <v>-</v>
          </cell>
          <cell r="C1075" t="str">
            <v>Caixa coletora de sarjeta - CCS 15</v>
          </cell>
          <cell r="D1075" t="str">
            <v>und</v>
          </cell>
          <cell r="H1075" t="str">
            <v>DNIT 026/2004-ES</v>
          </cell>
        </row>
        <row r="1076">
          <cell r="A1076" t="str">
            <v>2 S 04 930 16</v>
          </cell>
          <cell r="B1076" t="str">
            <v>-</v>
          </cell>
          <cell r="C1076" t="str">
            <v>Caixa coletora de sarjeta - CCS 16</v>
          </cell>
          <cell r="D1076" t="str">
            <v>und</v>
          </cell>
          <cell r="H1076" t="str">
            <v>DNIT 026/2004-ES</v>
          </cell>
        </row>
        <row r="1077">
          <cell r="A1077" t="str">
            <v>2 S 04 930 17</v>
          </cell>
          <cell r="B1077" t="str">
            <v>-</v>
          </cell>
          <cell r="C1077" t="str">
            <v>Caixa coletora de sarjeta - CCS 17</v>
          </cell>
          <cell r="D1077" t="str">
            <v>und</v>
          </cell>
          <cell r="H1077" t="str">
            <v>DNIT 026/2004-ES</v>
          </cell>
        </row>
        <row r="1078">
          <cell r="A1078" t="str">
            <v>2 S 04 930 18</v>
          </cell>
          <cell r="B1078" t="str">
            <v>-</v>
          </cell>
          <cell r="C1078" t="str">
            <v>Caixa coletora de sarjeta - CCS 18</v>
          </cell>
          <cell r="D1078" t="str">
            <v>und</v>
          </cell>
          <cell r="H1078" t="str">
            <v>DNIT 026/2004-ES</v>
          </cell>
        </row>
        <row r="1079">
          <cell r="A1079" t="str">
            <v>2 S 04 930 19</v>
          </cell>
          <cell r="B1079" t="str">
            <v>-</v>
          </cell>
          <cell r="C1079" t="str">
            <v>Caixa coletora de sarjeta - CCS 19</v>
          </cell>
          <cell r="D1079" t="str">
            <v>und</v>
          </cell>
          <cell r="H1079" t="str">
            <v>DNIT 026/2004-ES</v>
          </cell>
        </row>
        <row r="1080">
          <cell r="A1080" t="str">
            <v>2 S 04 930 20</v>
          </cell>
          <cell r="B1080" t="str">
            <v>-</v>
          </cell>
          <cell r="C1080" t="str">
            <v>Caixa coletora de sarjeta - CCS 20</v>
          </cell>
          <cell r="D1080" t="str">
            <v>und</v>
          </cell>
          <cell r="H1080" t="str">
            <v>DNIT 026/2004-ES</v>
          </cell>
        </row>
        <row r="1081">
          <cell r="A1081" t="str">
            <v>2 S 04 930 51</v>
          </cell>
          <cell r="B1081" t="str">
            <v>-</v>
          </cell>
          <cell r="C1081" t="str">
            <v>Caixa coletora de sarjeta - CCS 01 AC/BC</v>
          </cell>
          <cell r="D1081" t="str">
            <v>und</v>
          </cell>
          <cell r="H1081" t="str">
            <v>DNIT 026/2004-ES</v>
          </cell>
        </row>
        <row r="1082">
          <cell r="A1082" t="str">
            <v>2 S 04 930 52</v>
          </cell>
          <cell r="B1082" t="str">
            <v>-</v>
          </cell>
          <cell r="C1082" t="str">
            <v>Caixa coletora de sarjeta - CCS 02 AC/BC</v>
          </cell>
          <cell r="D1082" t="str">
            <v>und</v>
          </cell>
          <cell r="H1082" t="str">
            <v>DNIT 026/2004-ES</v>
          </cell>
        </row>
        <row r="1083">
          <cell r="A1083" t="str">
            <v>2 S 04 930 53</v>
          </cell>
          <cell r="B1083" t="str">
            <v>-</v>
          </cell>
          <cell r="C1083" t="str">
            <v>Caixa coletora de sarjeta - CCS 03 AC/BC</v>
          </cell>
          <cell r="D1083" t="str">
            <v>und</v>
          </cell>
          <cell r="H1083" t="str">
            <v>DNIT 026/2004-ES</v>
          </cell>
        </row>
        <row r="1084">
          <cell r="A1084" t="str">
            <v>2 S 04 930 54</v>
          </cell>
          <cell r="B1084" t="str">
            <v>-</v>
          </cell>
          <cell r="C1084" t="str">
            <v>Caixa coletora de sarjeta - CCS 04 AC/BC</v>
          </cell>
          <cell r="D1084" t="str">
            <v>und</v>
          </cell>
          <cell r="H1084" t="str">
            <v>DNIT 026/2004-ES</v>
          </cell>
        </row>
        <row r="1085">
          <cell r="A1085" t="str">
            <v>2 S 04 930 55</v>
          </cell>
          <cell r="B1085" t="str">
            <v>-</v>
          </cell>
          <cell r="C1085" t="str">
            <v>Caixa coletora de sarjeta - CCS 05 AC/BC</v>
          </cell>
          <cell r="D1085" t="str">
            <v>und</v>
          </cell>
          <cell r="H1085" t="str">
            <v>DNIT 026/2004-ES</v>
          </cell>
        </row>
        <row r="1086">
          <cell r="A1086" t="str">
            <v>2 S 04 930 56</v>
          </cell>
          <cell r="B1086" t="str">
            <v>-</v>
          </cell>
          <cell r="C1086" t="str">
            <v>Caixa coletora de sarjeta - CCS 06 AC/BC</v>
          </cell>
          <cell r="D1086" t="str">
            <v>und</v>
          </cell>
          <cell r="H1086" t="str">
            <v>DNIT 026/2004-ES</v>
          </cell>
        </row>
        <row r="1087">
          <cell r="A1087" t="str">
            <v>2 S 04 930 57</v>
          </cell>
          <cell r="B1087" t="str">
            <v>-</v>
          </cell>
          <cell r="C1087" t="str">
            <v>Caixa coletora de sarjeta - CCS 07 AC/BC</v>
          </cell>
          <cell r="D1087" t="str">
            <v>und</v>
          </cell>
          <cell r="H1087" t="str">
            <v>DNIT 026/2004-ES</v>
          </cell>
        </row>
        <row r="1088">
          <cell r="A1088" t="str">
            <v>2 S 04 930 58</v>
          </cell>
          <cell r="B1088" t="str">
            <v>-</v>
          </cell>
          <cell r="C1088" t="str">
            <v>Caixa coletora de sarjeta - CCS 08 AC/BC</v>
          </cell>
          <cell r="D1088" t="str">
            <v>und</v>
          </cell>
          <cell r="H1088" t="str">
            <v>DNIT 026/2004-ES</v>
          </cell>
        </row>
        <row r="1089">
          <cell r="A1089" t="str">
            <v>2 S 04 930 59</v>
          </cell>
          <cell r="B1089" t="str">
            <v>-</v>
          </cell>
          <cell r="C1089" t="str">
            <v>Caixa coletora de sarjeta - CCS 09 AC/BC</v>
          </cell>
          <cell r="D1089" t="str">
            <v>und</v>
          </cell>
          <cell r="H1089" t="str">
            <v>DNIT 026/2004-ES</v>
          </cell>
        </row>
        <row r="1090">
          <cell r="A1090" t="str">
            <v>2 S 04 930 60</v>
          </cell>
          <cell r="B1090" t="str">
            <v>-</v>
          </cell>
          <cell r="C1090" t="str">
            <v>Caixa coletora de sarjeta - CCS 10 AC/BC</v>
          </cell>
          <cell r="D1090" t="str">
            <v>und</v>
          </cell>
          <cell r="H1090" t="str">
            <v>DNIT 026/2004-ES</v>
          </cell>
        </row>
        <row r="1091">
          <cell r="A1091" t="str">
            <v>2 S 04 930 61</v>
          </cell>
          <cell r="B1091" t="str">
            <v>-</v>
          </cell>
          <cell r="C1091" t="str">
            <v>Caixa coletora de sarjeta - CCS 11 AC/BC</v>
          </cell>
          <cell r="D1091" t="str">
            <v>und</v>
          </cell>
          <cell r="H1091" t="str">
            <v>DNIT 026/2004-ES</v>
          </cell>
        </row>
        <row r="1092">
          <cell r="A1092" t="str">
            <v>2 S 04 930 62</v>
          </cell>
          <cell r="B1092" t="str">
            <v>-</v>
          </cell>
          <cell r="C1092" t="str">
            <v>Caixa coletora de sarjeta - CCS 12 AC/BC</v>
          </cell>
          <cell r="D1092" t="str">
            <v>und</v>
          </cell>
          <cell r="H1092" t="str">
            <v>DNIT 026/2004-ES</v>
          </cell>
        </row>
        <row r="1093">
          <cell r="A1093" t="str">
            <v>2 S 04 930 63</v>
          </cell>
          <cell r="B1093" t="str">
            <v>-</v>
          </cell>
          <cell r="C1093" t="str">
            <v>Caixa coletora de sarjeta - CCS 13 AC/BC</v>
          </cell>
          <cell r="D1093" t="str">
            <v>und</v>
          </cell>
          <cell r="H1093" t="str">
            <v>DNIT 026/2004-ES</v>
          </cell>
        </row>
        <row r="1094">
          <cell r="A1094" t="str">
            <v>2 S 04 930 64</v>
          </cell>
          <cell r="B1094" t="str">
            <v>-</v>
          </cell>
          <cell r="C1094" t="str">
            <v>Caixa coletora de sarjeta - CCS 14 AC/BC</v>
          </cell>
          <cell r="D1094" t="str">
            <v>und</v>
          </cell>
          <cell r="H1094" t="str">
            <v>DNIT 026/2004-ES</v>
          </cell>
        </row>
        <row r="1095">
          <cell r="A1095" t="str">
            <v>2 S 04 930 65</v>
          </cell>
          <cell r="B1095" t="str">
            <v>-</v>
          </cell>
          <cell r="C1095" t="str">
            <v>Caixa coletora de sarjeta - CCS 15 AC/BC</v>
          </cell>
          <cell r="D1095" t="str">
            <v>und</v>
          </cell>
          <cell r="H1095" t="str">
            <v>DNIT 026/2004-ES</v>
          </cell>
        </row>
        <row r="1096">
          <cell r="A1096" t="str">
            <v>2 S 04 930 66</v>
          </cell>
          <cell r="B1096" t="str">
            <v>-</v>
          </cell>
          <cell r="C1096" t="str">
            <v>Caixa coletora de sarjeta - CCS 16 AC/BC</v>
          </cell>
          <cell r="D1096" t="str">
            <v>und</v>
          </cell>
          <cell r="H1096" t="str">
            <v>DNIT 026/2004-ES</v>
          </cell>
        </row>
        <row r="1097">
          <cell r="A1097" t="str">
            <v>2 S 04 930 67</v>
          </cell>
          <cell r="B1097" t="str">
            <v>-</v>
          </cell>
          <cell r="C1097" t="str">
            <v>Caixa coletora de sarjeta - CCS 17 AC/BC</v>
          </cell>
          <cell r="D1097" t="str">
            <v>und</v>
          </cell>
          <cell r="H1097" t="str">
            <v>DNIT 026/2004-ES</v>
          </cell>
        </row>
        <row r="1098">
          <cell r="A1098" t="str">
            <v>2 S 04 930 68</v>
          </cell>
          <cell r="B1098" t="str">
            <v>-</v>
          </cell>
          <cell r="C1098" t="str">
            <v>Caixa coletora de sarjeta - CCS 18 AC/BC</v>
          </cell>
          <cell r="D1098" t="str">
            <v>und</v>
          </cell>
          <cell r="H1098" t="str">
            <v>DNIT 026/2004-ES</v>
          </cell>
        </row>
        <row r="1099">
          <cell r="A1099" t="str">
            <v>2 S 04 930 69</v>
          </cell>
          <cell r="B1099" t="str">
            <v>-</v>
          </cell>
          <cell r="C1099" t="str">
            <v>Caixa coletora de sarjeta - CCS 19 AC/BC</v>
          </cell>
          <cell r="D1099" t="str">
            <v>und</v>
          </cell>
          <cell r="H1099" t="str">
            <v>DNIT 026/2004-ES</v>
          </cell>
        </row>
        <row r="1100">
          <cell r="A1100" t="str">
            <v>2 S 04 930 70</v>
          </cell>
          <cell r="B1100" t="str">
            <v>-</v>
          </cell>
          <cell r="C1100" t="str">
            <v>Caixa coletora de sarjeta - CCS 20 AC/BC</v>
          </cell>
          <cell r="D1100" t="str">
            <v>und</v>
          </cell>
          <cell r="H1100" t="str">
            <v>DNIT 026/2004-ES</v>
          </cell>
        </row>
        <row r="1101">
          <cell r="A1101" t="str">
            <v>2 S 04 931 01</v>
          </cell>
          <cell r="B1101" t="str">
            <v>-</v>
          </cell>
          <cell r="C1101" t="str">
            <v>Caixa coletora de talvegue - CCT 01</v>
          </cell>
          <cell r="D1101" t="str">
            <v>und</v>
          </cell>
          <cell r="H1101" t="str">
            <v>DNIT 026/2004-ES</v>
          </cell>
        </row>
        <row r="1102">
          <cell r="A1102" t="str">
            <v>2 S 04 931 02</v>
          </cell>
          <cell r="B1102" t="str">
            <v>-</v>
          </cell>
          <cell r="C1102" t="str">
            <v>Caixa coletora de talvegue - CCT 02</v>
          </cell>
          <cell r="D1102" t="str">
            <v>und</v>
          </cell>
          <cell r="H1102" t="str">
            <v>DNIT 026/2004-ES</v>
          </cell>
        </row>
        <row r="1103">
          <cell r="A1103" t="str">
            <v>2 S 04 931 03</v>
          </cell>
          <cell r="B1103" t="str">
            <v>-</v>
          </cell>
          <cell r="C1103" t="str">
            <v>Caixa coletora de talvegue - CCT 03</v>
          </cell>
          <cell r="D1103" t="str">
            <v>und</v>
          </cell>
          <cell r="H1103" t="str">
            <v>DNIT 026/2004-ES</v>
          </cell>
        </row>
        <row r="1104">
          <cell r="A1104" t="str">
            <v>2 S 04 931 04</v>
          </cell>
          <cell r="B1104" t="str">
            <v>-</v>
          </cell>
          <cell r="C1104" t="str">
            <v>Caixa coletora de talvegue - CCT 04</v>
          </cell>
          <cell r="D1104" t="str">
            <v>und</v>
          </cell>
          <cell r="H1104" t="str">
            <v>DNIT 026/2004-ES</v>
          </cell>
        </row>
        <row r="1105">
          <cell r="A1105" t="str">
            <v>2 S 04 931 05</v>
          </cell>
          <cell r="B1105" t="str">
            <v>-</v>
          </cell>
          <cell r="C1105" t="str">
            <v>Caixa coletora de talvegue - CCT 05</v>
          </cell>
          <cell r="D1105" t="str">
            <v>und</v>
          </cell>
          <cell r="H1105" t="str">
            <v>DNIT 026/2004-ES</v>
          </cell>
        </row>
        <row r="1106">
          <cell r="A1106" t="str">
            <v>2 S 04 931 06</v>
          </cell>
          <cell r="B1106" t="str">
            <v>-</v>
          </cell>
          <cell r="C1106" t="str">
            <v>Caixa coletora de talvegue - CCT 06</v>
          </cell>
          <cell r="D1106" t="str">
            <v>und</v>
          </cell>
          <cell r="H1106" t="str">
            <v>DNIT 026/2004-ES</v>
          </cell>
        </row>
        <row r="1107">
          <cell r="A1107" t="str">
            <v>2 S 04 931 07</v>
          </cell>
          <cell r="B1107" t="str">
            <v>-</v>
          </cell>
          <cell r="C1107" t="str">
            <v>Caixa coletora de talvegue - CCT 07</v>
          </cell>
          <cell r="D1107" t="str">
            <v>und</v>
          </cell>
          <cell r="H1107" t="str">
            <v>DNIT 026/2004-ES</v>
          </cell>
        </row>
        <row r="1108">
          <cell r="A1108" t="str">
            <v>2 S 04 931 08</v>
          </cell>
          <cell r="B1108" t="str">
            <v>-</v>
          </cell>
          <cell r="C1108" t="str">
            <v>Caixa coletora de talvegue - CCT 08</v>
          </cell>
          <cell r="D1108" t="str">
            <v>und</v>
          </cell>
          <cell r="H1108" t="str">
            <v>DNIT 026/2004-ES</v>
          </cell>
        </row>
        <row r="1109">
          <cell r="A1109" t="str">
            <v>2 S 04 931 09</v>
          </cell>
          <cell r="B1109" t="str">
            <v>-</v>
          </cell>
          <cell r="C1109" t="str">
            <v>Caixa coletora de talvegue - CCT 09</v>
          </cell>
          <cell r="D1109" t="str">
            <v>und</v>
          </cell>
          <cell r="H1109" t="str">
            <v>DNIT 026/2004-ES</v>
          </cell>
        </row>
        <row r="1110">
          <cell r="A1110" t="str">
            <v>2 S 04 931 10</v>
          </cell>
          <cell r="B1110" t="str">
            <v>-</v>
          </cell>
          <cell r="C1110" t="str">
            <v>Caixa coletora de talvegue - CCT 10</v>
          </cell>
          <cell r="D1110" t="str">
            <v>und</v>
          </cell>
          <cell r="H1110" t="str">
            <v>DNIT 026/2004-ES</v>
          </cell>
        </row>
        <row r="1111">
          <cell r="A1111" t="str">
            <v>2 S 04 931 11</v>
          </cell>
          <cell r="B1111" t="str">
            <v>-</v>
          </cell>
          <cell r="C1111" t="str">
            <v>Caixa coletora de talvegue - CCT 11</v>
          </cell>
          <cell r="D1111" t="str">
            <v>und</v>
          </cell>
          <cell r="H1111" t="str">
            <v>DNIT 026/2004-ES</v>
          </cell>
        </row>
        <row r="1112">
          <cell r="A1112" t="str">
            <v>2 S 04 931 12</v>
          </cell>
          <cell r="B1112" t="str">
            <v>-</v>
          </cell>
          <cell r="C1112" t="str">
            <v>Caixa coletora de talvegue - CCT 12</v>
          </cell>
          <cell r="D1112" t="str">
            <v>und</v>
          </cell>
          <cell r="H1112" t="str">
            <v>DNIT 026/2004-ES</v>
          </cell>
        </row>
        <row r="1113">
          <cell r="A1113" t="str">
            <v>2 S 04 931 13</v>
          </cell>
          <cell r="B1113" t="str">
            <v>-</v>
          </cell>
          <cell r="C1113" t="str">
            <v>Caixa coletora de talvegue - CCT 13</v>
          </cell>
          <cell r="D1113" t="str">
            <v>und</v>
          </cell>
          <cell r="H1113" t="str">
            <v>DNIT 026/2004-ES</v>
          </cell>
        </row>
        <row r="1114">
          <cell r="A1114" t="str">
            <v>2 S 04 931 14</v>
          </cell>
          <cell r="B1114" t="str">
            <v>-</v>
          </cell>
          <cell r="C1114" t="str">
            <v>Caixa coletora de talvegue - CCT 14</v>
          </cell>
          <cell r="D1114" t="str">
            <v>und</v>
          </cell>
          <cell r="H1114" t="str">
            <v>DNIT 026/2004-ES</v>
          </cell>
        </row>
        <row r="1115">
          <cell r="A1115" t="str">
            <v>2 S 04 931 15</v>
          </cell>
          <cell r="B1115" t="str">
            <v>-</v>
          </cell>
          <cell r="C1115" t="str">
            <v>Caixa coletora de talvegue - CCT 15</v>
          </cell>
          <cell r="D1115" t="str">
            <v>und</v>
          </cell>
          <cell r="H1115" t="str">
            <v>DNIT 026/2004-ES</v>
          </cell>
        </row>
        <row r="1116">
          <cell r="A1116" t="str">
            <v>2 S 04 931 16</v>
          </cell>
          <cell r="B1116" t="str">
            <v>-</v>
          </cell>
          <cell r="C1116" t="str">
            <v>Caixa coletora de talvegue - CCT 16</v>
          </cell>
          <cell r="D1116" t="str">
            <v>und</v>
          </cell>
          <cell r="H1116" t="str">
            <v>DNIT 026/2004-ES</v>
          </cell>
        </row>
        <row r="1117">
          <cell r="A1117" t="str">
            <v>2 S 04 931 17</v>
          </cell>
          <cell r="B1117" t="str">
            <v>-</v>
          </cell>
          <cell r="C1117" t="str">
            <v>Caixa coletora de talvegue - CCT 17</v>
          </cell>
          <cell r="D1117" t="str">
            <v>und</v>
          </cell>
          <cell r="H1117" t="str">
            <v>DNIT 026/2004-ES</v>
          </cell>
        </row>
        <row r="1118">
          <cell r="A1118" t="str">
            <v>2 S 04 931 18</v>
          </cell>
          <cell r="B1118" t="str">
            <v>-</v>
          </cell>
          <cell r="C1118" t="str">
            <v>Caixa coletora de talvegue - CCT 18</v>
          </cell>
          <cell r="D1118" t="str">
            <v>und</v>
          </cell>
          <cell r="H1118" t="str">
            <v>DNIT 026/2004-ES</v>
          </cell>
        </row>
        <row r="1119">
          <cell r="A1119" t="str">
            <v>2 S 04 931 19</v>
          </cell>
          <cell r="B1119" t="str">
            <v>-</v>
          </cell>
          <cell r="C1119" t="str">
            <v>Caixa coletora de talvegue - CCT 19</v>
          </cell>
          <cell r="D1119" t="str">
            <v>und</v>
          </cell>
          <cell r="H1119" t="str">
            <v>DNIT 026/2004-ES</v>
          </cell>
        </row>
        <row r="1120">
          <cell r="A1120" t="str">
            <v>2 S 04 931 20</v>
          </cell>
          <cell r="B1120" t="str">
            <v>-</v>
          </cell>
          <cell r="C1120" t="str">
            <v>Caixa coletora de talvegue - CCT 20</v>
          </cell>
          <cell r="D1120" t="str">
            <v>und</v>
          </cell>
          <cell r="H1120" t="str">
            <v>DNIT 026/2004-ES</v>
          </cell>
        </row>
        <row r="1121">
          <cell r="A1121" t="str">
            <v>2 S 04 931 51</v>
          </cell>
          <cell r="B1121" t="str">
            <v>-</v>
          </cell>
          <cell r="C1121" t="str">
            <v>Caixa coletora de talvegue - CCT 01 AC/BC</v>
          </cell>
          <cell r="D1121" t="str">
            <v>und</v>
          </cell>
          <cell r="H1121" t="str">
            <v>DNIT 026/2004-ES</v>
          </cell>
        </row>
        <row r="1122">
          <cell r="A1122" t="str">
            <v>2 S 04 931 52</v>
          </cell>
          <cell r="B1122" t="str">
            <v>-</v>
          </cell>
          <cell r="C1122" t="str">
            <v>Caixa coletora de talvegue - CCT 02 AC/BC</v>
          </cell>
          <cell r="D1122" t="str">
            <v>und</v>
          </cell>
          <cell r="H1122" t="str">
            <v>DNIT 026/2004-ES</v>
          </cell>
        </row>
        <row r="1123">
          <cell r="A1123" t="str">
            <v>2 S 04 931 53</v>
          </cell>
          <cell r="B1123" t="str">
            <v>-</v>
          </cell>
          <cell r="C1123" t="str">
            <v>Caixa coletora de talvegue - CCT 03 AC/BC</v>
          </cell>
          <cell r="D1123" t="str">
            <v>und</v>
          </cell>
          <cell r="H1123" t="str">
            <v>DNIT 026/2004-ES</v>
          </cell>
        </row>
        <row r="1124">
          <cell r="A1124" t="str">
            <v>2 S 04 931 54</v>
          </cell>
          <cell r="B1124" t="str">
            <v>-</v>
          </cell>
          <cell r="C1124" t="str">
            <v>Caixa coletora de talvegue - CCT 04 AC/BC</v>
          </cell>
          <cell r="D1124" t="str">
            <v>und</v>
          </cell>
          <cell r="H1124" t="str">
            <v>DNIT 026/2004-ES</v>
          </cell>
        </row>
        <row r="1125">
          <cell r="A1125" t="str">
            <v>2 S 04 931 55</v>
          </cell>
          <cell r="B1125" t="str">
            <v>-</v>
          </cell>
          <cell r="C1125" t="str">
            <v>Caixa coletora de talvegue - CCT 05 AC/BC</v>
          </cell>
          <cell r="D1125" t="str">
            <v>und</v>
          </cell>
          <cell r="H1125" t="str">
            <v>DNIT 026/2004-ES</v>
          </cell>
        </row>
        <row r="1126">
          <cell r="A1126" t="str">
            <v>2 S 04 931 56</v>
          </cell>
          <cell r="B1126" t="str">
            <v>-</v>
          </cell>
          <cell r="C1126" t="str">
            <v>Caixa coletora de talvegue - CCT 06 AC/BC</v>
          </cell>
          <cell r="D1126" t="str">
            <v>und</v>
          </cell>
          <cell r="H1126" t="str">
            <v>DNIT 026/2004-ES</v>
          </cell>
        </row>
        <row r="1127">
          <cell r="A1127" t="str">
            <v>2 S 04 931 57</v>
          </cell>
          <cell r="B1127" t="str">
            <v>-</v>
          </cell>
          <cell r="C1127" t="str">
            <v>Caixa coletora de talvegue - CCT 07 AC/BC</v>
          </cell>
          <cell r="D1127" t="str">
            <v>und</v>
          </cell>
          <cell r="H1127" t="str">
            <v>DNIT 026/2004-ES</v>
          </cell>
        </row>
        <row r="1128">
          <cell r="A1128" t="str">
            <v>2 S 04 931 58</v>
          </cell>
          <cell r="B1128" t="str">
            <v>-</v>
          </cell>
          <cell r="C1128" t="str">
            <v>Caixa coletora de talvegue - CCT 08 AC/BC</v>
          </cell>
          <cell r="D1128" t="str">
            <v>und</v>
          </cell>
          <cell r="H1128" t="str">
            <v>DNIT 026/2004-ES</v>
          </cell>
        </row>
        <row r="1129">
          <cell r="A1129" t="str">
            <v>2 S 04 931 59</v>
          </cell>
          <cell r="B1129" t="str">
            <v>-</v>
          </cell>
          <cell r="C1129" t="str">
            <v>Caixa coletora de talvegue - CCT 09 AC/BC</v>
          </cell>
          <cell r="D1129" t="str">
            <v>und</v>
          </cell>
          <cell r="H1129" t="str">
            <v>DNIT 026/2004-ES</v>
          </cell>
        </row>
        <row r="1130">
          <cell r="A1130" t="str">
            <v>2 S 04 931 60</v>
          </cell>
          <cell r="B1130" t="str">
            <v>-</v>
          </cell>
          <cell r="C1130" t="str">
            <v>Caixa coletora de talvegue - CCT 10 AC/BC</v>
          </cell>
          <cell r="D1130" t="str">
            <v>und</v>
          </cell>
          <cell r="H1130" t="str">
            <v>DNIT 026/2004-ES</v>
          </cell>
        </row>
        <row r="1131">
          <cell r="A1131" t="str">
            <v>2 S 04 931 61</v>
          </cell>
          <cell r="B1131" t="str">
            <v>-</v>
          </cell>
          <cell r="C1131" t="str">
            <v>Caixa coletora de talvegue - CCT 11 AC/BC</v>
          </cell>
          <cell r="D1131" t="str">
            <v>und</v>
          </cell>
          <cell r="H1131" t="str">
            <v>DNIT 026/2004-ES</v>
          </cell>
        </row>
        <row r="1132">
          <cell r="A1132" t="str">
            <v>2 S 04 931 62</v>
          </cell>
          <cell r="B1132" t="str">
            <v>-</v>
          </cell>
          <cell r="C1132" t="str">
            <v>Caixa coletora de talvegue - CCT 12 AC/BC</v>
          </cell>
          <cell r="D1132" t="str">
            <v>und</v>
          </cell>
          <cell r="H1132" t="str">
            <v>DNIT 026/2004-ES</v>
          </cell>
        </row>
        <row r="1133">
          <cell r="A1133" t="str">
            <v>2 S 04 931 63</v>
          </cell>
          <cell r="B1133" t="str">
            <v>-</v>
          </cell>
          <cell r="C1133" t="str">
            <v>Caixa coletora de talvegue - CCT 13 AC/BC</v>
          </cell>
          <cell r="D1133" t="str">
            <v>und</v>
          </cell>
          <cell r="H1133" t="str">
            <v>DNIT 026/2004-ES</v>
          </cell>
        </row>
        <row r="1134">
          <cell r="A1134" t="str">
            <v>2 S 04 931 64</v>
          </cell>
          <cell r="B1134" t="str">
            <v>-</v>
          </cell>
          <cell r="C1134" t="str">
            <v>Caixa coletora de talvegue - CCT 14 AC/BC</v>
          </cell>
          <cell r="D1134" t="str">
            <v>und</v>
          </cell>
          <cell r="H1134" t="str">
            <v>DNIT 026/2004-ES</v>
          </cell>
        </row>
        <row r="1135">
          <cell r="A1135" t="str">
            <v>2 S 04 931 65</v>
          </cell>
          <cell r="B1135" t="str">
            <v>-</v>
          </cell>
          <cell r="C1135" t="str">
            <v>Caixa coletora de talvegue - CCT 15 AC/BC</v>
          </cell>
          <cell r="D1135" t="str">
            <v>und</v>
          </cell>
          <cell r="H1135" t="str">
            <v>DNIT 026/2004-ES</v>
          </cell>
        </row>
        <row r="1136">
          <cell r="A1136" t="str">
            <v>2 S 04 931 66</v>
          </cell>
          <cell r="B1136" t="str">
            <v>-</v>
          </cell>
          <cell r="C1136" t="str">
            <v>Caixa coletora de talvegue - CCT 16 AC/BC</v>
          </cell>
          <cell r="D1136" t="str">
            <v>und</v>
          </cell>
          <cell r="H1136" t="str">
            <v>DNIT 026/2004-ES</v>
          </cell>
        </row>
        <row r="1137">
          <cell r="A1137" t="str">
            <v>2 S 04 931 67</v>
          </cell>
          <cell r="B1137" t="str">
            <v>-</v>
          </cell>
          <cell r="C1137" t="str">
            <v>Caixa coleotra de talvegue - CCT 17 AC/BC</v>
          </cell>
          <cell r="D1137" t="str">
            <v>und</v>
          </cell>
          <cell r="H1137" t="str">
            <v>DNIT 026/2004-ES</v>
          </cell>
        </row>
        <row r="1138">
          <cell r="A1138" t="str">
            <v>2 S 04 931 68</v>
          </cell>
          <cell r="B1138" t="str">
            <v>-</v>
          </cell>
          <cell r="C1138" t="str">
            <v>Caixa coletora de talvegue - CCT 18 AC/BC</v>
          </cell>
          <cell r="D1138" t="str">
            <v>und</v>
          </cell>
          <cell r="H1138" t="str">
            <v>DNIT 026/2004-ES</v>
          </cell>
        </row>
        <row r="1139">
          <cell r="A1139" t="str">
            <v>2 S 04 931 69</v>
          </cell>
          <cell r="B1139" t="str">
            <v>-</v>
          </cell>
          <cell r="C1139" t="str">
            <v>Caixa coletora de talvegue - CCT 19 AC/BC</v>
          </cell>
          <cell r="D1139" t="str">
            <v>und</v>
          </cell>
          <cell r="H1139" t="str">
            <v>DNIT 026/2004-ES</v>
          </cell>
        </row>
        <row r="1140">
          <cell r="A1140" t="str">
            <v>2 S 04 931 70</v>
          </cell>
          <cell r="B1140" t="str">
            <v>-</v>
          </cell>
          <cell r="C1140" t="str">
            <v>Caixa coletora de talvegue - CCT 20 AC/BC</v>
          </cell>
          <cell r="D1140" t="str">
            <v>und</v>
          </cell>
          <cell r="H1140" t="str">
            <v>DNIT 026/2004-ES</v>
          </cell>
        </row>
        <row r="1141">
          <cell r="A1141" t="str">
            <v>2 S 04 940 01</v>
          </cell>
          <cell r="B1141" t="str">
            <v>-</v>
          </cell>
          <cell r="C1141" t="str">
            <v>Descida d'água tipo rap. - calha concr. - DAR 01</v>
          </cell>
          <cell r="D1141" t="str">
            <v>m</v>
          </cell>
          <cell r="H1141" t="str">
            <v>DNIT 021/2004-ES</v>
          </cell>
        </row>
        <row r="1142">
          <cell r="A1142" t="str">
            <v>2 S 04 940 02</v>
          </cell>
          <cell r="B1142" t="str">
            <v>-</v>
          </cell>
          <cell r="C1142" t="str">
            <v>Descida d'água tipo rap. - canal retang.- DAR 02</v>
          </cell>
          <cell r="D1142" t="str">
            <v>m</v>
          </cell>
          <cell r="H1142" t="str">
            <v>DNIT 021/2004-ES</v>
          </cell>
        </row>
        <row r="1143">
          <cell r="A1143" t="str">
            <v>2 S 04 940 03</v>
          </cell>
          <cell r="B1143" t="str">
            <v>-</v>
          </cell>
          <cell r="C1143" t="str">
            <v>Descida d'água tipo rap. - canal retang.- DAR 03</v>
          </cell>
          <cell r="D1143" t="str">
            <v>m</v>
          </cell>
          <cell r="H1143" t="str">
            <v>DNIT 021/2004-ES</v>
          </cell>
        </row>
        <row r="1144">
          <cell r="A1144" t="str">
            <v>2 S 04 940 04</v>
          </cell>
          <cell r="B1144" t="str">
            <v>-</v>
          </cell>
          <cell r="C1144" t="str">
            <v>Descida d'água tipo rap. - calha metálica - DAR 04</v>
          </cell>
          <cell r="D1144" t="str">
            <v>m</v>
          </cell>
          <cell r="H1144" t="str">
            <v>DNIT 021/2004-ES</v>
          </cell>
        </row>
        <row r="1145">
          <cell r="A1145" t="str">
            <v>2 S 04 940 51</v>
          </cell>
          <cell r="B1145" t="str">
            <v>-</v>
          </cell>
          <cell r="C1145" t="str">
            <v>Descida d'água tipo rap.calha concreto-DAR 01AC/BC</v>
          </cell>
          <cell r="D1145" t="str">
            <v>m</v>
          </cell>
          <cell r="H1145" t="str">
            <v>DNIT 021/2004-ES</v>
          </cell>
        </row>
        <row r="1146">
          <cell r="A1146" t="str">
            <v>2 S 04 940 52</v>
          </cell>
          <cell r="B1146" t="str">
            <v>-</v>
          </cell>
          <cell r="C1146" t="str">
            <v>Descida d'água tipo rap.canal retang.-DAR 02 AC/BC</v>
          </cell>
          <cell r="D1146" t="str">
            <v>m</v>
          </cell>
          <cell r="H1146" t="str">
            <v>DNIT 021/2004-ES</v>
          </cell>
        </row>
        <row r="1147">
          <cell r="A1147" t="str">
            <v>2 S 04 940 53</v>
          </cell>
          <cell r="B1147" t="str">
            <v>-</v>
          </cell>
          <cell r="C1147" t="str">
            <v>Descida d'água tipo rap.canal retang.-DAR 03 AC/BC</v>
          </cell>
          <cell r="D1147" t="str">
            <v>m</v>
          </cell>
          <cell r="H1147" t="str">
            <v>DNIT 021/2004-ES</v>
          </cell>
        </row>
        <row r="1148">
          <cell r="A1148" t="str">
            <v>2 S 04 940 54</v>
          </cell>
          <cell r="B1148" t="str">
            <v>-</v>
          </cell>
          <cell r="C1148" t="str">
            <v>Descida d'água tipo rap.calha metál.-DAR 04 AC/BC</v>
          </cell>
          <cell r="D1148" t="str">
            <v>m</v>
          </cell>
          <cell r="H1148" t="str">
            <v>DNIT 021/2004-ES</v>
          </cell>
        </row>
        <row r="1149">
          <cell r="A1149" t="str">
            <v>2 S 04 941 01</v>
          </cell>
          <cell r="B1149" t="str">
            <v>-</v>
          </cell>
          <cell r="C1149" t="str">
            <v>Descida d'água aterros em degraus - DAD 01</v>
          </cell>
          <cell r="D1149" t="str">
            <v>m</v>
          </cell>
          <cell r="H1149" t="str">
            <v>DNIT 021/2004-ES</v>
          </cell>
        </row>
        <row r="1150">
          <cell r="A1150" t="str">
            <v>2 S 04 941 02</v>
          </cell>
          <cell r="B1150" t="str">
            <v>-</v>
          </cell>
          <cell r="C1150" t="str">
            <v>Descida d'água aterros em degraus - arm - DAD 02</v>
          </cell>
          <cell r="D1150" t="str">
            <v>m</v>
          </cell>
          <cell r="H1150" t="str">
            <v>DNIT 021/2004-ES</v>
          </cell>
        </row>
        <row r="1151">
          <cell r="A1151" t="str">
            <v>2 S 04 941 03</v>
          </cell>
          <cell r="B1151" t="str">
            <v>-</v>
          </cell>
          <cell r="C1151" t="str">
            <v>Descida d'água aterros em degraus - DAD 03</v>
          </cell>
          <cell r="D1151" t="str">
            <v>m</v>
          </cell>
          <cell r="H1151" t="str">
            <v>DNIT 021/2004-ES</v>
          </cell>
        </row>
        <row r="1152">
          <cell r="A1152" t="str">
            <v>2 S 04 941 04</v>
          </cell>
          <cell r="B1152" t="str">
            <v>-</v>
          </cell>
          <cell r="C1152" t="str">
            <v>Descida d'água aterros em degraus - arm - DAD 04</v>
          </cell>
          <cell r="D1152" t="str">
            <v>m</v>
          </cell>
          <cell r="H1152" t="str">
            <v>DNIT 021/2004-ES</v>
          </cell>
        </row>
        <row r="1153">
          <cell r="A1153" t="str">
            <v>2 S 04 941 05</v>
          </cell>
          <cell r="B1153" t="str">
            <v>-</v>
          </cell>
          <cell r="C1153" t="str">
            <v>Descida d'água aterros em degraus - DAD 05</v>
          </cell>
          <cell r="D1153" t="str">
            <v>m</v>
          </cell>
          <cell r="H1153" t="str">
            <v>DNIT 021/2004-ES</v>
          </cell>
        </row>
        <row r="1154">
          <cell r="A1154" t="str">
            <v>2 S 04 941 06</v>
          </cell>
          <cell r="B1154" t="str">
            <v>-</v>
          </cell>
          <cell r="C1154" t="str">
            <v>Descida d'água aterros em degraus - arm - DAD 06</v>
          </cell>
          <cell r="D1154" t="str">
            <v>m</v>
          </cell>
          <cell r="H1154" t="str">
            <v>DNIT 021/2004-ES</v>
          </cell>
        </row>
        <row r="1155">
          <cell r="A1155" t="str">
            <v>2 S 04 941 07</v>
          </cell>
          <cell r="B1155" t="str">
            <v>-</v>
          </cell>
          <cell r="C1155" t="str">
            <v>Descida d'água aterros em degraus - DAD 07</v>
          </cell>
          <cell r="D1155" t="str">
            <v>m</v>
          </cell>
          <cell r="H1155" t="str">
            <v>DNIT 021/2004-ES</v>
          </cell>
        </row>
        <row r="1156">
          <cell r="A1156" t="str">
            <v>2 S 04 941 08</v>
          </cell>
          <cell r="B1156" t="str">
            <v>-</v>
          </cell>
          <cell r="C1156" t="str">
            <v>Descida d'água aterros em degraus - arm - DAD 08</v>
          </cell>
          <cell r="D1156" t="str">
            <v>m</v>
          </cell>
          <cell r="H1156" t="str">
            <v>DNIT 021/2004-ES</v>
          </cell>
        </row>
        <row r="1157">
          <cell r="A1157" t="str">
            <v>2 S 04 941 09</v>
          </cell>
          <cell r="B1157" t="str">
            <v>-</v>
          </cell>
          <cell r="C1157" t="str">
            <v>Descida d'água aterros em degraus - DAD 09</v>
          </cell>
          <cell r="D1157" t="str">
            <v>m</v>
          </cell>
          <cell r="H1157" t="str">
            <v>DNIT 021/2004-ES</v>
          </cell>
        </row>
        <row r="1158">
          <cell r="A1158" t="str">
            <v>2 S 04 941 10</v>
          </cell>
          <cell r="B1158" t="str">
            <v>-</v>
          </cell>
          <cell r="C1158" t="str">
            <v>Descida d'água aterros em degraus - arm - DAD 10</v>
          </cell>
          <cell r="D1158" t="str">
            <v>m</v>
          </cell>
          <cell r="H1158" t="str">
            <v>DNIT 021/2004-ES</v>
          </cell>
        </row>
        <row r="1159">
          <cell r="A1159" t="str">
            <v>2 S 04 941 11</v>
          </cell>
          <cell r="B1159" t="str">
            <v>-</v>
          </cell>
          <cell r="C1159" t="str">
            <v>Descida d'água aterros em degraus - DAD 11</v>
          </cell>
          <cell r="D1159" t="str">
            <v>m</v>
          </cell>
          <cell r="H1159" t="str">
            <v>DNIT 021/2004-ES</v>
          </cell>
        </row>
        <row r="1160">
          <cell r="A1160" t="str">
            <v>2 S 04 941 12</v>
          </cell>
          <cell r="B1160" t="str">
            <v>-</v>
          </cell>
          <cell r="C1160" t="str">
            <v>Descida d'água aterros em degraus - arm - dad 12</v>
          </cell>
          <cell r="D1160" t="str">
            <v>m</v>
          </cell>
          <cell r="H1160" t="str">
            <v>DNIT 021/2004-ES</v>
          </cell>
        </row>
        <row r="1161">
          <cell r="A1161" t="str">
            <v>2 S 04 941 13</v>
          </cell>
          <cell r="B1161" t="str">
            <v>-</v>
          </cell>
          <cell r="C1161" t="str">
            <v>Descida d'água aterros em degraus - DAD 13</v>
          </cell>
          <cell r="D1161" t="str">
            <v>m</v>
          </cell>
          <cell r="H1161" t="str">
            <v>DNIT 021/2004-ES</v>
          </cell>
        </row>
        <row r="1162">
          <cell r="A1162" t="str">
            <v>2 S 04 941 14</v>
          </cell>
          <cell r="B1162" t="str">
            <v>-</v>
          </cell>
          <cell r="C1162" t="str">
            <v>Descida d'água aterros em degraus - arm - DAD 14</v>
          </cell>
          <cell r="D1162" t="str">
            <v>m</v>
          </cell>
          <cell r="H1162" t="str">
            <v>DNIT 021/2004-ES</v>
          </cell>
        </row>
        <row r="1163">
          <cell r="A1163" t="str">
            <v>2 S 04 941 15</v>
          </cell>
          <cell r="B1163" t="str">
            <v>-</v>
          </cell>
          <cell r="C1163" t="str">
            <v>Descida d'água aterros em degraus - DAD 15</v>
          </cell>
          <cell r="D1163" t="str">
            <v>m</v>
          </cell>
          <cell r="H1163" t="str">
            <v>DNIT 021/2004-ES</v>
          </cell>
        </row>
        <row r="1164">
          <cell r="A1164" t="str">
            <v>2 S 04 941 16</v>
          </cell>
          <cell r="B1164" t="str">
            <v>-</v>
          </cell>
          <cell r="C1164" t="str">
            <v>Descida d'água aterros em degraus - arm - DAD 16</v>
          </cell>
          <cell r="D1164" t="str">
            <v>m</v>
          </cell>
          <cell r="H1164" t="str">
            <v>DNIT 021/2004-ES</v>
          </cell>
        </row>
        <row r="1165">
          <cell r="A1165" t="str">
            <v>2 S 04 941 17</v>
          </cell>
          <cell r="B1165" t="str">
            <v>-</v>
          </cell>
          <cell r="C1165" t="str">
            <v>Descida d'água aterros em degraus - DAD 17</v>
          </cell>
          <cell r="D1165" t="str">
            <v>m</v>
          </cell>
          <cell r="H1165" t="str">
            <v>DNIT 021/2004-ES</v>
          </cell>
        </row>
        <row r="1166">
          <cell r="A1166" t="str">
            <v>2 S 04 941 18</v>
          </cell>
          <cell r="B1166" t="str">
            <v>-</v>
          </cell>
          <cell r="C1166" t="str">
            <v>Descida d'água aterros em degraus - arm - DAD 18</v>
          </cell>
          <cell r="D1166" t="str">
            <v>m</v>
          </cell>
          <cell r="H1166" t="str">
            <v>DNIT 021/2004-ES</v>
          </cell>
        </row>
        <row r="1167">
          <cell r="A1167" t="str">
            <v>2 S 04 941 31</v>
          </cell>
          <cell r="B1167" t="str">
            <v>-</v>
          </cell>
          <cell r="C1167" t="str">
            <v>Descida d'água cortes em degraus - DCD 01</v>
          </cell>
          <cell r="D1167" t="str">
            <v>m</v>
          </cell>
          <cell r="H1167" t="str">
            <v>DNIT 021/2004-ES</v>
          </cell>
        </row>
        <row r="1168">
          <cell r="A1168" t="str">
            <v>2 S 04 941 32</v>
          </cell>
          <cell r="B1168" t="str">
            <v>-</v>
          </cell>
          <cell r="C1168" t="str">
            <v>Descida d'água cortes em degraus - arm - DCD 02</v>
          </cell>
          <cell r="D1168" t="str">
            <v>m</v>
          </cell>
          <cell r="H1168" t="str">
            <v>DNIT 021/2004-ES</v>
          </cell>
        </row>
        <row r="1169">
          <cell r="A1169" t="str">
            <v>2 S 04 941 33</v>
          </cell>
          <cell r="B1169" t="str">
            <v>-</v>
          </cell>
          <cell r="C1169" t="str">
            <v>Descida d'água cortes em degraus - DCD 03</v>
          </cell>
          <cell r="D1169" t="str">
            <v>m</v>
          </cell>
          <cell r="H1169" t="str">
            <v>DNIT 021/2004-ES</v>
          </cell>
        </row>
        <row r="1170">
          <cell r="A1170" t="str">
            <v>2 S 04 941 34</v>
          </cell>
          <cell r="B1170" t="str">
            <v>-</v>
          </cell>
          <cell r="C1170" t="str">
            <v>Descida d'água cortes em degraus - arm - DCD 04</v>
          </cell>
          <cell r="D1170" t="str">
            <v>m</v>
          </cell>
          <cell r="H1170" t="str">
            <v>DNIT 021/2004-ES</v>
          </cell>
        </row>
        <row r="1171">
          <cell r="A1171" t="str">
            <v>2 S 04 941 51</v>
          </cell>
          <cell r="B1171" t="str">
            <v>-</v>
          </cell>
          <cell r="C1171" t="str">
            <v>Descida d'água aterros em degraus - DAD 01 AC/BC</v>
          </cell>
          <cell r="D1171" t="str">
            <v>m</v>
          </cell>
          <cell r="H1171" t="str">
            <v>DNIT 021/2004-ES</v>
          </cell>
        </row>
        <row r="1172">
          <cell r="A1172" t="str">
            <v>2 S 04 941 52</v>
          </cell>
          <cell r="B1172" t="str">
            <v>-</v>
          </cell>
          <cell r="C1172" t="str">
            <v>Descida d'água aterros em degraus arm-DAD 02 AC/BC</v>
          </cell>
          <cell r="D1172" t="str">
            <v>m</v>
          </cell>
          <cell r="H1172" t="str">
            <v>DNIT 021/2004-ES</v>
          </cell>
        </row>
        <row r="1173">
          <cell r="A1173" t="str">
            <v>2 S 04 941 53</v>
          </cell>
          <cell r="B1173" t="str">
            <v>-</v>
          </cell>
          <cell r="C1173" t="str">
            <v>Descida d'água aterros em degraus - DAD 03 AC/BC</v>
          </cell>
          <cell r="D1173" t="str">
            <v>m</v>
          </cell>
          <cell r="H1173" t="str">
            <v>DNIT 021/2004-ES</v>
          </cell>
        </row>
        <row r="1174">
          <cell r="A1174" t="str">
            <v>2 S 04 941 54</v>
          </cell>
          <cell r="B1174" t="str">
            <v>-</v>
          </cell>
          <cell r="C1174" t="str">
            <v>Descida d'água aterros em degraus arm-DAD 04 AC/BC</v>
          </cell>
          <cell r="D1174" t="str">
            <v>m</v>
          </cell>
          <cell r="H1174" t="str">
            <v>DNIT 021/2004-ES</v>
          </cell>
        </row>
        <row r="1175">
          <cell r="A1175" t="str">
            <v>2 S 04 941 55</v>
          </cell>
          <cell r="B1175" t="str">
            <v>-</v>
          </cell>
          <cell r="C1175" t="str">
            <v>Descida d'água aterros em degraus-DAD 05 AC/BC</v>
          </cell>
          <cell r="D1175" t="str">
            <v>m</v>
          </cell>
          <cell r="H1175" t="str">
            <v>DNIT 021/2004-ES</v>
          </cell>
        </row>
        <row r="1176">
          <cell r="A1176" t="str">
            <v>2 S 04 941 56</v>
          </cell>
          <cell r="B1176" t="str">
            <v>-</v>
          </cell>
          <cell r="C1176" t="str">
            <v>Descida d'água aterros em degraus - DAD 06 AC/BC</v>
          </cell>
          <cell r="D1176" t="str">
            <v>m</v>
          </cell>
          <cell r="H1176" t="str">
            <v>DNIT 021/2004-ES</v>
          </cell>
        </row>
        <row r="1177">
          <cell r="A1177" t="str">
            <v>2 S 04 941 57</v>
          </cell>
          <cell r="B1177" t="str">
            <v>-</v>
          </cell>
          <cell r="C1177" t="str">
            <v>Descida d'água aterros em degraus - DAD 07 AC/BC</v>
          </cell>
          <cell r="D1177" t="str">
            <v>m</v>
          </cell>
          <cell r="H1177" t="str">
            <v>DNIT 021/2004-ES</v>
          </cell>
        </row>
        <row r="1178">
          <cell r="A1178" t="str">
            <v>2 S 04 941 58</v>
          </cell>
          <cell r="B1178" t="str">
            <v>-</v>
          </cell>
          <cell r="C1178" t="str">
            <v>Descida d'água aterros em degraus arm-DAD 08 AC/BC</v>
          </cell>
          <cell r="D1178" t="str">
            <v>m</v>
          </cell>
          <cell r="H1178" t="str">
            <v>DNIT 021/2004-ES</v>
          </cell>
        </row>
        <row r="1179">
          <cell r="A1179" t="str">
            <v>2 S 04 941 59</v>
          </cell>
          <cell r="B1179" t="str">
            <v>-</v>
          </cell>
          <cell r="C1179" t="str">
            <v>Descida d'água aterros em degraus - DAD 09 AC/BC</v>
          </cell>
          <cell r="D1179" t="str">
            <v>m</v>
          </cell>
          <cell r="H1179" t="str">
            <v>DNIT 021/2004-ES</v>
          </cell>
        </row>
        <row r="1180">
          <cell r="A1180" t="str">
            <v>2 S 04 941 60</v>
          </cell>
          <cell r="B1180" t="str">
            <v>-</v>
          </cell>
          <cell r="C1180" t="str">
            <v>Descida d'água aterros em degraus arm-DAD 10 AC/BC</v>
          </cell>
          <cell r="D1180" t="str">
            <v>m</v>
          </cell>
          <cell r="H1180" t="str">
            <v>DNIT 021/2004-ES</v>
          </cell>
        </row>
        <row r="1181">
          <cell r="A1181" t="str">
            <v>2 S 04 941 61</v>
          </cell>
          <cell r="B1181" t="str">
            <v>-</v>
          </cell>
          <cell r="C1181" t="str">
            <v>Descida d'água aterros em degraus - DAD 11 AC/BC</v>
          </cell>
          <cell r="D1181" t="str">
            <v>m</v>
          </cell>
          <cell r="H1181" t="str">
            <v>DNIT 021/2004-ES</v>
          </cell>
        </row>
        <row r="1182">
          <cell r="A1182" t="str">
            <v>2 S 04 941 62</v>
          </cell>
          <cell r="B1182" t="str">
            <v>-</v>
          </cell>
          <cell r="C1182" t="str">
            <v>Descida d'água aterros em degraus arm-DAD 12 AC/BC</v>
          </cell>
          <cell r="D1182" t="str">
            <v>m</v>
          </cell>
          <cell r="H1182" t="str">
            <v>DNIT 021/2004-ES</v>
          </cell>
        </row>
        <row r="1183">
          <cell r="A1183" t="str">
            <v>2 S 04 941 63</v>
          </cell>
          <cell r="B1183" t="str">
            <v>-</v>
          </cell>
          <cell r="C1183" t="str">
            <v>Descida d'água aterros em degraus - DAD 13 AC/BC</v>
          </cell>
          <cell r="D1183" t="str">
            <v>m</v>
          </cell>
          <cell r="H1183" t="str">
            <v>DNIT 021/2004-ES</v>
          </cell>
        </row>
        <row r="1184">
          <cell r="A1184" t="str">
            <v>2 S 04 941 64</v>
          </cell>
          <cell r="B1184" t="str">
            <v>-</v>
          </cell>
          <cell r="C1184" t="str">
            <v>Descida d'água aterros em degraus arm-DAD 14 AC/BC</v>
          </cell>
          <cell r="D1184" t="str">
            <v>m</v>
          </cell>
          <cell r="H1184" t="str">
            <v>DNIT 021/2004-ES</v>
          </cell>
        </row>
        <row r="1185">
          <cell r="A1185" t="str">
            <v>2 S 04 941 65</v>
          </cell>
          <cell r="B1185" t="str">
            <v>-</v>
          </cell>
          <cell r="C1185" t="str">
            <v>Descida d'água aterros em degraus - DAD 15 AC/BC</v>
          </cell>
          <cell r="D1185" t="str">
            <v>m</v>
          </cell>
          <cell r="H1185" t="str">
            <v>DNIT 021/2004-ES</v>
          </cell>
        </row>
        <row r="1186">
          <cell r="A1186" t="str">
            <v>2 S 04 941 66</v>
          </cell>
          <cell r="B1186" t="str">
            <v>-</v>
          </cell>
          <cell r="C1186" t="str">
            <v>Descida d'água aterros em degraus arm-DAD 16 AC/BC</v>
          </cell>
          <cell r="D1186" t="str">
            <v>m</v>
          </cell>
          <cell r="H1186" t="str">
            <v>DNIT 021/2004-ES</v>
          </cell>
        </row>
        <row r="1187">
          <cell r="A1187" t="str">
            <v>2 S 04 941 67</v>
          </cell>
          <cell r="B1187" t="str">
            <v>-</v>
          </cell>
          <cell r="C1187" t="str">
            <v>Descida d'água aterros em degraus - DAD 17 AC/BC</v>
          </cell>
          <cell r="D1187" t="str">
            <v>m</v>
          </cell>
          <cell r="H1187" t="str">
            <v>DNIT 021/2004-ES</v>
          </cell>
        </row>
        <row r="1188">
          <cell r="A1188" t="str">
            <v>2 S 04 941 68</v>
          </cell>
          <cell r="B1188" t="str">
            <v>-</v>
          </cell>
          <cell r="C1188" t="str">
            <v>Descida d'água aterros em degraus arm-DAD 18 AC/BC</v>
          </cell>
          <cell r="D1188" t="str">
            <v>m</v>
          </cell>
          <cell r="H1188" t="str">
            <v>DNIT 021/2004-ES</v>
          </cell>
        </row>
        <row r="1189">
          <cell r="A1189" t="str">
            <v>2 S 04 941 81</v>
          </cell>
          <cell r="B1189" t="str">
            <v>-</v>
          </cell>
          <cell r="C1189" t="str">
            <v>Descida d'água cortes em degraus - DCD 01 AC/BC</v>
          </cell>
          <cell r="D1189" t="str">
            <v>m</v>
          </cell>
          <cell r="H1189" t="str">
            <v>DNIT 021/2004-ES</v>
          </cell>
        </row>
        <row r="1190">
          <cell r="A1190" t="str">
            <v>2 S 04 941 82</v>
          </cell>
          <cell r="B1190" t="str">
            <v>-</v>
          </cell>
          <cell r="C1190" t="str">
            <v>Descida d'água cortes em degraus arm-DCD 02 AC/BC</v>
          </cell>
          <cell r="D1190" t="str">
            <v>m</v>
          </cell>
          <cell r="H1190" t="str">
            <v>DNIT 021/2004-ES</v>
          </cell>
        </row>
        <row r="1191">
          <cell r="A1191" t="str">
            <v>2 S 04 941 83</v>
          </cell>
          <cell r="B1191" t="str">
            <v>-</v>
          </cell>
          <cell r="C1191" t="str">
            <v>Descida d'água cortes em degraus - DCD 03 AC/BC</v>
          </cell>
          <cell r="D1191" t="str">
            <v>m</v>
          </cell>
          <cell r="H1191" t="str">
            <v>DNIT 021/2004-ES</v>
          </cell>
        </row>
        <row r="1192">
          <cell r="A1192" t="str">
            <v>2 S 04 941 84</v>
          </cell>
          <cell r="B1192" t="str">
            <v>-</v>
          </cell>
          <cell r="C1192" t="str">
            <v>Descida d'água cortes em degraus arm-DCD 04 AC/BC</v>
          </cell>
          <cell r="D1192" t="str">
            <v>m</v>
          </cell>
          <cell r="H1192" t="str">
            <v>DNIT 021/2004-ES</v>
          </cell>
        </row>
        <row r="1193">
          <cell r="A1193" t="str">
            <v>2 S 04 942 01</v>
          </cell>
          <cell r="B1193" t="str">
            <v>-</v>
          </cell>
          <cell r="C1193" t="str">
            <v>Entrada d'água - EDA 01</v>
          </cell>
          <cell r="D1193" t="str">
            <v>und</v>
          </cell>
          <cell r="H1193" t="str">
            <v>DNIT 021/2004-ES</v>
          </cell>
        </row>
        <row r="1194">
          <cell r="A1194" t="str">
            <v>2 S 04 942 02</v>
          </cell>
          <cell r="B1194" t="str">
            <v>-</v>
          </cell>
          <cell r="C1194" t="str">
            <v>Entrada d'água - EDA 02</v>
          </cell>
          <cell r="D1194" t="str">
            <v>und</v>
          </cell>
          <cell r="H1194" t="str">
            <v>DNIT 021/2004-ES</v>
          </cell>
        </row>
        <row r="1195">
          <cell r="A1195" t="str">
            <v>2 S 04 942 51</v>
          </cell>
          <cell r="B1195" t="str">
            <v>-</v>
          </cell>
          <cell r="C1195" t="str">
            <v>Entrada d'água - EDA 01 AC/BC</v>
          </cell>
          <cell r="D1195" t="str">
            <v>und</v>
          </cell>
          <cell r="H1195" t="str">
            <v>DNIT 021/2004-ES</v>
          </cell>
        </row>
        <row r="1196">
          <cell r="A1196" t="str">
            <v>2 S 04 942 52</v>
          </cell>
          <cell r="B1196" t="str">
            <v>-</v>
          </cell>
          <cell r="C1196" t="str">
            <v>Entrada d'água - EDA 02 AC/BC</v>
          </cell>
          <cell r="D1196" t="str">
            <v>und</v>
          </cell>
          <cell r="H1196" t="str">
            <v>DNIT 021/2004-ES</v>
          </cell>
        </row>
        <row r="1197">
          <cell r="A1197" t="str">
            <v>2 S 04 950 01</v>
          </cell>
          <cell r="B1197" t="str">
            <v>-</v>
          </cell>
          <cell r="C1197" t="str">
            <v>Dissipador de energia - DES 01</v>
          </cell>
          <cell r="D1197" t="str">
            <v>und</v>
          </cell>
          <cell r="H1197" t="str">
            <v>DNIT 022/2004-ES</v>
          </cell>
        </row>
        <row r="1198">
          <cell r="A1198" t="str">
            <v>2 S 04 950 02</v>
          </cell>
          <cell r="B1198" t="str">
            <v>-</v>
          </cell>
          <cell r="C1198" t="str">
            <v>Dissipador de energia - DES 02</v>
          </cell>
          <cell r="D1198" t="str">
            <v>und</v>
          </cell>
          <cell r="H1198" t="str">
            <v>DNIT 022/2004-ES</v>
          </cell>
        </row>
        <row r="1199">
          <cell r="A1199" t="str">
            <v>2 S 04 950 03</v>
          </cell>
          <cell r="B1199" t="str">
            <v>-</v>
          </cell>
          <cell r="C1199" t="str">
            <v>Dissipador de energia - DES 03</v>
          </cell>
          <cell r="D1199" t="str">
            <v>und</v>
          </cell>
          <cell r="H1199" t="str">
            <v>DNIT 022/2004-ES</v>
          </cell>
        </row>
        <row r="1200">
          <cell r="A1200" t="str">
            <v>2 S 04 950 04</v>
          </cell>
          <cell r="B1200" t="str">
            <v>-</v>
          </cell>
          <cell r="C1200" t="str">
            <v>Dissipador de energia - DES04</v>
          </cell>
          <cell r="D1200" t="str">
            <v>und</v>
          </cell>
          <cell r="H1200" t="str">
            <v>DNIT 022/2004-ES</v>
          </cell>
        </row>
        <row r="1201">
          <cell r="A1201" t="str">
            <v>2 S 04 950 21</v>
          </cell>
          <cell r="B1201" t="str">
            <v>-</v>
          </cell>
          <cell r="C1201" t="str">
            <v>Dissipador de energia - DEB 01</v>
          </cell>
          <cell r="D1201" t="str">
            <v>und</v>
          </cell>
          <cell r="H1201" t="str">
            <v>DNIT 022/2004-ES</v>
          </cell>
        </row>
        <row r="1202">
          <cell r="A1202" t="str">
            <v>2 S 04 950 22</v>
          </cell>
          <cell r="B1202" t="str">
            <v>-</v>
          </cell>
          <cell r="C1202" t="str">
            <v>Dissipador de energia - DEB 02</v>
          </cell>
          <cell r="D1202" t="str">
            <v>und</v>
          </cell>
          <cell r="H1202" t="str">
            <v>DNIT 022/2004-ES</v>
          </cell>
        </row>
        <row r="1203">
          <cell r="A1203" t="str">
            <v>2 S 04 950 23</v>
          </cell>
          <cell r="B1203" t="str">
            <v>-</v>
          </cell>
          <cell r="C1203" t="str">
            <v>Dissipador de energia - DEB 03</v>
          </cell>
          <cell r="D1203" t="str">
            <v>und</v>
          </cell>
          <cell r="H1203" t="str">
            <v>DNIT 022/2004-ES</v>
          </cell>
        </row>
        <row r="1204">
          <cell r="A1204" t="str">
            <v>2 S 04 950 24</v>
          </cell>
          <cell r="B1204" t="str">
            <v>-</v>
          </cell>
          <cell r="C1204" t="str">
            <v>Dissipador de energia - DEB 04</v>
          </cell>
          <cell r="D1204" t="str">
            <v>und</v>
          </cell>
          <cell r="H1204" t="str">
            <v>DNIT 022/2004-ES</v>
          </cell>
        </row>
        <row r="1205">
          <cell r="A1205" t="str">
            <v>2 S 04 950 25</v>
          </cell>
          <cell r="B1205" t="str">
            <v>-</v>
          </cell>
          <cell r="C1205" t="str">
            <v>Dissipador de energia - DEB 05</v>
          </cell>
          <cell r="D1205" t="str">
            <v>und</v>
          </cell>
          <cell r="H1205" t="str">
            <v>DNIT 022/2004-ES</v>
          </cell>
        </row>
        <row r="1206">
          <cell r="A1206" t="str">
            <v>2 S 04 950 26</v>
          </cell>
          <cell r="B1206" t="str">
            <v>-</v>
          </cell>
          <cell r="C1206" t="str">
            <v>Dissipador de energia - DEB 06</v>
          </cell>
          <cell r="D1206" t="str">
            <v>und</v>
          </cell>
          <cell r="H1206" t="str">
            <v>DNIT 022/2004-ES</v>
          </cell>
        </row>
        <row r="1207">
          <cell r="A1207" t="str">
            <v>2 S 04 950 27</v>
          </cell>
          <cell r="B1207" t="str">
            <v>-</v>
          </cell>
          <cell r="C1207" t="str">
            <v>Dissipador de energia - DEB 07</v>
          </cell>
          <cell r="D1207" t="str">
            <v>und</v>
          </cell>
          <cell r="H1207" t="str">
            <v>DNIT 022/2004-ES</v>
          </cell>
        </row>
        <row r="1208">
          <cell r="A1208" t="str">
            <v>2 S 04 950 28</v>
          </cell>
          <cell r="B1208" t="str">
            <v>-</v>
          </cell>
          <cell r="C1208" t="str">
            <v>Dissipador de energia - DEB 08</v>
          </cell>
          <cell r="D1208" t="str">
            <v>und</v>
          </cell>
          <cell r="H1208" t="str">
            <v>DNIT 022/2004-ES</v>
          </cell>
        </row>
        <row r="1209">
          <cell r="A1209" t="str">
            <v>2 S 04 950 29</v>
          </cell>
          <cell r="B1209" t="str">
            <v>-</v>
          </cell>
          <cell r="C1209" t="str">
            <v>Dissipador de energia - DEB 09</v>
          </cell>
          <cell r="D1209" t="str">
            <v>und</v>
          </cell>
          <cell r="H1209" t="str">
            <v>DNIT 022/2004-ES</v>
          </cell>
        </row>
        <row r="1210">
          <cell r="A1210" t="str">
            <v>2 S 04 950 30</v>
          </cell>
          <cell r="B1210" t="str">
            <v>-</v>
          </cell>
          <cell r="C1210" t="str">
            <v>Dissipador de energia - DEB 10</v>
          </cell>
          <cell r="D1210" t="str">
            <v>und</v>
          </cell>
          <cell r="H1210" t="str">
            <v>DNIT 022/2004-ES</v>
          </cell>
        </row>
        <row r="1211">
          <cell r="A1211" t="str">
            <v>2 S 04 950 31</v>
          </cell>
          <cell r="B1211" t="str">
            <v>-</v>
          </cell>
          <cell r="C1211" t="str">
            <v>Dissipador de energia - DEB 11</v>
          </cell>
          <cell r="D1211" t="str">
            <v>und</v>
          </cell>
          <cell r="H1211" t="str">
            <v>DNIT 022/2004-ES</v>
          </cell>
        </row>
        <row r="1212">
          <cell r="A1212" t="str">
            <v>2 S 04 950 32</v>
          </cell>
          <cell r="B1212" t="str">
            <v>-</v>
          </cell>
          <cell r="C1212" t="str">
            <v>Dissipador de energia - DEB 12</v>
          </cell>
          <cell r="D1212" t="str">
            <v>und</v>
          </cell>
          <cell r="H1212" t="str">
            <v>DNIT 022/2004-ES</v>
          </cell>
        </row>
        <row r="1213">
          <cell r="A1213" t="str">
            <v>2 S 04 950 51</v>
          </cell>
          <cell r="B1213" t="str">
            <v>-</v>
          </cell>
          <cell r="C1213" t="str">
            <v>Dissipador de energia - DED 01</v>
          </cell>
          <cell r="D1213" t="str">
            <v>und</v>
          </cell>
          <cell r="H1213" t="str">
            <v>DNIT 022/2004-ES</v>
          </cell>
        </row>
        <row r="1214">
          <cell r="A1214" t="str">
            <v>2 S 04 950 61</v>
          </cell>
          <cell r="B1214" t="str">
            <v>-</v>
          </cell>
          <cell r="C1214" t="str">
            <v>Dissipador de energia - DES 01 AC/PC</v>
          </cell>
          <cell r="D1214" t="str">
            <v>und</v>
          </cell>
          <cell r="H1214" t="str">
            <v>DNIT 022/2004-ES</v>
          </cell>
        </row>
        <row r="1215">
          <cell r="A1215" t="str">
            <v>2 S 04 950 62</v>
          </cell>
          <cell r="B1215" t="str">
            <v>-</v>
          </cell>
          <cell r="C1215" t="str">
            <v>Dissipador de energia - DES 02 AC/PC</v>
          </cell>
          <cell r="D1215" t="str">
            <v>und</v>
          </cell>
          <cell r="H1215" t="str">
            <v>DNIT 022/2004-ES</v>
          </cell>
        </row>
        <row r="1216">
          <cell r="A1216" t="str">
            <v>2 S 04 950 63</v>
          </cell>
          <cell r="B1216" t="str">
            <v>-</v>
          </cell>
          <cell r="C1216" t="str">
            <v>Dissipador de energia - DES 03 AC/PC</v>
          </cell>
          <cell r="D1216" t="str">
            <v>und</v>
          </cell>
          <cell r="H1216" t="str">
            <v>DNIT 022/2004-ES</v>
          </cell>
        </row>
        <row r="1217">
          <cell r="A1217" t="str">
            <v>2 S 04 950 64</v>
          </cell>
          <cell r="B1217" t="str">
            <v>-</v>
          </cell>
          <cell r="C1217" t="str">
            <v>Dissipador de energia - DES 04 AC/PC</v>
          </cell>
          <cell r="D1217" t="str">
            <v>und</v>
          </cell>
          <cell r="H1217" t="str">
            <v>DNIT 022/2004-ES</v>
          </cell>
        </row>
        <row r="1218">
          <cell r="A1218" t="str">
            <v>2 S 04 950 71</v>
          </cell>
          <cell r="B1218" t="str">
            <v>-</v>
          </cell>
          <cell r="C1218" t="str">
            <v>Dissipador de energia - DEB 01 AC/BC/PC</v>
          </cell>
          <cell r="D1218" t="str">
            <v>und</v>
          </cell>
          <cell r="H1218" t="str">
            <v>DNIT 022/2004-ES</v>
          </cell>
        </row>
        <row r="1219">
          <cell r="A1219" t="str">
            <v>2 S 04 950 72</v>
          </cell>
          <cell r="B1219" t="str">
            <v>-</v>
          </cell>
          <cell r="C1219" t="str">
            <v>Dissipador de energia - DEB 02 AC/BC/PC</v>
          </cell>
          <cell r="D1219" t="str">
            <v>und</v>
          </cell>
          <cell r="H1219" t="str">
            <v>DNIT 022/2004-ES</v>
          </cell>
        </row>
        <row r="1220">
          <cell r="A1220" t="str">
            <v>2 S 04 950 73</v>
          </cell>
          <cell r="B1220" t="str">
            <v>-</v>
          </cell>
          <cell r="C1220" t="str">
            <v>Dissipador de energia - DEB 03 AC/BC/PC</v>
          </cell>
          <cell r="D1220" t="str">
            <v>und</v>
          </cell>
          <cell r="H1220" t="str">
            <v>DNIT 022/2004-ES</v>
          </cell>
        </row>
        <row r="1221">
          <cell r="A1221" t="str">
            <v>2 S 04 950 74</v>
          </cell>
          <cell r="B1221" t="str">
            <v>-</v>
          </cell>
          <cell r="C1221" t="str">
            <v>Dissipador de energia - DEB 04 AC/BC/PC</v>
          </cell>
          <cell r="D1221" t="str">
            <v>und</v>
          </cell>
          <cell r="H1221" t="str">
            <v>DNIT 022/2004-ES</v>
          </cell>
        </row>
        <row r="1222">
          <cell r="A1222" t="str">
            <v>2 S 04 950 75</v>
          </cell>
          <cell r="B1222" t="str">
            <v>-</v>
          </cell>
          <cell r="C1222" t="str">
            <v>Dissipador de energia - DEB 05 AC/BC/PC</v>
          </cell>
          <cell r="D1222" t="str">
            <v>und</v>
          </cell>
          <cell r="H1222" t="str">
            <v>DNIT 022/2004-ES</v>
          </cell>
        </row>
        <row r="1223">
          <cell r="A1223" t="str">
            <v>2 S 04 950 76</v>
          </cell>
          <cell r="B1223" t="str">
            <v>-</v>
          </cell>
          <cell r="C1223" t="str">
            <v>Dissipador de energia - DEB 06 AC/BC/PC</v>
          </cell>
          <cell r="D1223" t="str">
            <v>und</v>
          </cell>
          <cell r="H1223" t="str">
            <v>DNIT 022/2004-ES</v>
          </cell>
        </row>
        <row r="1224">
          <cell r="A1224" t="str">
            <v>2 S 04 950 77</v>
          </cell>
          <cell r="B1224" t="str">
            <v>-</v>
          </cell>
          <cell r="C1224" t="str">
            <v>Dissipador de energia - DEB 07 AC/BC/PC</v>
          </cell>
          <cell r="D1224" t="str">
            <v>und</v>
          </cell>
          <cell r="H1224" t="str">
            <v>DNIT 022/2004-ES</v>
          </cell>
        </row>
        <row r="1225">
          <cell r="A1225" t="str">
            <v>2 S 04 950 78</v>
          </cell>
          <cell r="B1225" t="str">
            <v>-</v>
          </cell>
          <cell r="C1225" t="str">
            <v>Dissipador de energia - DEB 08 AC/BC/PC</v>
          </cell>
          <cell r="D1225" t="str">
            <v>und</v>
          </cell>
          <cell r="H1225" t="str">
            <v>DNIT 022/2004-ES</v>
          </cell>
        </row>
        <row r="1226">
          <cell r="A1226" t="str">
            <v>2 S 04 950 79</v>
          </cell>
          <cell r="B1226" t="str">
            <v>-</v>
          </cell>
          <cell r="C1226" t="str">
            <v>Dissipador de energia - DEB 09 AC/BC/PC</v>
          </cell>
          <cell r="D1226" t="str">
            <v>und</v>
          </cell>
          <cell r="H1226" t="str">
            <v>DNIT 022/2004-ES</v>
          </cell>
        </row>
        <row r="1227">
          <cell r="A1227" t="str">
            <v>2 S 04 950 80</v>
          </cell>
          <cell r="B1227" t="str">
            <v>-</v>
          </cell>
          <cell r="C1227" t="str">
            <v>Dissipador de energia - DEB 10 AC/BC/PC</v>
          </cell>
          <cell r="D1227" t="str">
            <v>und</v>
          </cell>
          <cell r="H1227" t="str">
            <v>DNIT 022/2004-ES</v>
          </cell>
        </row>
        <row r="1228">
          <cell r="A1228" t="str">
            <v>2 S 04 950 81</v>
          </cell>
          <cell r="B1228" t="str">
            <v>-</v>
          </cell>
          <cell r="C1228" t="str">
            <v>Dissipador de energia - DEB 11 AC/BC/PC</v>
          </cell>
          <cell r="D1228" t="str">
            <v>und</v>
          </cell>
          <cell r="H1228" t="str">
            <v>DNIT 022/2004-ES</v>
          </cell>
        </row>
        <row r="1229">
          <cell r="A1229" t="str">
            <v>2 S 04 950 82</v>
          </cell>
          <cell r="B1229" t="str">
            <v>-</v>
          </cell>
          <cell r="C1229" t="str">
            <v>Dissipador de energia - DEB 12 AC/BC/PC</v>
          </cell>
          <cell r="D1229" t="str">
            <v>und</v>
          </cell>
          <cell r="H1229" t="str">
            <v>DNIT 022/2004-ES</v>
          </cell>
        </row>
        <row r="1230">
          <cell r="A1230" t="str">
            <v>2 S 04 950 99</v>
          </cell>
          <cell r="B1230" t="str">
            <v>-</v>
          </cell>
          <cell r="C1230" t="str">
            <v>Dissipador de energia - DED 01 AC/BC</v>
          </cell>
          <cell r="D1230" t="str">
            <v>und</v>
          </cell>
          <cell r="H1230" t="str">
            <v>DNIT 022/2004-ES</v>
          </cell>
        </row>
        <row r="1231">
          <cell r="A1231" t="str">
            <v>2 S 04 960 01</v>
          </cell>
          <cell r="B1231" t="str">
            <v>-</v>
          </cell>
          <cell r="C1231" t="str">
            <v>Boca de lobo simples grelha concr. - BLS 01</v>
          </cell>
          <cell r="D1231" t="str">
            <v>und</v>
          </cell>
          <cell r="H1231" t="str">
            <v>DNIT 030/2004-ES</v>
          </cell>
        </row>
        <row r="1232">
          <cell r="A1232" t="str">
            <v>2 S 04 960 02</v>
          </cell>
          <cell r="B1232" t="str">
            <v>-</v>
          </cell>
          <cell r="C1232" t="str">
            <v>Boca de lobo simples grelha concr. - BLS 02</v>
          </cell>
          <cell r="D1232" t="str">
            <v>und</v>
          </cell>
          <cell r="H1232" t="str">
            <v>DNIT 030/2004-ES</v>
          </cell>
        </row>
        <row r="1233">
          <cell r="A1233" t="str">
            <v>2 S 04 960 03</v>
          </cell>
          <cell r="B1233" t="str">
            <v>-</v>
          </cell>
          <cell r="C1233" t="str">
            <v>Boca de lobo simples grelha concr. - BLS 03</v>
          </cell>
          <cell r="D1233" t="str">
            <v>und</v>
          </cell>
          <cell r="H1233" t="str">
            <v>DNIT 030/2004-ES</v>
          </cell>
        </row>
        <row r="1234">
          <cell r="A1234" t="str">
            <v>2 S 04 960 04</v>
          </cell>
          <cell r="B1234" t="str">
            <v>-</v>
          </cell>
          <cell r="C1234" t="str">
            <v>Boca de lobo simples grelha concr. - BLS 04</v>
          </cell>
          <cell r="D1234" t="str">
            <v>und</v>
          </cell>
          <cell r="H1234" t="str">
            <v>DNIT 030/2004-ES</v>
          </cell>
        </row>
        <row r="1235">
          <cell r="A1235" t="str">
            <v>2 S 04 960 05</v>
          </cell>
          <cell r="B1235" t="str">
            <v>-</v>
          </cell>
          <cell r="C1235" t="str">
            <v>Boca de lobo simples grelha concr. - BLS 05</v>
          </cell>
          <cell r="D1235" t="str">
            <v>und</v>
          </cell>
          <cell r="H1235" t="str">
            <v>DNIT 030/2004-ES</v>
          </cell>
        </row>
        <row r="1236">
          <cell r="A1236" t="str">
            <v>2 S 04 960 06</v>
          </cell>
          <cell r="B1236" t="str">
            <v>-</v>
          </cell>
          <cell r="C1236" t="str">
            <v>Boca de lobo simples grelha concr. - BLS 06</v>
          </cell>
          <cell r="D1236" t="str">
            <v>und</v>
          </cell>
          <cell r="H1236" t="str">
            <v>DNIT 030/2004-ES</v>
          </cell>
        </row>
        <row r="1237">
          <cell r="A1237" t="str">
            <v>2 S 04 960 07</v>
          </cell>
          <cell r="B1237" t="str">
            <v>-</v>
          </cell>
          <cell r="C1237" t="str">
            <v>Boca de lobo simples grelha concr. - BLS 07</v>
          </cell>
          <cell r="D1237" t="str">
            <v>und</v>
          </cell>
          <cell r="H1237" t="str">
            <v>DNIT 030/2004-ES</v>
          </cell>
        </row>
        <row r="1238">
          <cell r="A1238" t="str">
            <v>2 S 04 960 51</v>
          </cell>
          <cell r="B1238" t="str">
            <v>-</v>
          </cell>
          <cell r="C1238" t="str">
            <v>Boca de lobo simples grelha concr. BLS 01 AC/BC</v>
          </cell>
          <cell r="D1238" t="str">
            <v>und</v>
          </cell>
          <cell r="H1238" t="str">
            <v>DNIT 030/2004-ES</v>
          </cell>
        </row>
        <row r="1239">
          <cell r="A1239" t="str">
            <v>2 S 04 960 52</v>
          </cell>
          <cell r="B1239" t="str">
            <v>-</v>
          </cell>
          <cell r="C1239" t="str">
            <v>Boca de lobo simples grelha concr. BLS 02 AC/BC</v>
          </cell>
          <cell r="D1239" t="str">
            <v>und</v>
          </cell>
          <cell r="H1239" t="str">
            <v>DNIT 030/2004-ES</v>
          </cell>
        </row>
        <row r="1240">
          <cell r="A1240" t="str">
            <v>2 S 04 960 53</v>
          </cell>
          <cell r="B1240" t="str">
            <v>-</v>
          </cell>
          <cell r="C1240" t="str">
            <v>Boca de lobo simples grelha concr. BLS 03 AC/BC</v>
          </cell>
          <cell r="D1240" t="str">
            <v>und</v>
          </cell>
          <cell r="H1240" t="str">
            <v>DNIT 030/2004-ES</v>
          </cell>
        </row>
        <row r="1241">
          <cell r="A1241" t="str">
            <v>2 S 04 960 54</v>
          </cell>
          <cell r="B1241" t="str">
            <v>-</v>
          </cell>
          <cell r="C1241" t="str">
            <v>Boca de lobo simples grelha concr. BLS 04 AC/BC</v>
          </cell>
          <cell r="D1241" t="str">
            <v>und</v>
          </cell>
          <cell r="H1241" t="str">
            <v>DNIT 030/2004-ES</v>
          </cell>
        </row>
        <row r="1242">
          <cell r="A1242" t="str">
            <v>2 S 04 960 55</v>
          </cell>
          <cell r="B1242" t="str">
            <v>-</v>
          </cell>
          <cell r="C1242" t="str">
            <v>Boca de lobo simples grelha concr. BLS 05 AC/BC</v>
          </cell>
          <cell r="D1242" t="str">
            <v>und</v>
          </cell>
          <cell r="H1242" t="str">
            <v>DNIT 030/2004-ES</v>
          </cell>
        </row>
        <row r="1243">
          <cell r="A1243" t="str">
            <v>2 S 04 960 56</v>
          </cell>
          <cell r="B1243" t="str">
            <v>-</v>
          </cell>
          <cell r="C1243" t="str">
            <v>Boca de lobo simples grelha concr. BLS 06 AC/BC</v>
          </cell>
          <cell r="D1243" t="str">
            <v>und</v>
          </cell>
          <cell r="H1243" t="str">
            <v>DNIT 030/2004-ES</v>
          </cell>
        </row>
        <row r="1244">
          <cell r="A1244" t="str">
            <v>2 S 04 960 57</v>
          </cell>
          <cell r="B1244" t="str">
            <v>-</v>
          </cell>
          <cell r="C1244" t="str">
            <v>Boca de lobo simples grelha concr. BLS 07 AC/BC</v>
          </cell>
          <cell r="D1244" t="str">
            <v>und</v>
          </cell>
          <cell r="H1244" t="str">
            <v>DNIT 030/2004-ES</v>
          </cell>
        </row>
        <row r="1245">
          <cell r="A1245" t="str">
            <v>2 S 04 961 01</v>
          </cell>
          <cell r="B1245" t="str">
            <v>-</v>
          </cell>
          <cell r="C1245" t="str">
            <v>Boca de lobo dupla com grelha de concreto - BLD 01</v>
          </cell>
          <cell r="D1245" t="str">
            <v>und</v>
          </cell>
          <cell r="H1245" t="str">
            <v>DNIT 030/2004-ES</v>
          </cell>
        </row>
        <row r="1246">
          <cell r="A1246" t="str">
            <v>2 S 04 961 02</v>
          </cell>
          <cell r="B1246" t="str">
            <v>-</v>
          </cell>
          <cell r="C1246" t="str">
            <v>Boca de lobo dupla com grelha de concreto - BLD 02</v>
          </cell>
          <cell r="D1246" t="str">
            <v>und</v>
          </cell>
          <cell r="H1246" t="str">
            <v>DNIT 030/2004-ES</v>
          </cell>
        </row>
        <row r="1247">
          <cell r="A1247" t="str">
            <v>2 S 04 961 03</v>
          </cell>
          <cell r="B1247" t="str">
            <v>-</v>
          </cell>
          <cell r="C1247" t="str">
            <v>Boca de lobo dupla com grelha de concreto - BLD 03</v>
          </cell>
          <cell r="D1247" t="str">
            <v>und</v>
          </cell>
          <cell r="H1247" t="str">
            <v>DNIT 030/2004-ES</v>
          </cell>
        </row>
        <row r="1248">
          <cell r="A1248" t="str">
            <v>2 S 04 961 04</v>
          </cell>
          <cell r="B1248" t="str">
            <v>-</v>
          </cell>
          <cell r="C1248" t="str">
            <v>Boca de lobo dupla com grelha de concreto - BLD 04</v>
          </cell>
          <cell r="D1248" t="str">
            <v>und</v>
          </cell>
          <cell r="H1248" t="str">
            <v>DNIT 030/2004-ES</v>
          </cell>
        </row>
        <row r="1249">
          <cell r="A1249" t="str">
            <v>2 S 04 961 05</v>
          </cell>
          <cell r="B1249" t="str">
            <v>-</v>
          </cell>
          <cell r="C1249" t="str">
            <v>Boca de lobo dupla com grelha de concreto - BLD 05</v>
          </cell>
          <cell r="D1249" t="str">
            <v>und</v>
          </cell>
          <cell r="H1249" t="str">
            <v>DNIT 030/2004-ES</v>
          </cell>
        </row>
        <row r="1250">
          <cell r="A1250" t="str">
            <v>2 S 04 961 06</v>
          </cell>
          <cell r="B1250" t="str">
            <v>-</v>
          </cell>
          <cell r="C1250" t="str">
            <v>Boca de lobo dupla com grelha de concreto - BLD 06</v>
          </cell>
          <cell r="D1250" t="str">
            <v>und</v>
          </cell>
          <cell r="H1250" t="str">
            <v>DNIT 030/2004-ES</v>
          </cell>
        </row>
        <row r="1251">
          <cell r="A1251" t="str">
            <v>2 S 04 961 07</v>
          </cell>
          <cell r="B1251" t="str">
            <v>-</v>
          </cell>
          <cell r="C1251" t="str">
            <v>Boca de lobo dupla com grelha de concreto - BLD 07</v>
          </cell>
          <cell r="D1251" t="str">
            <v>und</v>
          </cell>
          <cell r="H1251" t="str">
            <v>DNIT 030/2004-ES</v>
          </cell>
        </row>
        <row r="1252">
          <cell r="A1252" t="str">
            <v>2 S 04 961 51</v>
          </cell>
          <cell r="B1252" t="str">
            <v>-</v>
          </cell>
          <cell r="C1252" t="str">
            <v>Boca de lobo dupla grelha concr. BLD 01 AC/BC</v>
          </cell>
          <cell r="D1252" t="str">
            <v>und</v>
          </cell>
          <cell r="H1252" t="str">
            <v>DNIT 030/2004-ES</v>
          </cell>
        </row>
        <row r="1253">
          <cell r="A1253" t="str">
            <v>2 S 04 961 52</v>
          </cell>
          <cell r="B1253" t="str">
            <v>-</v>
          </cell>
          <cell r="C1253" t="str">
            <v>Boca de lobo dupla grelha concr. BLD 02 AC/BC</v>
          </cell>
          <cell r="D1253" t="str">
            <v>und</v>
          </cell>
          <cell r="H1253" t="str">
            <v>DNIT 030/2004-ES</v>
          </cell>
        </row>
        <row r="1254">
          <cell r="A1254" t="str">
            <v>2 S 04 961 53</v>
          </cell>
          <cell r="B1254" t="str">
            <v>-</v>
          </cell>
          <cell r="C1254" t="str">
            <v>Boca de lobo dupla grelha concr. BLD 03 AC/BC</v>
          </cell>
          <cell r="D1254" t="str">
            <v>und</v>
          </cell>
          <cell r="H1254" t="str">
            <v>DNIT 030/2004-ES</v>
          </cell>
        </row>
        <row r="1255">
          <cell r="A1255" t="str">
            <v>2 S 04 961 54</v>
          </cell>
          <cell r="B1255" t="str">
            <v>-</v>
          </cell>
          <cell r="C1255" t="str">
            <v>Boca de lobo dupla grelha concr. BLD 04 AC/BC</v>
          </cell>
          <cell r="D1255" t="str">
            <v>und</v>
          </cell>
          <cell r="H1255" t="str">
            <v>DNIT 030/2004-ES</v>
          </cell>
        </row>
        <row r="1256">
          <cell r="A1256" t="str">
            <v>2 S 04 961 55</v>
          </cell>
          <cell r="B1256" t="str">
            <v>-</v>
          </cell>
          <cell r="C1256" t="str">
            <v>Boca de lobo dupla grelha concr. BLD 05 AC/BC</v>
          </cell>
          <cell r="D1256" t="str">
            <v>und</v>
          </cell>
          <cell r="H1256" t="str">
            <v>DNIT 030/2004-ES</v>
          </cell>
        </row>
        <row r="1257">
          <cell r="A1257" t="str">
            <v>2 S 04 961 56</v>
          </cell>
          <cell r="B1257" t="str">
            <v>-</v>
          </cell>
          <cell r="C1257" t="str">
            <v>Boca de lobo dupla grelha concr. BLD 06 AC/BC</v>
          </cell>
          <cell r="D1257" t="str">
            <v>und</v>
          </cell>
          <cell r="H1257" t="str">
            <v>DNIT 030/2004-ES</v>
          </cell>
        </row>
        <row r="1258">
          <cell r="A1258" t="str">
            <v>2 S 04 961 57</v>
          </cell>
          <cell r="B1258" t="str">
            <v>-</v>
          </cell>
          <cell r="C1258" t="str">
            <v>Boca de lobo dupla grelha concr. BLD 07 AC/BC</v>
          </cell>
          <cell r="D1258" t="str">
            <v>und</v>
          </cell>
          <cell r="H1258" t="str">
            <v>DNIT 030/2004-ES</v>
          </cell>
        </row>
        <row r="1259">
          <cell r="A1259" t="str">
            <v>2 S 04 962 01</v>
          </cell>
          <cell r="B1259" t="str">
            <v>-</v>
          </cell>
          <cell r="C1259" t="str">
            <v>Caixa de ligação e passagem - CLP 01</v>
          </cell>
          <cell r="D1259" t="str">
            <v>und</v>
          </cell>
          <cell r="H1259" t="str">
            <v>DNIT 030/2004-ES</v>
          </cell>
        </row>
        <row r="1260">
          <cell r="A1260" t="str">
            <v>2 S 04 962 02</v>
          </cell>
          <cell r="B1260" t="str">
            <v>-</v>
          </cell>
          <cell r="C1260" t="str">
            <v>Caixa de ligação e passagem - CLP 02</v>
          </cell>
          <cell r="D1260" t="str">
            <v>und</v>
          </cell>
          <cell r="H1260" t="str">
            <v>DNIT 030/2004-ES</v>
          </cell>
        </row>
        <row r="1261">
          <cell r="A1261" t="str">
            <v>2 S 04 962 03</v>
          </cell>
          <cell r="B1261" t="str">
            <v>-</v>
          </cell>
          <cell r="C1261" t="str">
            <v>Caixa de ligação e passagem - CLP 03</v>
          </cell>
          <cell r="D1261" t="str">
            <v>und</v>
          </cell>
          <cell r="H1261" t="str">
            <v>DNIT 030/2004-ES</v>
          </cell>
        </row>
        <row r="1262">
          <cell r="A1262" t="str">
            <v>2 S 04 962 04</v>
          </cell>
          <cell r="B1262" t="str">
            <v>-</v>
          </cell>
          <cell r="C1262" t="str">
            <v>Caixa de ligação e passagem - CLP 04</v>
          </cell>
          <cell r="D1262" t="str">
            <v>und</v>
          </cell>
          <cell r="H1262" t="str">
            <v>DNIT 030/2004-ES</v>
          </cell>
        </row>
        <row r="1263">
          <cell r="A1263" t="str">
            <v>2 S 04 962 05</v>
          </cell>
          <cell r="B1263" t="str">
            <v>-</v>
          </cell>
          <cell r="C1263" t="str">
            <v>Caixa de ligação e passagem - CLP 05</v>
          </cell>
          <cell r="D1263" t="str">
            <v>und</v>
          </cell>
          <cell r="H1263" t="str">
            <v>DNIT 030/2004-ES</v>
          </cell>
        </row>
        <row r="1264">
          <cell r="A1264" t="str">
            <v>2 S 04 962 06</v>
          </cell>
          <cell r="B1264" t="str">
            <v>-</v>
          </cell>
          <cell r="C1264" t="str">
            <v>Caixa de ligação e passagem - CLP 06</v>
          </cell>
          <cell r="D1264" t="str">
            <v>und</v>
          </cell>
          <cell r="H1264" t="str">
            <v>DNIT 030/2004-ES</v>
          </cell>
        </row>
        <row r="1265">
          <cell r="A1265" t="str">
            <v>2 S 04 962 07</v>
          </cell>
          <cell r="B1265" t="str">
            <v>-</v>
          </cell>
          <cell r="C1265" t="str">
            <v>Caixa de ligação e passagem - CLP 07</v>
          </cell>
          <cell r="D1265" t="str">
            <v>und</v>
          </cell>
          <cell r="H1265" t="str">
            <v>DNIT 030/2004-ES</v>
          </cell>
        </row>
        <row r="1266">
          <cell r="A1266" t="str">
            <v>2 S 04 962 08</v>
          </cell>
          <cell r="B1266" t="str">
            <v>-</v>
          </cell>
          <cell r="C1266" t="str">
            <v>Caixa de ligação e passagem - CLP 08</v>
          </cell>
          <cell r="D1266" t="str">
            <v>und</v>
          </cell>
          <cell r="H1266" t="str">
            <v>DNIT 030/2004-ES</v>
          </cell>
        </row>
        <row r="1267">
          <cell r="A1267" t="str">
            <v>2 S 04 962 09</v>
          </cell>
          <cell r="B1267" t="str">
            <v>-</v>
          </cell>
          <cell r="C1267" t="str">
            <v>Caixa de ligação e passagem - CLP 09</v>
          </cell>
          <cell r="D1267" t="str">
            <v>und</v>
          </cell>
          <cell r="H1267" t="str">
            <v>DNIT 030/2004-ES</v>
          </cell>
        </row>
        <row r="1268">
          <cell r="A1268" t="str">
            <v>2 S 04 962 10</v>
          </cell>
          <cell r="B1268" t="str">
            <v>-</v>
          </cell>
          <cell r="C1268" t="str">
            <v>Caixa de ligação e passagem - CLP 10</v>
          </cell>
          <cell r="D1268" t="str">
            <v>und</v>
          </cell>
          <cell r="H1268" t="str">
            <v>DNIT 030/2004-ES</v>
          </cell>
        </row>
        <row r="1269">
          <cell r="A1269" t="str">
            <v>2 S 04 962 11</v>
          </cell>
          <cell r="B1269" t="str">
            <v>-</v>
          </cell>
          <cell r="C1269" t="str">
            <v>Caixa de ligação e passagem - CLP 11</v>
          </cell>
          <cell r="D1269" t="str">
            <v>und</v>
          </cell>
          <cell r="H1269" t="str">
            <v>DNIT 030/2004-ES</v>
          </cell>
        </row>
        <row r="1270">
          <cell r="A1270" t="str">
            <v>2 S 04 962 12</v>
          </cell>
          <cell r="B1270" t="str">
            <v>-</v>
          </cell>
          <cell r="C1270" t="str">
            <v>Caixa de ligação e passagem - CLP 12</v>
          </cell>
          <cell r="D1270" t="str">
            <v>und</v>
          </cell>
          <cell r="H1270" t="str">
            <v>DNIT 030/2004-ES</v>
          </cell>
        </row>
        <row r="1271">
          <cell r="A1271" t="str">
            <v>2 S 04 962 13</v>
          </cell>
          <cell r="B1271" t="str">
            <v>-</v>
          </cell>
          <cell r="C1271" t="str">
            <v>Caixa de ligação e passagem - CLP 13</v>
          </cell>
          <cell r="D1271" t="str">
            <v>und</v>
          </cell>
          <cell r="H1271" t="str">
            <v>DNIT 030/2004-ES</v>
          </cell>
        </row>
        <row r="1272">
          <cell r="A1272" t="str">
            <v>2 S 04 962 14</v>
          </cell>
          <cell r="B1272" t="str">
            <v>-</v>
          </cell>
          <cell r="C1272" t="str">
            <v>Caixa de ligação e passagem - CLP 14</v>
          </cell>
          <cell r="D1272" t="str">
            <v>und</v>
          </cell>
          <cell r="H1272" t="str">
            <v>DNIT 030/2004-ES</v>
          </cell>
        </row>
        <row r="1273">
          <cell r="A1273" t="str">
            <v>2 S 04 962 15</v>
          </cell>
          <cell r="B1273" t="str">
            <v>-</v>
          </cell>
          <cell r="C1273" t="str">
            <v>Caixa de ligação e passagem - CLP 15</v>
          </cell>
          <cell r="D1273" t="str">
            <v>und</v>
          </cell>
          <cell r="H1273" t="str">
            <v>DNIT 030/2004-ES</v>
          </cell>
        </row>
        <row r="1274">
          <cell r="A1274" t="str">
            <v>2 S 04 962 16</v>
          </cell>
          <cell r="B1274" t="str">
            <v>-</v>
          </cell>
          <cell r="C1274" t="str">
            <v>Caixa de ligação e passagem - CLP 16</v>
          </cell>
          <cell r="D1274" t="str">
            <v>und</v>
          </cell>
          <cell r="H1274" t="str">
            <v>DNIT 030/2004-ES</v>
          </cell>
        </row>
        <row r="1275">
          <cell r="A1275" t="str">
            <v>2 S 04 962 17</v>
          </cell>
          <cell r="B1275" t="str">
            <v>-</v>
          </cell>
          <cell r="C1275" t="str">
            <v>Caixa de ligação e passagem - CLP 17</v>
          </cell>
          <cell r="D1275" t="str">
            <v>und</v>
          </cell>
          <cell r="H1275" t="str">
            <v>DNIT 030/2004-ES</v>
          </cell>
        </row>
        <row r="1276">
          <cell r="A1276" t="str">
            <v>2 S 04 962 18</v>
          </cell>
          <cell r="B1276" t="str">
            <v>-</v>
          </cell>
          <cell r="C1276" t="str">
            <v>Caixa de ligação e passagem - CLP 18</v>
          </cell>
          <cell r="D1276" t="str">
            <v>und</v>
          </cell>
          <cell r="H1276" t="str">
            <v>DNIT 030/2004-ES</v>
          </cell>
        </row>
        <row r="1277">
          <cell r="A1277" t="str">
            <v>2 S 04 962 51</v>
          </cell>
          <cell r="B1277" t="str">
            <v>-</v>
          </cell>
          <cell r="C1277" t="str">
            <v>Caixa de ligação e passagem - CLP 01 AC/BC</v>
          </cell>
          <cell r="D1277" t="str">
            <v>und</v>
          </cell>
          <cell r="H1277" t="str">
            <v>DNIT 030/2004-ES</v>
          </cell>
        </row>
        <row r="1278">
          <cell r="A1278" t="str">
            <v>2 S 04 962 52</v>
          </cell>
          <cell r="B1278" t="str">
            <v>-</v>
          </cell>
          <cell r="C1278" t="str">
            <v>Caixa de ligação e passagem - CLP 02 AC/BC</v>
          </cell>
          <cell r="D1278" t="str">
            <v>und</v>
          </cell>
          <cell r="H1278" t="str">
            <v>DNIT 030/2004-ES</v>
          </cell>
        </row>
        <row r="1279">
          <cell r="A1279" t="str">
            <v>2 S 04 962 53</v>
          </cell>
          <cell r="B1279" t="str">
            <v>-</v>
          </cell>
          <cell r="C1279" t="str">
            <v>Caixa de ligação e passagem - CLP 03 AC/BC</v>
          </cell>
          <cell r="D1279" t="str">
            <v>und</v>
          </cell>
          <cell r="H1279" t="str">
            <v>DNIT 030/2004-ES</v>
          </cell>
        </row>
        <row r="1280">
          <cell r="A1280" t="str">
            <v>2 S 04 962 54</v>
          </cell>
          <cell r="B1280" t="str">
            <v>-</v>
          </cell>
          <cell r="C1280" t="str">
            <v>Caixa de ligação e passagem - CLP 04 AC/BC</v>
          </cell>
          <cell r="D1280" t="str">
            <v>und</v>
          </cell>
          <cell r="H1280" t="str">
            <v>DNIT 030/2004-ES</v>
          </cell>
        </row>
        <row r="1281">
          <cell r="A1281" t="str">
            <v>2 S 04 962 55</v>
          </cell>
          <cell r="B1281" t="str">
            <v>-</v>
          </cell>
          <cell r="C1281" t="str">
            <v>Caixa de ligação e passagem - CLP 05 AC/BC</v>
          </cell>
          <cell r="D1281" t="str">
            <v>und</v>
          </cell>
          <cell r="H1281" t="str">
            <v>DNIT 030/2004-ES</v>
          </cell>
        </row>
        <row r="1282">
          <cell r="A1282" t="str">
            <v>2 S 04 962 56</v>
          </cell>
          <cell r="B1282" t="str">
            <v>-</v>
          </cell>
          <cell r="C1282" t="str">
            <v>Caixa de ligação e passagem - CLP 06 AC/BC</v>
          </cell>
          <cell r="D1282" t="str">
            <v>und</v>
          </cell>
          <cell r="H1282" t="str">
            <v>DNIT 030/2004-ES</v>
          </cell>
        </row>
        <row r="1283">
          <cell r="A1283" t="str">
            <v>2 S 04 962 57</v>
          </cell>
          <cell r="B1283" t="str">
            <v>-</v>
          </cell>
          <cell r="C1283" t="str">
            <v>Caixa de ligação e passagem - CLP 07 AC/BC</v>
          </cell>
          <cell r="D1283" t="str">
            <v>und</v>
          </cell>
          <cell r="H1283" t="str">
            <v>DNIT 030/2004-ES</v>
          </cell>
        </row>
        <row r="1284">
          <cell r="A1284" t="str">
            <v>2 S 04 962 58</v>
          </cell>
          <cell r="B1284" t="str">
            <v>-</v>
          </cell>
          <cell r="C1284" t="str">
            <v>Caixa de ligação e passagem - CLP 08 AC/BC</v>
          </cell>
          <cell r="D1284" t="str">
            <v>und</v>
          </cell>
          <cell r="H1284" t="str">
            <v>DNIT 030/2004-ES</v>
          </cell>
        </row>
        <row r="1285">
          <cell r="A1285" t="str">
            <v>2 S 04 962 59</v>
          </cell>
          <cell r="B1285" t="str">
            <v>-</v>
          </cell>
          <cell r="C1285" t="str">
            <v>Caixa de ligação e passagem - CLP 09 AC/BC</v>
          </cell>
          <cell r="D1285" t="str">
            <v>und</v>
          </cell>
          <cell r="H1285" t="str">
            <v>DNIT 030/2004-ES</v>
          </cell>
        </row>
        <row r="1286">
          <cell r="A1286" t="str">
            <v>2 S 04 962 60</v>
          </cell>
          <cell r="B1286" t="str">
            <v>-</v>
          </cell>
          <cell r="C1286" t="str">
            <v>Caixa de ligação e passagem - CLP 10 AC/BC</v>
          </cell>
          <cell r="D1286" t="str">
            <v>und</v>
          </cell>
          <cell r="H1286" t="str">
            <v>DNIT 030/2004-ES</v>
          </cell>
        </row>
        <row r="1287">
          <cell r="A1287" t="str">
            <v>2 S 04 962 61</v>
          </cell>
          <cell r="B1287" t="str">
            <v>-</v>
          </cell>
          <cell r="C1287" t="str">
            <v>Caixa de ligação e passagem - CLP 11 AC/BC</v>
          </cell>
          <cell r="D1287" t="str">
            <v>und</v>
          </cell>
          <cell r="H1287" t="str">
            <v>DNIT 030/2004-ES</v>
          </cell>
        </row>
        <row r="1288">
          <cell r="A1288" t="str">
            <v>2 S 04 962 62</v>
          </cell>
          <cell r="B1288" t="str">
            <v>-</v>
          </cell>
          <cell r="C1288" t="str">
            <v>Caixa de ligação e passagem - CLP 12 AC/BC</v>
          </cell>
          <cell r="D1288" t="str">
            <v>und</v>
          </cell>
          <cell r="H1288" t="str">
            <v>DNIT 030/2004-ES</v>
          </cell>
        </row>
        <row r="1289">
          <cell r="A1289" t="str">
            <v>2 S 04 962 63</v>
          </cell>
          <cell r="B1289" t="str">
            <v>-</v>
          </cell>
          <cell r="C1289" t="str">
            <v>Caixa de ligação e passagem - CLP 13 AC/BC</v>
          </cell>
          <cell r="D1289" t="str">
            <v>und</v>
          </cell>
          <cell r="H1289" t="str">
            <v>DNIT 030/2004-ES</v>
          </cell>
        </row>
        <row r="1290">
          <cell r="A1290" t="str">
            <v>2 S 04 962 64</v>
          </cell>
          <cell r="B1290" t="str">
            <v>-</v>
          </cell>
          <cell r="C1290" t="str">
            <v>Caixa de ligação e passagem - CLP 14 AC/BC</v>
          </cell>
          <cell r="D1290" t="str">
            <v>und</v>
          </cell>
          <cell r="H1290" t="str">
            <v>DNIT 030/2004-ES</v>
          </cell>
        </row>
        <row r="1291">
          <cell r="A1291" t="str">
            <v>2 S 04 962 65</v>
          </cell>
          <cell r="B1291" t="str">
            <v>-</v>
          </cell>
          <cell r="C1291" t="str">
            <v>Caixa de ligação e passagem - CLP 15 AC/BC</v>
          </cell>
          <cell r="D1291" t="str">
            <v>und</v>
          </cell>
          <cell r="H1291" t="str">
            <v>DNIT 030/2004-ES</v>
          </cell>
        </row>
        <row r="1292">
          <cell r="A1292" t="str">
            <v>2 S 04 962 66</v>
          </cell>
          <cell r="B1292" t="str">
            <v>-</v>
          </cell>
          <cell r="C1292" t="str">
            <v>Caixa de ligação e passagem - CLP 16 AC/BC</v>
          </cell>
          <cell r="D1292" t="str">
            <v>und</v>
          </cell>
          <cell r="H1292" t="str">
            <v>DNIT 030/2004-ES</v>
          </cell>
        </row>
        <row r="1293">
          <cell r="A1293" t="str">
            <v>2 S 04 962 67</v>
          </cell>
          <cell r="B1293" t="str">
            <v>-</v>
          </cell>
          <cell r="C1293" t="str">
            <v>Caixa de ligação e passagem - CLP 17 AC/BC</v>
          </cell>
          <cell r="D1293" t="str">
            <v>und</v>
          </cell>
          <cell r="H1293" t="str">
            <v>DNIT 030/2004-ES</v>
          </cell>
        </row>
        <row r="1294">
          <cell r="A1294" t="str">
            <v>2 S 04 962 68</v>
          </cell>
          <cell r="B1294" t="str">
            <v>-</v>
          </cell>
          <cell r="C1294" t="str">
            <v>Caixa de ligação e passagem - CLP 18 AC/BC</v>
          </cell>
          <cell r="D1294" t="str">
            <v>und</v>
          </cell>
          <cell r="H1294" t="str">
            <v>DNIT 030/2004-ES</v>
          </cell>
        </row>
        <row r="1295">
          <cell r="A1295" t="str">
            <v>2 S 04 963 01</v>
          </cell>
          <cell r="B1295" t="str">
            <v>-</v>
          </cell>
          <cell r="C1295" t="str">
            <v>Poço de visita - PVI 01</v>
          </cell>
          <cell r="D1295" t="str">
            <v>und</v>
          </cell>
          <cell r="H1295" t="str">
            <v>DNIT 030/2004-ES</v>
          </cell>
        </row>
        <row r="1296">
          <cell r="A1296" t="str">
            <v>2 S 04 963 02</v>
          </cell>
          <cell r="B1296" t="str">
            <v>-</v>
          </cell>
          <cell r="C1296" t="str">
            <v>Poço de visita - PVI 02</v>
          </cell>
          <cell r="D1296" t="str">
            <v>und</v>
          </cell>
          <cell r="H1296" t="str">
            <v>DNIT 030/2004-ES</v>
          </cell>
        </row>
        <row r="1297">
          <cell r="A1297" t="str">
            <v>2 S 04 963 03</v>
          </cell>
          <cell r="B1297" t="str">
            <v>-</v>
          </cell>
          <cell r="C1297" t="str">
            <v>Poço de visita - PVI 03</v>
          </cell>
          <cell r="D1297" t="str">
            <v>und</v>
          </cell>
          <cell r="H1297" t="str">
            <v>DNIT 030/2004-ES</v>
          </cell>
        </row>
        <row r="1298">
          <cell r="A1298" t="str">
            <v>2 S 04 963 04</v>
          </cell>
          <cell r="B1298" t="str">
            <v>-</v>
          </cell>
          <cell r="C1298" t="str">
            <v>Poço de visita - PVI 04</v>
          </cell>
          <cell r="D1298" t="str">
            <v>und</v>
          </cell>
          <cell r="H1298" t="str">
            <v>DNIT 030/2004-ES</v>
          </cell>
        </row>
        <row r="1299">
          <cell r="A1299" t="str">
            <v>2 S 04 963 05</v>
          </cell>
          <cell r="B1299" t="str">
            <v>-</v>
          </cell>
          <cell r="C1299" t="str">
            <v>Poço de visita - PVI 05</v>
          </cell>
          <cell r="D1299" t="str">
            <v>und</v>
          </cell>
          <cell r="H1299" t="str">
            <v>DNIT 030/2004-ES</v>
          </cell>
        </row>
        <row r="1300">
          <cell r="A1300" t="str">
            <v>2 S 04 963 06</v>
          </cell>
          <cell r="B1300" t="str">
            <v>-</v>
          </cell>
          <cell r="C1300" t="str">
            <v>Poço de visita - PVI 06</v>
          </cell>
          <cell r="D1300" t="str">
            <v>und</v>
          </cell>
          <cell r="H1300" t="str">
            <v>DNIT 030/2004-ES</v>
          </cell>
        </row>
        <row r="1301">
          <cell r="A1301" t="str">
            <v>2 S 04 963 07</v>
          </cell>
          <cell r="B1301" t="str">
            <v>-</v>
          </cell>
          <cell r="C1301" t="str">
            <v>Poço de visita - PVI 07</v>
          </cell>
          <cell r="D1301" t="str">
            <v>und</v>
          </cell>
          <cell r="H1301" t="str">
            <v>DNIT 030/2004-ES</v>
          </cell>
        </row>
        <row r="1302">
          <cell r="A1302" t="str">
            <v>2 S 04 963 08</v>
          </cell>
          <cell r="B1302" t="str">
            <v>-</v>
          </cell>
          <cell r="C1302" t="str">
            <v>Poço de visita - PVI 08</v>
          </cell>
          <cell r="D1302" t="str">
            <v>und</v>
          </cell>
          <cell r="H1302" t="str">
            <v>DNIT 030/2004-ES</v>
          </cell>
        </row>
        <row r="1303">
          <cell r="A1303" t="str">
            <v>2 S 04 963 09</v>
          </cell>
          <cell r="B1303" t="str">
            <v>-</v>
          </cell>
          <cell r="C1303" t="str">
            <v>Poço de visita - PVI 09</v>
          </cell>
          <cell r="D1303" t="str">
            <v>und</v>
          </cell>
          <cell r="H1303" t="str">
            <v>DNIT 030/2004-ES</v>
          </cell>
        </row>
        <row r="1304">
          <cell r="A1304" t="str">
            <v>2 S 04 963 10</v>
          </cell>
          <cell r="B1304" t="str">
            <v>-</v>
          </cell>
          <cell r="C1304" t="str">
            <v>Poço de visita - PVI 10</v>
          </cell>
          <cell r="D1304" t="str">
            <v>und</v>
          </cell>
          <cell r="H1304" t="str">
            <v>DNIT 030/2004-ES</v>
          </cell>
        </row>
        <row r="1305">
          <cell r="A1305" t="str">
            <v>2 S 04 963 11</v>
          </cell>
          <cell r="B1305" t="str">
            <v>-</v>
          </cell>
          <cell r="C1305" t="str">
            <v>Poço de visita - PVI 11</v>
          </cell>
          <cell r="D1305" t="str">
            <v>und</v>
          </cell>
          <cell r="H1305" t="str">
            <v>DNIT 030/2004-ES</v>
          </cell>
        </row>
        <row r="1306">
          <cell r="A1306" t="str">
            <v>2 S 04 963 12</v>
          </cell>
          <cell r="B1306" t="str">
            <v>-</v>
          </cell>
          <cell r="C1306" t="str">
            <v>Poço de visita - PVI 12</v>
          </cell>
          <cell r="D1306" t="str">
            <v>und</v>
          </cell>
          <cell r="H1306" t="str">
            <v>DNIT 030/2004-ES</v>
          </cell>
        </row>
        <row r="1307">
          <cell r="A1307" t="str">
            <v>2 S 04 963 13</v>
          </cell>
          <cell r="B1307" t="str">
            <v>-</v>
          </cell>
          <cell r="C1307" t="str">
            <v>Poço de visita - PVI 13</v>
          </cell>
          <cell r="D1307" t="str">
            <v>und</v>
          </cell>
          <cell r="H1307" t="str">
            <v>DNIT 030/2004-ES</v>
          </cell>
        </row>
        <row r="1308">
          <cell r="A1308" t="str">
            <v>2 S 04 963 14</v>
          </cell>
          <cell r="B1308" t="str">
            <v>-</v>
          </cell>
          <cell r="C1308" t="str">
            <v>Poço de visita - PVI 14</v>
          </cell>
          <cell r="D1308" t="str">
            <v>und</v>
          </cell>
          <cell r="H1308" t="str">
            <v>DNIT 030/2004-ES</v>
          </cell>
        </row>
        <row r="1309">
          <cell r="A1309" t="str">
            <v>2 S 04 963 15</v>
          </cell>
          <cell r="B1309" t="str">
            <v>-</v>
          </cell>
          <cell r="C1309" t="str">
            <v>Poço de visita - PVI 15</v>
          </cell>
          <cell r="D1309" t="str">
            <v>und</v>
          </cell>
          <cell r="H1309" t="str">
            <v>DNIT 030/2004-ES</v>
          </cell>
        </row>
        <row r="1310">
          <cell r="A1310" t="str">
            <v>2 S 04 963 16</v>
          </cell>
          <cell r="B1310" t="str">
            <v>-</v>
          </cell>
          <cell r="C1310" t="str">
            <v>Poço de visita - PVI 16</v>
          </cell>
          <cell r="D1310" t="str">
            <v>und</v>
          </cell>
          <cell r="H1310" t="str">
            <v>DNIT 030/2004-ES</v>
          </cell>
        </row>
        <row r="1311">
          <cell r="A1311" t="str">
            <v>2 S 04 963 17</v>
          </cell>
          <cell r="B1311" t="str">
            <v>-</v>
          </cell>
          <cell r="C1311" t="str">
            <v>Poço de visita - PVI 17</v>
          </cell>
          <cell r="D1311" t="str">
            <v>und</v>
          </cell>
          <cell r="H1311" t="str">
            <v>DNIT 030/2004-ES</v>
          </cell>
        </row>
        <row r="1312">
          <cell r="A1312" t="str">
            <v>2 S 04 963 18</v>
          </cell>
          <cell r="B1312" t="str">
            <v>-</v>
          </cell>
          <cell r="C1312" t="str">
            <v>Poço de visita - PVI 18</v>
          </cell>
          <cell r="D1312" t="str">
            <v>und</v>
          </cell>
          <cell r="H1312" t="str">
            <v>DNIT 030/2004-ES</v>
          </cell>
        </row>
        <row r="1313">
          <cell r="A1313" t="str">
            <v>2 S 04 963 31</v>
          </cell>
          <cell r="B1313" t="str">
            <v>-</v>
          </cell>
          <cell r="C1313" t="str">
            <v>Chaminé dos poços de visita - CPV 01</v>
          </cell>
          <cell r="D1313" t="str">
            <v>und</v>
          </cell>
          <cell r="H1313" t="str">
            <v>DNIT 030/2004-ES</v>
          </cell>
        </row>
        <row r="1314">
          <cell r="A1314" t="str">
            <v>2 S 04 963 32</v>
          </cell>
          <cell r="B1314" t="str">
            <v>-</v>
          </cell>
          <cell r="C1314" t="str">
            <v>Chaminé dos poços de visita - CPV 02</v>
          </cell>
          <cell r="D1314" t="str">
            <v>und</v>
          </cell>
          <cell r="H1314" t="str">
            <v>DNIT 030/2004-ES</v>
          </cell>
        </row>
        <row r="1315">
          <cell r="A1315" t="str">
            <v>2 S 04 963 33</v>
          </cell>
          <cell r="B1315" t="str">
            <v>-</v>
          </cell>
          <cell r="C1315" t="str">
            <v>Chaminé dos poços de visita - CPV 03</v>
          </cell>
          <cell r="D1315" t="str">
            <v>und</v>
          </cell>
          <cell r="H1315" t="str">
            <v>DNIT 030/2004-ES</v>
          </cell>
        </row>
        <row r="1316">
          <cell r="A1316" t="str">
            <v>2 S 04 963 34</v>
          </cell>
          <cell r="B1316" t="str">
            <v>-</v>
          </cell>
          <cell r="C1316" t="str">
            <v>Chaminé dos poços de visita - CPV 04</v>
          </cell>
          <cell r="D1316" t="str">
            <v>und</v>
          </cell>
          <cell r="H1316" t="str">
            <v>DNIT 030/2004-ES</v>
          </cell>
        </row>
        <row r="1317">
          <cell r="A1317" t="str">
            <v>2 S 04 963 35</v>
          </cell>
          <cell r="B1317" t="str">
            <v>-</v>
          </cell>
          <cell r="C1317" t="str">
            <v>Chaminé dos poços de visita - CPV 05</v>
          </cell>
          <cell r="D1317" t="str">
            <v>und</v>
          </cell>
          <cell r="H1317" t="str">
            <v>DNIT 030/2004-ES</v>
          </cell>
        </row>
        <row r="1318">
          <cell r="A1318" t="str">
            <v>2 S 04 963 36</v>
          </cell>
          <cell r="B1318" t="str">
            <v>-</v>
          </cell>
          <cell r="C1318" t="str">
            <v>Chaminé dos poços de visita - CPV 06</v>
          </cell>
          <cell r="D1318" t="str">
            <v>und</v>
          </cell>
          <cell r="H1318" t="str">
            <v>DNIT 030/2004-ES</v>
          </cell>
        </row>
        <row r="1319">
          <cell r="A1319" t="str">
            <v>2 S 04 963 37</v>
          </cell>
          <cell r="B1319" t="str">
            <v>-</v>
          </cell>
          <cell r="C1319" t="str">
            <v>Chaminé dos poços de visita - CPV 07</v>
          </cell>
          <cell r="D1319" t="str">
            <v>und</v>
          </cell>
          <cell r="H1319" t="str">
            <v>DNIT 030/2004-ES</v>
          </cell>
        </row>
        <row r="1320">
          <cell r="A1320" t="str">
            <v>2 S 04 963 51</v>
          </cell>
          <cell r="B1320" t="str">
            <v>-</v>
          </cell>
          <cell r="C1320" t="str">
            <v>Poço de visita - PVI 01 AC/BC</v>
          </cell>
          <cell r="D1320" t="str">
            <v>und</v>
          </cell>
          <cell r="H1320" t="str">
            <v>DNIT 030/2004-ES</v>
          </cell>
        </row>
        <row r="1321">
          <cell r="A1321" t="str">
            <v>2 S 04 963 52</v>
          </cell>
          <cell r="B1321" t="str">
            <v>-</v>
          </cell>
          <cell r="C1321" t="str">
            <v>Poço de visita - PVI 02 AC/BC</v>
          </cell>
          <cell r="D1321" t="str">
            <v>und</v>
          </cell>
          <cell r="H1321" t="str">
            <v>DNIT 030/2004-ES</v>
          </cell>
        </row>
        <row r="1322">
          <cell r="A1322" t="str">
            <v>2 S 04 963 53</v>
          </cell>
          <cell r="B1322" t="str">
            <v>-</v>
          </cell>
          <cell r="C1322" t="str">
            <v>Poço de visita - PVI 03 AC/BC</v>
          </cell>
          <cell r="D1322" t="str">
            <v>und</v>
          </cell>
          <cell r="H1322" t="str">
            <v>DNIT 030/2004-ES</v>
          </cell>
        </row>
        <row r="1323">
          <cell r="A1323" t="str">
            <v>2 S 04 963 54</v>
          </cell>
          <cell r="B1323" t="str">
            <v>-</v>
          </cell>
          <cell r="C1323" t="str">
            <v>Poço de visita - PVI 04 AC/BC</v>
          </cell>
          <cell r="D1323" t="str">
            <v>und</v>
          </cell>
          <cell r="H1323" t="str">
            <v>DNIT 030/2004-ES</v>
          </cell>
        </row>
        <row r="1324">
          <cell r="A1324" t="str">
            <v>2 S 04 963 55</v>
          </cell>
          <cell r="B1324" t="str">
            <v>-</v>
          </cell>
          <cell r="C1324" t="str">
            <v>Poço de visita - PVI 05 AC/BC</v>
          </cell>
          <cell r="D1324" t="str">
            <v>und</v>
          </cell>
          <cell r="H1324" t="str">
            <v>DNIT 030/2004-ES</v>
          </cell>
        </row>
        <row r="1325">
          <cell r="A1325" t="str">
            <v>2 S 04 963 56</v>
          </cell>
          <cell r="B1325" t="str">
            <v>-</v>
          </cell>
          <cell r="C1325" t="str">
            <v>Poço de visita - PVI 06 AC/BC</v>
          </cell>
          <cell r="D1325" t="str">
            <v>und</v>
          </cell>
          <cell r="H1325" t="str">
            <v>DNIT 030/2004-ES</v>
          </cell>
        </row>
        <row r="1326">
          <cell r="A1326" t="str">
            <v>2 S 04 963 57</v>
          </cell>
          <cell r="B1326" t="str">
            <v>-</v>
          </cell>
          <cell r="C1326" t="str">
            <v>Poço de visita - PVI 07 AC/BC</v>
          </cell>
          <cell r="D1326" t="str">
            <v>und</v>
          </cell>
          <cell r="H1326" t="str">
            <v>DNIT 030/2004-ES</v>
          </cell>
        </row>
        <row r="1327">
          <cell r="A1327" t="str">
            <v>2 S 04 963 58</v>
          </cell>
          <cell r="B1327" t="str">
            <v>-</v>
          </cell>
          <cell r="C1327" t="str">
            <v>Poço de visita - PVI 08 AC/BC</v>
          </cell>
          <cell r="D1327" t="str">
            <v>und</v>
          </cell>
          <cell r="H1327" t="str">
            <v>DNIT 030/2004-ES</v>
          </cell>
        </row>
        <row r="1328">
          <cell r="A1328" t="str">
            <v>2 S 04 963 59</v>
          </cell>
          <cell r="B1328" t="str">
            <v>-</v>
          </cell>
          <cell r="C1328" t="str">
            <v>Poço de visita - PVI 09 AC/BC</v>
          </cell>
          <cell r="D1328" t="str">
            <v>und</v>
          </cell>
          <cell r="H1328" t="str">
            <v>DNIT 030/2004-ES</v>
          </cell>
        </row>
        <row r="1329">
          <cell r="A1329" t="str">
            <v>2 S 04 963 60</v>
          </cell>
          <cell r="B1329" t="str">
            <v>-</v>
          </cell>
          <cell r="C1329" t="str">
            <v>Poço de visita - PVI 10 AC/BC</v>
          </cell>
          <cell r="D1329" t="str">
            <v>und</v>
          </cell>
          <cell r="H1329" t="str">
            <v>DNIT 030/2004-ES</v>
          </cell>
        </row>
        <row r="1330">
          <cell r="A1330" t="str">
            <v>2 S 04 963 61</v>
          </cell>
          <cell r="B1330" t="str">
            <v>-</v>
          </cell>
          <cell r="C1330" t="str">
            <v>Poço de visita - PVI 11 AC/BC</v>
          </cell>
          <cell r="D1330" t="str">
            <v>und</v>
          </cell>
          <cell r="H1330" t="str">
            <v>DNIT 030/2004-ES</v>
          </cell>
        </row>
        <row r="1331">
          <cell r="A1331" t="str">
            <v>2 S 04 963 62</v>
          </cell>
          <cell r="B1331" t="str">
            <v>-</v>
          </cell>
          <cell r="C1331" t="str">
            <v>Poço de visita - PVI 12 AC/BC</v>
          </cell>
          <cell r="D1331" t="str">
            <v>und</v>
          </cell>
          <cell r="H1331" t="str">
            <v>DNIT 030/2004-ES</v>
          </cell>
        </row>
        <row r="1332">
          <cell r="A1332" t="str">
            <v>2 S 04 963 63</v>
          </cell>
          <cell r="B1332" t="str">
            <v>-</v>
          </cell>
          <cell r="C1332" t="str">
            <v>Poço de visita - PVI 13 AC/BC</v>
          </cell>
          <cell r="D1332" t="str">
            <v>und</v>
          </cell>
          <cell r="H1332" t="str">
            <v>DNIT 030/2004-ES</v>
          </cell>
        </row>
        <row r="1333">
          <cell r="A1333" t="str">
            <v>2 S 04 963 64</v>
          </cell>
          <cell r="B1333" t="str">
            <v>-</v>
          </cell>
          <cell r="C1333" t="str">
            <v>Poço de visita - PVI 14 AC/BC</v>
          </cell>
          <cell r="D1333" t="str">
            <v>und</v>
          </cell>
          <cell r="H1333" t="str">
            <v>DNIT 030/2004-ES</v>
          </cell>
        </row>
        <row r="1334">
          <cell r="A1334" t="str">
            <v>2 S 04 963 65</v>
          </cell>
          <cell r="B1334" t="str">
            <v>-</v>
          </cell>
          <cell r="C1334" t="str">
            <v>Poço de visita - PVI 15 AC/BC</v>
          </cell>
          <cell r="D1334" t="str">
            <v>und</v>
          </cell>
          <cell r="H1334" t="str">
            <v>DNIT 030/2004-ES</v>
          </cell>
        </row>
        <row r="1335">
          <cell r="A1335" t="str">
            <v>2 S 04 963 66</v>
          </cell>
          <cell r="B1335" t="str">
            <v>-</v>
          </cell>
          <cell r="C1335" t="str">
            <v>Poço de visita - PVI 16 AC/BC</v>
          </cell>
          <cell r="D1335" t="str">
            <v>und</v>
          </cell>
          <cell r="H1335" t="str">
            <v>DNIT 030/2004-ES</v>
          </cell>
        </row>
        <row r="1336">
          <cell r="A1336" t="str">
            <v>2 S 04 963 67</v>
          </cell>
          <cell r="B1336" t="str">
            <v>-</v>
          </cell>
          <cell r="C1336" t="str">
            <v>Poço de visita - PVI 17 AC/BC</v>
          </cell>
          <cell r="D1336" t="str">
            <v>und</v>
          </cell>
          <cell r="H1336" t="str">
            <v>DNIT 030/2004-ES</v>
          </cell>
        </row>
        <row r="1337">
          <cell r="A1337" t="str">
            <v>2 S 04 963 68</v>
          </cell>
          <cell r="B1337" t="str">
            <v>-</v>
          </cell>
          <cell r="C1337" t="str">
            <v>Poço de visita - PVI 18 AC/BC</v>
          </cell>
          <cell r="D1337" t="str">
            <v>und</v>
          </cell>
          <cell r="H1337" t="str">
            <v>DNIT 030/2004-ES</v>
          </cell>
        </row>
        <row r="1338">
          <cell r="A1338" t="str">
            <v>2 S 04 963 81</v>
          </cell>
          <cell r="B1338" t="str">
            <v>-</v>
          </cell>
          <cell r="C1338" t="str">
            <v>Chaminé dos poços de visita - CPV 01 AC/BC</v>
          </cell>
          <cell r="D1338" t="str">
            <v>und</v>
          </cell>
          <cell r="H1338" t="str">
            <v>DNIT 030/2004-ES</v>
          </cell>
        </row>
        <row r="1339">
          <cell r="A1339" t="str">
            <v>2 S 04 963 82</v>
          </cell>
          <cell r="B1339" t="str">
            <v>-</v>
          </cell>
          <cell r="C1339" t="str">
            <v>Chaminé dos poços de visita - CPV 02 AC/BC</v>
          </cell>
          <cell r="D1339" t="str">
            <v>und</v>
          </cell>
          <cell r="H1339" t="str">
            <v>DNIT 030/2004-ES</v>
          </cell>
        </row>
        <row r="1340">
          <cell r="A1340" t="str">
            <v>2 S 04 963 83</v>
          </cell>
          <cell r="B1340" t="str">
            <v>-</v>
          </cell>
          <cell r="C1340" t="str">
            <v>Chaminé dos poços de visita - CPV 03 AC/BC</v>
          </cell>
          <cell r="D1340" t="str">
            <v>und</v>
          </cell>
          <cell r="H1340" t="str">
            <v>DNIT 030/2004-ES</v>
          </cell>
        </row>
        <row r="1341">
          <cell r="A1341" t="str">
            <v>2 S 04 963 84</v>
          </cell>
          <cell r="B1341" t="str">
            <v>-</v>
          </cell>
          <cell r="C1341" t="str">
            <v>Chaminé dos poços de visita - CPV 04 AC/BC</v>
          </cell>
          <cell r="D1341" t="str">
            <v>und</v>
          </cell>
          <cell r="H1341" t="str">
            <v>DNIT 030/2004-ES</v>
          </cell>
        </row>
        <row r="1342">
          <cell r="A1342" t="str">
            <v>2 S 04 963 85</v>
          </cell>
          <cell r="B1342" t="str">
            <v>-</v>
          </cell>
          <cell r="C1342" t="str">
            <v>Chaminé dos poços de visita - CPV 05 AC/BC</v>
          </cell>
          <cell r="D1342" t="str">
            <v>und</v>
          </cell>
          <cell r="H1342" t="str">
            <v>DNIT 030/2004-ES</v>
          </cell>
        </row>
        <row r="1343">
          <cell r="A1343" t="str">
            <v>2 S 04 963 86</v>
          </cell>
          <cell r="B1343" t="str">
            <v>-</v>
          </cell>
          <cell r="C1343" t="str">
            <v>Chaminé dos poços de visita - CPV 06 AC/BC</v>
          </cell>
          <cell r="D1343" t="str">
            <v>und</v>
          </cell>
          <cell r="H1343" t="str">
            <v>DNIT 030/2004-ES</v>
          </cell>
        </row>
        <row r="1344">
          <cell r="A1344" t="str">
            <v>2 S 04 963 87</v>
          </cell>
          <cell r="B1344" t="str">
            <v>-</v>
          </cell>
          <cell r="C1344" t="str">
            <v>Chaminé dos poços de visita - CPV 07 AC/BC</v>
          </cell>
          <cell r="D1344" t="str">
            <v>und</v>
          </cell>
          <cell r="H1344" t="str">
            <v>DNIT 030/2004-ES</v>
          </cell>
        </row>
        <row r="1345">
          <cell r="A1345" t="str">
            <v>2 S 04 964 01</v>
          </cell>
          <cell r="B1345" t="str">
            <v>-</v>
          </cell>
          <cell r="C1345" t="str">
            <v>Tubulação de drenagem urbana - D=0,40 m s/ berço</v>
          </cell>
          <cell r="D1345" t="str">
            <v>m</v>
          </cell>
          <cell r="H1345" t="str">
            <v>DNIT 030/2004-ES</v>
          </cell>
        </row>
        <row r="1346">
          <cell r="A1346" t="str">
            <v>2 S 04 964 02</v>
          </cell>
          <cell r="B1346" t="str">
            <v>-</v>
          </cell>
          <cell r="C1346" t="str">
            <v>Tubulação de drenagem urbana - D=0,60 m s/ berço</v>
          </cell>
          <cell r="D1346" t="str">
            <v>m</v>
          </cell>
          <cell r="H1346" t="str">
            <v>DNIT 030/2004-ES</v>
          </cell>
        </row>
        <row r="1347">
          <cell r="A1347" t="str">
            <v>2 S 04 964 03</v>
          </cell>
          <cell r="B1347" t="str">
            <v>-</v>
          </cell>
          <cell r="C1347" t="str">
            <v>Tubulação de drenagem urbana - D=0,80 m s/ berço</v>
          </cell>
          <cell r="D1347" t="str">
            <v>m</v>
          </cell>
          <cell r="H1347" t="str">
            <v>DNIT 030/2004-ES</v>
          </cell>
        </row>
        <row r="1348">
          <cell r="A1348" t="str">
            <v>2 S 04 964 04</v>
          </cell>
          <cell r="B1348" t="str">
            <v>-</v>
          </cell>
          <cell r="C1348" t="str">
            <v>Tubulação de drenagem urbana - D=1,00 m s/ berço</v>
          </cell>
          <cell r="D1348" t="str">
            <v>m</v>
          </cell>
          <cell r="H1348" t="str">
            <v>DNIT 030/2004-ES</v>
          </cell>
        </row>
        <row r="1349">
          <cell r="A1349" t="str">
            <v>2 S 04 964 05</v>
          </cell>
          <cell r="B1349" t="str">
            <v>-</v>
          </cell>
          <cell r="C1349" t="str">
            <v>Tubulação de drenagem urbana - D=1,20 m s/ berço</v>
          </cell>
          <cell r="D1349" t="str">
            <v>m</v>
          </cell>
          <cell r="H1349" t="str">
            <v>DNIT 030/2004-ES</v>
          </cell>
        </row>
        <row r="1350">
          <cell r="A1350" t="str">
            <v>2 S 04 964 06</v>
          </cell>
          <cell r="B1350" t="str">
            <v>-</v>
          </cell>
          <cell r="C1350" t="str">
            <v>Tubulação de drenagem urbana - D=1,50 m s/ berço</v>
          </cell>
          <cell r="D1350" t="str">
            <v>m</v>
          </cell>
          <cell r="H1350" t="str">
            <v>DNIT 030/2004-ES</v>
          </cell>
        </row>
        <row r="1351">
          <cell r="A1351" t="str">
            <v>2 S 04 964 51</v>
          </cell>
          <cell r="B1351" t="str">
            <v>-</v>
          </cell>
          <cell r="C1351" t="str">
            <v>Tubulação de drenagem urbana-D=0,40m s/berço AC/BC</v>
          </cell>
          <cell r="D1351" t="str">
            <v>m</v>
          </cell>
          <cell r="H1351" t="str">
            <v>DNIT 030/2004-ES</v>
          </cell>
        </row>
        <row r="1352">
          <cell r="A1352" t="str">
            <v>2 S 04 964 52</v>
          </cell>
          <cell r="B1352" t="str">
            <v>-</v>
          </cell>
          <cell r="C1352" t="str">
            <v>Tubulação de drenagem urbana-D=0,60m s/berço AC/BC</v>
          </cell>
          <cell r="D1352" t="str">
            <v>m</v>
          </cell>
          <cell r="H1352" t="str">
            <v>DNIT 030/2004-ES</v>
          </cell>
        </row>
        <row r="1353">
          <cell r="A1353" t="str">
            <v>2 S 04 964 53</v>
          </cell>
          <cell r="B1353" t="str">
            <v>-</v>
          </cell>
          <cell r="C1353" t="str">
            <v>Tubulação de drenagem urbana-D=0,80m s/berço AC/BC</v>
          </cell>
          <cell r="D1353" t="str">
            <v>m</v>
          </cell>
          <cell r="H1353" t="str">
            <v>DNIT 030/2004-ES</v>
          </cell>
        </row>
        <row r="1354">
          <cell r="A1354" t="str">
            <v>2 S 04 964 54</v>
          </cell>
          <cell r="B1354" t="str">
            <v>-</v>
          </cell>
          <cell r="C1354" t="str">
            <v>Tubulação de drenagem urbana-D=1,00m s/berço AC/BC</v>
          </cell>
          <cell r="D1354" t="str">
            <v>m</v>
          </cell>
          <cell r="H1354" t="str">
            <v>DNIT 030/2004-ES</v>
          </cell>
        </row>
        <row r="1355">
          <cell r="A1355" t="str">
            <v>2 S 04 964 55</v>
          </cell>
          <cell r="B1355" t="str">
            <v>-</v>
          </cell>
          <cell r="C1355" t="str">
            <v>Tubulação de drenagem urbana-D=1,20m s/berço AC/BC</v>
          </cell>
          <cell r="D1355" t="str">
            <v>m</v>
          </cell>
          <cell r="H1355" t="str">
            <v>DNIT 030/2004-ES</v>
          </cell>
        </row>
        <row r="1356">
          <cell r="A1356" t="str">
            <v>2 S 04 964 56</v>
          </cell>
          <cell r="B1356" t="str">
            <v>-</v>
          </cell>
          <cell r="C1356" t="str">
            <v>Tubulação de drenagem urbana-D=1,50m s/berço AC/BC</v>
          </cell>
          <cell r="D1356" t="str">
            <v>m</v>
          </cell>
          <cell r="H1356" t="str">
            <v>DNIT 030/2004-ES</v>
          </cell>
        </row>
        <row r="1357">
          <cell r="A1357" t="str">
            <v>2 S 04 990 01</v>
          </cell>
          <cell r="B1357" t="str">
            <v>-</v>
          </cell>
          <cell r="C1357" t="str">
            <v>Transposição de segmento de sarjetas - TSS 01</v>
          </cell>
          <cell r="D1357" t="str">
            <v>m</v>
          </cell>
          <cell r="H1357" t="str">
            <v>DNIT 019/2004-ES</v>
          </cell>
        </row>
        <row r="1358">
          <cell r="A1358" t="str">
            <v>2 S 04 990 02</v>
          </cell>
          <cell r="B1358" t="str">
            <v>-</v>
          </cell>
          <cell r="C1358" t="str">
            <v>Transposição de segmento de sarjetas - TSS 02</v>
          </cell>
          <cell r="D1358" t="str">
            <v>m</v>
          </cell>
          <cell r="H1358" t="str">
            <v>DNIT 019/2004-ES</v>
          </cell>
        </row>
        <row r="1359">
          <cell r="A1359" t="str">
            <v>2 S 04 990 03</v>
          </cell>
          <cell r="B1359" t="str">
            <v>-</v>
          </cell>
          <cell r="C1359" t="str">
            <v>Transposição de segmento de sarjetas - TSS 03</v>
          </cell>
          <cell r="D1359" t="str">
            <v>m</v>
          </cell>
          <cell r="H1359" t="str">
            <v>DNIT 019/2004-ES</v>
          </cell>
        </row>
        <row r="1360">
          <cell r="A1360" t="str">
            <v>2 S 04 990 04</v>
          </cell>
          <cell r="B1360" t="str">
            <v>-</v>
          </cell>
          <cell r="C1360" t="str">
            <v>Transposição de segmento de sarjetas - TSS 04</v>
          </cell>
          <cell r="D1360" t="str">
            <v>m</v>
          </cell>
          <cell r="H1360" t="str">
            <v>DNIT 019/2004-ES</v>
          </cell>
        </row>
        <row r="1361">
          <cell r="A1361" t="str">
            <v>2 S 04 990 05</v>
          </cell>
          <cell r="B1361" t="str">
            <v>-</v>
          </cell>
          <cell r="C1361" t="str">
            <v>Transposição de segmento de sarjetas - TSS 05</v>
          </cell>
          <cell r="D1361" t="str">
            <v>m</v>
          </cell>
          <cell r="H1361" t="str">
            <v>DNIT 019/2004-ES</v>
          </cell>
        </row>
        <row r="1362">
          <cell r="A1362" t="str">
            <v>2 S 04 990 06</v>
          </cell>
          <cell r="B1362" t="str">
            <v>-</v>
          </cell>
          <cell r="C1362" t="str">
            <v>Transposição de segmento de sarjetas - TSS 06</v>
          </cell>
          <cell r="D1362" t="str">
            <v>m</v>
          </cell>
          <cell r="H1362" t="str">
            <v>DNIT 019/2004-ES</v>
          </cell>
        </row>
        <row r="1363">
          <cell r="A1363" t="str">
            <v>2 S 04 990 51</v>
          </cell>
          <cell r="B1363" t="str">
            <v>-</v>
          </cell>
          <cell r="C1363" t="str">
            <v>Transposição de segmentos de sarjetas-TSS 01 AC/BC</v>
          </cell>
          <cell r="D1363" t="str">
            <v>m</v>
          </cell>
          <cell r="H1363" t="str">
            <v>DNIT 019/2004-ES</v>
          </cell>
        </row>
        <row r="1364">
          <cell r="A1364" t="str">
            <v>2 S 04 990 52</v>
          </cell>
          <cell r="B1364" t="str">
            <v>-</v>
          </cell>
          <cell r="C1364" t="str">
            <v>Transposição de segmentos de sarjetas-TSS 02 AC/BC</v>
          </cell>
          <cell r="D1364" t="str">
            <v>m</v>
          </cell>
          <cell r="H1364" t="str">
            <v>DNIT 019/2004-ES</v>
          </cell>
        </row>
        <row r="1365">
          <cell r="A1365" t="str">
            <v>2 S 04 990 53</v>
          </cell>
          <cell r="B1365" t="str">
            <v>-</v>
          </cell>
          <cell r="C1365" t="str">
            <v>Transposição de segmento de sarjetas-TSS 03 AC/BC</v>
          </cell>
          <cell r="D1365" t="str">
            <v>m</v>
          </cell>
          <cell r="H1365" t="str">
            <v>DNIT 019/2004-ES</v>
          </cell>
        </row>
        <row r="1366">
          <cell r="A1366" t="str">
            <v>2 S 04 990 54</v>
          </cell>
          <cell r="B1366" t="str">
            <v>-</v>
          </cell>
          <cell r="C1366" t="str">
            <v>Transposição de segmento de sarjetas-TSS 04 AC/BC</v>
          </cell>
          <cell r="D1366" t="str">
            <v>m</v>
          </cell>
          <cell r="H1366" t="str">
            <v>DNIT 019/2004-ES</v>
          </cell>
        </row>
        <row r="1367">
          <cell r="A1367" t="str">
            <v>2 S 04 990 55</v>
          </cell>
          <cell r="B1367" t="str">
            <v>-</v>
          </cell>
          <cell r="C1367" t="str">
            <v>Transposição de segmento de sarjetas-TSS 05 AC/BC</v>
          </cell>
          <cell r="D1367" t="str">
            <v>m</v>
          </cell>
          <cell r="H1367" t="str">
            <v>DNIT 019/2004-ES</v>
          </cell>
        </row>
        <row r="1368">
          <cell r="A1368" t="str">
            <v>2 S 04 990 56</v>
          </cell>
          <cell r="B1368" t="str">
            <v>-</v>
          </cell>
          <cell r="C1368" t="str">
            <v>Transposição de segmento de sarjetas-TSS 06 AC/BC</v>
          </cell>
          <cell r="D1368" t="str">
            <v>m</v>
          </cell>
          <cell r="H1368" t="str">
            <v>DNIT 019/2004-ES</v>
          </cell>
        </row>
        <row r="1369">
          <cell r="A1369" t="str">
            <v>2 S 04 991 01</v>
          </cell>
          <cell r="B1369" t="str">
            <v>-</v>
          </cell>
          <cell r="C1369" t="str">
            <v>Tampa concr. p/caixa colet. (4 nervuras) - TCC 01</v>
          </cell>
          <cell r="D1369" t="str">
            <v>und</v>
          </cell>
          <cell r="H1369" t="str">
            <v>DNIT 026/2004-ES</v>
          </cell>
        </row>
        <row r="1370">
          <cell r="A1370" t="str">
            <v>2 S 04 991 02</v>
          </cell>
          <cell r="B1370" t="str">
            <v>-</v>
          </cell>
          <cell r="C1370" t="str">
            <v>Tampa de ferro p/ caixa coletora - TCC 02</v>
          </cell>
          <cell r="D1370" t="str">
            <v>und</v>
          </cell>
          <cell r="H1370" t="str">
            <v>DNIT 026/2004-ES</v>
          </cell>
        </row>
        <row r="1371">
          <cell r="A1371" t="str">
            <v>2 S 04 991 51</v>
          </cell>
          <cell r="B1371" t="str">
            <v>-</v>
          </cell>
          <cell r="C1371" t="str">
            <v>Tampa concr.p/caixa colet(4 nervuras)-TCC 01 AC/BC</v>
          </cell>
          <cell r="D1371" t="str">
            <v>und</v>
          </cell>
          <cell r="H1371" t="str">
            <v>DNIT 026/2004-ES</v>
          </cell>
        </row>
        <row r="1372">
          <cell r="A1372" t="str">
            <v>2 S 04 999 03</v>
          </cell>
          <cell r="B1372" t="str">
            <v>-</v>
          </cell>
          <cell r="C1372" t="str">
            <v>Escoramento de bueiros celulares</v>
          </cell>
          <cell r="D1372" t="str">
            <v>m³</v>
          </cell>
        </row>
        <row r="1373">
          <cell r="A1373" t="str">
            <v>2 S 04 999 06</v>
          </cell>
          <cell r="B1373" t="str">
            <v>-</v>
          </cell>
          <cell r="C1373" t="str">
            <v>Solo local / selo de argila apiloado</v>
          </cell>
          <cell r="D1373" t="str">
            <v>m³</v>
          </cell>
        </row>
        <row r="1374">
          <cell r="A1374" t="str">
            <v>2 S 04 999 07</v>
          </cell>
          <cell r="B1374" t="str">
            <v>-</v>
          </cell>
          <cell r="C1374" t="str">
            <v>Lastro de brita</v>
          </cell>
          <cell r="D1374" t="str">
            <v>m³</v>
          </cell>
        </row>
        <row r="1375">
          <cell r="A1375" t="str">
            <v>2 S 04 999 57</v>
          </cell>
          <cell r="B1375" t="str">
            <v>-</v>
          </cell>
          <cell r="C1375" t="str">
            <v>Lastro de brita BC</v>
          </cell>
          <cell r="D1375" t="str">
            <v>m³</v>
          </cell>
        </row>
        <row r="1376">
          <cell r="A1376" t="str">
            <v>2 S 05 000 06</v>
          </cell>
          <cell r="B1376" t="str">
            <v>-</v>
          </cell>
          <cell r="C1376" t="str">
            <v>Calha metálica semi-circular D=0,40 m</v>
          </cell>
          <cell r="D1376" t="str">
            <v>m</v>
          </cell>
        </row>
        <row r="1377">
          <cell r="A1377" t="str">
            <v>2 S 05 000 09</v>
          </cell>
          <cell r="B1377" t="str">
            <v>-</v>
          </cell>
          <cell r="C1377" t="str">
            <v>Dentes para bueiros simples D=0,60 m</v>
          </cell>
          <cell r="D1377" t="str">
            <v>und</v>
          </cell>
        </row>
        <row r="1378">
          <cell r="A1378" t="str">
            <v>2 S 05 000 10</v>
          </cell>
          <cell r="B1378" t="str">
            <v>-</v>
          </cell>
          <cell r="C1378" t="str">
            <v>Dentes para bueiros simples D=0,80 m</v>
          </cell>
          <cell r="D1378" t="str">
            <v>und</v>
          </cell>
        </row>
        <row r="1379">
          <cell r="A1379" t="str">
            <v>2 S 05 000 11</v>
          </cell>
          <cell r="B1379" t="str">
            <v>-</v>
          </cell>
          <cell r="C1379" t="str">
            <v>Dentes para bueiros simples D=1,00 m</v>
          </cell>
          <cell r="D1379" t="str">
            <v>und</v>
          </cell>
        </row>
        <row r="1380">
          <cell r="A1380" t="str">
            <v>2 S 05 000 12</v>
          </cell>
          <cell r="B1380" t="str">
            <v>-</v>
          </cell>
          <cell r="C1380" t="str">
            <v>Dentes para bueiros simples D=1,20 m</v>
          </cell>
          <cell r="D1380" t="str">
            <v>und</v>
          </cell>
        </row>
        <row r="1381">
          <cell r="A1381" t="str">
            <v>2 S 05 000 13</v>
          </cell>
          <cell r="B1381" t="str">
            <v>-</v>
          </cell>
          <cell r="C1381" t="str">
            <v>Dentes para bueiros simples D=1,50 m</v>
          </cell>
          <cell r="D1381" t="str">
            <v>und</v>
          </cell>
        </row>
        <row r="1382">
          <cell r="A1382" t="str">
            <v>2 S 05 000 14</v>
          </cell>
          <cell r="B1382" t="str">
            <v>-</v>
          </cell>
          <cell r="C1382" t="str">
            <v>Dentes para bueiros duplos D=1,00 m</v>
          </cell>
          <cell r="D1382" t="str">
            <v>und</v>
          </cell>
        </row>
        <row r="1383">
          <cell r="A1383" t="str">
            <v>2 S 05 000 15</v>
          </cell>
          <cell r="B1383" t="str">
            <v>-</v>
          </cell>
          <cell r="C1383" t="str">
            <v>Dentes para bueiros duplos D=1,20 m</v>
          </cell>
          <cell r="D1383" t="str">
            <v>und</v>
          </cell>
        </row>
        <row r="1384">
          <cell r="A1384" t="str">
            <v>2 S 05 000 16</v>
          </cell>
          <cell r="B1384" t="str">
            <v>-</v>
          </cell>
          <cell r="C1384" t="str">
            <v>Dentes para bueiros duplos D=1,50 m</v>
          </cell>
          <cell r="D1384" t="str">
            <v>und</v>
          </cell>
        </row>
        <row r="1385">
          <cell r="A1385" t="str">
            <v>2 S 05 000 17</v>
          </cell>
          <cell r="B1385" t="str">
            <v>-</v>
          </cell>
          <cell r="C1385" t="str">
            <v>Dentes para bueiros triplos D=1,00 m</v>
          </cell>
          <cell r="D1385" t="str">
            <v>und</v>
          </cell>
        </row>
        <row r="1386">
          <cell r="A1386" t="str">
            <v>2 S 05 000 18</v>
          </cell>
          <cell r="B1386" t="str">
            <v>-</v>
          </cell>
          <cell r="C1386" t="str">
            <v>Dentes para bueiros triplos D=1,20</v>
          </cell>
          <cell r="D1386" t="str">
            <v>und</v>
          </cell>
        </row>
        <row r="1387">
          <cell r="A1387" t="str">
            <v>2 S 05 000 19</v>
          </cell>
          <cell r="B1387" t="str">
            <v>-</v>
          </cell>
          <cell r="C1387" t="str">
            <v>Dentes para bueiros triplos D=1,50 m</v>
          </cell>
          <cell r="D1387" t="str">
            <v>und</v>
          </cell>
        </row>
        <row r="1388">
          <cell r="A1388" t="str">
            <v>2 S 05 000 59</v>
          </cell>
          <cell r="B1388" t="str">
            <v>-</v>
          </cell>
          <cell r="C1388" t="str">
            <v>Dentes para bueiros simples D=0,60 m AC/BC/PC</v>
          </cell>
          <cell r="D1388" t="str">
            <v>und</v>
          </cell>
        </row>
        <row r="1389">
          <cell r="A1389" t="str">
            <v>2 S 05 000 60</v>
          </cell>
          <cell r="B1389" t="str">
            <v>-</v>
          </cell>
          <cell r="C1389" t="str">
            <v>Dentes para bueiros simples D=0,80 m AC/BC/PC</v>
          </cell>
          <cell r="D1389" t="str">
            <v>und</v>
          </cell>
        </row>
        <row r="1390">
          <cell r="A1390" t="str">
            <v>2 S 05 000 61</v>
          </cell>
          <cell r="B1390" t="str">
            <v>-</v>
          </cell>
          <cell r="C1390" t="str">
            <v>Dentes para bueiros simples D=1,00 m AC/BC/PC</v>
          </cell>
          <cell r="D1390" t="str">
            <v>und</v>
          </cell>
        </row>
        <row r="1391">
          <cell r="A1391" t="str">
            <v>2 S 05 000 62</v>
          </cell>
          <cell r="B1391" t="str">
            <v>-</v>
          </cell>
          <cell r="C1391" t="str">
            <v>Dentes para bueiros simples D=1,20 m AC/BC/PC</v>
          </cell>
          <cell r="D1391" t="str">
            <v>und</v>
          </cell>
        </row>
        <row r="1392">
          <cell r="A1392" t="str">
            <v>2 S 05 000 63</v>
          </cell>
          <cell r="B1392" t="str">
            <v>-</v>
          </cell>
          <cell r="C1392" t="str">
            <v>Dentes para bueiros simples D=1,50 m AC/BC/PC</v>
          </cell>
          <cell r="D1392" t="str">
            <v>und</v>
          </cell>
        </row>
        <row r="1393">
          <cell r="A1393" t="str">
            <v>2 S 05 000 64</v>
          </cell>
          <cell r="B1393" t="str">
            <v>-</v>
          </cell>
          <cell r="C1393" t="str">
            <v>Dentes para bueiros duplos D=1,00 m AC/BC/PC</v>
          </cell>
          <cell r="D1393" t="str">
            <v>und</v>
          </cell>
        </row>
        <row r="1394">
          <cell r="A1394" t="str">
            <v>2 S 05 000 65</v>
          </cell>
          <cell r="B1394" t="str">
            <v>-</v>
          </cell>
          <cell r="C1394" t="str">
            <v>Dentes para bueiros duplos D=1,20 m AC/BC/PC</v>
          </cell>
          <cell r="D1394" t="str">
            <v>und</v>
          </cell>
        </row>
        <row r="1395">
          <cell r="A1395" t="str">
            <v>2 S 05 000 66</v>
          </cell>
          <cell r="B1395" t="str">
            <v>-</v>
          </cell>
          <cell r="C1395" t="str">
            <v>Dentes para bueiros duplos D=1,50 m AC/BC/PC</v>
          </cell>
          <cell r="D1395" t="str">
            <v>und</v>
          </cell>
        </row>
        <row r="1396">
          <cell r="A1396" t="str">
            <v>2 S 05 000 67</v>
          </cell>
          <cell r="B1396" t="str">
            <v>-</v>
          </cell>
          <cell r="C1396" t="str">
            <v>Dentes para bueiros triplos D=1,00 m AC/BC/PC</v>
          </cell>
          <cell r="D1396" t="str">
            <v>und</v>
          </cell>
        </row>
        <row r="1397">
          <cell r="A1397" t="str">
            <v>2 S 05 000 68</v>
          </cell>
          <cell r="B1397" t="str">
            <v>-</v>
          </cell>
          <cell r="C1397" t="str">
            <v>Dentes para bueiros triplos D=1,20 AC/BC/PC</v>
          </cell>
          <cell r="D1397" t="str">
            <v>und</v>
          </cell>
        </row>
        <row r="1398">
          <cell r="A1398" t="str">
            <v>2 S 05 000 69</v>
          </cell>
          <cell r="B1398" t="str">
            <v>-</v>
          </cell>
          <cell r="C1398" t="str">
            <v>Dentes para bueiros triplos D=1,50 m AC/BC/PC</v>
          </cell>
          <cell r="D1398" t="str">
            <v>und</v>
          </cell>
        </row>
        <row r="1399">
          <cell r="A1399" t="str">
            <v>2 S 05 100 00</v>
          </cell>
          <cell r="B1399" t="str">
            <v>-</v>
          </cell>
          <cell r="C1399" t="str">
            <v>Enleivamento</v>
          </cell>
          <cell r="D1399" t="str">
            <v>m²</v>
          </cell>
          <cell r="H1399" t="str">
            <v>DNER-ES-341/97</v>
          </cell>
        </row>
        <row r="1400">
          <cell r="A1400" t="str">
            <v>2 S 05 102 00</v>
          </cell>
          <cell r="B1400" t="str">
            <v>-</v>
          </cell>
          <cell r="C1400" t="str">
            <v>Hidrossemeadura</v>
          </cell>
          <cell r="D1400" t="str">
            <v>m²</v>
          </cell>
          <cell r="H1400" t="str">
            <v>DNER-ES-341/97</v>
          </cell>
        </row>
        <row r="1401">
          <cell r="A1401" t="str">
            <v>2 S 05 300 01</v>
          </cell>
          <cell r="B1401" t="str">
            <v>-</v>
          </cell>
          <cell r="C1401" t="str">
            <v>Alvenaria de pedra arrumada</v>
          </cell>
          <cell r="D1401" t="str">
            <v>m³</v>
          </cell>
        </row>
        <row r="1402">
          <cell r="A1402" t="str">
            <v>2 S 05 300 02</v>
          </cell>
          <cell r="B1402" t="str">
            <v>-</v>
          </cell>
          <cell r="C1402" t="str">
            <v>Enrocamento de pedra jogada</v>
          </cell>
          <cell r="D1402" t="str">
            <v>m³</v>
          </cell>
        </row>
        <row r="1403">
          <cell r="A1403" t="str">
            <v>2 S 05 301 00</v>
          </cell>
          <cell r="B1403" t="str">
            <v>-</v>
          </cell>
          <cell r="C1403" t="str">
            <v>Alvenaria de pedra argamassada</v>
          </cell>
          <cell r="D1403" t="str">
            <v>m³</v>
          </cell>
        </row>
        <row r="1404">
          <cell r="A1404" t="str">
            <v>2 S 05 301 01</v>
          </cell>
          <cell r="B1404" t="str">
            <v>-</v>
          </cell>
          <cell r="C1404" t="str">
            <v>Alvenaria tijolos de 20 cm de espessura</v>
          </cell>
          <cell r="D1404" t="str">
            <v>m²</v>
          </cell>
        </row>
        <row r="1405">
          <cell r="A1405" t="str">
            <v>2 S 05 301 50</v>
          </cell>
          <cell r="B1405" t="str">
            <v>-</v>
          </cell>
          <cell r="C1405" t="str">
            <v>Alvenaria de pedra argamassada AC/BC/PC</v>
          </cell>
          <cell r="D1405" t="str">
            <v>m³</v>
          </cell>
        </row>
        <row r="1406">
          <cell r="A1406" t="str">
            <v>2 S 05 301 51</v>
          </cell>
          <cell r="B1406" t="str">
            <v>-</v>
          </cell>
          <cell r="C1406" t="str">
            <v>Alvenaria tijolos de 0,20 cm de espessura AC</v>
          </cell>
          <cell r="D1406" t="str">
            <v>m²</v>
          </cell>
        </row>
        <row r="1407">
          <cell r="A1407" t="str">
            <v>2 S 05 302 01</v>
          </cell>
          <cell r="B1407" t="str">
            <v>-</v>
          </cell>
          <cell r="C1407" t="str">
            <v>Muro gabião tipo caixa</v>
          </cell>
          <cell r="D1407" t="str">
            <v>m³</v>
          </cell>
        </row>
        <row r="1408">
          <cell r="A1408" t="str">
            <v>2 S 05 303 01</v>
          </cell>
          <cell r="B1408" t="str">
            <v>-</v>
          </cell>
          <cell r="C1408" t="str">
            <v>Terra armada - ECE - greide 0,0&lt;h&lt;6,00m</v>
          </cell>
          <cell r="D1408" t="str">
            <v>m²</v>
          </cell>
        </row>
        <row r="1409">
          <cell r="A1409" t="str">
            <v>2 S 05 303 02</v>
          </cell>
          <cell r="B1409" t="str">
            <v>-</v>
          </cell>
          <cell r="C1409" t="str">
            <v>Terra armada - ECE - greide 6,0&lt;h&lt;9,00m</v>
          </cell>
          <cell r="D1409" t="str">
            <v>m²</v>
          </cell>
        </row>
        <row r="1410">
          <cell r="A1410" t="str">
            <v>2 S 05 303 03</v>
          </cell>
          <cell r="B1410" t="str">
            <v>-</v>
          </cell>
          <cell r="C1410" t="str">
            <v>Terra armada - ECE - greide 9,0&lt;h&lt;12,00m</v>
          </cell>
          <cell r="D1410" t="str">
            <v>m²</v>
          </cell>
        </row>
        <row r="1411">
          <cell r="A1411" t="str">
            <v>2 S 05 303 04</v>
          </cell>
          <cell r="B1411" t="str">
            <v>-</v>
          </cell>
          <cell r="C1411" t="str">
            <v>Terra armada - ECE - pé de talude 0,0&lt;h&lt;6,00m</v>
          </cell>
          <cell r="D1411" t="str">
            <v>m²</v>
          </cell>
        </row>
        <row r="1412">
          <cell r="A1412" t="str">
            <v>2 S 05 303 05</v>
          </cell>
          <cell r="B1412" t="str">
            <v>-</v>
          </cell>
          <cell r="C1412" t="str">
            <v>Terra armada - ECE - pé de talude 6,0&lt;h&lt;9,00m</v>
          </cell>
          <cell r="D1412" t="str">
            <v>m²</v>
          </cell>
        </row>
        <row r="1413">
          <cell r="A1413" t="str">
            <v>2 S 05 303 06</v>
          </cell>
          <cell r="B1413" t="str">
            <v>-</v>
          </cell>
          <cell r="C1413" t="str">
            <v>Terra armada - ECE - pé de talude 9,0&lt;h&lt;12,00m</v>
          </cell>
          <cell r="D1413" t="str">
            <v>m²</v>
          </cell>
        </row>
        <row r="1414">
          <cell r="A1414" t="str">
            <v>2 S 05 303 07</v>
          </cell>
          <cell r="B1414" t="str">
            <v>-</v>
          </cell>
          <cell r="C1414" t="str">
            <v>Terra armada - ECE - encontro portante 0,0&lt;h&lt;6,00m</v>
          </cell>
          <cell r="D1414" t="str">
            <v>m²</v>
          </cell>
        </row>
        <row r="1415">
          <cell r="A1415" t="str">
            <v>2 S 05 303 08</v>
          </cell>
          <cell r="B1415" t="str">
            <v>-</v>
          </cell>
          <cell r="C1415" t="str">
            <v>Terra armada - ECE - encontro portante 6,0&lt;h&lt;9,00m</v>
          </cell>
          <cell r="D1415" t="str">
            <v>m²</v>
          </cell>
        </row>
        <row r="1416">
          <cell r="A1416" t="str">
            <v>2 S 05 303 09</v>
          </cell>
          <cell r="B1416" t="str">
            <v>-</v>
          </cell>
          <cell r="C1416" t="str">
            <v>Escamas de concreto armado para terra armada</v>
          </cell>
          <cell r="D1416" t="str">
            <v>m³</v>
          </cell>
        </row>
        <row r="1417">
          <cell r="A1417" t="str">
            <v>2 S 05 303 10</v>
          </cell>
          <cell r="B1417" t="str">
            <v>-</v>
          </cell>
          <cell r="C1417" t="str">
            <v>Concr. soleira e arremates de maciço terra armada</v>
          </cell>
          <cell r="D1417" t="str">
            <v>m³</v>
          </cell>
        </row>
        <row r="1418">
          <cell r="A1418" t="str">
            <v>2 S 05 303 11</v>
          </cell>
          <cell r="B1418" t="str">
            <v>-</v>
          </cell>
          <cell r="C1418" t="str">
            <v>Montagem de maciço terra armada</v>
          </cell>
          <cell r="D1418" t="str">
            <v>m²</v>
          </cell>
        </row>
        <row r="1419">
          <cell r="A1419" t="str">
            <v>2 S 05 303 59</v>
          </cell>
          <cell r="B1419" t="str">
            <v>-</v>
          </cell>
          <cell r="C1419" t="str">
            <v>Escamas de concr.armado para terra armada AC/BC</v>
          </cell>
          <cell r="D1419" t="str">
            <v>m³</v>
          </cell>
        </row>
        <row r="1420">
          <cell r="A1420" t="str">
            <v>2 S 05 303 60</v>
          </cell>
          <cell r="B1420" t="str">
            <v>-</v>
          </cell>
          <cell r="C1420" t="str">
            <v>Concr.soleira/arremates de maciço terra arm.AC/BC</v>
          </cell>
          <cell r="D1420" t="str">
            <v>m³</v>
          </cell>
        </row>
        <row r="1421">
          <cell r="A1421" t="str">
            <v>2 S 05 340 01</v>
          </cell>
          <cell r="B1421" t="str">
            <v>-</v>
          </cell>
          <cell r="C1421" t="str">
            <v>Execução cortina atirantada conc.armado fck=15 MPa</v>
          </cell>
          <cell r="D1421" t="str">
            <v>m²</v>
          </cell>
        </row>
        <row r="1422">
          <cell r="A1422" t="str">
            <v>2 S 05 340 51</v>
          </cell>
          <cell r="B1422" t="str">
            <v>-</v>
          </cell>
          <cell r="C1422" t="str">
            <v>Exec.cortina atirantada concr.arm.fck=15 MPa AC/BC</v>
          </cell>
          <cell r="D1422" t="str">
            <v>m³</v>
          </cell>
        </row>
        <row r="1423">
          <cell r="A1423" t="str">
            <v>2 S 05 900 01</v>
          </cell>
          <cell r="B1423" t="str">
            <v>-</v>
          </cell>
          <cell r="C1423" t="str">
            <v>Tirante protendido p/ cort. aço st 85/105 D= 32mm</v>
          </cell>
          <cell r="D1423" t="str">
            <v>m</v>
          </cell>
        </row>
        <row r="1424">
          <cell r="A1424" t="str">
            <v>2 S 06 210 01</v>
          </cell>
          <cell r="B1424" t="str">
            <v>-</v>
          </cell>
          <cell r="C1424" t="str">
            <v>Pórtico metálico</v>
          </cell>
          <cell r="D1424" t="str">
            <v>und</v>
          </cell>
        </row>
        <row r="1425">
          <cell r="A1425" t="str">
            <v>2 S 06 210 51</v>
          </cell>
          <cell r="B1425" t="str">
            <v>-</v>
          </cell>
          <cell r="C1425" t="str">
            <v>Pórtico metálico AC/BC</v>
          </cell>
          <cell r="D1425" t="str">
            <v>und</v>
          </cell>
        </row>
        <row r="1426">
          <cell r="A1426" t="str">
            <v>2 S 06 400 01</v>
          </cell>
          <cell r="B1426" t="str">
            <v>-</v>
          </cell>
          <cell r="C1426" t="str">
            <v>Cerca arame farp. c/ mourão concr. seção quadrada</v>
          </cell>
          <cell r="D1426" t="str">
            <v>m</v>
          </cell>
        </row>
        <row r="1427">
          <cell r="A1427" t="str">
            <v>2 S 06 400 02</v>
          </cell>
          <cell r="B1427" t="str">
            <v>-</v>
          </cell>
          <cell r="C1427" t="str">
            <v>Cerca arame farp. c/ mourão concr. seção triang.</v>
          </cell>
          <cell r="D1427" t="str">
            <v>m</v>
          </cell>
        </row>
        <row r="1428">
          <cell r="A1428" t="str">
            <v>2 S 06 400 51</v>
          </cell>
          <cell r="B1428" t="str">
            <v>-</v>
          </cell>
          <cell r="C1428" t="str">
            <v>Cerca arame farp.c/mourão concr.seção quadr.AC/BC</v>
          </cell>
          <cell r="D1428" t="str">
            <v>m</v>
          </cell>
        </row>
        <row r="1429">
          <cell r="A1429" t="str">
            <v>2 S 06 400 52</v>
          </cell>
          <cell r="B1429" t="str">
            <v>-</v>
          </cell>
          <cell r="C1429" t="str">
            <v>Cerca arame farp.c/mourão concr.seção triang.AC/BC</v>
          </cell>
          <cell r="D1429" t="str">
            <v>m</v>
          </cell>
        </row>
        <row r="1430">
          <cell r="A1430" t="str">
            <v>2 S 06 410 00</v>
          </cell>
          <cell r="B1430" t="str">
            <v>-</v>
          </cell>
          <cell r="C1430" t="str">
            <v>Cercas de arame farpado com suportes de madeira</v>
          </cell>
          <cell r="D1430" t="str">
            <v>m</v>
          </cell>
        </row>
        <row r="1431">
          <cell r="A1431" t="str">
            <v>2 S 09 001 05</v>
          </cell>
          <cell r="B1431" t="str">
            <v>-</v>
          </cell>
          <cell r="C1431" t="str">
            <v>Transporte local em rodov. não pav. (const.)</v>
          </cell>
          <cell r="D1431" t="str">
            <v>tkm</v>
          </cell>
        </row>
        <row r="1432">
          <cell r="A1432" t="str">
            <v>2 S 09 001 40</v>
          </cell>
          <cell r="B1432" t="str">
            <v>-</v>
          </cell>
          <cell r="C1432" t="str">
            <v>Transporte local c/ carroceria em rodovia não pav.</v>
          </cell>
          <cell r="D1432" t="str">
            <v>tkm</v>
          </cell>
        </row>
        <row r="1433">
          <cell r="A1433" t="str">
            <v>2 S 09 001 90</v>
          </cell>
          <cell r="B1433" t="str">
            <v>-</v>
          </cell>
          <cell r="C1433" t="str">
            <v>Transporte comercial c/ carr. rodov. não pav.</v>
          </cell>
          <cell r="D1433" t="str">
            <v>tkm</v>
          </cell>
        </row>
        <row r="1434">
          <cell r="A1434" t="str">
            <v>2 S 09 001 91</v>
          </cell>
          <cell r="B1434" t="str">
            <v>-</v>
          </cell>
          <cell r="C1434" t="str">
            <v>Transporte comercial c/ basc. 10m3 rod. não pav.</v>
          </cell>
          <cell r="D1434" t="str">
            <v>tkm</v>
          </cell>
        </row>
        <row r="1435">
          <cell r="A1435" t="str">
            <v>2 S 09 002 05</v>
          </cell>
          <cell r="B1435" t="str">
            <v>-</v>
          </cell>
          <cell r="C1435" t="str">
            <v>Transporte local em rodov. pavim. (const.)</v>
          </cell>
          <cell r="D1435" t="str">
            <v>tkm</v>
          </cell>
        </row>
        <row r="1436">
          <cell r="A1436" t="str">
            <v>2 S 09 002 40</v>
          </cell>
          <cell r="B1436" t="str">
            <v>-</v>
          </cell>
          <cell r="C1436" t="str">
            <v>Transporte local c/ carroceria em rodov. pavim.</v>
          </cell>
          <cell r="D1436" t="str">
            <v>tkm</v>
          </cell>
        </row>
        <row r="1437">
          <cell r="A1437" t="str">
            <v>2 S 09 002 90</v>
          </cell>
          <cell r="B1437" t="str">
            <v>-</v>
          </cell>
          <cell r="C1437" t="str">
            <v>Transporte comerc. c/ carr. rodov. pavim.</v>
          </cell>
          <cell r="D1437" t="str">
            <v>tkm</v>
          </cell>
        </row>
        <row r="1438">
          <cell r="A1438" t="str">
            <v>2 S 09 002 91</v>
          </cell>
          <cell r="B1438" t="str">
            <v>-</v>
          </cell>
          <cell r="C1438" t="str">
            <v>Transporte comercial c/ basc. 10m3 rod. pav.</v>
          </cell>
          <cell r="D1438" t="str">
            <v>tkm</v>
          </cell>
        </row>
        <row r="1440">
          <cell r="A1440" t="str">
            <v>DNIT - Sistema de Custos Rodoviários</v>
          </cell>
          <cell r="D1440" t="str">
            <v>Sicro2</v>
          </cell>
        </row>
        <row r="1441">
          <cell r="A1441" t="str">
            <v xml:space="preserve">Conservação Rodoviária </v>
          </cell>
          <cell r="D1441" t="str">
            <v>Minas Gerais</v>
          </cell>
        </row>
        <row r="1442">
          <cell r="A1442" t="str">
            <v>Resumo dos Custos Unitários de Referência: Maio de 2005</v>
          </cell>
          <cell r="D1442" t="str">
            <v>RCtR0330</v>
          </cell>
        </row>
        <row r="1444">
          <cell r="A1444" t="str">
            <v>Código</v>
          </cell>
          <cell r="C1444" t="str">
            <v>Atividade / Serviço</v>
          </cell>
          <cell r="D1444" t="str">
            <v>Unidade</v>
          </cell>
          <cell r="F1444" t="str">
            <v>Preço Unitário</v>
          </cell>
        </row>
        <row r="1445">
          <cell r="D1445" t="str">
            <v>Und</v>
          </cell>
          <cell r="E1445" t="str">
            <v>Direto</v>
          </cell>
          <cell r="F1445" t="str">
            <v>LDI</v>
          </cell>
          <cell r="G1445" t="str">
            <v>Total</v>
          </cell>
        </row>
        <row r="1447">
          <cell r="A1447" t="str">
            <v>3 S 01 200 00</v>
          </cell>
          <cell r="B1447" t="str">
            <v>-</v>
          </cell>
          <cell r="C1447" t="str">
            <v>Escavação e carga mat. jazida (consv)</v>
          </cell>
          <cell r="D1447" t="str">
            <v>m³</v>
          </cell>
        </row>
        <row r="1448">
          <cell r="A1448" t="str">
            <v>3 S 01 401 00</v>
          </cell>
          <cell r="B1448" t="str">
            <v>-</v>
          </cell>
          <cell r="C1448" t="str">
            <v>Recomposição de revestimento primário</v>
          </cell>
          <cell r="D1448" t="str">
            <v>m³</v>
          </cell>
        </row>
        <row r="1449">
          <cell r="A1449" t="str">
            <v>3 S 01 930 00</v>
          </cell>
          <cell r="B1449" t="str">
            <v>-</v>
          </cell>
          <cell r="C1449" t="str">
            <v>Regularização mecânica da faixa de domínio</v>
          </cell>
          <cell r="D1449" t="str">
            <v>m³</v>
          </cell>
        </row>
        <row r="1450">
          <cell r="A1450" t="str">
            <v>3 S 02 200 00</v>
          </cell>
          <cell r="B1450" t="str">
            <v>-</v>
          </cell>
          <cell r="C1450" t="str">
            <v>Solo p/ base de remendo profundo</v>
          </cell>
          <cell r="D1450" t="str">
            <v>m³</v>
          </cell>
        </row>
        <row r="1451">
          <cell r="A1451" t="str">
            <v>3 S 02 200 01</v>
          </cell>
          <cell r="B1451" t="str">
            <v>-</v>
          </cell>
          <cell r="C1451" t="str">
            <v>Recomposição de camada granular do pavimento</v>
          </cell>
          <cell r="D1451" t="str">
            <v>m³</v>
          </cell>
        </row>
        <row r="1452">
          <cell r="A1452" t="str">
            <v>3 S 02 220 00</v>
          </cell>
          <cell r="B1452" t="str">
            <v>-</v>
          </cell>
          <cell r="C1452" t="str">
            <v>Solo brita p/ base de rem. profundo</v>
          </cell>
          <cell r="D1452" t="str">
            <v>m³</v>
          </cell>
        </row>
        <row r="1453">
          <cell r="A1453" t="str">
            <v>3 S 02 220 50</v>
          </cell>
          <cell r="B1453" t="str">
            <v>-</v>
          </cell>
          <cell r="C1453" t="str">
            <v>Solo brita p/ base de remendo profundo BC</v>
          </cell>
          <cell r="D1453" t="str">
            <v>m³</v>
          </cell>
        </row>
        <row r="1454">
          <cell r="A1454" t="str">
            <v>3 S 02 230 00</v>
          </cell>
          <cell r="B1454" t="str">
            <v>-</v>
          </cell>
          <cell r="C1454" t="str">
            <v>Brita para base de remendo profundo</v>
          </cell>
          <cell r="D1454" t="str">
            <v>m³</v>
          </cell>
        </row>
        <row r="1455">
          <cell r="A1455" t="str">
            <v>3 S 02 230 50</v>
          </cell>
          <cell r="B1455" t="str">
            <v>-</v>
          </cell>
          <cell r="C1455" t="str">
            <v>Brita para base de remendo profundo BC</v>
          </cell>
          <cell r="D1455" t="str">
            <v>m³</v>
          </cell>
        </row>
        <row r="1456">
          <cell r="A1456" t="str">
            <v>3 S 02 241 00</v>
          </cell>
          <cell r="B1456" t="str">
            <v>-</v>
          </cell>
          <cell r="C1456" t="str">
            <v>Solo melhorado c/ cimento p/ base rem. profundo</v>
          </cell>
          <cell r="D1456" t="str">
            <v>m³</v>
          </cell>
        </row>
        <row r="1457">
          <cell r="A1457" t="str">
            <v>3 S 02 300 00</v>
          </cell>
          <cell r="B1457" t="str">
            <v>-</v>
          </cell>
          <cell r="C1457" t="str">
            <v>Imprimação</v>
          </cell>
          <cell r="D1457" t="str">
            <v>m³</v>
          </cell>
        </row>
        <row r="1458">
          <cell r="A1458" t="str">
            <v>3 S 02 400 00</v>
          </cell>
          <cell r="B1458" t="str">
            <v>-</v>
          </cell>
          <cell r="C1458" t="str">
            <v>Pintura de ligação</v>
          </cell>
          <cell r="D1458" t="str">
            <v>m³</v>
          </cell>
        </row>
        <row r="1459">
          <cell r="A1459" t="str">
            <v>3 S 02 500 00</v>
          </cell>
          <cell r="B1459" t="str">
            <v>-</v>
          </cell>
          <cell r="C1459" t="str">
            <v>Capa selante com pedrisco</v>
          </cell>
          <cell r="D1459" t="str">
            <v>m³</v>
          </cell>
        </row>
        <row r="1460">
          <cell r="A1460" t="str">
            <v>3 S 02 500 01</v>
          </cell>
          <cell r="B1460" t="str">
            <v>-</v>
          </cell>
          <cell r="C1460" t="str">
            <v>Capa selante com areia</v>
          </cell>
          <cell r="D1460" t="str">
            <v>m³</v>
          </cell>
        </row>
        <row r="1461">
          <cell r="A1461" t="str">
            <v>3 S 02 500 02</v>
          </cell>
          <cell r="B1461" t="str">
            <v>-</v>
          </cell>
          <cell r="C1461" t="str">
            <v>Tratamento superficial simples com CAP</v>
          </cell>
          <cell r="D1461" t="str">
            <v>m²</v>
          </cell>
        </row>
        <row r="1462">
          <cell r="A1462" t="str">
            <v>3 S 02 500 03</v>
          </cell>
          <cell r="B1462" t="str">
            <v>-</v>
          </cell>
          <cell r="C1462" t="str">
            <v>Tratamento superficial simples com emulsão</v>
          </cell>
          <cell r="D1462" t="str">
            <v>m²</v>
          </cell>
        </row>
        <row r="1463">
          <cell r="A1463" t="str">
            <v>3 S 02 500 04</v>
          </cell>
          <cell r="B1463" t="str">
            <v>-</v>
          </cell>
          <cell r="C1463" t="str">
            <v>Tratamento superficial simples c/ banho diluído</v>
          </cell>
          <cell r="D1463" t="str">
            <v>m²</v>
          </cell>
        </row>
        <row r="1464">
          <cell r="A1464" t="str">
            <v>3 S 02 500 50</v>
          </cell>
          <cell r="B1464" t="str">
            <v>-</v>
          </cell>
          <cell r="C1464" t="str">
            <v>Capa selante com pedrisco BC</v>
          </cell>
          <cell r="D1464" t="str">
            <v>m²</v>
          </cell>
        </row>
        <row r="1465">
          <cell r="A1465" t="str">
            <v>3 S 02 500 51</v>
          </cell>
          <cell r="B1465" t="str">
            <v>-</v>
          </cell>
          <cell r="C1465" t="str">
            <v>Capa selante com areia AC</v>
          </cell>
          <cell r="D1465" t="str">
            <v>m²</v>
          </cell>
        </row>
        <row r="1466">
          <cell r="A1466" t="str">
            <v>3 S 02 500 52</v>
          </cell>
          <cell r="B1466" t="str">
            <v>-</v>
          </cell>
          <cell r="C1466" t="str">
            <v>Tratamento superficial simples com CAP BC</v>
          </cell>
          <cell r="D1466" t="str">
            <v>m²</v>
          </cell>
        </row>
        <row r="1467">
          <cell r="A1467" t="str">
            <v>3 S 02 500 53</v>
          </cell>
          <cell r="B1467" t="str">
            <v>-</v>
          </cell>
          <cell r="C1467" t="str">
            <v>Tratamento superficial simples com emulsão BC</v>
          </cell>
          <cell r="D1467" t="str">
            <v>m²</v>
          </cell>
        </row>
        <row r="1468">
          <cell r="A1468" t="str">
            <v>3 S 02 500 54</v>
          </cell>
          <cell r="B1468" t="str">
            <v>-</v>
          </cell>
          <cell r="C1468" t="str">
            <v>Tratam.superficial simples c/banho diluído BC</v>
          </cell>
          <cell r="D1468" t="str">
            <v>m²</v>
          </cell>
        </row>
        <row r="1469">
          <cell r="A1469" t="str">
            <v>3 S 02 501 00</v>
          </cell>
          <cell r="B1469" t="str">
            <v>-</v>
          </cell>
          <cell r="C1469" t="str">
            <v>Tratamento superficial duplo c/ CAP</v>
          </cell>
          <cell r="D1469" t="str">
            <v>m²</v>
          </cell>
        </row>
        <row r="1470">
          <cell r="A1470" t="str">
            <v>3 S 02 501 01</v>
          </cell>
          <cell r="B1470" t="str">
            <v>-</v>
          </cell>
          <cell r="C1470" t="str">
            <v>Tratamento superficial duplo com emulsão</v>
          </cell>
          <cell r="D1470" t="str">
            <v>m²</v>
          </cell>
        </row>
        <row r="1471">
          <cell r="A1471" t="str">
            <v>3 S 02 501 02</v>
          </cell>
          <cell r="B1471" t="str">
            <v>-</v>
          </cell>
          <cell r="C1471" t="str">
            <v>Tratamento superficial duplo com banho diluído</v>
          </cell>
          <cell r="D1471" t="str">
            <v>m²</v>
          </cell>
        </row>
        <row r="1472">
          <cell r="A1472" t="str">
            <v>3 S 02 501 50</v>
          </cell>
          <cell r="B1472" t="str">
            <v>-</v>
          </cell>
          <cell r="C1472" t="str">
            <v>Tratamento superficial duplo c/ CAP BC</v>
          </cell>
          <cell r="D1472" t="str">
            <v>m²</v>
          </cell>
        </row>
        <row r="1473">
          <cell r="A1473" t="str">
            <v>3 S 02 501 51</v>
          </cell>
          <cell r="B1473" t="str">
            <v>-</v>
          </cell>
          <cell r="C1473" t="str">
            <v>Tratamento superficial duplo com emulsão BC</v>
          </cell>
          <cell r="D1473" t="str">
            <v>m²</v>
          </cell>
        </row>
        <row r="1474">
          <cell r="A1474" t="str">
            <v>3 S 02 501 52</v>
          </cell>
          <cell r="B1474" t="str">
            <v>-</v>
          </cell>
          <cell r="C1474" t="str">
            <v>Tratam.superficial duplo com banho diluído BC</v>
          </cell>
          <cell r="D1474" t="str">
            <v>m²</v>
          </cell>
        </row>
        <row r="1475">
          <cell r="A1475" t="str">
            <v>3 S 02 502 00</v>
          </cell>
          <cell r="B1475" t="str">
            <v>-</v>
          </cell>
          <cell r="C1475" t="str">
            <v>Tratamento superficial triplo com c.a.p.</v>
          </cell>
          <cell r="D1475" t="str">
            <v>m²</v>
          </cell>
        </row>
        <row r="1476">
          <cell r="A1476" t="str">
            <v>3 S 02 502 01</v>
          </cell>
          <cell r="B1476" t="str">
            <v>-</v>
          </cell>
          <cell r="C1476" t="str">
            <v>Tratamento superficial triplo com emulsão</v>
          </cell>
          <cell r="D1476" t="str">
            <v>m²</v>
          </cell>
        </row>
        <row r="1477">
          <cell r="A1477" t="str">
            <v>3 S 02 502 02</v>
          </cell>
          <cell r="B1477" t="str">
            <v>-</v>
          </cell>
          <cell r="C1477" t="str">
            <v>Tratamento superficial triplo com banho diluído</v>
          </cell>
          <cell r="D1477" t="str">
            <v>m²</v>
          </cell>
        </row>
        <row r="1478">
          <cell r="A1478" t="str">
            <v>3 S 02 502 50</v>
          </cell>
          <cell r="B1478" t="str">
            <v>-</v>
          </cell>
          <cell r="C1478" t="str">
            <v>Tratamento superficial triplo com CAP BC</v>
          </cell>
          <cell r="D1478" t="str">
            <v>m²</v>
          </cell>
        </row>
        <row r="1479">
          <cell r="A1479" t="str">
            <v>3 S 02 502 51</v>
          </cell>
          <cell r="B1479" t="str">
            <v>-</v>
          </cell>
          <cell r="C1479" t="str">
            <v>Tratamento superficial triplo com emulsão BC</v>
          </cell>
          <cell r="D1479" t="str">
            <v>m²</v>
          </cell>
        </row>
        <row r="1480">
          <cell r="A1480" t="str">
            <v>3 S 02 502 52</v>
          </cell>
          <cell r="B1480" t="str">
            <v>-</v>
          </cell>
          <cell r="C1480" t="str">
            <v>Tratam.superficial triplo com banho diluído BC</v>
          </cell>
          <cell r="D1480" t="str">
            <v>m²</v>
          </cell>
        </row>
        <row r="1481">
          <cell r="A1481" t="str">
            <v>3 S 02 510 00</v>
          </cell>
          <cell r="B1481" t="str">
            <v>-</v>
          </cell>
          <cell r="C1481" t="str">
            <v>Lama asfáltica fina (granulometrias I e II )</v>
          </cell>
          <cell r="D1481" t="str">
            <v>m²</v>
          </cell>
        </row>
        <row r="1482">
          <cell r="A1482" t="str">
            <v>3 S 02 510 01</v>
          </cell>
          <cell r="B1482" t="str">
            <v>-</v>
          </cell>
          <cell r="C1482" t="str">
            <v>Lama asfáltica grossa (granulometrias III e IV)</v>
          </cell>
          <cell r="D1482" t="str">
            <v>m²</v>
          </cell>
        </row>
        <row r="1483">
          <cell r="A1483" t="str">
            <v>3 S 02 510 50</v>
          </cell>
          <cell r="B1483" t="str">
            <v>-</v>
          </cell>
          <cell r="C1483" t="str">
            <v>Lama asfáltica fina (granulometrias I e II ) AC/BC</v>
          </cell>
          <cell r="D1483" t="str">
            <v>m²</v>
          </cell>
        </row>
        <row r="1484">
          <cell r="A1484" t="str">
            <v>3 S 02 510 51</v>
          </cell>
          <cell r="B1484" t="str">
            <v>-</v>
          </cell>
          <cell r="C1484" t="str">
            <v>Lama asfált.grossa (granulometrias III e IV)AC/BC</v>
          </cell>
          <cell r="D1484" t="str">
            <v>m²</v>
          </cell>
        </row>
        <row r="1485">
          <cell r="A1485" t="str">
            <v>3 S 02 520 00</v>
          </cell>
          <cell r="B1485" t="str">
            <v>-</v>
          </cell>
          <cell r="C1485" t="str">
            <v>Mistura areia-asfalto em betoneira</v>
          </cell>
          <cell r="D1485" t="str">
            <v>m³</v>
          </cell>
        </row>
        <row r="1486">
          <cell r="A1486" t="str">
            <v>3 S 02 520 01</v>
          </cell>
          <cell r="B1486" t="str">
            <v>-</v>
          </cell>
          <cell r="C1486" t="str">
            <v>Mistura areia-asfalto usinada a frio</v>
          </cell>
          <cell r="D1486" t="str">
            <v>m³</v>
          </cell>
        </row>
        <row r="1487">
          <cell r="A1487" t="str">
            <v>3 S 02 520 02</v>
          </cell>
          <cell r="B1487" t="str">
            <v>-</v>
          </cell>
          <cell r="C1487" t="str">
            <v>Rec.do rev. com areia asfalto a frio</v>
          </cell>
          <cell r="D1487" t="str">
            <v>m³</v>
          </cell>
        </row>
        <row r="1488">
          <cell r="A1488" t="str">
            <v>3 S 02 520 50</v>
          </cell>
          <cell r="B1488" t="str">
            <v>-</v>
          </cell>
          <cell r="C1488" t="str">
            <v>Mistura areia-asfalto em betoneira AC</v>
          </cell>
          <cell r="D1488" t="str">
            <v>m³</v>
          </cell>
        </row>
        <row r="1489">
          <cell r="A1489" t="str">
            <v>3 S 02 520 51</v>
          </cell>
          <cell r="B1489" t="str">
            <v>-</v>
          </cell>
          <cell r="C1489" t="str">
            <v>Mistura areia-asfalto usinada a frio AC</v>
          </cell>
          <cell r="D1489" t="str">
            <v>m³</v>
          </cell>
        </row>
        <row r="1490">
          <cell r="A1490" t="str">
            <v>3 S 02 521 00</v>
          </cell>
          <cell r="B1490" t="str">
            <v>-</v>
          </cell>
          <cell r="C1490" t="str">
            <v>Mistura areia-asfalto usinada a quente</v>
          </cell>
          <cell r="D1490" t="str">
            <v>m³</v>
          </cell>
        </row>
        <row r="1491">
          <cell r="A1491" t="str">
            <v>3 S 02 521 01</v>
          </cell>
          <cell r="B1491" t="str">
            <v>-</v>
          </cell>
          <cell r="C1491" t="str">
            <v>Rec. do rev. com areia asfalto a quente</v>
          </cell>
          <cell r="D1491" t="str">
            <v>m³</v>
          </cell>
        </row>
        <row r="1492">
          <cell r="A1492" t="str">
            <v>3 S 02 521 50</v>
          </cell>
          <cell r="B1492" t="str">
            <v>-</v>
          </cell>
          <cell r="C1492" t="str">
            <v>Mistura areia-asfalto usinada a quente AC</v>
          </cell>
          <cell r="D1492" t="str">
            <v>m³</v>
          </cell>
        </row>
        <row r="1493">
          <cell r="A1493" t="str">
            <v>3 S 02 530 00</v>
          </cell>
          <cell r="B1493" t="str">
            <v>-</v>
          </cell>
          <cell r="C1493" t="str">
            <v>Mistura betuminosa em betoneira</v>
          </cell>
          <cell r="D1493" t="str">
            <v>m³</v>
          </cell>
        </row>
        <row r="1494">
          <cell r="A1494" t="str">
            <v>3 S 02 530 01</v>
          </cell>
          <cell r="B1494" t="str">
            <v>-</v>
          </cell>
          <cell r="C1494" t="str">
            <v>Mistura betuminosa usinada a frio</v>
          </cell>
          <cell r="D1494" t="str">
            <v>m³</v>
          </cell>
        </row>
        <row r="1495">
          <cell r="A1495" t="str">
            <v>3 S 02 530 02</v>
          </cell>
          <cell r="B1495" t="str">
            <v>-</v>
          </cell>
          <cell r="C1495" t="str">
            <v>Rec.do rev. com mistura betuminosa a frio</v>
          </cell>
          <cell r="D1495" t="str">
            <v>m³</v>
          </cell>
        </row>
        <row r="1496">
          <cell r="A1496" t="str">
            <v>3 S 02 530 50</v>
          </cell>
          <cell r="B1496" t="str">
            <v>-</v>
          </cell>
          <cell r="C1496" t="str">
            <v>Mistura betuminosa em betoneira AC/BC</v>
          </cell>
          <cell r="D1496" t="str">
            <v>m³</v>
          </cell>
        </row>
        <row r="1497">
          <cell r="A1497" t="str">
            <v>3 S 02 530 51</v>
          </cell>
          <cell r="B1497" t="str">
            <v>-</v>
          </cell>
          <cell r="C1497" t="str">
            <v>Mistura betuminosa usinada a frio AC/BC</v>
          </cell>
          <cell r="D1497" t="str">
            <v>m³</v>
          </cell>
        </row>
        <row r="1498">
          <cell r="A1498" t="str">
            <v>3 S 02 540 00</v>
          </cell>
          <cell r="B1498" t="str">
            <v>-</v>
          </cell>
          <cell r="C1498" t="str">
            <v>Mistura betuminosa usinada a quente</v>
          </cell>
          <cell r="D1498" t="str">
            <v>m³</v>
          </cell>
        </row>
        <row r="1499">
          <cell r="A1499" t="str">
            <v>3 S 02 540 01</v>
          </cell>
          <cell r="B1499" t="str">
            <v>-</v>
          </cell>
          <cell r="C1499" t="str">
            <v>Rec.do rev.com mistura betuminosa a quente</v>
          </cell>
          <cell r="D1499" t="str">
            <v>m³</v>
          </cell>
        </row>
        <row r="1500">
          <cell r="A1500" t="str">
            <v>3 S 02 540 50</v>
          </cell>
          <cell r="B1500" t="str">
            <v>-</v>
          </cell>
          <cell r="C1500" t="str">
            <v>Mistura betuminosa usinada a quente AC/BC</v>
          </cell>
          <cell r="D1500" t="str">
            <v>m³</v>
          </cell>
        </row>
        <row r="1501">
          <cell r="A1501" t="str">
            <v>3 S 02 601 00</v>
          </cell>
          <cell r="B1501" t="str">
            <v>-</v>
          </cell>
          <cell r="C1501" t="str">
            <v>Recomposição de placa de concreto</v>
          </cell>
          <cell r="D1501" t="str">
            <v>m³</v>
          </cell>
        </row>
        <row r="1502">
          <cell r="A1502" t="str">
            <v>3 S 02 601 50</v>
          </cell>
          <cell r="B1502" t="str">
            <v>-</v>
          </cell>
          <cell r="C1502" t="str">
            <v>Recomposição de placa de concreto AC/BC</v>
          </cell>
          <cell r="D1502" t="str">
            <v>m³</v>
          </cell>
        </row>
        <row r="1503">
          <cell r="A1503" t="str">
            <v>3 S 02 900 00</v>
          </cell>
          <cell r="B1503" t="str">
            <v>-</v>
          </cell>
          <cell r="C1503" t="str">
            <v>Remoção mecanizada de revestimento betuminoso</v>
          </cell>
          <cell r="D1503" t="str">
            <v>m³</v>
          </cell>
          <cell r="H1503" t="str">
            <v>DNER-ES-321/97</v>
          </cell>
        </row>
        <row r="1504">
          <cell r="A1504" t="str">
            <v>3 S 02 901 00</v>
          </cell>
          <cell r="B1504" t="str">
            <v>-</v>
          </cell>
          <cell r="C1504" t="str">
            <v>Remoção manual de revestimento betuminoso</v>
          </cell>
          <cell r="D1504" t="str">
            <v>m³</v>
          </cell>
          <cell r="H1504" t="str">
            <v>DNER-ES-321/97</v>
          </cell>
        </row>
        <row r="1505">
          <cell r="A1505" t="str">
            <v>3 S 02 902 00</v>
          </cell>
          <cell r="B1505" t="str">
            <v>-</v>
          </cell>
          <cell r="C1505" t="str">
            <v>Remoção mecanizada da camada granular do pavimento</v>
          </cell>
          <cell r="D1505" t="str">
            <v>m³</v>
          </cell>
          <cell r="H1505" t="str">
            <v>DNER-ES-321/97</v>
          </cell>
        </row>
        <row r="1506">
          <cell r="A1506" t="str">
            <v>3 S 02 903 00</v>
          </cell>
          <cell r="B1506" t="str">
            <v>-</v>
          </cell>
          <cell r="C1506" t="str">
            <v>Remoção manual da camada granular do pavimento</v>
          </cell>
          <cell r="D1506" t="str">
            <v>m³</v>
          </cell>
          <cell r="H1506" t="str">
            <v>DNER-ES-321/97</v>
          </cell>
        </row>
        <row r="1507">
          <cell r="A1507" t="str">
            <v>3 S 02 999 00</v>
          </cell>
          <cell r="B1507" t="str">
            <v>-</v>
          </cell>
          <cell r="C1507" t="str">
            <v>Peneiramento</v>
          </cell>
          <cell r="D1507" t="str">
            <v>m³</v>
          </cell>
        </row>
        <row r="1508">
          <cell r="A1508" t="str">
            <v>3 S 03 310 00</v>
          </cell>
          <cell r="B1508" t="str">
            <v>-</v>
          </cell>
          <cell r="C1508" t="str">
            <v>Concreto ciclópico</v>
          </cell>
          <cell r="D1508" t="str">
            <v>m³</v>
          </cell>
        </row>
        <row r="1509">
          <cell r="A1509" t="str">
            <v>3 S 03 310 50</v>
          </cell>
          <cell r="B1509" t="str">
            <v>-</v>
          </cell>
          <cell r="C1509" t="str">
            <v>Concreto ciclópico AC/BC/PC</v>
          </cell>
          <cell r="D1509" t="str">
            <v>m³</v>
          </cell>
        </row>
        <row r="1510">
          <cell r="A1510" t="str">
            <v>3 S 03 329 00</v>
          </cell>
          <cell r="B1510" t="str">
            <v>-</v>
          </cell>
          <cell r="C1510" t="str">
            <v>Concreto de cimento (confecção e lançamento)</v>
          </cell>
          <cell r="D1510" t="str">
            <v>m³</v>
          </cell>
        </row>
        <row r="1511">
          <cell r="A1511" t="str">
            <v>3 S 03 329 01</v>
          </cell>
          <cell r="B1511" t="str">
            <v>-</v>
          </cell>
          <cell r="C1511" t="str">
            <v>Concreto de cimento(confecção manual e lançamento)</v>
          </cell>
          <cell r="D1511" t="str">
            <v>m³</v>
          </cell>
        </row>
        <row r="1512">
          <cell r="A1512" t="str">
            <v>3 S 03 329 50</v>
          </cell>
          <cell r="B1512" t="str">
            <v>-</v>
          </cell>
          <cell r="C1512" t="str">
            <v>Concreto de cimento (confecção e lançamento) AC/BC</v>
          </cell>
          <cell r="D1512" t="str">
            <v>m³</v>
          </cell>
        </row>
        <row r="1513">
          <cell r="A1513" t="str">
            <v>3 S 03 329 51</v>
          </cell>
          <cell r="B1513" t="str">
            <v>-</v>
          </cell>
          <cell r="C1513" t="str">
            <v>Concr.de cimento (conf.manual lançamento) AC/BC</v>
          </cell>
          <cell r="D1513" t="str">
            <v>m³</v>
          </cell>
        </row>
        <row r="1514">
          <cell r="A1514" t="str">
            <v>3 S 03 340 02</v>
          </cell>
          <cell r="B1514" t="str">
            <v>-</v>
          </cell>
          <cell r="C1514" t="str">
            <v>Argamassa cimento areia 1-6</v>
          </cell>
          <cell r="D1514" t="str">
            <v>m³</v>
          </cell>
        </row>
        <row r="1515">
          <cell r="A1515" t="str">
            <v>3 S 03 340 03</v>
          </cell>
          <cell r="B1515" t="str">
            <v>-</v>
          </cell>
          <cell r="C1515" t="str">
            <v>Argamassa cimento solo 1:10</v>
          </cell>
          <cell r="D1515" t="str">
            <v>m³</v>
          </cell>
        </row>
        <row r="1516">
          <cell r="A1516" t="str">
            <v>3 S 03 340 52</v>
          </cell>
          <cell r="B1516" t="str">
            <v>-</v>
          </cell>
          <cell r="C1516" t="str">
            <v>Argamassa cimento areia 1-6 AC</v>
          </cell>
          <cell r="D1516" t="str">
            <v>m³</v>
          </cell>
        </row>
        <row r="1517">
          <cell r="A1517" t="str">
            <v>3 S 03 353 00</v>
          </cell>
          <cell r="B1517" t="str">
            <v>-</v>
          </cell>
          <cell r="C1517" t="str">
            <v>Dobragem e colocação de armadura</v>
          </cell>
          <cell r="D1517" t="str">
            <v>Kg</v>
          </cell>
        </row>
        <row r="1518">
          <cell r="A1518" t="str">
            <v>3 S 03 370 00</v>
          </cell>
          <cell r="B1518" t="str">
            <v>-</v>
          </cell>
          <cell r="C1518" t="str">
            <v>Forma comum de madeira</v>
          </cell>
          <cell r="D1518" t="str">
            <v>m²</v>
          </cell>
        </row>
        <row r="1519">
          <cell r="A1519" t="str">
            <v>3 S 03 940 01</v>
          </cell>
          <cell r="B1519" t="str">
            <v>-</v>
          </cell>
          <cell r="C1519" t="str">
            <v>Reaterro e compactação p/ bueiro</v>
          </cell>
          <cell r="D1519" t="str">
            <v>m³</v>
          </cell>
        </row>
        <row r="1520">
          <cell r="A1520" t="str">
            <v>3 S 03 940 02</v>
          </cell>
          <cell r="B1520" t="str">
            <v>-</v>
          </cell>
          <cell r="C1520" t="str">
            <v>Reaterro apiloado</v>
          </cell>
          <cell r="D1520" t="str">
            <v>m³</v>
          </cell>
        </row>
        <row r="1521">
          <cell r="A1521" t="str">
            <v>3 S 03 950 00</v>
          </cell>
          <cell r="B1521" t="str">
            <v>-</v>
          </cell>
          <cell r="C1521" t="str">
            <v>Limpeza de ponte</v>
          </cell>
          <cell r="D1521" t="str">
            <v>m</v>
          </cell>
        </row>
        <row r="1522">
          <cell r="A1522" t="str">
            <v>3 S 04 000 00</v>
          </cell>
          <cell r="B1522" t="str">
            <v>-</v>
          </cell>
          <cell r="C1522" t="str">
            <v>Escavação manual em material de 1a categoria</v>
          </cell>
          <cell r="D1522" t="str">
            <v>m³</v>
          </cell>
        </row>
        <row r="1523">
          <cell r="A1523" t="str">
            <v>3 S 04 000 01</v>
          </cell>
          <cell r="B1523" t="str">
            <v>-</v>
          </cell>
          <cell r="C1523" t="str">
            <v>Escavação manual em material de 2a categoria</v>
          </cell>
          <cell r="D1523" t="str">
            <v>m³</v>
          </cell>
        </row>
        <row r="1524">
          <cell r="A1524" t="str">
            <v>3 S 04 001 00</v>
          </cell>
          <cell r="B1524" t="str">
            <v>-</v>
          </cell>
          <cell r="C1524" t="str">
            <v>Escavação mecaniz. de vala em mater. de 1a cat.</v>
          </cell>
          <cell r="D1524" t="str">
            <v>m³</v>
          </cell>
        </row>
        <row r="1525">
          <cell r="A1525" t="str">
            <v>3 S 04 010 00</v>
          </cell>
          <cell r="B1525" t="str">
            <v>-</v>
          </cell>
          <cell r="C1525" t="str">
            <v>Escavação mecaniz.de vala em material de 2a cat.</v>
          </cell>
          <cell r="D1525" t="str">
            <v>m³</v>
          </cell>
        </row>
        <row r="1526">
          <cell r="A1526" t="str">
            <v>3 S 04 020 00</v>
          </cell>
          <cell r="B1526" t="str">
            <v>-</v>
          </cell>
          <cell r="C1526" t="str">
            <v>Escavação e carga de material de 3a cat. em valas</v>
          </cell>
          <cell r="D1526" t="str">
            <v>m³</v>
          </cell>
        </row>
        <row r="1527">
          <cell r="A1527" t="str">
            <v>3 S 04 300 16</v>
          </cell>
          <cell r="B1527" t="str">
            <v>-</v>
          </cell>
          <cell r="C1527" t="str">
            <v>Bueiro met. chapa múltipla D=1,60m galv.</v>
          </cell>
          <cell r="D1527" t="str">
            <v>m</v>
          </cell>
        </row>
        <row r="1528">
          <cell r="A1528" t="str">
            <v>3 S 04 300 20</v>
          </cell>
          <cell r="B1528" t="str">
            <v>-</v>
          </cell>
          <cell r="C1528" t="str">
            <v>Bueiro met. chapa múltipla D=2,00m galv.</v>
          </cell>
          <cell r="D1528" t="str">
            <v>m</v>
          </cell>
        </row>
        <row r="1529">
          <cell r="A1529" t="str">
            <v>3 S 04 300 66</v>
          </cell>
          <cell r="B1529" t="str">
            <v>-</v>
          </cell>
          <cell r="C1529" t="str">
            <v>Bueiro met. chapa múltipla D=1,60m galvan. BC</v>
          </cell>
          <cell r="D1529" t="str">
            <v>m</v>
          </cell>
        </row>
        <row r="1530">
          <cell r="A1530" t="str">
            <v>3 S 04 300 70</v>
          </cell>
          <cell r="B1530" t="str">
            <v>-</v>
          </cell>
          <cell r="C1530" t="str">
            <v>Bueiro met. chapa múltipla D=2,00m galvan. BC</v>
          </cell>
          <cell r="D1530" t="str">
            <v>m</v>
          </cell>
        </row>
        <row r="1531">
          <cell r="A1531" t="str">
            <v>3 S 04 301 16</v>
          </cell>
          <cell r="B1531" t="str">
            <v>-</v>
          </cell>
          <cell r="C1531" t="str">
            <v>Bueiro met.chapas múlt. D=1,60 m rev. epoxy</v>
          </cell>
          <cell r="D1531" t="str">
            <v>m</v>
          </cell>
        </row>
        <row r="1532">
          <cell r="A1532" t="str">
            <v>3 S 04 301 20</v>
          </cell>
          <cell r="B1532" t="str">
            <v>-</v>
          </cell>
          <cell r="C1532" t="str">
            <v>Bueiro met. chapas múlt. D=2,00 m rev. epoxy</v>
          </cell>
          <cell r="D1532" t="str">
            <v>m</v>
          </cell>
        </row>
        <row r="1533">
          <cell r="A1533" t="str">
            <v>3 S 04 301 66</v>
          </cell>
          <cell r="B1533" t="str">
            <v>-</v>
          </cell>
          <cell r="C1533" t="str">
            <v>Bueiro met. chapas múlt. D=1,60 m rev. Epoxy BC</v>
          </cell>
          <cell r="D1533" t="str">
            <v>m</v>
          </cell>
        </row>
        <row r="1534">
          <cell r="A1534" t="str">
            <v>3 S 04 301 70</v>
          </cell>
          <cell r="B1534" t="str">
            <v>-</v>
          </cell>
          <cell r="C1534" t="str">
            <v>Bueiro met. chapas múlt. D=2,00 m rev. epoxy BC</v>
          </cell>
          <cell r="D1534" t="str">
            <v>m</v>
          </cell>
        </row>
        <row r="1535">
          <cell r="A1535" t="str">
            <v>3 S 04 310 12</v>
          </cell>
          <cell r="B1535" t="str">
            <v>-</v>
          </cell>
          <cell r="C1535" t="str">
            <v>Bueiro met. s/interrupção tráf. D=1,20 m galv.</v>
          </cell>
          <cell r="D1535" t="str">
            <v>m</v>
          </cell>
        </row>
        <row r="1536">
          <cell r="A1536" t="str">
            <v>3 S 04 310 16</v>
          </cell>
          <cell r="B1536" t="str">
            <v>-</v>
          </cell>
          <cell r="C1536" t="str">
            <v>Bueiro met. s/interrupção tráf. D=1,60 m galv.</v>
          </cell>
          <cell r="D1536" t="str">
            <v>m</v>
          </cell>
        </row>
        <row r="1537">
          <cell r="A1537" t="str">
            <v>3 S 04 310 20</v>
          </cell>
          <cell r="B1537" t="str">
            <v>-</v>
          </cell>
          <cell r="C1537" t="str">
            <v>Bueiro met. s/interrupção tráf. D=2,00 m galv.</v>
          </cell>
          <cell r="D1537" t="str">
            <v>m</v>
          </cell>
        </row>
        <row r="1538">
          <cell r="A1538" t="str">
            <v>3 S 04 311 12</v>
          </cell>
          <cell r="B1538" t="str">
            <v>-</v>
          </cell>
          <cell r="C1538" t="str">
            <v>Bueiro met.s/interrupção tráf. D=1,20 m rev. epoxy</v>
          </cell>
          <cell r="D1538" t="str">
            <v>m</v>
          </cell>
        </row>
        <row r="1539">
          <cell r="A1539" t="str">
            <v>3 S 04 311 16</v>
          </cell>
          <cell r="B1539" t="str">
            <v>-</v>
          </cell>
          <cell r="C1539" t="str">
            <v>Bueiro met.s/interrupção tráf. D=1,60 m rev. epoxy</v>
          </cell>
          <cell r="D1539" t="str">
            <v>m</v>
          </cell>
        </row>
        <row r="1540">
          <cell r="A1540" t="str">
            <v>3 S 04 311 20</v>
          </cell>
          <cell r="B1540" t="str">
            <v>-</v>
          </cell>
          <cell r="C1540" t="str">
            <v>Bueiro met.s/interrupção tráf. D=2,00 m rev. epoxy</v>
          </cell>
          <cell r="D1540" t="str">
            <v>m</v>
          </cell>
        </row>
        <row r="1541">
          <cell r="A1541" t="str">
            <v>3 S 04 590 00</v>
          </cell>
          <cell r="B1541" t="str">
            <v>-</v>
          </cell>
          <cell r="C1541" t="str">
            <v>Assentamento de dreno profundo</v>
          </cell>
          <cell r="D1541" t="str">
            <v>m</v>
          </cell>
        </row>
        <row r="1542">
          <cell r="A1542" t="str">
            <v>3 S 04 590 50</v>
          </cell>
          <cell r="B1542" t="str">
            <v>-</v>
          </cell>
          <cell r="C1542" t="str">
            <v>Assentamento de dreno profundo AC/BC</v>
          </cell>
          <cell r="D1542" t="str">
            <v>m</v>
          </cell>
        </row>
        <row r="1543">
          <cell r="A1543" t="str">
            <v>3 S 04 999 08</v>
          </cell>
          <cell r="B1543" t="str">
            <v>-</v>
          </cell>
          <cell r="C1543" t="str">
            <v>Selo de argila apiloado com solo local</v>
          </cell>
          <cell r="D1543" t="str">
            <v>m³</v>
          </cell>
        </row>
        <row r="1544">
          <cell r="A1544" t="str">
            <v>3 S 05 000 00</v>
          </cell>
          <cell r="B1544" t="str">
            <v>-</v>
          </cell>
          <cell r="C1544" t="str">
            <v>Enrocamento de pedra arrumada</v>
          </cell>
          <cell r="D1544" t="str">
            <v>m³</v>
          </cell>
        </row>
        <row r="1545">
          <cell r="A1545" t="str">
            <v>3 S 05 001 00</v>
          </cell>
          <cell r="B1545" t="str">
            <v>-</v>
          </cell>
          <cell r="C1545" t="str">
            <v>Enrocamento de pedra jogada</v>
          </cell>
          <cell r="D1545" t="str">
            <v>m³</v>
          </cell>
        </row>
        <row r="1546">
          <cell r="A1546" t="str">
            <v>3 S 05 101 01</v>
          </cell>
          <cell r="B1546" t="str">
            <v>-</v>
          </cell>
          <cell r="C1546" t="str">
            <v>Revestimento vegetal com mudas</v>
          </cell>
          <cell r="D1546" t="str">
            <v>m²</v>
          </cell>
        </row>
        <row r="1547">
          <cell r="A1547" t="str">
            <v>3 S 05 101 02</v>
          </cell>
          <cell r="B1547" t="str">
            <v>-</v>
          </cell>
          <cell r="C1547" t="str">
            <v>Revestimento vegetal com grama em leivas</v>
          </cell>
          <cell r="D1547" t="str">
            <v>m²</v>
          </cell>
        </row>
        <row r="1548">
          <cell r="A1548" t="str">
            <v>3 S 08 001 00</v>
          </cell>
          <cell r="B1548" t="str">
            <v>-</v>
          </cell>
          <cell r="C1548" t="str">
            <v>Reconformação da plataforma</v>
          </cell>
          <cell r="D1548" t="str">
            <v>ha</v>
          </cell>
        </row>
        <row r="1549">
          <cell r="A1549" t="str">
            <v>3 S 08 100 00</v>
          </cell>
          <cell r="B1549" t="str">
            <v>-</v>
          </cell>
          <cell r="C1549" t="str">
            <v>Tapa buraco</v>
          </cell>
          <cell r="D1549" t="str">
            <v>m³</v>
          </cell>
        </row>
        <row r="1550">
          <cell r="A1550" t="str">
            <v>3 S 08 101 01</v>
          </cell>
          <cell r="B1550" t="str">
            <v>-</v>
          </cell>
          <cell r="C1550" t="str">
            <v>Remendo profundo com demolição manual</v>
          </cell>
          <cell r="D1550" t="str">
            <v>m³</v>
          </cell>
        </row>
        <row r="1551">
          <cell r="A1551" t="str">
            <v>3 S 08 101 02</v>
          </cell>
          <cell r="B1551" t="str">
            <v>-</v>
          </cell>
          <cell r="C1551" t="str">
            <v>Remendo profundo com demolição mecanizada</v>
          </cell>
          <cell r="D1551" t="str">
            <v>m³</v>
          </cell>
        </row>
        <row r="1552">
          <cell r="A1552" t="str">
            <v>3 S 08 102 00</v>
          </cell>
          <cell r="B1552" t="str">
            <v>-</v>
          </cell>
          <cell r="C1552" t="str">
            <v>Limpeza ench. juntas pav. concr. a quente (consv)</v>
          </cell>
          <cell r="D1552" t="str">
            <v>m</v>
          </cell>
        </row>
        <row r="1553">
          <cell r="A1553" t="str">
            <v>3 S 08 102 01</v>
          </cell>
          <cell r="B1553" t="str">
            <v>-</v>
          </cell>
          <cell r="C1553" t="str">
            <v>Limpeza ench. juntas pav. concr. a frio (consv)</v>
          </cell>
          <cell r="D1553" t="str">
            <v>m</v>
          </cell>
        </row>
        <row r="1554">
          <cell r="A1554" t="str">
            <v>3 S 08 102 51</v>
          </cell>
          <cell r="B1554" t="str">
            <v>-</v>
          </cell>
          <cell r="C1554" t="str">
            <v>Limpeza ench.juntas pav.concr.a frio(consv) AC</v>
          </cell>
          <cell r="D1554" t="str">
            <v>m</v>
          </cell>
        </row>
        <row r="1555">
          <cell r="A1555" t="str">
            <v>3 S 08 103 00</v>
          </cell>
          <cell r="B1555" t="str">
            <v>-</v>
          </cell>
          <cell r="C1555" t="str">
            <v>Selagem de trinca</v>
          </cell>
          <cell r="D1555" t="str">
            <v>I</v>
          </cell>
        </row>
        <row r="1556">
          <cell r="A1556" t="str">
            <v>3 S 08 103 50</v>
          </cell>
          <cell r="B1556" t="str">
            <v>-</v>
          </cell>
          <cell r="C1556" t="str">
            <v>Selagem de trinca AC</v>
          </cell>
          <cell r="D1556" t="str">
            <v>I</v>
          </cell>
        </row>
        <row r="1557">
          <cell r="A1557" t="str">
            <v>3 S 08 104 01</v>
          </cell>
          <cell r="B1557" t="str">
            <v>-</v>
          </cell>
          <cell r="C1557" t="str">
            <v>Combate à exsudação com areia</v>
          </cell>
          <cell r="D1557" t="str">
            <v>m²</v>
          </cell>
        </row>
        <row r="1558">
          <cell r="A1558" t="str">
            <v>3 S 08 104 02</v>
          </cell>
          <cell r="B1558" t="str">
            <v>-</v>
          </cell>
          <cell r="C1558" t="str">
            <v>Combate à exsudação com pedrisco</v>
          </cell>
          <cell r="D1558" t="str">
            <v>m²</v>
          </cell>
        </row>
        <row r="1559">
          <cell r="A1559" t="str">
            <v>3 S 08 104 51</v>
          </cell>
          <cell r="B1559" t="str">
            <v>-</v>
          </cell>
          <cell r="C1559" t="str">
            <v>Combate à exsudação com areia AC</v>
          </cell>
          <cell r="D1559" t="str">
            <v>m²</v>
          </cell>
        </row>
        <row r="1560">
          <cell r="A1560" t="str">
            <v>3 S 08 104 52</v>
          </cell>
          <cell r="B1560" t="str">
            <v>-</v>
          </cell>
          <cell r="C1560" t="str">
            <v>Combate à exsudação com pedrisco BC</v>
          </cell>
          <cell r="D1560" t="str">
            <v>m²</v>
          </cell>
        </row>
        <row r="1561">
          <cell r="A1561" t="str">
            <v>3 S 08 109 00</v>
          </cell>
          <cell r="B1561" t="str">
            <v>-</v>
          </cell>
          <cell r="C1561" t="str">
            <v>Correção de defeitos com mistura betuminosa</v>
          </cell>
          <cell r="D1561" t="str">
            <v>m³</v>
          </cell>
        </row>
        <row r="1562">
          <cell r="A1562" t="str">
            <v>3 S 08 109 12</v>
          </cell>
          <cell r="B1562" t="str">
            <v>-</v>
          </cell>
          <cell r="C1562" t="str">
            <v>Correção de defeitos por fresagem descontínua</v>
          </cell>
          <cell r="D1562" t="str">
            <v>m³</v>
          </cell>
        </row>
        <row r="1563">
          <cell r="A1563" t="str">
            <v>3 S 08 110 00</v>
          </cell>
          <cell r="B1563" t="str">
            <v>-</v>
          </cell>
          <cell r="C1563" t="str">
            <v>Correção de defeitos por penetração</v>
          </cell>
          <cell r="D1563" t="str">
            <v>m²</v>
          </cell>
        </row>
        <row r="1564">
          <cell r="A1564" t="str">
            <v>3 S 08 110 50</v>
          </cell>
          <cell r="B1564" t="str">
            <v>-</v>
          </cell>
          <cell r="C1564" t="str">
            <v>Correção de defeitos por penetração BC</v>
          </cell>
          <cell r="D1564" t="str">
            <v>m²</v>
          </cell>
        </row>
        <row r="1565">
          <cell r="A1565" t="str">
            <v>3 S 08 200 00</v>
          </cell>
          <cell r="B1565" t="str">
            <v>-</v>
          </cell>
          <cell r="C1565" t="str">
            <v>Recomp. de guarda corpo</v>
          </cell>
          <cell r="D1565" t="str">
            <v>m</v>
          </cell>
        </row>
        <row r="1566">
          <cell r="A1566" t="str">
            <v>3 S 08 200 01</v>
          </cell>
          <cell r="B1566" t="str">
            <v>-</v>
          </cell>
          <cell r="C1566" t="str">
            <v>Recomposição de sarjeta em alvenaria de tijolo</v>
          </cell>
          <cell r="D1566" t="str">
            <v>m²</v>
          </cell>
        </row>
        <row r="1567">
          <cell r="A1567" t="str">
            <v>3 S 08 200 50</v>
          </cell>
          <cell r="B1567" t="str">
            <v>-</v>
          </cell>
          <cell r="C1567" t="str">
            <v>Recomp. de guarda corpo AC/BC</v>
          </cell>
          <cell r="D1567" t="str">
            <v>m</v>
          </cell>
        </row>
        <row r="1568">
          <cell r="A1568" t="str">
            <v>3 S 08 200 51</v>
          </cell>
          <cell r="B1568" t="str">
            <v>-</v>
          </cell>
          <cell r="C1568" t="str">
            <v>Recomp.de sarjeta em alvenaria de tijolo AC</v>
          </cell>
          <cell r="D1568" t="str">
            <v>m²</v>
          </cell>
        </row>
        <row r="1569">
          <cell r="A1569" t="str">
            <v>3 S 08 300 01</v>
          </cell>
          <cell r="B1569" t="str">
            <v>-</v>
          </cell>
          <cell r="C1569" t="str">
            <v>Limpeza de sarjeta e meio fio</v>
          </cell>
          <cell r="D1569" t="str">
            <v>m</v>
          </cell>
        </row>
        <row r="1570">
          <cell r="A1570" t="str">
            <v>3 S 08 301 01</v>
          </cell>
          <cell r="B1570" t="str">
            <v>-</v>
          </cell>
          <cell r="C1570" t="str">
            <v>Limpeza de valeta de corte</v>
          </cell>
          <cell r="D1570" t="str">
            <v>m</v>
          </cell>
        </row>
        <row r="1571">
          <cell r="A1571" t="str">
            <v>3 S 08 301 02</v>
          </cell>
          <cell r="B1571" t="str">
            <v>-</v>
          </cell>
          <cell r="C1571" t="str">
            <v>Limpeza de vala de drenagem</v>
          </cell>
          <cell r="D1571" t="str">
            <v>m</v>
          </cell>
        </row>
        <row r="1572">
          <cell r="A1572" t="str">
            <v>3 S 08 301 03</v>
          </cell>
          <cell r="B1572" t="str">
            <v>-</v>
          </cell>
          <cell r="C1572" t="str">
            <v>Limpeza de descida d'água</v>
          </cell>
          <cell r="D1572" t="str">
            <v>m</v>
          </cell>
        </row>
        <row r="1573">
          <cell r="A1573" t="str">
            <v>3 S 08 302 01</v>
          </cell>
          <cell r="B1573" t="str">
            <v>-</v>
          </cell>
          <cell r="C1573" t="str">
            <v>Limpeza de bueiro</v>
          </cell>
          <cell r="D1573" t="str">
            <v>m³</v>
          </cell>
        </row>
        <row r="1574">
          <cell r="A1574" t="str">
            <v>3 S 08 302 02</v>
          </cell>
          <cell r="B1574" t="str">
            <v>-</v>
          </cell>
          <cell r="C1574" t="str">
            <v>Desobstrução de bueiro</v>
          </cell>
          <cell r="D1574" t="str">
            <v>m³</v>
          </cell>
        </row>
        <row r="1575">
          <cell r="A1575" t="str">
            <v>3 S 08 302 03</v>
          </cell>
          <cell r="B1575" t="str">
            <v>-</v>
          </cell>
          <cell r="C1575" t="str">
            <v>Assentamento de tubo D=0,60 m</v>
          </cell>
          <cell r="D1575" t="str">
            <v>m</v>
          </cell>
        </row>
        <row r="1576">
          <cell r="A1576" t="str">
            <v>3 S 08 302 04</v>
          </cell>
          <cell r="B1576" t="str">
            <v>-</v>
          </cell>
          <cell r="C1576" t="str">
            <v>Assentamento de tubo D=0,80 m</v>
          </cell>
          <cell r="D1576" t="str">
            <v>m</v>
          </cell>
        </row>
        <row r="1577">
          <cell r="A1577" t="str">
            <v>3 S 08 302 05</v>
          </cell>
          <cell r="B1577" t="str">
            <v>-</v>
          </cell>
          <cell r="C1577" t="str">
            <v>Assentamento de tubo D=1,0 m</v>
          </cell>
          <cell r="D1577" t="str">
            <v>m</v>
          </cell>
        </row>
        <row r="1578">
          <cell r="A1578" t="str">
            <v>3 S 08 302 06</v>
          </cell>
          <cell r="B1578" t="str">
            <v>-</v>
          </cell>
          <cell r="C1578" t="str">
            <v>Assentamento de tubo D=1,20 m</v>
          </cell>
          <cell r="D1578" t="str">
            <v>m</v>
          </cell>
        </row>
        <row r="1579">
          <cell r="A1579" t="str">
            <v>3 S 08 302 53</v>
          </cell>
          <cell r="B1579" t="str">
            <v>-</v>
          </cell>
          <cell r="C1579" t="str">
            <v>Assentamento de tubo D=0,60 m AC/BC</v>
          </cell>
          <cell r="D1579" t="str">
            <v>m</v>
          </cell>
        </row>
        <row r="1580">
          <cell r="A1580" t="str">
            <v>3 S 08 302 54</v>
          </cell>
          <cell r="B1580" t="str">
            <v>-</v>
          </cell>
          <cell r="C1580" t="str">
            <v>Assentamento de tubo D=0,80 m AC/BC</v>
          </cell>
          <cell r="D1580" t="str">
            <v>m</v>
          </cell>
        </row>
        <row r="1581">
          <cell r="A1581" t="str">
            <v>3 S 08 302 55</v>
          </cell>
          <cell r="B1581" t="str">
            <v>-</v>
          </cell>
          <cell r="C1581" t="str">
            <v>Assentamento de tubo D=1,0 m AC/BC</v>
          </cell>
          <cell r="D1581" t="str">
            <v>m</v>
          </cell>
        </row>
        <row r="1582">
          <cell r="A1582" t="str">
            <v>3 S 08 302 56</v>
          </cell>
          <cell r="B1582" t="str">
            <v>-</v>
          </cell>
          <cell r="C1582" t="str">
            <v>Assentamento de tubo D=1,20 m AC/BC</v>
          </cell>
          <cell r="D1582" t="str">
            <v>m</v>
          </cell>
        </row>
        <row r="1583">
          <cell r="A1583" t="str">
            <v>3 S 08 400 00</v>
          </cell>
          <cell r="B1583" t="str">
            <v>-</v>
          </cell>
          <cell r="C1583" t="str">
            <v>Limpeza de placa de sinalização</v>
          </cell>
          <cell r="D1583" t="str">
            <v>m²</v>
          </cell>
        </row>
        <row r="1584">
          <cell r="A1584" t="str">
            <v>3 S 08 400 01</v>
          </cell>
          <cell r="B1584" t="str">
            <v>-</v>
          </cell>
          <cell r="C1584" t="str">
            <v>Recomposição placa de sinalização</v>
          </cell>
          <cell r="D1584" t="str">
            <v>m²</v>
          </cell>
        </row>
        <row r="1585">
          <cell r="A1585" t="str">
            <v>3 S 08 400 02</v>
          </cell>
          <cell r="B1585" t="str">
            <v>-</v>
          </cell>
          <cell r="C1585" t="str">
            <v>Substituição de balizador</v>
          </cell>
          <cell r="D1585" t="str">
            <v>und</v>
          </cell>
        </row>
        <row r="1586">
          <cell r="A1586" t="str">
            <v>3 S 08 400 52</v>
          </cell>
          <cell r="B1586" t="str">
            <v>-</v>
          </cell>
          <cell r="C1586" t="str">
            <v>Substituição de balizador AC/BC</v>
          </cell>
          <cell r="D1586" t="str">
            <v>und</v>
          </cell>
        </row>
        <row r="1587">
          <cell r="A1587" t="str">
            <v>3 S 08 401 00</v>
          </cell>
          <cell r="B1587" t="str">
            <v>-</v>
          </cell>
          <cell r="C1587" t="str">
            <v>Recomposição de defensa metálica</v>
          </cell>
          <cell r="D1587" t="str">
            <v>m</v>
          </cell>
        </row>
        <row r="1588">
          <cell r="A1588" t="str">
            <v>3 S 08 402 00</v>
          </cell>
          <cell r="B1588" t="str">
            <v>-</v>
          </cell>
          <cell r="C1588" t="str">
            <v>Caiação</v>
          </cell>
          <cell r="D1588" t="str">
            <v>m²</v>
          </cell>
        </row>
        <row r="1589">
          <cell r="A1589" t="str">
            <v>3 S 08 403 00</v>
          </cell>
          <cell r="B1589" t="str">
            <v>-</v>
          </cell>
          <cell r="C1589" t="str">
            <v>Renovação manual de sinalização horizontal</v>
          </cell>
          <cell r="D1589" t="str">
            <v>m²</v>
          </cell>
        </row>
        <row r="1590">
          <cell r="A1590" t="str">
            <v>3 S 08 404 00</v>
          </cell>
          <cell r="B1590" t="str">
            <v>-</v>
          </cell>
          <cell r="C1590" t="str">
            <v>Recomp. tot. cerca c/ mourão de conc. secção quad.</v>
          </cell>
          <cell r="D1590" t="str">
            <v>m</v>
          </cell>
        </row>
        <row r="1591">
          <cell r="A1591" t="str">
            <v>3 S 08 404 01</v>
          </cell>
          <cell r="B1591" t="str">
            <v>-</v>
          </cell>
          <cell r="C1591" t="str">
            <v>Recomp. parc. cerca de conc. seção quad. - mourão</v>
          </cell>
          <cell r="D1591" t="str">
            <v>m</v>
          </cell>
        </row>
        <row r="1592">
          <cell r="A1592" t="str">
            <v>3 S 08 404 02</v>
          </cell>
          <cell r="B1592" t="str">
            <v>-</v>
          </cell>
          <cell r="C1592" t="str">
            <v>Recomp. parc. cerca c/ mourão de concr.-arame</v>
          </cell>
          <cell r="D1592" t="str">
            <v>m</v>
          </cell>
        </row>
        <row r="1593">
          <cell r="A1593" t="str">
            <v>3 S 08 404 03</v>
          </cell>
          <cell r="B1593" t="str">
            <v>-</v>
          </cell>
          <cell r="C1593" t="str">
            <v>Recomp. tot. cerca c/ mourão concr. seção triang.</v>
          </cell>
          <cell r="D1593" t="str">
            <v>m</v>
          </cell>
        </row>
        <row r="1594">
          <cell r="A1594" t="str">
            <v>3 S 08 404 04</v>
          </cell>
          <cell r="B1594" t="str">
            <v>-</v>
          </cell>
          <cell r="C1594" t="str">
            <v>Recomp. parc. cerca c/ mourão concr. seção triang.</v>
          </cell>
          <cell r="D1594" t="str">
            <v>m</v>
          </cell>
        </row>
        <row r="1595">
          <cell r="A1595" t="str">
            <v>3 S 08 404 50</v>
          </cell>
          <cell r="B1595" t="str">
            <v>-</v>
          </cell>
          <cell r="C1595" t="str">
            <v>Recomp.tot.cerca c/mourão conc.seção quad. AC/BC</v>
          </cell>
          <cell r="D1595" t="str">
            <v>m</v>
          </cell>
        </row>
        <row r="1596">
          <cell r="A1596" t="str">
            <v>3 S 08 404 51</v>
          </cell>
          <cell r="B1596" t="str">
            <v>-</v>
          </cell>
          <cell r="C1596" t="str">
            <v>Recomp.parc.cerca mourão conc.seção quadrada AC/BC</v>
          </cell>
          <cell r="D1596" t="str">
            <v>m</v>
          </cell>
        </row>
        <row r="1597">
          <cell r="A1597" t="str">
            <v>3 S 08 404 53</v>
          </cell>
          <cell r="B1597" t="str">
            <v>-</v>
          </cell>
          <cell r="C1597" t="str">
            <v>Recomp.tot.cerca c/mourão conc.seção triang. AC/BC</v>
          </cell>
          <cell r="D1597" t="str">
            <v>m</v>
          </cell>
        </row>
        <row r="1598">
          <cell r="A1598" t="str">
            <v>3 S 08 404 54</v>
          </cell>
          <cell r="B1598" t="str">
            <v>-</v>
          </cell>
          <cell r="C1598" t="str">
            <v>Recomp.parc.cerca c/mourão conc.seção triang.AC/BC</v>
          </cell>
          <cell r="D1598" t="str">
            <v>m</v>
          </cell>
        </row>
        <row r="1599">
          <cell r="A1599" t="str">
            <v>3 S 08 414 00</v>
          </cell>
          <cell r="B1599" t="str">
            <v>-</v>
          </cell>
          <cell r="C1599" t="str">
            <v>Recomposição total de cerca com mourão de madeira</v>
          </cell>
          <cell r="D1599" t="str">
            <v>m</v>
          </cell>
        </row>
        <row r="1600">
          <cell r="A1600" t="str">
            <v>3 S 08 414 01</v>
          </cell>
          <cell r="B1600" t="str">
            <v>-</v>
          </cell>
          <cell r="C1600" t="str">
            <v>Recomposição parcial cerca de madeira - mourão</v>
          </cell>
          <cell r="D1600" t="str">
            <v>m</v>
          </cell>
        </row>
        <row r="1601">
          <cell r="A1601" t="str">
            <v>3 S 08 414 02</v>
          </cell>
          <cell r="B1601" t="str">
            <v>-</v>
          </cell>
          <cell r="C1601" t="str">
            <v>Recomp. parcial cerca c/ mourão de madeira - arame</v>
          </cell>
          <cell r="D1601" t="str">
            <v>m</v>
          </cell>
        </row>
        <row r="1602">
          <cell r="A1602" t="str">
            <v>3 S 08 500 00</v>
          </cell>
          <cell r="B1602" t="str">
            <v>-</v>
          </cell>
          <cell r="C1602" t="str">
            <v>Recomposição manual de aterro</v>
          </cell>
          <cell r="D1602" t="str">
            <v>m³</v>
          </cell>
        </row>
        <row r="1603">
          <cell r="A1603" t="str">
            <v>3 S 08 501 00</v>
          </cell>
          <cell r="B1603" t="str">
            <v>-</v>
          </cell>
          <cell r="C1603" t="str">
            <v>Recomposição mecanizada de aterro</v>
          </cell>
          <cell r="D1603" t="str">
            <v>m³</v>
          </cell>
        </row>
        <row r="1604">
          <cell r="A1604" t="str">
            <v>3 S 08 510 00</v>
          </cell>
          <cell r="B1604" t="str">
            <v>-</v>
          </cell>
          <cell r="C1604" t="str">
            <v>Remoção manual de barreira em solo</v>
          </cell>
          <cell r="D1604" t="str">
            <v>m³</v>
          </cell>
        </row>
        <row r="1605">
          <cell r="A1605" t="str">
            <v>3 S 08 510 01</v>
          </cell>
          <cell r="B1605" t="str">
            <v>-</v>
          </cell>
          <cell r="C1605" t="str">
            <v>Remoção manual de barreira em rocha</v>
          </cell>
          <cell r="D1605" t="str">
            <v>m³</v>
          </cell>
        </row>
        <row r="1606">
          <cell r="A1606" t="str">
            <v>3 S 08 511 00</v>
          </cell>
          <cell r="B1606" t="str">
            <v>-</v>
          </cell>
          <cell r="C1606" t="str">
            <v>Remoção mecanizada de barreira - solo</v>
          </cell>
          <cell r="D1606" t="str">
            <v>m³</v>
          </cell>
        </row>
        <row r="1607">
          <cell r="A1607" t="str">
            <v>3 S 08 512 00</v>
          </cell>
          <cell r="B1607" t="str">
            <v>-</v>
          </cell>
          <cell r="C1607" t="str">
            <v>Remoção mecanizada de barreira - rocha</v>
          </cell>
          <cell r="D1607" t="str">
            <v>m³</v>
          </cell>
        </row>
        <row r="1608">
          <cell r="A1608" t="str">
            <v>3 S 08 513 00</v>
          </cell>
          <cell r="B1608" t="str">
            <v>-</v>
          </cell>
          <cell r="C1608" t="str">
            <v>Remoção de matacões</v>
          </cell>
          <cell r="D1608" t="str">
            <v>m³</v>
          </cell>
        </row>
        <row r="1609">
          <cell r="A1609" t="str">
            <v>3 S 08 900 00</v>
          </cell>
          <cell r="B1609" t="str">
            <v>-</v>
          </cell>
          <cell r="C1609" t="str">
            <v>Roçada manual</v>
          </cell>
          <cell r="D1609" t="str">
            <v>ha</v>
          </cell>
        </row>
        <row r="1610">
          <cell r="A1610" t="str">
            <v>3 S 08 900 01</v>
          </cell>
          <cell r="B1610" t="str">
            <v>-</v>
          </cell>
          <cell r="C1610" t="str">
            <v>Roçada de capim colonião</v>
          </cell>
          <cell r="D1610" t="str">
            <v>ha</v>
          </cell>
        </row>
        <row r="1611">
          <cell r="A1611" t="str">
            <v>3 S 08 901 00</v>
          </cell>
          <cell r="B1611" t="str">
            <v>-</v>
          </cell>
          <cell r="C1611" t="str">
            <v>Roçada mecanizada</v>
          </cell>
          <cell r="D1611" t="str">
            <v>ha</v>
          </cell>
        </row>
        <row r="1612">
          <cell r="A1612" t="str">
            <v>3 S 08 901 01</v>
          </cell>
          <cell r="B1612" t="str">
            <v>-</v>
          </cell>
          <cell r="C1612" t="str">
            <v>Corte e limpeza de áreas gramadas</v>
          </cell>
          <cell r="D1612" t="str">
            <v>m²</v>
          </cell>
        </row>
        <row r="1613">
          <cell r="A1613" t="str">
            <v>3 S 08 910 00</v>
          </cell>
          <cell r="B1613" t="str">
            <v>-</v>
          </cell>
          <cell r="C1613" t="str">
            <v>Capina manual</v>
          </cell>
          <cell r="D1613" t="str">
            <v>m²</v>
          </cell>
        </row>
        <row r="1614">
          <cell r="A1614" t="str">
            <v>3 S 09 001 00</v>
          </cell>
          <cell r="B1614" t="str">
            <v>-</v>
          </cell>
          <cell r="C1614" t="str">
            <v>Transporte local c/ basc. 5m3 em rodov. não pav.</v>
          </cell>
          <cell r="D1614" t="str">
            <v>tkm</v>
          </cell>
        </row>
        <row r="1615">
          <cell r="A1615" t="str">
            <v>3 S 09 001 06</v>
          </cell>
          <cell r="B1615" t="str">
            <v>-</v>
          </cell>
          <cell r="C1615" t="str">
            <v>Transporte local c/ basc. 10m3 em rodov. não pav.</v>
          </cell>
          <cell r="D1615" t="str">
            <v>tkm</v>
          </cell>
        </row>
        <row r="1616">
          <cell r="A1616" t="str">
            <v>3 S 09 001 41</v>
          </cell>
          <cell r="B1616" t="str">
            <v>-</v>
          </cell>
          <cell r="C1616" t="str">
            <v>Transp. local c/ carroceria 4t em rodov. não pav.</v>
          </cell>
          <cell r="D1616" t="str">
            <v>tkm</v>
          </cell>
        </row>
        <row r="1617">
          <cell r="A1617" t="str">
            <v>3 S 09 001 90</v>
          </cell>
          <cell r="B1617" t="str">
            <v>-</v>
          </cell>
          <cell r="C1617" t="str">
            <v>Transporte comercial c/ carroc. rodov. não pav.</v>
          </cell>
          <cell r="D1617" t="str">
            <v>tkm</v>
          </cell>
        </row>
        <row r="1618">
          <cell r="A1618" t="str">
            <v>3 S 09 001 91</v>
          </cell>
          <cell r="B1618" t="str">
            <v>-</v>
          </cell>
          <cell r="C1618" t="str">
            <v>Transporte comercial c/ basc. 10m3 rod. não pav.</v>
          </cell>
          <cell r="D1618" t="str">
            <v>tkm</v>
          </cell>
        </row>
        <row r="1619">
          <cell r="A1619" t="str">
            <v>3 S 09 002 00</v>
          </cell>
          <cell r="B1619" t="str">
            <v>-</v>
          </cell>
          <cell r="C1619" t="str">
            <v>Transporte local basc. 5m3 em rodov. pav.</v>
          </cell>
          <cell r="D1619" t="str">
            <v>tkm</v>
          </cell>
        </row>
        <row r="1620">
          <cell r="A1620" t="str">
            <v>3 S 09 002 03</v>
          </cell>
          <cell r="B1620" t="str">
            <v>-</v>
          </cell>
          <cell r="C1620" t="str">
            <v>Transporte local de material para remendos</v>
          </cell>
          <cell r="D1620" t="str">
            <v>tkm</v>
          </cell>
        </row>
        <row r="1621">
          <cell r="A1621" t="str">
            <v>3 S 09 002 06</v>
          </cell>
          <cell r="B1621" t="str">
            <v>-</v>
          </cell>
          <cell r="C1621" t="str">
            <v>Transporte local c/ basc. 10m3 em rodov. pav.</v>
          </cell>
          <cell r="D1621" t="str">
            <v>tkm</v>
          </cell>
        </row>
        <row r="1622">
          <cell r="A1622" t="str">
            <v>3 S 09 002 41</v>
          </cell>
          <cell r="B1622" t="str">
            <v>-</v>
          </cell>
          <cell r="C1622" t="str">
            <v>Transp. local c/ carroceria 4t em rodov. pav.</v>
          </cell>
          <cell r="D1622" t="str">
            <v>tkm</v>
          </cell>
        </row>
        <row r="1623">
          <cell r="A1623" t="str">
            <v>3 S 09 002 90</v>
          </cell>
          <cell r="B1623" t="str">
            <v>-</v>
          </cell>
          <cell r="C1623" t="str">
            <v>Transporte comercial c/ carroceria rodov. pav.</v>
          </cell>
          <cell r="D1623" t="str">
            <v>tkm</v>
          </cell>
        </row>
        <row r="1624">
          <cell r="A1624" t="str">
            <v>3 S 09 002 91</v>
          </cell>
          <cell r="B1624" t="str">
            <v>-</v>
          </cell>
          <cell r="C1624" t="str">
            <v>Transporte comercial c/ basc. 10m3 rod. pav.</v>
          </cell>
          <cell r="D1624" t="str">
            <v>tkm</v>
          </cell>
        </row>
        <row r="1625">
          <cell r="A1625" t="str">
            <v>3 S 09 102 00</v>
          </cell>
          <cell r="B1625" t="str">
            <v>-</v>
          </cell>
          <cell r="C1625" t="str">
            <v>Transporte local material betuminoso</v>
          </cell>
          <cell r="D1625" t="str">
            <v>tkm</v>
          </cell>
        </row>
        <row r="1626">
          <cell r="A1626" t="str">
            <v>3 S 09 201 70</v>
          </cell>
          <cell r="B1626" t="str">
            <v>-</v>
          </cell>
          <cell r="C1626" t="str">
            <v>Transp. local água c/ cam. tanque rodov. não pav.</v>
          </cell>
          <cell r="D1626" t="str">
            <v>tkm</v>
          </cell>
        </row>
        <row r="1627">
          <cell r="A1627" t="str">
            <v>3 S 09 202 70</v>
          </cell>
          <cell r="B1627" t="str">
            <v>-</v>
          </cell>
          <cell r="C1627" t="str">
            <v>Transp. local água c/ cam. tanque em rodov. pav.</v>
          </cell>
          <cell r="D1627" t="str">
            <v>tkm</v>
          </cell>
        </row>
        <row r="1629">
          <cell r="A1629" t="str">
            <v>DNIT - Sistema de Custos Rodoviários</v>
          </cell>
          <cell r="D1629" t="str">
            <v>Sicro2</v>
          </cell>
        </row>
        <row r="1630">
          <cell r="A1630" t="str">
            <v>Sinalização Rodoviária</v>
          </cell>
          <cell r="D1630" t="str">
            <v>Minas Gerais</v>
          </cell>
        </row>
        <row r="1631">
          <cell r="A1631" t="str">
            <v>Resumo dos Custos Unitários de Referência: Maio de 2005</v>
          </cell>
          <cell r="D1631" t="str">
            <v>RCtR0330</v>
          </cell>
        </row>
        <row r="1633">
          <cell r="A1633" t="str">
            <v>Código</v>
          </cell>
          <cell r="C1633" t="str">
            <v>Atividade / Serviço</v>
          </cell>
          <cell r="D1633" t="str">
            <v>Unidade</v>
          </cell>
          <cell r="F1633" t="str">
            <v>Preço Unitário</v>
          </cell>
        </row>
        <row r="1634">
          <cell r="D1634" t="str">
            <v>Und</v>
          </cell>
          <cell r="E1634" t="str">
            <v>Direto</v>
          </cell>
          <cell r="F1634" t="str">
            <v>LDI</v>
          </cell>
          <cell r="G1634" t="str">
            <v>Total</v>
          </cell>
        </row>
        <row r="1636">
          <cell r="A1636" t="str">
            <v>4 S 03 300 01</v>
          </cell>
          <cell r="B1636" t="str">
            <v>-</v>
          </cell>
          <cell r="C1636" t="str">
            <v>Confecção e lanç. de concreto magro em betoneira</v>
          </cell>
          <cell r="D1636" t="str">
            <v>m³</v>
          </cell>
        </row>
        <row r="1637">
          <cell r="A1637" t="str">
            <v>4 S 03 300 51</v>
          </cell>
          <cell r="B1637" t="str">
            <v>-</v>
          </cell>
          <cell r="C1637" t="str">
            <v>Conf.lançamento de concreto magro em beton.AC/BC</v>
          </cell>
          <cell r="D1637" t="str">
            <v>m³</v>
          </cell>
        </row>
        <row r="1638">
          <cell r="A1638" t="str">
            <v>4 S 03 323 01</v>
          </cell>
          <cell r="B1638" t="str">
            <v>-</v>
          </cell>
          <cell r="C1638" t="str">
            <v>Conc.estr.fck=22 MPa contr.raz.uso ger.conf.e lanç</v>
          </cell>
          <cell r="D1638" t="str">
            <v>m³</v>
          </cell>
        </row>
        <row r="1639">
          <cell r="A1639" t="str">
            <v>4 S 03 323 51</v>
          </cell>
          <cell r="B1639" t="str">
            <v>-</v>
          </cell>
          <cell r="C1639" t="str">
            <v>Concr.estr.fck=22MPa c.raz.uso ger.conf.lanç.AC/BC</v>
          </cell>
          <cell r="D1639" t="str">
            <v>m³</v>
          </cell>
        </row>
        <row r="1640">
          <cell r="A1640" t="str">
            <v>4 S 03 353 00</v>
          </cell>
          <cell r="B1640" t="str">
            <v>-</v>
          </cell>
          <cell r="C1640" t="str">
            <v>Fornecimento, preparo colocação aço CA-50</v>
          </cell>
          <cell r="D1640" t="str">
            <v>Kg</v>
          </cell>
        </row>
        <row r="1641">
          <cell r="A1641" t="str">
            <v>4 S 03 370 00</v>
          </cell>
          <cell r="B1641" t="str">
            <v>-</v>
          </cell>
          <cell r="C1641" t="str">
            <v>Forma comum de madeira</v>
          </cell>
          <cell r="D1641" t="str">
            <v>m²</v>
          </cell>
        </row>
        <row r="1642">
          <cell r="A1642" t="str">
            <v>4 S 06 000 01</v>
          </cell>
          <cell r="B1642" t="str">
            <v>-</v>
          </cell>
          <cell r="C1642" t="str">
            <v>Defensa maleável simples (forn./ impl.)</v>
          </cell>
          <cell r="D1642" t="str">
            <v>m</v>
          </cell>
        </row>
        <row r="1643">
          <cell r="A1643" t="str">
            <v>4 S 06 000 02</v>
          </cell>
          <cell r="B1643" t="str">
            <v>-</v>
          </cell>
          <cell r="C1643" t="str">
            <v>Ancoragem de defensa maleável simples (forn/ impl)</v>
          </cell>
          <cell r="D1643" t="str">
            <v>m</v>
          </cell>
        </row>
        <row r="1644">
          <cell r="A1644" t="str">
            <v>4 S 06 000 11</v>
          </cell>
          <cell r="B1644" t="str">
            <v>-</v>
          </cell>
          <cell r="C1644" t="str">
            <v>Defensa maleável dupla (forn./ impl.)</v>
          </cell>
          <cell r="D1644" t="str">
            <v>m</v>
          </cell>
        </row>
        <row r="1645">
          <cell r="A1645" t="str">
            <v>4 S 06 000 12</v>
          </cell>
          <cell r="B1645" t="str">
            <v>-</v>
          </cell>
          <cell r="C1645" t="str">
            <v>Ancoragem de defensa maleável dupla (forn./ impl.)</v>
          </cell>
          <cell r="D1645" t="str">
            <v>m</v>
          </cell>
        </row>
        <row r="1646">
          <cell r="A1646" t="str">
            <v>4 S 06 010 01</v>
          </cell>
          <cell r="B1646" t="str">
            <v>-</v>
          </cell>
          <cell r="C1646" t="str">
            <v>Defensa semi-maleável simples (forn./ impl.)</v>
          </cell>
          <cell r="D1646" t="str">
            <v>m</v>
          </cell>
          <cell r="H1646" t="str">
            <v>DNER-ES-144/85</v>
          </cell>
        </row>
        <row r="1647">
          <cell r="A1647" t="str">
            <v>4 S 06 010 02</v>
          </cell>
          <cell r="B1647" t="str">
            <v>-</v>
          </cell>
          <cell r="C1647" t="str">
            <v>Ancoragem defensa semi-maleável simples (forn/imp)</v>
          </cell>
          <cell r="D1647" t="str">
            <v>m</v>
          </cell>
        </row>
        <row r="1648">
          <cell r="A1648" t="str">
            <v>4 S 06 010 11</v>
          </cell>
          <cell r="B1648" t="str">
            <v>-</v>
          </cell>
          <cell r="C1648" t="str">
            <v>Defensa semi-maleável dupla (forn./ impl.)</v>
          </cell>
          <cell r="D1648" t="str">
            <v>m</v>
          </cell>
        </row>
        <row r="1649">
          <cell r="A1649" t="str">
            <v>4 S 06 010 12</v>
          </cell>
          <cell r="B1649" t="str">
            <v>-</v>
          </cell>
          <cell r="C1649" t="str">
            <v>Ancoragem defensa semi-maleável dupla (forn/ impl)</v>
          </cell>
          <cell r="D1649" t="str">
            <v>m</v>
          </cell>
        </row>
        <row r="1650">
          <cell r="A1650" t="str">
            <v>4 S 06 030 11</v>
          </cell>
          <cell r="B1650" t="str">
            <v>-</v>
          </cell>
          <cell r="C1650" t="str">
            <v>Barreira de segurança dupla DNER PRO 176/86</v>
          </cell>
          <cell r="D1650" t="str">
            <v>m</v>
          </cell>
          <cell r="H1650" t="str">
            <v>DNER-ES-335/97</v>
          </cell>
        </row>
        <row r="1651">
          <cell r="A1651" t="str">
            <v>4 S 06 030 61</v>
          </cell>
          <cell r="B1651" t="str">
            <v>-</v>
          </cell>
          <cell r="C1651" t="str">
            <v>Barreira de segurança dupla DNER PRO 176/86 AC/BC</v>
          </cell>
          <cell r="D1651" t="str">
            <v>m</v>
          </cell>
          <cell r="H1651" t="str">
            <v>DNER-ES-335/97</v>
          </cell>
        </row>
        <row r="1652">
          <cell r="A1652" t="str">
            <v>4 S 06 100 11</v>
          </cell>
          <cell r="B1652" t="str">
            <v>-</v>
          </cell>
          <cell r="C1652" t="str">
            <v>Pintura de faixa - tinta base acrílica - 1 ano</v>
          </cell>
          <cell r="D1652" t="str">
            <v>m²</v>
          </cell>
        </row>
        <row r="1653">
          <cell r="A1653" t="str">
            <v>4 S 06 100 12</v>
          </cell>
          <cell r="B1653" t="str">
            <v>-</v>
          </cell>
          <cell r="C1653" t="str">
            <v>Pint. setas e zebrado - tinta base acrílica -1 ano</v>
          </cell>
          <cell r="D1653" t="str">
            <v>m²</v>
          </cell>
        </row>
        <row r="1654">
          <cell r="A1654" t="str">
            <v>4 S 06 100 13</v>
          </cell>
          <cell r="B1654" t="str">
            <v>-</v>
          </cell>
          <cell r="C1654" t="str">
            <v>Pintura faixa-tinta b.acrílica emuls. água - 1 ano</v>
          </cell>
          <cell r="D1654" t="str">
            <v>m²</v>
          </cell>
        </row>
        <row r="1655">
          <cell r="A1655" t="str">
            <v>4 S 06 100 14</v>
          </cell>
          <cell r="B1655" t="str">
            <v>-</v>
          </cell>
          <cell r="C1655" t="str">
            <v>Pint. setas/zebrado-tinta b.acríl. emuls. água-1a.</v>
          </cell>
          <cell r="D1655" t="str">
            <v>m²</v>
          </cell>
        </row>
        <row r="1656">
          <cell r="A1656" t="str">
            <v>4 S 06 100 21</v>
          </cell>
          <cell r="B1656" t="str">
            <v>-</v>
          </cell>
          <cell r="C1656" t="str">
            <v>Pintura faixa - tinta base acrílica p/ 2 anos</v>
          </cell>
          <cell r="D1656" t="str">
            <v>m²</v>
          </cell>
        </row>
        <row r="1657">
          <cell r="A1657" t="str">
            <v>4 S 06 100 22</v>
          </cell>
          <cell r="B1657" t="str">
            <v>-</v>
          </cell>
          <cell r="C1657" t="str">
            <v>Pintura setas e zebrado - tinta b.acrílica -2 anos</v>
          </cell>
          <cell r="D1657" t="str">
            <v>m²</v>
          </cell>
        </row>
        <row r="1658">
          <cell r="A1658" t="str">
            <v>4 S 06 100 31</v>
          </cell>
          <cell r="B1658" t="str">
            <v>-</v>
          </cell>
          <cell r="C1658" t="str">
            <v>Pintura faixa-tinta b.acrílica emuls. água -2 anos</v>
          </cell>
          <cell r="D1658" t="str">
            <v>m²</v>
          </cell>
        </row>
        <row r="1659">
          <cell r="A1659" t="str">
            <v>4 S 06 100 32</v>
          </cell>
          <cell r="B1659" t="str">
            <v>-</v>
          </cell>
          <cell r="C1659" t="str">
            <v>Pint. setas/zebrado-tinta b.acríl. emuls. água-2a.</v>
          </cell>
          <cell r="D1659" t="str">
            <v>m²</v>
          </cell>
        </row>
        <row r="1660">
          <cell r="A1660" t="str">
            <v>4 S 06 110 01</v>
          </cell>
          <cell r="B1660" t="str">
            <v>-</v>
          </cell>
          <cell r="C1660" t="str">
            <v>Pintura faixa c/termoplástico-3 anos (p/ aspersão)</v>
          </cell>
          <cell r="D1660" t="str">
            <v>m²</v>
          </cell>
          <cell r="H1660" t="str">
            <v>DNER-ES-339/97</v>
          </cell>
        </row>
        <row r="1661">
          <cell r="A1661" t="str">
            <v>4 S 06 110 02</v>
          </cell>
          <cell r="B1661" t="str">
            <v>-</v>
          </cell>
          <cell r="C1661" t="str">
            <v>Pintura setas e zebrado term.-3 anos (p/ aspersão)</v>
          </cell>
          <cell r="D1661" t="str">
            <v>m²</v>
          </cell>
          <cell r="H1661" t="str">
            <v>DNER-ES-339/97</v>
          </cell>
        </row>
        <row r="1662">
          <cell r="A1662" t="str">
            <v>4 S 06 110 03</v>
          </cell>
          <cell r="B1662" t="str">
            <v>-</v>
          </cell>
          <cell r="C1662" t="str">
            <v>Pintura setas e zebrado term.-5 anos (p/ extrusão)</v>
          </cell>
          <cell r="D1662" t="str">
            <v>m²</v>
          </cell>
          <cell r="H1662" t="str">
            <v>DNER-ES-339/97</v>
          </cell>
        </row>
        <row r="1663">
          <cell r="A1663" t="str">
            <v>4 S 06 120 01</v>
          </cell>
          <cell r="B1663" t="str">
            <v>-</v>
          </cell>
          <cell r="C1663" t="str">
            <v>Forn. e colocação de tacha reflet. monodirecional</v>
          </cell>
          <cell r="D1663" t="str">
            <v>und</v>
          </cell>
          <cell r="H1663" t="str">
            <v>DNER-ES-339/97</v>
          </cell>
        </row>
        <row r="1664">
          <cell r="A1664" t="str">
            <v>4 S 06 120 11</v>
          </cell>
          <cell r="B1664" t="str">
            <v>-</v>
          </cell>
          <cell r="C1664" t="str">
            <v>Forn. e colocação de tachão reflet. monodirecional</v>
          </cell>
          <cell r="D1664" t="str">
            <v>und</v>
          </cell>
        </row>
        <row r="1665">
          <cell r="A1665" t="str">
            <v>4 S 06 121 01</v>
          </cell>
          <cell r="B1665" t="str">
            <v>-</v>
          </cell>
          <cell r="C1665" t="str">
            <v>Forn. e colocação de tacha reflet. bidirecional</v>
          </cell>
          <cell r="D1665" t="str">
            <v>und</v>
          </cell>
          <cell r="H1665" t="str">
            <v>DNER-ES-339/97</v>
          </cell>
        </row>
        <row r="1666">
          <cell r="A1666" t="str">
            <v>4 S 06 121 11</v>
          </cell>
          <cell r="B1666" t="str">
            <v>-</v>
          </cell>
          <cell r="C1666" t="str">
            <v>Forn. e colocação de tachão reflet. bidirecional</v>
          </cell>
          <cell r="D1666" t="str">
            <v>und</v>
          </cell>
          <cell r="H1666" t="str">
            <v>DNER-ES-339/97</v>
          </cell>
        </row>
        <row r="1667">
          <cell r="A1667" t="str">
            <v>4 S 06 200 01</v>
          </cell>
          <cell r="B1667" t="str">
            <v>-</v>
          </cell>
          <cell r="C1667" t="str">
            <v>Forn. e implantação placa sinaliz. semi-refletiva</v>
          </cell>
          <cell r="D1667" t="str">
            <v>m²</v>
          </cell>
        </row>
        <row r="1668">
          <cell r="A1668" t="str">
            <v>4 S 06 200 02</v>
          </cell>
          <cell r="B1668" t="str">
            <v>-</v>
          </cell>
          <cell r="C1668" t="str">
            <v>Forn. e implantação placa sinaliz. tot.refletiva</v>
          </cell>
          <cell r="D1668" t="str">
            <v>m²</v>
          </cell>
          <cell r="H1668" t="str">
            <v>DNER-ES-340/97</v>
          </cell>
        </row>
        <row r="1669">
          <cell r="A1669" t="str">
            <v>4 S 06 200 91</v>
          </cell>
          <cell r="B1669" t="str">
            <v>-</v>
          </cell>
          <cell r="C1669" t="str">
            <v>Remoção de placa de sinalização</v>
          </cell>
          <cell r="D1669" t="str">
            <v>m²</v>
          </cell>
        </row>
        <row r="1670">
          <cell r="A1670" t="str">
            <v>4 S 06 200 92</v>
          </cell>
          <cell r="B1670" t="str">
            <v>-</v>
          </cell>
          <cell r="C1670" t="str">
            <v>Recuperação de chapa p/placa de sinalização</v>
          </cell>
          <cell r="D1670" t="str">
            <v>m²</v>
          </cell>
        </row>
        <row r="1671">
          <cell r="A1671" t="str">
            <v>4 S 06 202 01</v>
          </cell>
          <cell r="B1671" t="str">
            <v>-</v>
          </cell>
          <cell r="C1671" t="str">
            <v>Confecção de placa sinalização semi-refletiva</v>
          </cell>
          <cell r="D1671" t="str">
            <v>m²</v>
          </cell>
        </row>
        <row r="1672">
          <cell r="A1672" t="str">
            <v>4 S 06 202 11</v>
          </cell>
          <cell r="B1672" t="str">
            <v>-</v>
          </cell>
          <cell r="C1672" t="str">
            <v>Confecção placa sinalização tot.refletiva</v>
          </cell>
          <cell r="D1672" t="str">
            <v>m²</v>
          </cell>
        </row>
        <row r="1673">
          <cell r="A1673" t="str">
            <v>4 S 06 202 21</v>
          </cell>
          <cell r="B1673" t="str">
            <v>-</v>
          </cell>
          <cell r="C1673" t="str">
            <v>Conf.placa sinal.semi-refletiva chapa recuperada</v>
          </cell>
          <cell r="D1673" t="str">
            <v>m²</v>
          </cell>
        </row>
        <row r="1674">
          <cell r="A1674" t="str">
            <v>4 S 06 202 31</v>
          </cell>
          <cell r="B1674" t="str">
            <v>-</v>
          </cell>
          <cell r="C1674" t="str">
            <v>Conf.placa sinal.tot.refletiva - chapa recuperada</v>
          </cell>
          <cell r="D1674" t="str">
            <v>m²</v>
          </cell>
        </row>
        <row r="1675">
          <cell r="A1675" t="str">
            <v>4 S 06 203 01</v>
          </cell>
          <cell r="B1675" t="str">
            <v>-</v>
          </cell>
          <cell r="C1675" t="str">
            <v>Confecção suporte e travessa p/placa sinaliz.</v>
          </cell>
          <cell r="D1675" t="str">
            <v>und</v>
          </cell>
        </row>
        <row r="1676">
          <cell r="A1676" t="str">
            <v>4 S 06 230 01</v>
          </cell>
          <cell r="B1676" t="str">
            <v>-</v>
          </cell>
          <cell r="C1676" t="str">
            <v>Forn. e implantação de balizador de concreto</v>
          </cell>
          <cell r="D1676" t="str">
            <v>und</v>
          </cell>
        </row>
        <row r="1677">
          <cell r="A1677" t="str">
            <v>4 S 06 230 51</v>
          </cell>
          <cell r="B1677" t="str">
            <v>-</v>
          </cell>
          <cell r="C1677" t="str">
            <v>Forn. e implantação de balizador de concreto AC/BC</v>
          </cell>
          <cell r="D1677" t="str">
            <v>und</v>
          </cell>
        </row>
        <row r="1678">
          <cell r="A1678" t="str">
            <v>4 S 08 100 11</v>
          </cell>
          <cell r="B1678" t="str">
            <v>-</v>
          </cell>
          <cell r="C1678" t="str">
            <v>Manut./recomp. sinal.-pint.faixa-tinta acril.-1ano</v>
          </cell>
          <cell r="D1678" t="str">
            <v>m²</v>
          </cell>
        </row>
        <row r="1679">
          <cell r="A1679" t="str">
            <v>4 S 08 100 13</v>
          </cell>
          <cell r="B1679" t="str">
            <v>-</v>
          </cell>
          <cell r="C1679" t="str">
            <v>Manut/recomp.sinal-pint.faixa-tin.acril em água-1a</v>
          </cell>
          <cell r="D1679" t="str">
            <v>m²</v>
          </cell>
        </row>
        <row r="1680">
          <cell r="A1680" t="str">
            <v>4 S 08 100 21</v>
          </cell>
          <cell r="B1680" t="str">
            <v>-</v>
          </cell>
          <cell r="C1680" t="str">
            <v>Manut./recomp. sinal.-pint.faixa-tinta acril-2anos</v>
          </cell>
          <cell r="D1680" t="str">
            <v>m²</v>
          </cell>
        </row>
        <row r="1681">
          <cell r="A1681" t="str">
            <v>4 S 08 100 23</v>
          </cell>
          <cell r="B1681" t="str">
            <v>-</v>
          </cell>
          <cell r="C1681" t="str">
            <v>Manut/recomp.sinal-pint.faixa-tin.acril em água-2a</v>
          </cell>
          <cell r="D1681" t="str">
            <v>m²</v>
          </cell>
        </row>
        <row r="1682">
          <cell r="A1682" t="str">
            <v>4 S 08 110 01</v>
          </cell>
          <cell r="B1682" t="str">
            <v>-</v>
          </cell>
          <cell r="C1682" t="str">
            <v>Man/recomp.sin-pint.faixa-c/termopl-3a(p/aspersão)</v>
          </cell>
          <cell r="D1682" t="str">
            <v>m²</v>
          </cell>
        </row>
        <row r="1683">
          <cell r="A1683" t="str">
            <v>4 S 09 001 90</v>
          </cell>
          <cell r="B1683" t="str">
            <v>-</v>
          </cell>
          <cell r="C1683" t="str">
            <v>Transporte comercial c/ carroc 15t rodov. não pav.</v>
          </cell>
          <cell r="D1683" t="str">
            <v>tkm</v>
          </cell>
        </row>
        <row r="1684">
          <cell r="A1684" t="str">
            <v>4 S 09 001 91</v>
          </cell>
          <cell r="B1684" t="str">
            <v>-</v>
          </cell>
          <cell r="C1684" t="str">
            <v>Transporte comercial c/ basc. 10m3 rod. não pav.</v>
          </cell>
          <cell r="D1684" t="str">
            <v>tkm</v>
          </cell>
        </row>
        <row r="1685">
          <cell r="A1685" t="str">
            <v>4 S 09 002 00</v>
          </cell>
          <cell r="B1685" t="str">
            <v>-</v>
          </cell>
          <cell r="C1685" t="str">
            <v>Transporte local c/ basc. 5 m3 rodov. pav.</v>
          </cell>
          <cell r="D1685" t="str">
            <v>tkm</v>
          </cell>
        </row>
        <row r="1686">
          <cell r="A1686" t="str">
            <v>4 S 09 002 41</v>
          </cell>
          <cell r="B1686" t="str">
            <v>-</v>
          </cell>
          <cell r="C1686" t="str">
            <v>Transporte local c/ carroceria 4t rodov. pav.</v>
          </cell>
          <cell r="D1686" t="str">
            <v>tkm</v>
          </cell>
        </row>
        <row r="1687">
          <cell r="A1687" t="str">
            <v>4 S 09 002 90</v>
          </cell>
          <cell r="B1687" t="str">
            <v>-</v>
          </cell>
          <cell r="C1687" t="str">
            <v>Transporte comercial c/ carroc 15t rodov. pav.</v>
          </cell>
          <cell r="D1687" t="str">
            <v>tkm</v>
          </cell>
        </row>
        <row r="1688">
          <cell r="A1688" t="str">
            <v>4 S 09 002 91</v>
          </cell>
          <cell r="B1688" t="str">
            <v>-</v>
          </cell>
          <cell r="C1688" t="str">
            <v>Transporte comercial c/ basc. 10m3 rod. pav.</v>
          </cell>
          <cell r="D1688" t="str">
            <v>tkm</v>
          </cell>
        </row>
        <row r="1689">
          <cell r="A1689" t="str">
            <v>4 S 09 202 70</v>
          </cell>
          <cell r="B1689" t="str">
            <v>-</v>
          </cell>
          <cell r="C1689" t="str">
            <v>Transp. local de água c/ cam. tanque rodov. pav.</v>
          </cell>
          <cell r="D1689" t="str">
            <v>tkm</v>
          </cell>
        </row>
        <row r="1691">
          <cell r="A1691" t="str">
            <v>DNIT - Sistema de Custos Rodoviários</v>
          </cell>
          <cell r="D1691" t="str">
            <v>Sicro2</v>
          </cell>
        </row>
        <row r="1692">
          <cell r="A1692" t="str">
            <v>Restauração Rodoviária</v>
          </cell>
          <cell r="D1692" t="str">
            <v>Minas Gerais</v>
          </cell>
        </row>
        <row r="1693">
          <cell r="A1693" t="str">
            <v>Resumo dos Custos Unitários de Referência: Maio de 2005</v>
          </cell>
          <cell r="D1693" t="str">
            <v>RCtR0330</v>
          </cell>
        </row>
        <row r="1695">
          <cell r="A1695" t="str">
            <v>Código</v>
          </cell>
          <cell r="C1695" t="str">
            <v>Atividade / Serviço</v>
          </cell>
          <cell r="D1695" t="str">
            <v>Unidade</v>
          </cell>
          <cell r="F1695" t="str">
            <v>Preço Unitário</v>
          </cell>
        </row>
        <row r="1696">
          <cell r="D1696" t="str">
            <v>Und</v>
          </cell>
          <cell r="E1696" t="str">
            <v>Direto</v>
          </cell>
          <cell r="F1696" t="str">
            <v>LDI</v>
          </cell>
          <cell r="G1696" t="str">
            <v>Total</v>
          </cell>
        </row>
        <row r="1698">
          <cell r="A1698" t="str">
            <v>5 S 01 000 00</v>
          </cell>
          <cell r="B1698" t="str">
            <v>-</v>
          </cell>
          <cell r="C1698" t="str">
            <v>Desm. dest. e limp. áreas c/ arv. diam. até 0,15m</v>
          </cell>
          <cell r="D1698" t="str">
            <v>m²</v>
          </cell>
          <cell r="H1698" t="str">
            <v>DNER-ES-278/97</v>
          </cell>
        </row>
        <row r="1699">
          <cell r="A1699" t="str">
            <v>5 S 01 010 00</v>
          </cell>
          <cell r="B1699" t="str">
            <v>-</v>
          </cell>
          <cell r="C1699" t="str">
            <v>Destocamento de árvores c/ diâm. 0,15 a 030m</v>
          </cell>
          <cell r="D1699" t="str">
            <v>und</v>
          </cell>
        </row>
        <row r="1700">
          <cell r="A1700" t="str">
            <v>5 S 01 011 00</v>
          </cell>
          <cell r="B1700" t="str">
            <v>-</v>
          </cell>
          <cell r="C1700" t="str">
            <v>Destocamento de árvores c/ diâm. &gt; 0,30m</v>
          </cell>
          <cell r="D1700" t="str">
            <v>und</v>
          </cell>
        </row>
        <row r="1701">
          <cell r="A1701" t="str">
            <v>5 S 01 100 01</v>
          </cell>
          <cell r="B1701" t="str">
            <v>-</v>
          </cell>
          <cell r="C1701" t="str">
            <v>Esc. carga transp. mat 1a cat DMT 50m</v>
          </cell>
          <cell r="D1701" t="str">
            <v>m³</v>
          </cell>
          <cell r="H1701" t="str">
            <v>DNER-ES-280/97</v>
          </cell>
        </row>
        <row r="1702">
          <cell r="A1702" t="str">
            <v>5 S 01 100 09</v>
          </cell>
          <cell r="B1702" t="str">
            <v>-</v>
          </cell>
          <cell r="C1702" t="str">
            <v>Esc. carga tr. mat 1a c. DMT 50 a 200m c/carreg</v>
          </cell>
          <cell r="D1702" t="str">
            <v>m³</v>
          </cell>
          <cell r="H1702" t="str">
            <v>DNER-ES-280/97</v>
          </cell>
        </row>
        <row r="1703">
          <cell r="A1703" t="str">
            <v>5 S 01 100 10</v>
          </cell>
          <cell r="B1703" t="str">
            <v>-</v>
          </cell>
          <cell r="C1703" t="str">
            <v>Esc. carga tr. mat 1a c. DMT 200 a 400m c/carreg</v>
          </cell>
          <cell r="D1703" t="str">
            <v>m³</v>
          </cell>
          <cell r="H1703" t="str">
            <v>DNER-ES-280/97</v>
          </cell>
        </row>
        <row r="1704">
          <cell r="A1704" t="str">
            <v>5 S 01 100 11</v>
          </cell>
          <cell r="B1704" t="str">
            <v>-</v>
          </cell>
          <cell r="C1704" t="str">
            <v>Esc. carga tr. mat 1a c. DMT 400 a 600m c/carreg</v>
          </cell>
          <cell r="D1704" t="str">
            <v>m³</v>
          </cell>
          <cell r="H1704" t="str">
            <v>DNER-ES-280/97</v>
          </cell>
        </row>
        <row r="1705">
          <cell r="A1705" t="str">
            <v>5 S 01 100 12</v>
          </cell>
          <cell r="B1705" t="str">
            <v>-</v>
          </cell>
          <cell r="C1705" t="str">
            <v>Esc. carga tr. mat 1a c. DMT 600 a 800m c/carreg</v>
          </cell>
          <cell r="D1705" t="str">
            <v>m³</v>
          </cell>
          <cell r="H1705" t="str">
            <v>DNER-ES-280/97</v>
          </cell>
        </row>
        <row r="1706">
          <cell r="A1706" t="str">
            <v>5 S 01 100 13</v>
          </cell>
          <cell r="B1706" t="str">
            <v>-</v>
          </cell>
          <cell r="C1706" t="str">
            <v>Esc. carga tr. mat 1a c. DMT 800 a 1000m c/carreg</v>
          </cell>
          <cell r="D1706" t="str">
            <v>m³</v>
          </cell>
          <cell r="H1706" t="str">
            <v>DNER-ES-280/97</v>
          </cell>
        </row>
        <row r="1707">
          <cell r="A1707" t="str">
            <v>5 S 01 100 14</v>
          </cell>
          <cell r="B1707" t="str">
            <v>-</v>
          </cell>
          <cell r="C1707" t="str">
            <v>Esc. carga tr. mat 1a c. DMT 1000 a 1200m c/carreg</v>
          </cell>
          <cell r="D1707" t="str">
            <v>m³</v>
          </cell>
          <cell r="H1707" t="str">
            <v>DNER-ES-280/97</v>
          </cell>
        </row>
        <row r="1708">
          <cell r="A1708" t="str">
            <v>5 S 01 100 15</v>
          </cell>
          <cell r="B1708" t="str">
            <v>-</v>
          </cell>
          <cell r="C1708" t="str">
            <v>Esc. carga tr. mat 1a c. DMT 1200 a 1400m c/carreg</v>
          </cell>
          <cell r="D1708" t="str">
            <v>m³</v>
          </cell>
          <cell r="H1708" t="str">
            <v>DNER-ES-280/97</v>
          </cell>
        </row>
        <row r="1709">
          <cell r="A1709" t="str">
            <v>5 S 01 100 16</v>
          </cell>
          <cell r="B1709" t="str">
            <v>-</v>
          </cell>
          <cell r="C1709" t="str">
            <v>Esc. carga tr. mat 1a c. DMT 1400 a 1600m c/carreg</v>
          </cell>
          <cell r="D1709" t="str">
            <v>m³</v>
          </cell>
          <cell r="H1709" t="str">
            <v>DNER-ES-280/97</v>
          </cell>
        </row>
        <row r="1710">
          <cell r="A1710" t="str">
            <v>5 S 01 100 17</v>
          </cell>
          <cell r="B1710" t="str">
            <v>-</v>
          </cell>
          <cell r="C1710" t="str">
            <v>Esc. carga tr. mat 1a c. DMT 1600 a 1800m c/carreg</v>
          </cell>
          <cell r="D1710" t="str">
            <v>m³</v>
          </cell>
          <cell r="H1710" t="str">
            <v>DNER-ES-280/97</v>
          </cell>
        </row>
        <row r="1711">
          <cell r="A1711" t="str">
            <v>5 S 01 100 18</v>
          </cell>
          <cell r="B1711" t="str">
            <v>-</v>
          </cell>
          <cell r="C1711" t="str">
            <v>Esc. carga tr. mat 1a c. DMT 1800 a 2000m c/carreg</v>
          </cell>
          <cell r="D1711" t="str">
            <v>m³</v>
          </cell>
          <cell r="H1711" t="str">
            <v>DNER-ES-280/97</v>
          </cell>
        </row>
        <row r="1712">
          <cell r="A1712" t="str">
            <v>5 S 01 100 19</v>
          </cell>
          <cell r="B1712" t="str">
            <v>-</v>
          </cell>
          <cell r="C1712" t="str">
            <v>Esc. carga tr. mat 1a c. DMT 2000 a 3000m c/carreg</v>
          </cell>
          <cell r="D1712" t="str">
            <v>m³</v>
          </cell>
          <cell r="H1712" t="str">
            <v>DNER-ES-280/97</v>
          </cell>
        </row>
        <row r="1713">
          <cell r="A1713" t="str">
            <v>5 S 01 100 20</v>
          </cell>
          <cell r="B1713" t="str">
            <v>-</v>
          </cell>
          <cell r="C1713" t="str">
            <v>Esc. carga tr. mat 1a c. DMT 3000 a 5000m c/carreg</v>
          </cell>
          <cell r="D1713" t="str">
            <v>m³</v>
          </cell>
          <cell r="H1713" t="str">
            <v>DNER-ES-280/97</v>
          </cell>
        </row>
        <row r="1714">
          <cell r="A1714" t="str">
            <v>5 S 01 100 22</v>
          </cell>
          <cell r="B1714" t="str">
            <v>-</v>
          </cell>
          <cell r="C1714" t="str">
            <v>Esc. carga transp. mat 1a cat DMT 50 a 200m c/e</v>
          </cell>
          <cell r="D1714" t="str">
            <v>m³</v>
          </cell>
          <cell r="H1714" t="str">
            <v>DNER-ES-280/97</v>
          </cell>
        </row>
        <row r="1715">
          <cell r="A1715" t="str">
            <v>5 S 01 100 23</v>
          </cell>
          <cell r="B1715" t="str">
            <v>-</v>
          </cell>
          <cell r="C1715" t="str">
            <v>Esc. carga transp. mat 1a cat DMT 200 a 400m c/e</v>
          </cell>
          <cell r="D1715" t="str">
            <v>m³</v>
          </cell>
          <cell r="H1715" t="str">
            <v>DNER-ES-280/97</v>
          </cell>
        </row>
        <row r="1716">
          <cell r="A1716" t="str">
            <v>5 S 01 100 24</v>
          </cell>
          <cell r="B1716" t="str">
            <v>-</v>
          </cell>
          <cell r="C1716" t="str">
            <v>Esc. carga transp. mat 1a cat DMT 400 a 600m c/e</v>
          </cell>
          <cell r="D1716" t="str">
            <v>m³</v>
          </cell>
          <cell r="H1716" t="str">
            <v>DNER-ES-280/97</v>
          </cell>
        </row>
        <row r="1717">
          <cell r="A1717" t="str">
            <v>5 S 01 100 25</v>
          </cell>
          <cell r="B1717" t="str">
            <v>-</v>
          </cell>
          <cell r="C1717" t="str">
            <v>Esc. carga transp. mat 1a cat DMT 600 a 800m c/e</v>
          </cell>
          <cell r="D1717" t="str">
            <v>m³</v>
          </cell>
          <cell r="H1717" t="str">
            <v>DNER-ES-280/97</v>
          </cell>
        </row>
        <row r="1718">
          <cell r="A1718" t="str">
            <v>5 S 01 100 26</v>
          </cell>
          <cell r="B1718" t="str">
            <v>-</v>
          </cell>
          <cell r="C1718" t="str">
            <v>Esc. carga transp. mat 1a cat DMT 800 a 1000m c/e</v>
          </cell>
          <cell r="D1718" t="str">
            <v>m³</v>
          </cell>
          <cell r="H1718" t="str">
            <v>DNER-ES-280/97</v>
          </cell>
        </row>
        <row r="1719">
          <cell r="A1719" t="str">
            <v>5 S 01 100 27</v>
          </cell>
          <cell r="B1719" t="str">
            <v>-</v>
          </cell>
          <cell r="C1719" t="str">
            <v>Esc. carga transp. mat 1a cat DMT 1000 a 1200m c/e</v>
          </cell>
          <cell r="D1719" t="str">
            <v>m³</v>
          </cell>
          <cell r="H1719" t="str">
            <v>DNER-ES-280/97</v>
          </cell>
        </row>
        <row r="1720">
          <cell r="A1720" t="str">
            <v>5 S 01 100 28</v>
          </cell>
          <cell r="B1720" t="str">
            <v>-</v>
          </cell>
          <cell r="C1720" t="str">
            <v>Esc. carga transp. mat 1a cat DMT 1200 a 1400m c/e</v>
          </cell>
          <cell r="D1720" t="str">
            <v>m³</v>
          </cell>
          <cell r="H1720" t="str">
            <v>DNER-ES-280/97</v>
          </cell>
        </row>
        <row r="1721">
          <cell r="A1721" t="str">
            <v>5 S 01 100 29</v>
          </cell>
          <cell r="B1721" t="str">
            <v>-</v>
          </cell>
          <cell r="C1721" t="str">
            <v>Esc. carga transp. mat 1a cat DMT 1400 a 1600m c/e</v>
          </cell>
          <cell r="D1721" t="str">
            <v>m³</v>
          </cell>
          <cell r="H1721" t="str">
            <v>DNER-ES-280/97</v>
          </cell>
        </row>
        <row r="1722">
          <cell r="A1722" t="str">
            <v>5 S 01 100 30</v>
          </cell>
          <cell r="B1722" t="str">
            <v>-</v>
          </cell>
          <cell r="C1722" t="str">
            <v>Esc. carga transp .mat 1a cat DMT 1600 a 1800m c/e</v>
          </cell>
          <cell r="D1722" t="str">
            <v>m³</v>
          </cell>
          <cell r="H1722" t="str">
            <v>DNER-ES-280/97</v>
          </cell>
        </row>
        <row r="1723">
          <cell r="A1723" t="str">
            <v>5 S 01 100 31</v>
          </cell>
          <cell r="B1723" t="str">
            <v>-</v>
          </cell>
          <cell r="C1723" t="str">
            <v>Esc. carga transp. mat 1a cat DMT 1800 a 2000m c/e</v>
          </cell>
          <cell r="D1723" t="str">
            <v>m³</v>
          </cell>
          <cell r="H1723" t="str">
            <v>DNER-ES-280/97</v>
          </cell>
        </row>
        <row r="1724">
          <cell r="A1724" t="str">
            <v>5 S 01 100 32</v>
          </cell>
          <cell r="B1724" t="str">
            <v>-</v>
          </cell>
          <cell r="C1724" t="str">
            <v>Esc. carga transp. mat 1a cat DMT 2000 a 3000m c/e</v>
          </cell>
          <cell r="D1724" t="str">
            <v>m³</v>
          </cell>
          <cell r="H1724" t="str">
            <v>DNER-ES-280/97</v>
          </cell>
        </row>
        <row r="1725">
          <cell r="A1725" t="str">
            <v>5 S 01 100 33</v>
          </cell>
          <cell r="B1725" t="str">
            <v>-</v>
          </cell>
          <cell r="C1725" t="str">
            <v>Esc. carga transp. mat 1a cat DMT 3000 a 5000m c/e</v>
          </cell>
          <cell r="D1725" t="str">
            <v>m³</v>
          </cell>
          <cell r="H1725" t="str">
            <v>DNER-ES-280/97</v>
          </cell>
        </row>
        <row r="1726">
          <cell r="A1726" t="str">
            <v>5 S 01 101 01</v>
          </cell>
          <cell r="B1726" t="str">
            <v>-</v>
          </cell>
          <cell r="C1726" t="str">
            <v>Esc. carga transp. mat 2a cat DMT 50m</v>
          </cell>
          <cell r="D1726" t="str">
            <v>m³</v>
          </cell>
          <cell r="H1726" t="str">
            <v>DNER-ES-280/97</v>
          </cell>
        </row>
        <row r="1727">
          <cell r="A1727" t="str">
            <v>5 S 01 101 09</v>
          </cell>
          <cell r="B1727" t="str">
            <v>-</v>
          </cell>
          <cell r="C1727" t="str">
            <v>Esc. carga tr. mat 2a c. DMT 50 a 200m c/carreg</v>
          </cell>
          <cell r="D1727" t="str">
            <v>m³</v>
          </cell>
          <cell r="H1727" t="str">
            <v>DNER-ES-280/97</v>
          </cell>
        </row>
        <row r="1728">
          <cell r="A1728" t="str">
            <v>5 S 01 101 10</v>
          </cell>
          <cell r="B1728" t="str">
            <v>-</v>
          </cell>
          <cell r="C1728" t="str">
            <v>Esc. carga tr. mat 2a c. DMT 200 a 400m c/carreg</v>
          </cell>
          <cell r="D1728" t="str">
            <v>m³</v>
          </cell>
          <cell r="H1728" t="str">
            <v>DNER-ES-280/97</v>
          </cell>
        </row>
        <row r="1729">
          <cell r="A1729" t="str">
            <v>5 S 01 101 11</v>
          </cell>
          <cell r="B1729" t="str">
            <v>-</v>
          </cell>
          <cell r="C1729" t="str">
            <v>Esc. carga tr. mat 2a c. DMT 400 a 600m c/carreg</v>
          </cell>
          <cell r="D1729" t="str">
            <v>m³</v>
          </cell>
          <cell r="H1729" t="str">
            <v>DNER-ES-280/97</v>
          </cell>
        </row>
        <row r="1730">
          <cell r="A1730" t="str">
            <v>5 S 01 101 12</v>
          </cell>
          <cell r="B1730" t="str">
            <v>-</v>
          </cell>
          <cell r="C1730" t="str">
            <v>Esc. carga tr. mat 2a c. DMT 600 a 800m c/carreg</v>
          </cell>
          <cell r="D1730" t="str">
            <v>m³</v>
          </cell>
          <cell r="H1730" t="str">
            <v>DNER-ES-280/97</v>
          </cell>
        </row>
        <row r="1731">
          <cell r="A1731" t="str">
            <v>5 S 01 101 13</v>
          </cell>
          <cell r="B1731" t="str">
            <v>-</v>
          </cell>
          <cell r="C1731" t="str">
            <v>Esc. carga tr. mat 2a c. DMT 800 a 1000m c/carreg</v>
          </cell>
          <cell r="D1731" t="str">
            <v>m³</v>
          </cell>
          <cell r="H1731" t="str">
            <v>DNER-ES-280/97</v>
          </cell>
        </row>
        <row r="1732">
          <cell r="A1732" t="str">
            <v>5 S 01 101 14</v>
          </cell>
          <cell r="B1732" t="str">
            <v>-</v>
          </cell>
          <cell r="C1732" t="str">
            <v>Esc. carga tr. mat 2a c. DMT 1000 a 1200m c/carreg</v>
          </cell>
          <cell r="D1732" t="str">
            <v>m³</v>
          </cell>
          <cell r="H1732" t="str">
            <v>DNER-ES-280/97</v>
          </cell>
        </row>
        <row r="1733">
          <cell r="A1733" t="str">
            <v>5 S 01 101 15</v>
          </cell>
          <cell r="B1733" t="str">
            <v>-</v>
          </cell>
          <cell r="C1733" t="str">
            <v>Esc. carga tr. mat 2a c. DMT 1200 a 1400m c/carreg</v>
          </cell>
          <cell r="D1733" t="str">
            <v>m³</v>
          </cell>
          <cell r="H1733" t="str">
            <v>DNER-ES-280/97</v>
          </cell>
        </row>
        <row r="1734">
          <cell r="A1734" t="str">
            <v>5 S 01 101 16</v>
          </cell>
          <cell r="B1734" t="str">
            <v>-</v>
          </cell>
          <cell r="C1734" t="str">
            <v>Esc. carga tr. mat 2a c. DMT 1400 a 1600m c/carreg</v>
          </cell>
          <cell r="D1734" t="str">
            <v>m³</v>
          </cell>
          <cell r="H1734" t="str">
            <v>DNER-ES-280/97</v>
          </cell>
        </row>
        <row r="1735">
          <cell r="A1735" t="str">
            <v>5 S 01 101 17</v>
          </cell>
          <cell r="B1735" t="str">
            <v>-</v>
          </cell>
          <cell r="C1735" t="str">
            <v>Esc. carga tr. mat 2a c. DMT 1600 a 1800m c/carreg</v>
          </cell>
          <cell r="D1735" t="str">
            <v>m³</v>
          </cell>
          <cell r="H1735" t="str">
            <v>DNER-ES-280/97</v>
          </cell>
        </row>
        <row r="1736">
          <cell r="A1736" t="str">
            <v>5 S 01 101 18</v>
          </cell>
          <cell r="B1736" t="str">
            <v>-</v>
          </cell>
          <cell r="C1736" t="str">
            <v>Esc. carga tr. mat 2a c. DMT 1800 a 2000m c/carreg</v>
          </cell>
          <cell r="D1736" t="str">
            <v>m³</v>
          </cell>
          <cell r="H1736" t="str">
            <v>DNER-ES-280/97</v>
          </cell>
        </row>
        <row r="1737">
          <cell r="A1737" t="str">
            <v>5 S 01 101 19</v>
          </cell>
          <cell r="B1737" t="str">
            <v>-</v>
          </cell>
          <cell r="C1737" t="str">
            <v>Esc. carga tr. mat 2a c. DMT 2000 a 3000m c/carreg</v>
          </cell>
          <cell r="D1737" t="str">
            <v>m³</v>
          </cell>
          <cell r="H1737" t="str">
            <v>DNER-ES-280/97</v>
          </cell>
        </row>
        <row r="1738">
          <cell r="A1738" t="str">
            <v>5 S 01 101 20</v>
          </cell>
          <cell r="B1738" t="str">
            <v>-</v>
          </cell>
          <cell r="C1738" t="str">
            <v>Esc. carga tr. mat 2a c. DMT 3000 a 5000m c/carreg</v>
          </cell>
          <cell r="D1738" t="str">
            <v>m³</v>
          </cell>
          <cell r="H1738" t="str">
            <v>DNER-ES-280/97</v>
          </cell>
        </row>
        <row r="1739">
          <cell r="A1739" t="str">
            <v>5 S 01 101 22</v>
          </cell>
          <cell r="B1739" t="str">
            <v>-</v>
          </cell>
          <cell r="C1739" t="str">
            <v>Esc. carga transp. mat 2a cat DMT 50 a 200m c/e</v>
          </cell>
          <cell r="D1739" t="str">
            <v>m³</v>
          </cell>
          <cell r="H1739" t="str">
            <v>DNER-ES-280/97</v>
          </cell>
        </row>
        <row r="1740">
          <cell r="A1740" t="str">
            <v>5 S 01 101 23</v>
          </cell>
          <cell r="B1740" t="str">
            <v>-</v>
          </cell>
          <cell r="C1740" t="str">
            <v>Esc. carga transp. mat 2a cat DMT 200 a 400m c/e</v>
          </cell>
          <cell r="D1740" t="str">
            <v>m³</v>
          </cell>
          <cell r="H1740" t="str">
            <v>DNER-ES-280/97</v>
          </cell>
        </row>
        <row r="1741">
          <cell r="A1741" t="str">
            <v>5 S 01 101 24</v>
          </cell>
          <cell r="B1741" t="str">
            <v>-</v>
          </cell>
          <cell r="C1741" t="str">
            <v>Esc. carga transp. mat 2a cat DMT 400 a 600m c/e</v>
          </cell>
          <cell r="D1741" t="str">
            <v>m³</v>
          </cell>
          <cell r="H1741" t="str">
            <v>DNER-ES-280/97</v>
          </cell>
        </row>
        <row r="1742">
          <cell r="A1742" t="str">
            <v>5 S 01 101 25</v>
          </cell>
          <cell r="B1742" t="str">
            <v>-</v>
          </cell>
          <cell r="C1742" t="str">
            <v>Esc. carga transp. mat 2a cat DMT 600 a 800m c/e</v>
          </cell>
          <cell r="D1742" t="str">
            <v>m³</v>
          </cell>
          <cell r="H1742" t="str">
            <v>DNER-ES-280/97</v>
          </cell>
        </row>
        <row r="1743">
          <cell r="A1743" t="str">
            <v>5 S 01 101 26</v>
          </cell>
          <cell r="B1743" t="str">
            <v>-</v>
          </cell>
          <cell r="C1743" t="str">
            <v>Esc. carga transp. mat 2a cat DMT 800 a 1000m c/e</v>
          </cell>
          <cell r="D1743" t="str">
            <v>m³</v>
          </cell>
          <cell r="H1743" t="str">
            <v>DNER-ES-280/97</v>
          </cell>
        </row>
        <row r="1744">
          <cell r="A1744" t="str">
            <v>5 S 01 101 27</v>
          </cell>
          <cell r="B1744" t="str">
            <v>-</v>
          </cell>
          <cell r="C1744" t="str">
            <v>Esc. carga transp. mat 2a cat DMT 1000 a 1200m c/e</v>
          </cell>
          <cell r="D1744" t="str">
            <v>m³</v>
          </cell>
          <cell r="H1744" t="str">
            <v>DNER-ES-280/97</v>
          </cell>
        </row>
        <row r="1745">
          <cell r="A1745" t="str">
            <v>5 S 01 101 28</v>
          </cell>
          <cell r="B1745" t="str">
            <v>-</v>
          </cell>
          <cell r="C1745" t="str">
            <v>Esc. carga transp. mat 2a cat DMT 1200 a 1400m c/e</v>
          </cell>
          <cell r="D1745" t="str">
            <v>m³</v>
          </cell>
          <cell r="H1745" t="str">
            <v>DNER-ES-280/97</v>
          </cell>
        </row>
        <row r="1746">
          <cell r="A1746" t="str">
            <v>5 S 01 101 29</v>
          </cell>
          <cell r="B1746" t="str">
            <v>-</v>
          </cell>
          <cell r="C1746" t="str">
            <v>Esc. carga transp. mat 2a cat DMT 1400 a 1600m c/e</v>
          </cell>
          <cell r="D1746" t="str">
            <v>m³</v>
          </cell>
          <cell r="H1746" t="str">
            <v>DNER-ES-280/97</v>
          </cell>
        </row>
        <row r="1747">
          <cell r="A1747" t="str">
            <v>5 S 01 101 30</v>
          </cell>
          <cell r="B1747" t="str">
            <v>-</v>
          </cell>
          <cell r="C1747" t="str">
            <v>Esc. carga transp. mat 2a cat DMT 1600 a 1800m c/e</v>
          </cell>
          <cell r="D1747" t="str">
            <v>m³</v>
          </cell>
          <cell r="H1747" t="str">
            <v>DNER-ES-280/97</v>
          </cell>
        </row>
        <row r="1748">
          <cell r="A1748" t="str">
            <v>5 S 01 101 31</v>
          </cell>
          <cell r="B1748" t="str">
            <v>-</v>
          </cell>
          <cell r="C1748" t="str">
            <v>Esc. carga transp. mat 2a cat DMT 1800 a 2000m c/e</v>
          </cell>
          <cell r="D1748" t="str">
            <v>m³</v>
          </cell>
          <cell r="H1748" t="str">
            <v>DNER-ES-280/97</v>
          </cell>
        </row>
        <row r="1749">
          <cell r="A1749" t="str">
            <v>5 S 01 101 32</v>
          </cell>
          <cell r="B1749" t="str">
            <v>-</v>
          </cell>
          <cell r="C1749" t="str">
            <v>Esc. carga transp. mat 2a cat DMT 2000 a 3000m c/e</v>
          </cell>
          <cell r="D1749" t="str">
            <v>m³</v>
          </cell>
          <cell r="H1749" t="str">
            <v>DNER-ES-280/97</v>
          </cell>
        </row>
        <row r="1750">
          <cell r="A1750" t="str">
            <v>5 S 01 101 33</v>
          </cell>
          <cell r="B1750" t="str">
            <v>-</v>
          </cell>
          <cell r="C1750" t="str">
            <v>Esc. carga transp. mat 2a cat DMT 3000 a 5000m c/e</v>
          </cell>
          <cell r="D1750" t="str">
            <v>m³</v>
          </cell>
          <cell r="H1750" t="str">
            <v>DNER-ES-280/97</v>
          </cell>
        </row>
        <row r="1751">
          <cell r="A1751" t="str">
            <v>5 S 01 102 01</v>
          </cell>
          <cell r="B1751" t="str">
            <v>-</v>
          </cell>
          <cell r="C1751" t="str">
            <v>Esc. carga transp. mat 3a cat DMT até 50m</v>
          </cell>
          <cell r="D1751" t="str">
            <v>m³</v>
          </cell>
          <cell r="H1751" t="str">
            <v>DNER-ES-280/97</v>
          </cell>
        </row>
        <row r="1752">
          <cell r="A1752" t="str">
            <v>5 S 01 102 02</v>
          </cell>
          <cell r="B1752" t="str">
            <v>-</v>
          </cell>
          <cell r="C1752" t="str">
            <v>Esc. carga transp. mat 3a cat DMT 50 a 200m</v>
          </cell>
          <cell r="D1752" t="str">
            <v>m³</v>
          </cell>
          <cell r="H1752" t="str">
            <v>DNER-ES-280/97</v>
          </cell>
        </row>
        <row r="1753">
          <cell r="A1753" t="str">
            <v>5 S 01 102 03</v>
          </cell>
          <cell r="B1753" t="str">
            <v>-</v>
          </cell>
          <cell r="C1753" t="str">
            <v>Esc. carga transp. mat 3a cat DMT 200 a 400m</v>
          </cell>
          <cell r="D1753" t="str">
            <v>m³</v>
          </cell>
          <cell r="H1753" t="str">
            <v>DNER-ES-280/97</v>
          </cell>
        </row>
        <row r="1754">
          <cell r="A1754" t="str">
            <v>5 S 01 102 04</v>
          </cell>
          <cell r="B1754" t="str">
            <v>-</v>
          </cell>
          <cell r="C1754" t="str">
            <v>Esc. carga transp. mat 3a cat DMT 400 a 600m</v>
          </cell>
          <cell r="D1754" t="str">
            <v>m³</v>
          </cell>
          <cell r="H1754" t="str">
            <v>DNER-ES-280/97</v>
          </cell>
        </row>
        <row r="1755">
          <cell r="A1755" t="str">
            <v>5 S 01 102 05</v>
          </cell>
          <cell r="B1755" t="str">
            <v>-</v>
          </cell>
          <cell r="C1755" t="str">
            <v>Esc. carga transp. mat 3a cat DMT 600 a 800m</v>
          </cell>
          <cell r="D1755" t="str">
            <v>m³</v>
          </cell>
          <cell r="H1755" t="str">
            <v>DNER-ES-280/97</v>
          </cell>
        </row>
        <row r="1756">
          <cell r="A1756" t="str">
            <v>5 S 01 102 06</v>
          </cell>
          <cell r="B1756" t="str">
            <v>-</v>
          </cell>
          <cell r="C1756" t="str">
            <v>Esc. carga transp. mat 3a cat DMT 800 a 1000m</v>
          </cell>
          <cell r="D1756" t="str">
            <v>m³</v>
          </cell>
          <cell r="H1756" t="str">
            <v>DNER-ES-280/97</v>
          </cell>
        </row>
        <row r="1757">
          <cell r="A1757" t="str">
            <v>5 S 01 102 07</v>
          </cell>
          <cell r="B1757" t="str">
            <v>-</v>
          </cell>
          <cell r="C1757" t="str">
            <v>Esc. carga transp. mat 3a cat DMT 1000 a 1200m</v>
          </cell>
          <cell r="D1757" t="str">
            <v>m³</v>
          </cell>
          <cell r="H1757" t="str">
            <v>DNER-ES-280/97</v>
          </cell>
        </row>
        <row r="1758">
          <cell r="A1758" t="str">
            <v>5 S 01 510 00</v>
          </cell>
          <cell r="B1758" t="str">
            <v>-</v>
          </cell>
          <cell r="C1758" t="str">
            <v>Compactação de aterros a 95% proctor normal</v>
          </cell>
          <cell r="D1758" t="str">
            <v>m³</v>
          </cell>
        </row>
        <row r="1759">
          <cell r="A1759" t="str">
            <v>5 S 01 511 00</v>
          </cell>
          <cell r="B1759" t="str">
            <v>-</v>
          </cell>
          <cell r="C1759" t="str">
            <v>Compactação de aterros a 100% proctor normal</v>
          </cell>
          <cell r="D1759" t="str">
            <v>m³</v>
          </cell>
        </row>
        <row r="1760">
          <cell r="A1760" t="str">
            <v>5 S 01 513 01</v>
          </cell>
          <cell r="B1760" t="str">
            <v>-</v>
          </cell>
          <cell r="C1760" t="str">
            <v>Compactação de material de "bota-fora"</v>
          </cell>
          <cell r="D1760" t="str">
            <v>m³</v>
          </cell>
        </row>
        <row r="1761">
          <cell r="A1761" t="str">
            <v>5 S 02 100 00</v>
          </cell>
          <cell r="B1761" t="str">
            <v>-</v>
          </cell>
          <cell r="C1761" t="str">
            <v>Reforço do subleito</v>
          </cell>
          <cell r="D1761" t="str">
            <v>m³</v>
          </cell>
        </row>
        <row r="1762">
          <cell r="A1762" t="str">
            <v>5 S 02 110 00</v>
          </cell>
          <cell r="B1762" t="str">
            <v>-</v>
          </cell>
          <cell r="C1762" t="str">
            <v>Regularização do subleito</v>
          </cell>
          <cell r="D1762" t="str">
            <v>m²</v>
          </cell>
          <cell r="H1762" t="str">
            <v>DNER-ES-299/97</v>
          </cell>
        </row>
        <row r="1763">
          <cell r="A1763" t="str">
            <v>5 S 02 110 01</v>
          </cell>
          <cell r="B1763" t="str">
            <v>-</v>
          </cell>
          <cell r="C1763" t="str">
            <v>Regul. subleito c/ fresa. corte contr. aut. greide</v>
          </cell>
          <cell r="D1763" t="str">
            <v>m²</v>
          </cell>
        </row>
        <row r="1764">
          <cell r="A1764" t="str">
            <v>5 S 02 200 00</v>
          </cell>
          <cell r="B1764" t="str">
            <v>-</v>
          </cell>
          <cell r="C1764" t="str">
            <v>Sub-base solo estabilizado granul. s/ mistura</v>
          </cell>
          <cell r="D1764" t="str">
            <v>m³</v>
          </cell>
          <cell r="H1764" t="str">
            <v>DNER-ES/301/97</v>
          </cell>
        </row>
        <row r="1765">
          <cell r="A1765" t="str">
            <v>5 S 02 200 01</v>
          </cell>
          <cell r="B1765" t="str">
            <v>-</v>
          </cell>
          <cell r="C1765" t="str">
            <v>Base solo estabilizado granul. s/ mistura</v>
          </cell>
          <cell r="D1765" t="str">
            <v>m³</v>
          </cell>
        </row>
        <row r="1766">
          <cell r="A1766" t="str">
            <v>5 S 02 201 00</v>
          </cell>
          <cell r="B1766" t="str">
            <v>-</v>
          </cell>
          <cell r="C1766" t="str">
            <v>Recomposição camada de base s/ adição de material</v>
          </cell>
          <cell r="D1766" t="str">
            <v>m²</v>
          </cell>
        </row>
        <row r="1767">
          <cell r="A1767" t="str">
            <v>5 S 02 210 00</v>
          </cell>
          <cell r="B1767" t="str">
            <v>-</v>
          </cell>
          <cell r="C1767" t="str">
            <v>Sub-base estabiliz. granul. c/ mist. solo na pista</v>
          </cell>
          <cell r="D1767" t="str">
            <v>m³</v>
          </cell>
        </row>
        <row r="1768">
          <cell r="A1768" t="str">
            <v>5 S 02 210 01</v>
          </cell>
          <cell r="B1768" t="str">
            <v>-</v>
          </cell>
          <cell r="C1768" t="str">
            <v>Sub-base estab. granul.c/mist. solo-areia na pista</v>
          </cell>
          <cell r="D1768" t="str">
            <v>m³</v>
          </cell>
        </row>
        <row r="1769">
          <cell r="A1769" t="str">
            <v>5 S 02 210 02</v>
          </cell>
          <cell r="B1769" t="str">
            <v>-</v>
          </cell>
          <cell r="C1769" t="str">
            <v>Base estabiliz.granul.c/ mist. solo areia na pista</v>
          </cell>
          <cell r="D1769" t="str">
            <v>m³</v>
          </cell>
        </row>
        <row r="1770">
          <cell r="A1770" t="str">
            <v>5 S 02 210 51</v>
          </cell>
          <cell r="B1770" t="str">
            <v>-</v>
          </cell>
          <cell r="C1770" t="str">
            <v>Sub-base est.gran.c/mist.solo-areia na pista AC</v>
          </cell>
          <cell r="D1770" t="str">
            <v>m³</v>
          </cell>
        </row>
        <row r="1771">
          <cell r="A1771" t="str">
            <v>5 S 02 210 52</v>
          </cell>
          <cell r="B1771" t="str">
            <v>-</v>
          </cell>
          <cell r="C1771" t="str">
            <v>Base estab.gran.c/mist.solo areia na pista AC</v>
          </cell>
          <cell r="D1771" t="str">
            <v>m³</v>
          </cell>
        </row>
        <row r="1772">
          <cell r="A1772" t="str">
            <v>5 S 02 220 00</v>
          </cell>
          <cell r="B1772" t="str">
            <v>-</v>
          </cell>
          <cell r="C1772" t="str">
            <v>Base estabilizada granul. c/ mistura solo-brita</v>
          </cell>
          <cell r="D1772" t="str">
            <v>m³</v>
          </cell>
        </row>
        <row r="1773">
          <cell r="A1773" t="str">
            <v>5 S 02 220 50</v>
          </cell>
          <cell r="B1773" t="str">
            <v>-</v>
          </cell>
          <cell r="C1773" t="str">
            <v>Base estabilizada granul.c/mist. solo-brita BC</v>
          </cell>
          <cell r="D1773" t="str">
            <v>m³</v>
          </cell>
        </row>
        <row r="1774">
          <cell r="A1774" t="str">
            <v>5 S 02 230 00</v>
          </cell>
          <cell r="B1774" t="str">
            <v>-</v>
          </cell>
          <cell r="C1774" t="str">
            <v>Base de brita graduada</v>
          </cell>
          <cell r="D1774" t="str">
            <v>m³</v>
          </cell>
        </row>
        <row r="1775">
          <cell r="A1775" t="str">
            <v>5 S 02 230 01</v>
          </cell>
          <cell r="B1775" t="str">
            <v>-</v>
          </cell>
          <cell r="C1775" t="str">
            <v>Base brita grad.c/distr.agreg. contr. autom.greide</v>
          </cell>
          <cell r="D1775" t="str">
            <v>m³</v>
          </cell>
        </row>
        <row r="1776">
          <cell r="A1776" t="str">
            <v>5 S 02 230 50</v>
          </cell>
          <cell r="B1776" t="str">
            <v>-</v>
          </cell>
          <cell r="C1776" t="str">
            <v>Base de brita graduada BC</v>
          </cell>
          <cell r="D1776" t="str">
            <v>m³</v>
          </cell>
        </row>
        <row r="1777">
          <cell r="A1777" t="str">
            <v>5 S 02 230 51</v>
          </cell>
          <cell r="B1777" t="str">
            <v>-</v>
          </cell>
          <cell r="C1777" t="str">
            <v>Base brita grad.c/dist.agreg.contr.aut.greide BC</v>
          </cell>
          <cell r="D1777" t="str">
            <v>m³</v>
          </cell>
        </row>
        <row r="1778">
          <cell r="A1778" t="str">
            <v>5 S 02 231 00</v>
          </cell>
          <cell r="B1778" t="str">
            <v>-</v>
          </cell>
          <cell r="C1778" t="str">
            <v>Base de macadame hidraúlico</v>
          </cell>
          <cell r="D1778" t="str">
            <v>m³</v>
          </cell>
        </row>
        <row r="1779">
          <cell r="A1779" t="str">
            <v>5 S 02 231 50</v>
          </cell>
          <cell r="B1779" t="str">
            <v>-</v>
          </cell>
          <cell r="C1779" t="str">
            <v>Base de macadame hidraúlico BC</v>
          </cell>
          <cell r="D1779" t="str">
            <v>m³</v>
          </cell>
        </row>
        <row r="1780">
          <cell r="A1780" t="str">
            <v>5 S 02 240 11</v>
          </cell>
          <cell r="B1780" t="str">
            <v>-</v>
          </cell>
          <cell r="C1780" t="str">
            <v>Recomposição camada de base c/ adição de cimento</v>
          </cell>
          <cell r="D1780" t="str">
            <v>m³</v>
          </cell>
        </row>
        <row r="1781">
          <cell r="A1781" t="str">
            <v>5 S 02 241 01</v>
          </cell>
          <cell r="B1781" t="str">
            <v>-</v>
          </cell>
          <cell r="C1781" t="str">
            <v>Base de solo cimento com mistura em usina</v>
          </cell>
          <cell r="D1781" t="str">
            <v>m³</v>
          </cell>
        </row>
        <row r="1782">
          <cell r="A1782" t="str">
            <v>5 S 02 243 01</v>
          </cell>
          <cell r="B1782" t="str">
            <v>-</v>
          </cell>
          <cell r="C1782" t="str">
            <v>Sub-base solo melhorado c/cimento c/mist. em usina</v>
          </cell>
          <cell r="D1782" t="str">
            <v>m³</v>
          </cell>
        </row>
        <row r="1783">
          <cell r="A1783" t="str">
            <v>5 S 02 249 11</v>
          </cell>
          <cell r="B1783" t="str">
            <v>-</v>
          </cell>
          <cell r="C1783" t="str">
            <v>Recomp. base c/ demol. do rev. e incorp. à base</v>
          </cell>
          <cell r="D1783" t="str">
            <v>m³</v>
          </cell>
        </row>
        <row r="1784">
          <cell r="A1784" t="str">
            <v>5 S 02 300 00</v>
          </cell>
          <cell r="B1784" t="str">
            <v>-</v>
          </cell>
          <cell r="C1784" t="str">
            <v>Imprimação</v>
          </cell>
          <cell r="D1784" t="str">
            <v>m²</v>
          </cell>
          <cell r="H1784" t="str">
            <v>DNER-ES-306/97</v>
          </cell>
        </row>
        <row r="1785">
          <cell r="A1785" t="str">
            <v>5 S 02 400 00</v>
          </cell>
          <cell r="B1785" t="str">
            <v>-</v>
          </cell>
          <cell r="C1785" t="str">
            <v>Pintura de ligação</v>
          </cell>
          <cell r="D1785" t="str">
            <v>m²</v>
          </cell>
          <cell r="H1785" t="str">
            <v>DNER-ES-307/97</v>
          </cell>
        </row>
        <row r="1786">
          <cell r="A1786" t="str">
            <v>5 S 02 500 00</v>
          </cell>
          <cell r="B1786" t="str">
            <v>-</v>
          </cell>
          <cell r="C1786" t="str">
            <v>Tratamento superficial simples c/ CAP</v>
          </cell>
          <cell r="D1786" t="str">
            <v>m²</v>
          </cell>
        </row>
        <row r="1787">
          <cell r="A1787" t="str">
            <v>5 S 02 500 01</v>
          </cell>
          <cell r="B1787" t="str">
            <v>-</v>
          </cell>
          <cell r="C1787" t="str">
            <v>Tratamento superficial simples c/ emulsão</v>
          </cell>
          <cell r="D1787" t="str">
            <v>m²</v>
          </cell>
        </row>
        <row r="1788">
          <cell r="A1788" t="str">
            <v>5 S 02 500 02</v>
          </cell>
          <cell r="B1788" t="str">
            <v>-</v>
          </cell>
          <cell r="C1788" t="str">
            <v>Tratamento superficial simples c/ banho diluído</v>
          </cell>
          <cell r="D1788" t="str">
            <v>m²</v>
          </cell>
        </row>
        <row r="1789">
          <cell r="A1789" t="str">
            <v>5 S 02 500 50</v>
          </cell>
          <cell r="B1789" t="str">
            <v>-</v>
          </cell>
          <cell r="C1789" t="str">
            <v>Tratamento superficial simples c/ CAP BC</v>
          </cell>
          <cell r="D1789" t="str">
            <v>m²</v>
          </cell>
        </row>
        <row r="1790">
          <cell r="A1790" t="str">
            <v>5 S 02 500 51</v>
          </cell>
          <cell r="B1790" t="str">
            <v>-</v>
          </cell>
          <cell r="C1790" t="str">
            <v>Tratamento superficial simples c/ emulsão BC</v>
          </cell>
          <cell r="D1790" t="str">
            <v>m²</v>
          </cell>
        </row>
        <row r="1791">
          <cell r="A1791" t="str">
            <v>5 S 02 500 52</v>
          </cell>
          <cell r="B1791" t="str">
            <v>-</v>
          </cell>
          <cell r="C1791" t="str">
            <v>Tratamento superficial simples c/banho diluído BC</v>
          </cell>
          <cell r="D1791" t="str">
            <v>m²</v>
          </cell>
        </row>
        <row r="1792">
          <cell r="A1792" t="str">
            <v>5 S 02 501 00</v>
          </cell>
          <cell r="B1792" t="str">
            <v>-</v>
          </cell>
          <cell r="C1792" t="str">
            <v>Tratamento superficial duplo c/ CAP</v>
          </cell>
          <cell r="D1792" t="str">
            <v>m²</v>
          </cell>
        </row>
        <row r="1793">
          <cell r="A1793" t="str">
            <v>5 S 02 501 01</v>
          </cell>
          <cell r="B1793" t="str">
            <v>-</v>
          </cell>
          <cell r="C1793" t="str">
            <v>Tratamento superficial duplo c/ emulsão</v>
          </cell>
          <cell r="D1793" t="str">
            <v>m²</v>
          </cell>
        </row>
        <row r="1794">
          <cell r="A1794" t="str">
            <v>5 S 02 501 02</v>
          </cell>
          <cell r="B1794" t="str">
            <v>-</v>
          </cell>
          <cell r="C1794" t="str">
            <v>Tratamento superficial duplo c/ banho diluído</v>
          </cell>
          <cell r="D1794" t="str">
            <v>m²</v>
          </cell>
        </row>
        <row r="1795">
          <cell r="A1795" t="str">
            <v>5 S 02 501 50</v>
          </cell>
          <cell r="B1795" t="str">
            <v>-</v>
          </cell>
          <cell r="C1795" t="str">
            <v>Tratamento superficial duplo c/ CAP BC</v>
          </cell>
          <cell r="D1795" t="str">
            <v>m²</v>
          </cell>
        </row>
        <row r="1796">
          <cell r="A1796" t="str">
            <v>5 S 02 501 51</v>
          </cell>
          <cell r="B1796" t="str">
            <v>-</v>
          </cell>
          <cell r="C1796" t="str">
            <v>Tratamento superficial duplo c/ emulsão BC</v>
          </cell>
          <cell r="D1796" t="str">
            <v>m²</v>
          </cell>
        </row>
        <row r="1797">
          <cell r="A1797" t="str">
            <v>5 S 02 501 52</v>
          </cell>
          <cell r="B1797" t="str">
            <v>-</v>
          </cell>
          <cell r="C1797" t="str">
            <v>Tratamento superficial duplo c/banho diluído BC</v>
          </cell>
          <cell r="D1797" t="str">
            <v>m²</v>
          </cell>
        </row>
        <row r="1798">
          <cell r="A1798" t="str">
            <v>5 S 02 502 00</v>
          </cell>
          <cell r="B1798" t="str">
            <v>-</v>
          </cell>
          <cell r="C1798" t="str">
            <v>Tratamento superficial triplo c/ CAP</v>
          </cell>
          <cell r="D1798" t="str">
            <v>m²</v>
          </cell>
        </row>
        <row r="1799">
          <cell r="A1799" t="str">
            <v>5 S 02 502 01</v>
          </cell>
          <cell r="B1799" t="str">
            <v>-</v>
          </cell>
          <cell r="C1799" t="str">
            <v>Tratamento superficial triplo c/ emulsão</v>
          </cell>
          <cell r="D1799" t="str">
            <v>m²</v>
          </cell>
        </row>
        <row r="1800">
          <cell r="A1800" t="str">
            <v>5 S 02 502 02</v>
          </cell>
          <cell r="B1800" t="str">
            <v>-</v>
          </cell>
          <cell r="C1800" t="str">
            <v>Tratamento superficial triplo c/ banho diluído</v>
          </cell>
          <cell r="D1800" t="str">
            <v>m²</v>
          </cell>
        </row>
        <row r="1801">
          <cell r="A1801" t="str">
            <v>5 S 02 502 50</v>
          </cell>
          <cell r="B1801" t="str">
            <v>-</v>
          </cell>
          <cell r="C1801" t="str">
            <v>Tratamento superficial triplo c/ CAP BC</v>
          </cell>
          <cell r="D1801" t="str">
            <v>m²</v>
          </cell>
        </row>
        <row r="1802">
          <cell r="A1802" t="str">
            <v>5 S 02 502 51</v>
          </cell>
          <cell r="B1802" t="str">
            <v>-</v>
          </cell>
          <cell r="C1802" t="str">
            <v>Tratamento superficial triplo c/ emulsão BC</v>
          </cell>
          <cell r="D1802" t="str">
            <v>m²</v>
          </cell>
        </row>
        <row r="1803">
          <cell r="A1803" t="str">
            <v>5 S 02 502 52</v>
          </cell>
          <cell r="B1803" t="str">
            <v>-</v>
          </cell>
          <cell r="C1803" t="str">
            <v>Tratamento superficial triplo c/ banho diluído BC</v>
          </cell>
          <cell r="D1803" t="str">
            <v>m²</v>
          </cell>
        </row>
        <row r="1804">
          <cell r="A1804" t="str">
            <v>5 S 02 511 01</v>
          </cell>
          <cell r="B1804" t="str">
            <v>-</v>
          </cell>
          <cell r="C1804" t="str">
            <v>Micro-revestimento a frio - Microflex 0,8cm</v>
          </cell>
          <cell r="D1804" t="str">
            <v>m²</v>
          </cell>
        </row>
        <row r="1805">
          <cell r="A1805" t="str">
            <v>5 S 02 511 02</v>
          </cell>
          <cell r="B1805" t="str">
            <v>-</v>
          </cell>
          <cell r="C1805" t="str">
            <v>Micro-revestimento a frio - Microflex 1,5 cm</v>
          </cell>
          <cell r="D1805" t="str">
            <v>m²</v>
          </cell>
        </row>
        <row r="1806">
          <cell r="A1806" t="str">
            <v>5 S 02 511 03</v>
          </cell>
          <cell r="B1806" t="str">
            <v>-</v>
          </cell>
          <cell r="C1806" t="str">
            <v>Micro-revestimento a frio - Microflex 2,0 cm</v>
          </cell>
          <cell r="D1806" t="str">
            <v>m²</v>
          </cell>
        </row>
        <row r="1807">
          <cell r="A1807" t="str">
            <v>5 S 02 511 04</v>
          </cell>
          <cell r="B1807" t="str">
            <v>-</v>
          </cell>
          <cell r="C1807" t="str">
            <v>Micro-revestimento a frio - Microflex - 2,5 cm</v>
          </cell>
          <cell r="D1807" t="str">
            <v>m²</v>
          </cell>
        </row>
        <row r="1808">
          <cell r="A1808" t="str">
            <v>5 S 02 511 51</v>
          </cell>
          <cell r="B1808" t="str">
            <v>-</v>
          </cell>
          <cell r="C1808" t="str">
            <v>Micro-revestimento a frio - Microflex 0,8cm BC</v>
          </cell>
          <cell r="D1808" t="str">
            <v>m²</v>
          </cell>
        </row>
        <row r="1809">
          <cell r="A1809" t="str">
            <v>5 S 02 511 52</v>
          </cell>
          <cell r="B1809" t="str">
            <v>-</v>
          </cell>
          <cell r="C1809" t="str">
            <v>Micro-revestimento a frio - Microflex 1,5 cm BC</v>
          </cell>
          <cell r="D1809" t="str">
            <v>m²</v>
          </cell>
        </row>
        <row r="1810">
          <cell r="A1810" t="str">
            <v>5 S 02 511 53</v>
          </cell>
          <cell r="B1810" t="str">
            <v>-</v>
          </cell>
          <cell r="C1810" t="str">
            <v>Micro-revestimento a frio - Microflex 2,0 cm BC</v>
          </cell>
          <cell r="D1810" t="str">
            <v>m²</v>
          </cell>
        </row>
        <row r="1811">
          <cell r="A1811" t="str">
            <v>5 S 02 511 54</v>
          </cell>
          <cell r="B1811" t="str">
            <v>-</v>
          </cell>
          <cell r="C1811" t="str">
            <v>Micro-revestimento a frio-Microflex-2,5 cm BC</v>
          </cell>
          <cell r="D1811" t="str">
            <v>m²</v>
          </cell>
        </row>
        <row r="1812">
          <cell r="A1812" t="str">
            <v>5 S 02 512 01</v>
          </cell>
          <cell r="B1812" t="str">
            <v>-</v>
          </cell>
          <cell r="C1812" t="str">
            <v>Lama asfáltica fina (granulometrias I e II)</v>
          </cell>
          <cell r="D1812" t="str">
            <v>m²</v>
          </cell>
        </row>
        <row r="1813">
          <cell r="A1813" t="str">
            <v>5 S 02 512 02</v>
          </cell>
          <cell r="B1813" t="str">
            <v>-</v>
          </cell>
          <cell r="C1813" t="str">
            <v>Lama asfáltica grossa (granulometrias III e IV)</v>
          </cell>
          <cell r="D1813" t="str">
            <v>m²</v>
          </cell>
        </row>
        <row r="1814">
          <cell r="A1814" t="str">
            <v>5 S 02 512 51</v>
          </cell>
          <cell r="B1814" t="str">
            <v>-</v>
          </cell>
          <cell r="C1814" t="str">
            <v>Lama asfáltica fina (granulometrias I e II) AC/BC</v>
          </cell>
          <cell r="D1814" t="str">
            <v>m²</v>
          </cell>
        </row>
        <row r="1815">
          <cell r="A1815" t="str">
            <v>5 S 02 512 52</v>
          </cell>
          <cell r="B1815" t="str">
            <v>-</v>
          </cell>
          <cell r="C1815" t="str">
            <v>Lama asfált.grossa (granulometrias III e IV) AC/BC</v>
          </cell>
          <cell r="D1815" t="str">
            <v>m²</v>
          </cell>
        </row>
        <row r="1816">
          <cell r="A1816" t="str">
            <v>5 S 02 530 00</v>
          </cell>
          <cell r="B1816" t="str">
            <v>-</v>
          </cell>
          <cell r="C1816" t="str">
            <v>Pré-misturado a frio</v>
          </cell>
          <cell r="D1816" t="str">
            <v>m³</v>
          </cell>
        </row>
        <row r="1817">
          <cell r="A1817" t="str">
            <v>5 S 02 530 50</v>
          </cell>
          <cell r="B1817" t="str">
            <v>-</v>
          </cell>
          <cell r="C1817" t="str">
            <v>Pré-misturado a frio AC/BC</v>
          </cell>
          <cell r="D1817" t="str">
            <v>m³</v>
          </cell>
        </row>
        <row r="1818">
          <cell r="A1818" t="str">
            <v>5 S 02 531 00</v>
          </cell>
          <cell r="B1818" t="str">
            <v>-</v>
          </cell>
          <cell r="C1818" t="str">
            <v>Macadame betuminoso por penetração</v>
          </cell>
          <cell r="D1818" t="str">
            <v>m³</v>
          </cell>
        </row>
        <row r="1819">
          <cell r="A1819" t="str">
            <v>5 S 02 531 50</v>
          </cell>
          <cell r="B1819" t="str">
            <v>-</v>
          </cell>
          <cell r="C1819" t="str">
            <v>Macadame betuminoso por penetração BC</v>
          </cell>
          <cell r="D1819" t="str">
            <v>m³</v>
          </cell>
        </row>
        <row r="1820">
          <cell r="A1820" t="str">
            <v>5 S 02 532 00</v>
          </cell>
          <cell r="B1820" t="str">
            <v>-</v>
          </cell>
          <cell r="C1820" t="str">
            <v>Areia-asfalto a quente</v>
          </cell>
          <cell r="D1820" t="str">
            <v>t</v>
          </cell>
        </row>
        <row r="1821">
          <cell r="A1821" t="str">
            <v>5 S 02 532 50</v>
          </cell>
          <cell r="B1821" t="str">
            <v>-</v>
          </cell>
          <cell r="C1821" t="str">
            <v>Areia-asfalto a quente AC</v>
          </cell>
          <cell r="D1821" t="str">
            <v>t</v>
          </cell>
        </row>
        <row r="1822">
          <cell r="A1822" t="str">
            <v>5 S 02 540 01</v>
          </cell>
          <cell r="B1822" t="str">
            <v>-</v>
          </cell>
          <cell r="C1822" t="str">
            <v>Conc. betumin.usinado a quente - capa de rolamento</v>
          </cell>
          <cell r="D1822" t="str">
            <v>t</v>
          </cell>
        </row>
        <row r="1823">
          <cell r="A1823" t="str">
            <v>5 S 02 540 02</v>
          </cell>
          <cell r="B1823" t="str">
            <v>-</v>
          </cell>
          <cell r="C1823" t="str">
            <v>Concreto betuminoso usinado a quente - binder</v>
          </cell>
          <cell r="D1823" t="str">
            <v>t</v>
          </cell>
        </row>
        <row r="1824">
          <cell r="A1824" t="str">
            <v>5 S 02 540 12</v>
          </cell>
          <cell r="B1824" t="str">
            <v>-</v>
          </cell>
          <cell r="C1824" t="str">
            <v>CBUQ reciclado em usina fixa</v>
          </cell>
          <cell r="D1824" t="str">
            <v>t</v>
          </cell>
        </row>
        <row r="1825">
          <cell r="A1825" t="str">
            <v>5 S 02 540 51</v>
          </cell>
          <cell r="B1825" t="str">
            <v>-</v>
          </cell>
          <cell r="C1825" t="str">
            <v>CBUQ -capa de rolamento AC/BC</v>
          </cell>
          <cell r="D1825" t="str">
            <v>t</v>
          </cell>
        </row>
        <row r="1826">
          <cell r="A1826" t="str">
            <v>5 S 02 540 52</v>
          </cell>
          <cell r="B1826" t="str">
            <v>-</v>
          </cell>
          <cell r="C1826" t="str">
            <v>CBUQ -binder AC/BC</v>
          </cell>
          <cell r="D1826" t="str">
            <v>t</v>
          </cell>
        </row>
        <row r="1827">
          <cell r="A1827" t="str">
            <v>5 S 02 540 62</v>
          </cell>
          <cell r="B1827" t="str">
            <v>-</v>
          </cell>
          <cell r="C1827" t="str">
            <v>CBUQ reciclado em usina fixa AC/BC</v>
          </cell>
          <cell r="D1827" t="str">
            <v>t</v>
          </cell>
        </row>
        <row r="1828">
          <cell r="A1828" t="str">
            <v>5 S 02 600 00</v>
          </cell>
          <cell r="B1828" t="str">
            <v>-</v>
          </cell>
          <cell r="C1828" t="str">
            <v>Manta sintét. p/ recap.asfál.- fornec. e aplicação</v>
          </cell>
          <cell r="D1828" t="str">
            <v>m²</v>
          </cell>
        </row>
        <row r="1829">
          <cell r="A1829" t="str">
            <v>5 S 02 607 00</v>
          </cell>
          <cell r="B1829" t="str">
            <v>-</v>
          </cell>
          <cell r="C1829" t="str">
            <v>Concreto cimento portland c/ equip. pequeno porte</v>
          </cell>
          <cell r="D1829" t="str">
            <v>m³</v>
          </cell>
        </row>
        <row r="1830">
          <cell r="A1830" t="str">
            <v>5 S 02 607 50</v>
          </cell>
          <cell r="B1830" t="str">
            <v>-</v>
          </cell>
          <cell r="C1830" t="str">
            <v>Concr.cimento portland c/equip.pequeno porte AC/BC</v>
          </cell>
          <cell r="D1830" t="str">
            <v>m³</v>
          </cell>
        </row>
        <row r="1831">
          <cell r="A1831" t="str">
            <v>5 S 02 702 00</v>
          </cell>
          <cell r="B1831" t="str">
            <v>-</v>
          </cell>
          <cell r="C1831" t="str">
            <v>Limpeza e enchimento de junta de pavimento de conc</v>
          </cell>
          <cell r="D1831" t="str">
            <v>m</v>
          </cell>
        </row>
        <row r="1832">
          <cell r="A1832" t="str">
            <v>5 S 02 905 00</v>
          </cell>
          <cell r="B1832" t="str">
            <v>-</v>
          </cell>
          <cell r="C1832" t="str">
            <v>Remoção mecanizada de revestimento betuminoso</v>
          </cell>
          <cell r="D1832" t="str">
            <v>m³</v>
          </cell>
          <cell r="H1832" t="str">
            <v>DNER-ES-321/97</v>
          </cell>
        </row>
        <row r="1833">
          <cell r="A1833" t="str">
            <v>5 S 02 905 01</v>
          </cell>
          <cell r="B1833" t="str">
            <v>-</v>
          </cell>
          <cell r="C1833" t="str">
            <v>Remoção manual de revestimento betuminoso</v>
          </cell>
          <cell r="D1833" t="str">
            <v>m³</v>
          </cell>
          <cell r="H1833" t="str">
            <v>DNER-ES-321/97</v>
          </cell>
        </row>
        <row r="1834">
          <cell r="A1834" t="str">
            <v>5 S 02 906 00</v>
          </cell>
          <cell r="B1834" t="str">
            <v>-</v>
          </cell>
          <cell r="C1834" t="str">
            <v>Remoção mecanizada da camada granular pavimento</v>
          </cell>
          <cell r="D1834" t="str">
            <v>m³</v>
          </cell>
          <cell r="H1834" t="str">
            <v>DNER-ES-321/97</v>
          </cell>
        </row>
        <row r="1835">
          <cell r="A1835" t="str">
            <v>5 S 02 906 01</v>
          </cell>
          <cell r="B1835" t="str">
            <v>-</v>
          </cell>
          <cell r="C1835" t="str">
            <v>Remoção manual da camada granular do pavimento</v>
          </cell>
          <cell r="D1835" t="str">
            <v>m³</v>
          </cell>
          <cell r="H1835" t="str">
            <v>DNER-ES-321/97</v>
          </cell>
        </row>
        <row r="1836">
          <cell r="A1836" t="str">
            <v>5 S 02 907 00</v>
          </cell>
          <cell r="B1836" t="str">
            <v>-</v>
          </cell>
          <cell r="C1836" t="str">
            <v>Remoção mecanizada material de baixa capac.suporte</v>
          </cell>
          <cell r="D1836" t="str">
            <v>m³</v>
          </cell>
          <cell r="H1836" t="str">
            <v>DNER-ES-321/97</v>
          </cell>
        </row>
        <row r="1837">
          <cell r="A1837" t="str">
            <v>5 S 02 907 01</v>
          </cell>
          <cell r="B1837" t="str">
            <v>-</v>
          </cell>
          <cell r="C1837" t="str">
            <v>Remoção manual de material de baixa capac.suporte</v>
          </cell>
          <cell r="D1837" t="str">
            <v>m³</v>
          </cell>
          <cell r="H1837" t="str">
            <v>DNER-ES-321/97</v>
          </cell>
        </row>
        <row r="1838">
          <cell r="A1838" t="str">
            <v>5 S 02 908 00</v>
          </cell>
          <cell r="B1838" t="str">
            <v>-</v>
          </cell>
          <cell r="C1838" t="str">
            <v>Arrancamento e remoção de paralelepípedos</v>
          </cell>
          <cell r="D1838" t="str">
            <v>m²</v>
          </cell>
        </row>
        <row r="1839">
          <cell r="A1839" t="str">
            <v>5 S 02 909 00</v>
          </cell>
          <cell r="B1839" t="str">
            <v>-</v>
          </cell>
          <cell r="C1839" t="str">
            <v>Arrancamento e remoção de meios-fios</v>
          </cell>
          <cell r="D1839" t="str">
            <v>m³</v>
          </cell>
        </row>
        <row r="1840">
          <cell r="A1840" t="str">
            <v>5 S 02 990 11</v>
          </cell>
          <cell r="B1840" t="str">
            <v>-</v>
          </cell>
          <cell r="C1840" t="str">
            <v>Fresagem contínua do revest. betuminoso</v>
          </cell>
          <cell r="D1840" t="str">
            <v>m³</v>
          </cell>
        </row>
        <row r="1841">
          <cell r="A1841" t="str">
            <v>5 S 02 990 12</v>
          </cell>
          <cell r="B1841" t="str">
            <v>-</v>
          </cell>
          <cell r="C1841" t="str">
            <v>Fresagem descontínua revest. betuminoso</v>
          </cell>
          <cell r="D1841" t="str">
            <v>m³</v>
          </cell>
        </row>
        <row r="1842">
          <cell r="A1842" t="str">
            <v>5 S 04 300 16</v>
          </cell>
          <cell r="B1842" t="str">
            <v>-</v>
          </cell>
          <cell r="C1842" t="str">
            <v>Bueiro met. chapas múltiplas D=1,60m galv.</v>
          </cell>
          <cell r="D1842" t="str">
            <v>m</v>
          </cell>
        </row>
        <row r="1843">
          <cell r="A1843" t="str">
            <v>5 S 04 300 20</v>
          </cell>
          <cell r="B1843" t="str">
            <v>-</v>
          </cell>
          <cell r="C1843" t="str">
            <v>Bueiro met. chapas múltiplas D=2,00m galv.</v>
          </cell>
          <cell r="D1843" t="str">
            <v>m</v>
          </cell>
        </row>
        <row r="1844">
          <cell r="A1844" t="str">
            <v>5 S 04 300 66</v>
          </cell>
          <cell r="B1844" t="str">
            <v>-</v>
          </cell>
          <cell r="C1844" t="str">
            <v>Bueiro met. chapas múltiplas D=1,60m galv. BC</v>
          </cell>
          <cell r="D1844" t="str">
            <v>m</v>
          </cell>
        </row>
        <row r="1845">
          <cell r="A1845" t="str">
            <v>5 S 04 300 70</v>
          </cell>
          <cell r="B1845" t="str">
            <v>-</v>
          </cell>
          <cell r="C1845" t="str">
            <v>Bueiro met. chapas múltiplas D=2,00m galv. BC</v>
          </cell>
          <cell r="D1845" t="str">
            <v>m</v>
          </cell>
        </row>
        <row r="1846">
          <cell r="A1846" t="str">
            <v>5 S 04 301 16</v>
          </cell>
          <cell r="B1846" t="str">
            <v>-</v>
          </cell>
          <cell r="C1846" t="str">
            <v>Bueiro met. chapas múltiplas D=1,60m rev. epoxy</v>
          </cell>
          <cell r="D1846" t="str">
            <v>m</v>
          </cell>
        </row>
        <row r="1847">
          <cell r="A1847" t="str">
            <v>5 S 04 301 20</v>
          </cell>
          <cell r="B1847" t="str">
            <v>-</v>
          </cell>
          <cell r="C1847" t="str">
            <v>Bueiro met. chapas múltiplas D=2,00m rev. epoxy</v>
          </cell>
          <cell r="D1847" t="str">
            <v>m</v>
          </cell>
        </row>
        <row r="1848">
          <cell r="A1848" t="str">
            <v>5 S 04 301 66</v>
          </cell>
          <cell r="B1848" t="str">
            <v>-</v>
          </cell>
          <cell r="C1848" t="str">
            <v>Bueiro met. chapas múlt. D=1,60m rev. epoxy BC</v>
          </cell>
          <cell r="D1848" t="str">
            <v>m</v>
          </cell>
        </row>
        <row r="1849">
          <cell r="A1849" t="str">
            <v>5 S 04 301 70</v>
          </cell>
          <cell r="B1849" t="str">
            <v>-</v>
          </cell>
          <cell r="C1849" t="str">
            <v>Bueiro met. chapas múlt. D=2,00m rev. epoxy BC</v>
          </cell>
          <cell r="D1849" t="str">
            <v>m</v>
          </cell>
        </row>
        <row r="1850">
          <cell r="A1850" t="str">
            <v>5 S 04 310 12</v>
          </cell>
          <cell r="B1850" t="str">
            <v>-</v>
          </cell>
          <cell r="C1850" t="str">
            <v>Bueiro met. s/interrupção traf. D=1,20m galv.</v>
          </cell>
          <cell r="D1850" t="str">
            <v>m</v>
          </cell>
        </row>
        <row r="1851">
          <cell r="A1851" t="str">
            <v>5 S 04 310 16</v>
          </cell>
          <cell r="B1851" t="str">
            <v>-</v>
          </cell>
          <cell r="C1851" t="str">
            <v>Bueiro met. s/ interrup. de tráf. D=1,60m galv.</v>
          </cell>
          <cell r="D1851" t="str">
            <v>m</v>
          </cell>
        </row>
        <row r="1852">
          <cell r="A1852" t="str">
            <v>5 S 04 310 20</v>
          </cell>
          <cell r="B1852" t="str">
            <v>-</v>
          </cell>
          <cell r="C1852" t="str">
            <v>Bueiro met. s/ interrup. de tráf. D=2,00m galv.</v>
          </cell>
          <cell r="D1852" t="str">
            <v>m</v>
          </cell>
        </row>
        <row r="1853">
          <cell r="A1853" t="str">
            <v>5 S 04 311 12</v>
          </cell>
          <cell r="B1853" t="str">
            <v>-</v>
          </cell>
          <cell r="C1853" t="str">
            <v>Bueiro met. s/interrupção traf. D=1,20m rev. epoxy</v>
          </cell>
          <cell r="D1853" t="str">
            <v>m</v>
          </cell>
        </row>
        <row r="1854">
          <cell r="A1854" t="str">
            <v>5 S 04 311 16</v>
          </cell>
          <cell r="B1854" t="str">
            <v>-</v>
          </cell>
          <cell r="C1854" t="str">
            <v>Bueiro met.s/interrupção traf. D=1,60 m rev.epoxy</v>
          </cell>
          <cell r="D1854" t="str">
            <v>m</v>
          </cell>
        </row>
        <row r="1855">
          <cell r="A1855" t="str">
            <v>5 S 04 311 20</v>
          </cell>
          <cell r="B1855" t="str">
            <v>-</v>
          </cell>
          <cell r="C1855" t="str">
            <v>Bueiro met.s/interrupção tráf. D=2,00 m rev. epoxy</v>
          </cell>
          <cell r="D1855" t="str">
            <v>m</v>
          </cell>
        </row>
        <row r="1856">
          <cell r="A1856" t="str">
            <v>5 S 04 999 01</v>
          </cell>
          <cell r="B1856" t="str">
            <v>-</v>
          </cell>
          <cell r="C1856" t="str">
            <v>Remoção de bueiros existentes</v>
          </cell>
          <cell r="D1856" t="str">
            <v>m</v>
          </cell>
        </row>
        <row r="1857">
          <cell r="A1857" t="str">
            <v>5 S 04 999 04</v>
          </cell>
          <cell r="B1857" t="str">
            <v>-</v>
          </cell>
          <cell r="C1857" t="str">
            <v>Restauração de disp. danif. com concr. fck=12 MPa</v>
          </cell>
          <cell r="D1857" t="str">
            <v>m³</v>
          </cell>
        </row>
        <row r="1858">
          <cell r="A1858" t="str">
            <v>5 S 04 999 07</v>
          </cell>
          <cell r="B1858" t="str">
            <v>-</v>
          </cell>
          <cell r="C1858" t="str">
            <v>Demolição de dispositivos de concreto simples</v>
          </cell>
          <cell r="D1858" t="str">
            <v>m³</v>
          </cell>
        </row>
        <row r="1859">
          <cell r="A1859" t="str">
            <v>5 S 04 999 08</v>
          </cell>
          <cell r="B1859" t="str">
            <v>-</v>
          </cell>
          <cell r="C1859" t="str">
            <v>Demolição de dispositivos de concreto armado</v>
          </cell>
          <cell r="D1859" t="str">
            <v>m³</v>
          </cell>
        </row>
        <row r="1860">
          <cell r="A1860" t="str">
            <v>5 S 04 999 54</v>
          </cell>
          <cell r="B1860" t="str">
            <v>-</v>
          </cell>
          <cell r="C1860" t="str">
            <v>Restaur.de disp.danif.com concr. fck=12 MPa AC/BC</v>
          </cell>
          <cell r="D1860" t="str">
            <v>m³</v>
          </cell>
        </row>
        <row r="1861">
          <cell r="A1861" t="str">
            <v>5 S 05 100 00</v>
          </cell>
          <cell r="B1861" t="str">
            <v>-</v>
          </cell>
          <cell r="C1861" t="str">
            <v>Enleivamento</v>
          </cell>
          <cell r="D1861" t="str">
            <v>m²</v>
          </cell>
        </row>
        <row r="1862">
          <cell r="A1862" t="str">
            <v>5 S 05 102 00</v>
          </cell>
          <cell r="B1862" t="str">
            <v>-</v>
          </cell>
          <cell r="C1862" t="str">
            <v>Hidrossemeadura</v>
          </cell>
          <cell r="D1862" t="str">
            <v>m²</v>
          </cell>
        </row>
        <row r="1863">
          <cell r="A1863" t="str">
            <v>5 S 05 300 01</v>
          </cell>
          <cell r="B1863" t="str">
            <v>-</v>
          </cell>
          <cell r="C1863" t="str">
            <v>Alvenaria de pedra arrumada</v>
          </cell>
          <cell r="D1863" t="str">
            <v>m³</v>
          </cell>
        </row>
        <row r="1864">
          <cell r="A1864" t="str">
            <v>5 S 05 300 02</v>
          </cell>
          <cell r="B1864" t="str">
            <v>-</v>
          </cell>
          <cell r="C1864" t="str">
            <v>Enrocamento de pedra jogada</v>
          </cell>
          <cell r="D1864" t="str">
            <v>m³</v>
          </cell>
        </row>
        <row r="1865">
          <cell r="A1865" t="str">
            <v>5 S 05 301 00</v>
          </cell>
          <cell r="B1865" t="str">
            <v>-</v>
          </cell>
          <cell r="C1865" t="str">
            <v>Alvenaria de pedra argamassada</v>
          </cell>
          <cell r="D1865" t="str">
            <v>m³</v>
          </cell>
        </row>
        <row r="1866">
          <cell r="A1866" t="str">
            <v>5 S 05 301 50</v>
          </cell>
          <cell r="B1866" t="str">
            <v>-</v>
          </cell>
          <cell r="C1866" t="str">
            <v>Alvenaria de pedra argamassada AC/PC</v>
          </cell>
          <cell r="D1866" t="str">
            <v>m³</v>
          </cell>
        </row>
        <row r="1867">
          <cell r="A1867" t="str">
            <v>5 S 05 302 01</v>
          </cell>
          <cell r="B1867" t="str">
            <v>-</v>
          </cell>
          <cell r="C1867" t="str">
            <v>Muro de gabião tipo caixa</v>
          </cell>
          <cell r="D1867" t="str">
            <v>m³</v>
          </cell>
        </row>
        <row r="1868">
          <cell r="A1868" t="str">
            <v>5 S 05 303 01</v>
          </cell>
          <cell r="B1868" t="str">
            <v>-</v>
          </cell>
          <cell r="C1868" t="str">
            <v>Terra armada - ECE - greide 0,0&lt;h&lt;6,00m</v>
          </cell>
          <cell r="D1868" t="str">
            <v>m²</v>
          </cell>
        </row>
        <row r="1869">
          <cell r="A1869" t="str">
            <v>5 S 05 303 02</v>
          </cell>
          <cell r="B1869" t="str">
            <v>-</v>
          </cell>
          <cell r="C1869" t="str">
            <v>Terra armada - ECE - greide 6,0&lt;h&lt;9,00</v>
          </cell>
          <cell r="D1869" t="str">
            <v>m²</v>
          </cell>
        </row>
        <row r="1870">
          <cell r="A1870" t="str">
            <v>5 S 05 303 03</v>
          </cell>
          <cell r="B1870" t="str">
            <v>-</v>
          </cell>
          <cell r="C1870" t="str">
            <v>Terra armada - ECE - greide 9,0&lt;h&lt;12,00m</v>
          </cell>
          <cell r="D1870" t="str">
            <v>m²</v>
          </cell>
        </row>
        <row r="1871">
          <cell r="A1871" t="str">
            <v>5 S 05 303 04</v>
          </cell>
          <cell r="B1871" t="str">
            <v>-</v>
          </cell>
          <cell r="C1871" t="str">
            <v>Terra armada - ECE - pé de talude 0,0&lt;h&lt;6,00m</v>
          </cell>
          <cell r="D1871" t="str">
            <v>m²</v>
          </cell>
        </row>
        <row r="1872">
          <cell r="A1872" t="str">
            <v>5 S 05 303 05</v>
          </cell>
          <cell r="B1872" t="str">
            <v>-</v>
          </cell>
          <cell r="C1872" t="str">
            <v>Terra armada - ECE - pé de talude 6,0&lt;h&lt;9,00m</v>
          </cell>
          <cell r="D1872" t="str">
            <v>m²</v>
          </cell>
        </row>
        <row r="1873">
          <cell r="A1873" t="str">
            <v>5 S 05 303 06</v>
          </cell>
          <cell r="B1873" t="str">
            <v>-</v>
          </cell>
          <cell r="C1873" t="str">
            <v>Terra armada - ECE - pé de talude 9,0&lt;h&lt;12,00m</v>
          </cell>
          <cell r="D1873" t="str">
            <v>m²</v>
          </cell>
        </row>
        <row r="1874">
          <cell r="A1874" t="str">
            <v>5 S 05 303 07</v>
          </cell>
          <cell r="B1874" t="str">
            <v>-</v>
          </cell>
          <cell r="C1874" t="str">
            <v>Terra armada - ECE - encontro portante 0,0&lt;h&lt;6,0m</v>
          </cell>
          <cell r="D1874" t="str">
            <v>m²</v>
          </cell>
        </row>
        <row r="1875">
          <cell r="A1875" t="str">
            <v>5 S 05 303 08</v>
          </cell>
          <cell r="B1875" t="str">
            <v>-</v>
          </cell>
          <cell r="C1875" t="str">
            <v>Terra armada - ECE - encontro portante 6,0&lt;h&lt;9,00m</v>
          </cell>
          <cell r="D1875" t="str">
            <v>m²</v>
          </cell>
        </row>
        <row r="1876">
          <cell r="A1876" t="str">
            <v>5 S 05 303 09</v>
          </cell>
          <cell r="B1876" t="str">
            <v>-</v>
          </cell>
          <cell r="C1876" t="str">
            <v>Escamas de concreto armado para terra armada</v>
          </cell>
          <cell r="D1876" t="str">
            <v>m³</v>
          </cell>
        </row>
        <row r="1877">
          <cell r="A1877" t="str">
            <v>5 S 05 303 10</v>
          </cell>
          <cell r="B1877" t="str">
            <v>-</v>
          </cell>
          <cell r="C1877" t="str">
            <v>Conc. de soleira e arrem. de maciço de terra arm.</v>
          </cell>
          <cell r="D1877" t="str">
            <v>m³</v>
          </cell>
        </row>
        <row r="1878">
          <cell r="A1878" t="str">
            <v>5 S 05 303 11</v>
          </cell>
          <cell r="B1878" t="str">
            <v>-</v>
          </cell>
          <cell r="C1878" t="str">
            <v>Montagem de maciço terra armada</v>
          </cell>
          <cell r="D1878" t="str">
            <v>m²</v>
          </cell>
        </row>
        <row r="1879">
          <cell r="A1879" t="str">
            <v>5 S 05 303 59</v>
          </cell>
          <cell r="B1879" t="str">
            <v>-</v>
          </cell>
          <cell r="C1879" t="str">
            <v>Escamas de concreto armado para terra armada AC/BC</v>
          </cell>
          <cell r="D1879" t="str">
            <v>m³</v>
          </cell>
        </row>
        <row r="1880">
          <cell r="A1880" t="str">
            <v>5 S 05 303 60</v>
          </cell>
          <cell r="B1880" t="str">
            <v>-</v>
          </cell>
          <cell r="C1880" t="str">
            <v>Concr. soleira arremate de maciço terra arm. AC/BC</v>
          </cell>
          <cell r="D1880" t="str">
            <v>m³</v>
          </cell>
        </row>
        <row r="1881">
          <cell r="A1881" t="str">
            <v>5 S 05 340 01</v>
          </cell>
          <cell r="B1881" t="str">
            <v>-</v>
          </cell>
          <cell r="C1881" t="str">
            <v>Execução cortina atirantada conc.armado fck=15 MPa</v>
          </cell>
          <cell r="D1881" t="str">
            <v>m³</v>
          </cell>
        </row>
        <row r="1882">
          <cell r="A1882" t="str">
            <v>5 S 05 340 51</v>
          </cell>
          <cell r="B1882" t="str">
            <v>-</v>
          </cell>
          <cell r="C1882" t="str">
            <v>Exec.cortina atirant.concr.armado fck=15 MPa AC/BC</v>
          </cell>
          <cell r="D1882" t="str">
            <v>m³</v>
          </cell>
        </row>
        <row r="1883">
          <cell r="A1883" t="str">
            <v>5 S 05 900 01</v>
          </cell>
          <cell r="B1883" t="str">
            <v>-</v>
          </cell>
          <cell r="C1883" t="str">
            <v>Execução tirante protendido cortina atirantada</v>
          </cell>
          <cell r="D1883" t="str">
            <v>m</v>
          </cell>
        </row>
        <row r="1884">
          <cell r="A1884" t="str">
            <v>5 S 06 400 01</v>
          </cell>
          <cell r="B1884" t="str">
            <v>-</v>
          </cell>
          <cell r="C1884" t="str">
            <v>Cercas arame farp. c/ mourão conc. seção quadr.</v>
          </cell>
          <cell r="D1884" t="str">
            <v>m</v>
          </cell>
        </row>
        <row r="1885">
          <cell r="A1885" t="str">
            <v>5 S 06 400 02</v>
          </cell>
          <cell r="B1885" t="str">
            <v>-</v>
          </cell>
          <cell r="C1885" t="str">
            <v>Cerca arame farp. c/ mourão de conc. seção triang</v>
          </cell>
          <cell r="D1885" t="str">
            <v>m</v>
          </cell>
        </row>
        <row r="1886">
          <cell r="A1886" t="str">
            <v>5 S 06 400 51</v>
          </cell>
          <cell r="B1886" t="str">
            <v>-</v>
          </cell>
          <cell r="C1886" t="str">
            <v>Cercas arame farp. c/mourão conc.seção quadr.AC/BC</v>
          </cell>
          <cell r="D1886" t="str">
            <v>m</v>
          </cell>
        </row>
        <row r="1887">
          <cell r="A1887" t="str">
            <v>5 S 06 400 52</v>
          </cell>
          <cell r="B1887" t="str">
            <v>-</v>
          </cell>
          <cell r="C1887" t="str">
            <v>Cerca arame farp. c/mourão concr.sec. triang.AC/BC</v>
          </cell>
          <cell r="D1887" t="str">
            <v>m</v>
          </cell>
        </row>
        <row r="1888">
          <cell r="A1888" t="str">
            <v>5 S 06 410 00</v>
          </cell>
          <cell r="B1888" t="str">
            <v>-</v>
          </cell>
          <cell r="C1888" t="str">
            <v>Cercas arame farpado com suporte madeira</v>
          </cell>
          <cell r="D1888" t="str">
            <v>m</v>
          </cell>
        </row>
        <row r="1889">
          <cell r="A1889" t="str">
            <v>5 S 09 001 07</v>
          </cell>
          <cell r="B1889" t="str">
            <v>-</v>
          </cell>
          <cell r="C1889" t="str">
            <v>Transporte local em rodov. não pavim.</v>
          </cell>
          <cell r="D1889" t="str">
            <v>tkm</v>
          </cell>
        </row>
        <row r="1890">
          <cell r="A1890" t="str">
            <v>5 S 09 001 90</v>
          </cell>
          <cell r="B1890" t="str">
            <v>-</v>
          </cell>
          <cell r="C1890" t="str">
            <v>Transporte comercial c/ carroc. rodov. não pav.</v>
          </cell>
          <cell r="D1890" t="str">
            <v>tkm</v>
          </cell>
        </row>
        <row r="1891">
          <cell r="A1891" t="str">
            <v>5 S 09 001 91</v>
          </cell>
          <cell r="B1891" t="str">
            <v>-</v>
          </cell>
          <cell r="C1891" t="str">
            <v>Transporte comercial c/ basc. 10m3 rod. não pav.</v>
          </cell>
          <cell r="D1891" t="str">
            <v>tkm</v>
          </cell>
        </row>
        <row r="1892">
          <cell r="A1892" t="str">
            <v>5 S 09 002 07</v>
          </cell>
          <cell r="B1892" t="str">
            <v>-</v>
          </cell>
          <cell r="C1892" t="str">
            <v>Transporte local em rodov. pavim.</v>
          </cell>
          <cell r="D1892" t="str">
            <v>tkm</v>
          </cell>
        </row>
        <row r="1893">
          <cell r="A1893" t="str">
            <v>5 S 09 002 90</v>
          </cell>
          <cell r="B1893" t="str">
            <v>-</v>
          </cell>
          <cell r="C1893" t="str">
            <v>Transporte comercial c/ carroceria rodov. pav.</v>
          </cell>
          <cell r="D1893" t="str">
            <v>tkm</v>
          </cell>
        </row>
        <row r="1894">
          <cell r="A1894" t="str">
            <v>5 S 09 002 91</v>
          </cell>
          <cell r="B1894" t="str">
            <v>-</v>
          </cell>
          <cell r="C1894" t="str">
            <v>Transporte comercial c/ basc. 10m3 rod. pav.</v>
          </cell>
          <cell r="D1894" t="str">
            <v>tkm</v>
          </cell>
        </row>
        <row r="1896">
          <cell r="A1896" t="str">
            <v>DNIT - Sistema de Custos Rodoviários</v>
          </cell>
          <cell r="D1896" t="str">
            <v>Sicro2</v>
          </cell>
        </row>
        <row r="1897">
          <cell r="A1897" t="str">
            <v>Outros</v>
          </cell>
          <cell r="D1897" t="str">
            <v>Minas Gerais</v>
          </cell>
        </row>
        <row r="1898">
          <cell r="A1898" t="str">
            <v>Resumo dos Custos Unitários de Referência: Maio de 2005</v>
          </cell>
          <cell r="D1898" t="str">
            <v>RCtR0330</v>
          </cell>
        </row>
        <row r="1900">
          <cell r="C1900" t="str">
            <v>FORNECIMENTO DE MATERIAL BETUMINOSO</v>
          </cell>
        </row>
        <row r="1901">
          <cell r="B1901" t="str">
            <v>-</v>
          </cell>
          <cell r="C1901" t="str">
            <v>Fornecimento de CAP-20 Com 4,5% de Polímero</v>
          </cell>
          <cell r="D1901" t="str">
            <v>t</v>
          </cell>
          <cell r="H1901" t="str">
            <v>EC-P-01</v>
          </cell>
        </row>
        <row r="1902">
          <cell r="B1902" t="str">
            <v>-</v>
          </cell>
          <cell r="C1902" t="str">
            <v>Fornecimento de Asfalto Diluido Tipo CM-30</v>
          </cell>
          <cell r="D1902" t="str">
            <v>t</v>
          </cell>
          <cell r="H1902" t="str">
            <v>EC-P-01</v>
          </cell>
        </row>
        <row r="1903">
          <cell r="B1903" t="str">
            <v>-</v>
          </cell>
          <cell r="C1903" t="str">
            <v>Fornecimeto de Emulsão Asfáltica RR-C</v>
          </cell>
          <cell r="D1903" t="str">
            <v>t</v>
          </cell>
          <cell r="H1903" t="str">
            <v>EC-P-01</v>
          </cell>
        </row>
        <row r="1905">
          <cell r="C1905" t="str">
            <v>TRANSPORTE DE MATERIAL BETUMINOSO</v>
          </cell>
        </row>
        <row r="1906">
          <cell r="B1906" t="str">
            <v>-</v>
          </cell>
          <cell r="C1906" t="str">
            <v>Transporte de CAP-20 Com 4,5% de Polímero</v>
          </cell>
          <cell r="D1906" t="str">
            <v>t</v>
          </cell>
          <cell r="H1906" t="str">
            <v>EC-P-01</v>
          </cell>
        </row>
        <row r="1907">
          <cell r="B1907" t="str">
            <v>-</v>
          </cell>
          <cell r="C1907" t="str">
            <v>Transporte Comercial de Asfalto Diluido Tipo CM-30</v>
          </cell>
          <cell r="D1907" t="str">
            <v>t</v>
          </cell>
          <cell r="H1907" t="str">
            <v>EC-P-01</v>
          </cell>
        </row>
        <row r="1908">
          <cell r="B1908" t="str">
            <v>-</v>
          </cell>
          <cell r="C1908" t="str">
            <v>Transporte Comercial de Emulsão Asfáltica RR-2C</v>
          </cell>
          <cell r="D1908" t="str">
            <v>t</v>
          </cell>
          <cell r="H1908" t="str">
            <v>EC-P-01</v>
          </cell>
        </row>
        <row r="1910">
          <cell r="C1910" t="str">
            <v>TUBULÃO AR COMPRIMIDO</v>
          </cell>
        </row>
        <row r="1911">
          <cell r="A1911" t="str">
            <v>2 S 10 100 01</v>
          </cell>
          <cell r="B1911" t="str">
            <v>-</v>
          </cell>
          <cell r="C1911" t="str">
            <v>Escavação AR Comprimido 1ª Categoria</v>
          </cell>
          <cell r="D1911" t="str">
            <v>m³</v>
          </cell>
        </row>
        <row r="1912">
          <cell r="A1912" t="str">
            <v>2 S 10 100 02</v>
          </cell>
          <cell r="B1912" t="str">
            <v>-</v>
          </cell>
          <cell r="C1912" t="str">
            <v>Concreto 25 MPA Inclusive Forma para Camisa</v>
          </cell>
          <cell r="D1912" t="str">
            <v>m³</v>
          </cell>
          <cell r="H1912" t="str">
            <v>DNER-ES-335/97</v>
          </cell>
        </row>
        <row r="1913">
          <cell r="A1913" t="str">
            <v>2 S 10 100 03</v>
          </cell>
          <cell r="B1913" t="str">
            <v>-</v>
          </cell>
          <cell r="C1913" t="str">
            <v>Ferragem</v>
          </cell>
          <cell r="D1913" t="str">
            <v>Kg</v>
          </cell>
          <cell r="H1913" t="str">
            <v>DNER-ES-331/97</v>
          </cell>
        </row>
        <row r="1915">
          <cell r="C1915" t="str">
            <v>TRAVESSA DE APOIO 1 E 2 - CORTINAS</v>
          </cell>
        </row>
        <row r="1916">
          <cell r="A1916" t="str">
            <v>2 S 10 200 01</v>
          </cell>
          <cell r="B1916" t="str">
            <v>-</v>
          </cell>
          <cell r="C1916" t="str">
            <v>Cimbramento</v>
          </cell>
          <cell r="D1916" t="str">
            <v>m³</v>
          </cell>
        </row>
        <row r="1917">
          <cell r="A1917" t="str">
            <v>2 S 10 200 02</v>
          </cell>
          <cell r="B1917" t="str">
            <v>-</v>
          </cell>
          <cell r="C1917" t="str">
            <v>Ferragem para Toda Obra</v>
          </cell>
          <cell r="D1917" t="str">
            <v>Kg</v>
          </cell>
          <cell r="H1917" t="str">
            <v>DNER-ES-331/97</v>
          </cell>
        </row>
        <row r="1918">
          <cell r="A1918" t="str">
            <v>2 S 10 200 03</v>
          </cell>
          <cell r="B1918" t="str">
            <v>-</v>
          </cell>
          <cell r="C1918" t="str">
            <v>Concreto 25 MPA</v>
          </cell>
          <cell r="D1918" t="str">
            <v>m³</v>
          </cell>
          <cell r="H1918" t="str">
            <v>DNER-ES-335/97</v>
          </cell>
        </row>
        <row r="1919">
          <cell r="A1919" t="str">
            <v>2 S 10 200 04</v>
          </cell>
          <cell r="B1919" t="str">
            <v>-</v>
          </cell>
          <cell r="C1919" t="str">
            <v>Forma</v>
          </cell>
          <cell r="D1919" t="str">
            <v>m²</v>
          </cell>
          <cell r="H1919" t="str">
            <v>DNER-ES-333/97</v>
          </cell>
        </row>
        <row r="1920">
          <cell r="A1920" t="str">
            <v>2 S 10 200 05</v>
          </cell>
          <cell r="B1920" t="str">
            <v>-</v>
          </cell>
          <cell r="C1920" t="str">
            <v>Aparelho de Apoio Inclusive Calços</v>
          </cell>
          <cell r="D1920" t="str">
            <v>dm³</v>
          </cell>
        </row>
        <row r="1922">
          <cell r="C1922" t="str">
            <v>LAJE</v>
          </cell>
        </row>
        <row r="1923">
          <cell r="A1923" t="str">
            <v>2 S 10 300 01</v>
          </cell>
          <cell r="B1923" t="str">
            <v>-</v>
          </cell>
          <cell r="C1923" t="str">
            <v>Concreto 25 MPA</v>
          </cell>
          <cell r="D1923" t="str">
            <v>m³</v>
          </cell>
          <cell r="H1923" t="str">
            <v>DNER-ES-335/97</v>
          </cell>
        </row>
        <row r="1924">
          <cell r="A1924" t="str">
            <v>2 S 10 300 02</v>
          </cell>
          <cell r="B1924" t="str">
            <v>-</v>
          </cell>
          <cell r="C1924" t="str">
            <v>Forma Inclusive Pré-Laje</v>
          </cell>
          <cell r="D1924" t="str">
            <v>m²</v>
          </cell>
          <cell r="H1924" t="str">
            <v>DNER-ES-333/97</v>
          </cell>
        </row>
        <row r="1926">
          <cell r="C1926" t="str">
            <v>GUARDA-RODA</v>
          </cell>
        </row>
        <row r="1927">
          <cell r="A1927" t="str">
            <v>2 S 10 400 01</v>
          </cell>
          <cell r="B1927" t="str">
            <v>-</v>
          </cell>
          <cell r="C1927" t="str">
            <v>Concreto 25 MPA</v>
          </cell>
          <cell r="D1927" t="str">
            <v>m³</v>
          </cell>
          <cell r="H1927" t="str">
            <v>DNER-ES-335/97</v>
          </cell>
        </row>
        <row r="1928">
          <cell r="A1928" t="str">
            <v>2 S 10 400 02</v>
          </cell>
          <cell r="B1928" t="str">
            <v>-</v>
          </cell>
          <cell r="C1928" t="str">
            <v>Forma</v>
          </cell>
          <cell r="D1928" t="str">
            <v>m²</v>
          </cell>
          <cell r="H1928" t="str">
            <v>DNER-ES-333/97</v>
          </cell>
        </row>
        <row r="1930">
          <cell r="C1930" t="str">
            <v>OUTROS ITENS</v>
          </cell>
        </row>
        <row r="1931">
          <cell r="A1931" t="str">
            <v>2 S 10 500 01</v>
          </cell>
          <cell r="B1931" t="str">
            <v>-</v>
          </cell>
          <cell r="C1931" t="str">
            <v>Guarda-Corpo Metálico</v>
          </cell>
          <cell r="D1931" t="str">
            <v>Kg</v>
          </cell>
        </row>
        <row r="1932">
          <cell r="A1932" t="str">
            <v>2 S 10 500 02</v>
          </cell>
          <cell r="B1932" t="str">
            <v>-</v>
          </cell>
          <cell r="C1932" t="str">
            <v>Dreno PVC Diâmetro 100</v>
          </cell>
          <cell r="D1932" t="str">
            <v>Pç</v>
          </cell>
        </row>
        <row r="1933">
          <cell r="A1933" t="str">
            <v>2 S 10 500 03</v>
          </cell>
          <cell r="B1933" t="str">
            <v>-</v>
          </cell>
          <cell r="C1933" t="str">
            <v>Gabião</v>
          </cell>
          <cell r="D1933" t="str">
            <v>m³</v>
          </cell>
        </row>
        <row r="1934">
          <cell r="A1934" t="str">
            <v>2 S 10 500 04</v>
          </cell>
          <cell r="B1934" t="str">
            <v>-</v>
          </cell>
          <cell r="C1934" t="str">
            <v>Reaterro Gabião</v>
          </cell>
          <cell r="D1934" t="str">
            <v>m³</v>
          </cell>
        </row>
        <row r="1935">
          <cell r="A1935" t="str">
            <v>2 S 10 500 05</v>
          </cell>
          <cell r="B1935" t="str">
            <v>-</v>
          </cell>
          <cell r="C1935" t="str">
            <v>Vigas Metálicas e Outras Peças</v>
          </cell>
          <cell r="D1935" t="str">
            <v>Kg</v>
          </cell>
        </row>
        <row r="1936">
          <cell r="A1936" t="str">
            <v>2 S 10 500 06</v>
          </cell>
          <cell r="B1936" t="str">
            <v>-</v>
          </cell>
          <cell r="C1936" t="str">
            <v>Lançamento de Viga</v>
          </cell>
          <cell r="D1936" t="str">
            <v>Pç</v>
          </cell>
        </row>
        <row r="1938">
          <cell r="C1938" t="str">
            <v>MEIO AMBIENTE (RECUPERAÇÃO DE PASSIVO AMBIENTAL)</v>
          </cell>
        </row>
        <row r="1939">
          <cell r="B1939" t="str">
            <v>-</v>
          </cell>
          <cell r="C1939" t="str">
            <v>Plantio de Árvores</v>
          </cell>
          <cell r="D1939" t="str">
            <v>und</v>
          </cell>
        </row>
        <row r="1941">
          <cell r="C1941" t="str">
            <v>DESPESAS COM MOBILIZAÇÃO/DESMOBILIZAÇÃO E INSTALAÇÃO DE CANTEIRO</v>
          </cell>
        </row>
        <row r="1942">
          <cell r="A1942" t="str">
            <v>1 A 99 100 00</v>
          </cell>
          <cell r="B1942" t="str">
            <v>-</v>
          </cell>
          <cell r="C1942" t="str">
            <v>Despesas Com Inst. de Canteiro e Acampamento</v>
          </cell>
          <cell r="D1942" t="str">
            <v>VB</v>
          </cell>
        </row>
        <row r="1943">
          <cell r="A1943" t="str">
            <v>1 A 99 200 00</v>
          </cell>
          <cell r="B1943" t="str">
            <v>-</v>
          </cell>
          <cell r="C1943" t="str">
            <v>Despesas com Mobilização e Desmobilização</v>
          </cell>
          <cell r="D1943" t="str">
            <v>VB</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ção Extenso"/>
      <sheetName val="Planilha"/>
      <sheetName val="Restauração modelo Juina"/>
      <sheetName val="MINUTA RESTAURAÇÃO"/>
      <sheetName val="Orçamento"/>
      <sheetName val="Quadro Resumo"/>
      <sheetName val="BDI SINFRA"/>
      <sheetName val="Cronograma"/>
      <sheetName val="Enc Sociais"/>
      <sheetName val="Tabela de Materiais"/>
      <sheetName val="Escala Salarial"/>
      <sheetName val="Tabela de Equip"/>
      <sheetName val="Mob_Desmob"/>
      <sheetName val="Serviços"/>
      <sheetName val="Drenagem_NPAV"/>
      <sheetName val="Drenagem_PAV"/>
      <sheetName val="OAC_NPAV"/>
      <sheetName val="OAC_PAV"/>
      <sheetName val="MOBILXDESMOB"/>
      <sheetName val="Transp. Cav. Mec."/>
      <sheetName val="Custo Canteiro"/>
      <sheetName val="Canteiro"/>
      <sheetName val="Placa Obra"/>
      <sheetName val="Marco"/>
      <sheetName val="Desmat 0,15"/>
      <sheetName val="Desmat 0,15a0,30"/>
      <sheetName val="Desmat &gt;0,30"/>
      <sheetName val="DMT 50m"/>
      <sheetName val="DMT 50a200CARREG"/>
      <sheetName val="DMT 50a200E"/>
      <sheetName val="DMT 400a600C"/>
      <sheetName val="DMT 2000a3000C"/>
      <sheetName val="DMT 200a400CARREG"/>
      <sheetName val="DMT 200a400E"/>
      <sheetName val="DMT 400a600E"/>
      <sheetName val="DMT 600a800E"/>
      <sheetName val="DMT 800a1000E"/>
      <sheetName val="DMT 1200a1400E"/>
      <sheetName val="DMT 2000a3000E"/>
      <sheetName val="DMT 3000a5000E"/>
      <sheetName val="DMT 5000a8000C"/>
      <sheetName val="2ª Cat DMT 50m"/>
      <sheetName val="2ª Cat DMT 1000a1200E"/>
      <sheetName val="3ª Cat DMT 50m"/>
      <sheetName val="3ª Cat DMT 200a400m"/>
      <sheetName val="3ª Cat DMT 600a800m"/>
      <sheetName val="2ª CAT DMT 50a200E"/>
      <sheetName val="2ª CAT DMT 400a600E"/>
      <sheetName val="3ª CAT DMT 50a200"/>
      <sheetName val="3ª CAT DMT 400a600"/>
      <sheetName val="SOLO MOLE 200a400M"/>
      <sheetName val="Aterro95%"/>
      <sheetName val="Aterro100%"/>
      <sheetName val="Limp camada Veg."/>
      <sheetName val="Expurgo Jazida"/>
      <sheetName val="Escav. Jazida"/>
      <sheetName val="Patrolamento"/>
      <sheetName val="Conformação pista"/>
      <sheetName val="Espalhamento"/>
      <sheetName val="Transp. local N.Pavim."/>
      <sheetName val="Reforço Subleito"/>
      <sheetName val="Regula"/>
      <sheetName val="Expurgo de jazida &gt; 30cm"/>
      <sheetName val="Sub-base"/>
      <sheetName val="Sub-base conc rolado"/>
      <sheetName val="Usinagem conc rolado"/>
      <sheetName val="Base"/>
      <sheetName val="Base Solo Cimento"/>
      <sheetName val="Usinagem solo cimen"/>
      <sheetName val="Usinagem Brita Graduada"/>
      <sheetName val="Concreto Cimento portland"/>
      <sheetName val="Usinagem Concreto Cim portl"/>
      <sheetName val="Recomp. base"/>
      <sheetName val="Rem. mec. rev. bet"/>
      <sheetName val="Imprimação"/>
      <sheetName val="Pintura de Ligação"/>
      <sheetName val="CBUQ faixa C"/>
      <sheetName val="TSS c emulsão"/>
      <sheetName val="TSD c emulsão"/>
      <sheetName val="FOG"/>
      <sheetName val="CM-30"/>
      <sheetName val="RR-2C"/>
      <sheetName val="Transp. local N.Pav"/>
      <sheetName val="Transp. local Pav."/>
      <sheetName val="Transp. Com N.Pav."/>
      <sheetName val="Transp. Com. Pav"/>
      <sheetName val="Transp_CM30"/>
      <sheetName val="Transp_RR2C"/>
      <sheetName val="Escav manual"/>
      <sheetName val="Esc man e reater"/>
      <sheetName val="Esc mec vala"/>
      <sheetName val="Esc mec reat e comp"/>
      <sheetName val="Esc vala mat 3ª cat"/>
      <sheetName val="BSTC 0,60m"/>
      <sheetName val="Reaterro e Compac"/>
      <sheetName val="BSTC 0,80m"/>
      <sheetName val="BSTC 1,00m"/>
      <sheetName val="BSTC 1,20m"/>
      <sheetName val="BDTC 1,00m"/>
      <sheetName val="BDTC 1,20m"/>
      <sheetName val="BDTC 1,50m"/>
      <sheetName val="BTTC 1,00m"/>
      <sheetName val="Boca BSTC 0,60m"/>
      <sheetName val="Boca BSTC 0,80m"/>
      <sheetName val="Boca BSTC 1,00m"/>
      <sheetName val="Boca BSTC 1,20m"/>
      <sheetName val="BTTC 1,20m"/>
      <sheetName val="Boca BTTC 1,20m"/>
      <sheetName val="CORPO BTCC 1,50 x 2,00"/>
      <sheetName val="CORPO BTCC 2,00 x 2,00"/>
      <sheetName val="Boca BDTC 1,00m"/>
      <sheetName val="Boca BDTC 1,20m"/>
      <sheetName val="Boca BTTC 1,00m"/>
      <sheetName val="Boca BDTC 1,50m"/>
      <sheetName val="CORPO BSCC 1,50x1,50 (2,5m)"/>
      <sheetName val="CORPO BSCC 2,50x2,50"/>
      <sheetName val="CORPO BSCC 3,00x3,00"/>
      <sheetName val="CORPO BSCC 2,00x2,00 (5,0m)"/>
      <sheetName val="CORPO BDCC 2,00x2,00 (2,50m)"/>
      <sheetName val="CORPO BDCC 2,50x2,50"/>
      <sheetName val="BOCA BTCC 1,50 x 2,00"/>
      <sheetName val="CORPO BDCC 3,00x3,00 (1,0m)"/>
      <sheetName val="CORPO BDCC 3,00x3,00 (2,5m)"/>
      <sheetName val="CORPO BDCC 3,00x3,00 (5,0m)"/>
      <sheetName val="CORPO BTCC 1,50x1,50 (1,0m)"/>
      <sheetName val="CORPO BTCC 2,00x2,00 (1,0m)"/>
      <sheetName val="CORPO BDCC 2,00x2,00 (5,0m)"/>
      <sheetName val="CORPO BTCC 2,50x2,50 (1,0m)"/>
      <sheetName val="BOCA BSCC 1,50 x 1,50"/>
      <sheetName val="BOCA BSCC 2,5 x 2,5"/>
      <sheetName val="BOCA BSCC 3 x 3"/>
      <sheetName val="CORPO BTCC 3,00x3,00 (5,0m)"/>
      <sheetName val="BOCA BSCC 2,00 x 2,00"/>
      <sheetName val="BOCA BDCC 2,00 x 2,00"/>
      <sheetName val="BOCA BDCC 2,5 x 2,5"/>
      <sheetName val="BOCA BDCC 3,00 x 3,00"/>
      <sheetName val="Remoção bueiro exist"/>
      <sheetName val="BOCA BTCC 2,00 x 2,00"/>
      <sheetName val="BOCA BTCC 3 x 3"/>
      <sheetName val="Remoção Ponte"/>
      <sheetName val="Dreno DPS 07"/>
      <sheetName val="SCC 04"/>
      <sheetName val="SCC 05"/>
      <sheetName val="SCC 06"/>
      <sheetName val="BOCA BTCC 2,50 x 2,50"/>
      <sheetName val="BOCA BTCC 3,00 x 3,00"/>
      <sheetName val="STC 01"/>
      <sheetName val="Dreno DPS 08"/>
      <sheetName val="BSD-02"/>
      <sheetName val="STC 02"/>
      <sheetName val="STC 06"/>
      <sheetName val="SZC 02"/>
      <sheetName val="MFC 01"/>
      <sheetName val="VPC 04"/>
      <sheetName val="VPA 04"/>
      <sheetName val="MFC 03"/>
      <sheetName val="MFC 05"/>
      <sheetName val="CCS 03"/>
      <sheetName val="CCS 04"/>
      <sheetName val="CCT 02"/>
      <sheetName val="CCT 03"/>
      <sheetName val="DAR 03"/>
      <sheetName val="DAD 02"/>
      <sheetName val="DAD 08"/>
      <sheetName val="EDA 01"/>
      <sheetName val="EDA 02"/>
      <sheetName val="BLS 01"/>
      <sheetName val="PVI 02"/>
      <sheetName val="PVI 03"/>
      <sheetName val="CPV 01"/>
      <sheetName val="TCC 01"/>
      <sheetName val="Pass sobre canal"/>
      <sheetName val="CPV 02"/>
      <sheetName val="CPV 03"/>
      <sheetName val="PVI 09"/>
      <sheetName val="DES 01"/>
      <sheetName val="DES 02"/>
      <sheetName val="DEB 01"/>
      <sheetName val="DEB 05"/>
      <sheetName val="Tubul 40"/>
      <sheetName val="Tubul 60"/>
      <sheetName val="Tubul 80"/>
      <sheetName val="Cerca"/>
      <sheetName val="Defensa"/>
      <sheetName val="Ancor semi mal"/>
      <sheetName val="Sonorizador"/>
      <sheetName val="Poste"/>
      <sheetName val="Pintura faixa 2 anos"/>
      <sheetName val="Pintura setas zebrados"/>
      <sheetName val="Tacha refl"/>
      <sheetName val="Tachão Refletivo"/>
      <sheetName val="Semead man"/>
      <sheetName val="Placa sinal"/>
      <sheetName val="Reg.Mec.Sup.Ter"/>
      <sheetName val="Enleivamento"/>
      <sheetName val="Plantio de arv"/>
      <sheetName val="VPC 01"/>
      <sheetName val="Alv tijolos"/>
      <sheetName val="Calçada"/>
      <sheetName val="CAP-50"/>
      <sheetName val="Hidrossem"/>
      <sheetName val="Usinagem CBUQ"/>
      <sheetName val="Alv Pedra Argam"/>
      <sheetName val="Limp cam veg em jazida"/>
      <sheetName val="Expurgo de jazida"/>
      <sheetName val="Esc. de jazida"/>
      <sheetName val="Dente BSTC 60"/>
      <sheetName val="Dente BSTC 80"/>
      <sheetName val="Dente BSTC 100"/>
      <sheetName val="Dente BSTC 120"/>
      <sheetName val="Dente BDTC 100"/>
      <sheetName val="Dente BTTC 100"/>
      <sheetName val="Dente BDTC 120"/>
      <sheetName val="Dente BDTC 150"/>
      <sheetName val="Aço CA25"/>
      <sheetName val="Aço CA50"/>
      <sheetName val="Fôrma comum mad"/>
      <sheetName val="Fôrma comp res"/>
      <sheetName val="Brita Produzida"/>
      <sheetName val="Rocha para britagem"/>
      <sheetName val="Peças Desgaste Britador"/>
      <sheetName val="Solo Local Arg"/>
      <sheetName val="Lastro Brita"/>
      <sheetName val="Concreto magro"/>
      <sheetName val="Concreto 10MPa"/>
      <sheetName val="Concreto 11MPa"/>
      <sheetName val="Concreto 12MPa"/>
      <sheetName val="Concreto 15MPa"/>
      <sheetName val="Concreto 18MPa"/>
      <sheetName val="Concreto 22MPa"/>
      <sheetName val="Concreto Cimento Portl"/>
      <sheetName val="Escor bueiros cel"/>
      <sheetName val="Concreto Ciclópico 12MPa"/>
      <sheetName val="Argamassa 13"/>
      <sheetName val="Argamassa 14"/>
      <sheetName val="Grama p replantio"/>
      <sheetName val="Guia mad"/>
      <sheetName val="Escav Man 1ª Cat"/>
      <sheetName val="Escav Man de Vala"/>
      <sheetName val="Compac Man"/>
      <sheetName val="macro"/>
      <sheetName val="RELATÓRIO"/>
      <sheetName val="RESUMO-DVOP"/>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ow r="2">
          <cell r="N2">
            <v>40.5</v>
          </cell>
        </row>
        <row r="3">
          <cell r="N3">
            <v>40.5</v>
          </cell>
        </row>
      </sheetData>
      <sheetData sheetId="17">
        <row r="5">
          <cell r="N5">
            <v>0</v>
          </cell>
        </row>
      </sheetData>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DE ENTRADA CONCORRÊNCIA"/>
      <sheetName val="QUADRO 10 - PESSOAL"/>
      <sheetName val="quadro 09 - Equipamentos"/>
      <sheetName val="QUADRO 08 - COMPOSIÇÕES"/>
      <sheetName val="QUADRO 07 - PREÇO UNITÁRIOS"/>
      <sheetName val="QUADRO 06"/>
      <sheetName val="COMPOSIÇÃO BDI"/>
      <sheetName val="LEIS SOCIAIS"/>
      <sheetName val="TESTE PARA VALOR"/>
      <sheetName val="ANEXO 01"/>
      <sheetName val="SERVIÇOS NÃO DIRETAMENTE REMUNE"/>
      <sheetName val="CRONOGRAMA FÍSICO"/>
      <sheetName val="CÁLCULO DO VALOR PROPOSTA"/>
      <sheetName val="Transporte"/>
      <sheetName val="Sub-base"/>
    </sheetNames>
    <sheetDataSet>
      <sheetData sheetId="0" refreshError="1">
        <row r="8">
          <cell r="B8" t="str">
            <v xml:space="preserve">Rondonópolis/MT, 14 de Abril de 1.998 </v>
          </cell>
        </row>
        <row r="15">
          <cell r="B15" t="str">
            <v>RODOVIA: BR-262/MS</v>
          </cell>
        </row>
        <row r="16">
          <cell r="B16" t="str">
            <v>TRECHO: DIV. SP/MS - DIV. Brasil/Bolívia</v>
          </cell>
        </row>
        <row r="19">
          <cell r="B19" t="str">
            <v>SEGMENTO: Na Altura do Km 141,0</v>
          </cell>
        </row>
        <row r="22">
          <cell r="B22" t="str">
            <v>BR-262/MS</v>
          </cell>
        </row>
        <row r="23">
          <cell r="B23" t="str">
            <v>DIV. SP/MS - DIV. Brasil/Bolívia</v>
          </cell>
        </row>
        <row r="25">
          <cell r="B25" t="str">
            <v>Altura do Km 141,0</v>
          </cell>
        </row>
      </sheetData>
      <sheetData sheetId="1"/>
      <sheetData sheetId="2"/>
      <sheetData sheetId="3" refreshError="1">
        <row r="129">
          <cell r="H129">
            <v>132.72</v>
          </cell>
        </row>
        <row r="569">
          <cell r="H569">
            <v>7.8</v>
          </cell>
        </row>
        <row r="713">
          <cell r="H713">
            <v>51.84</v>
          </cell>
        </row>
        <row r="715">
          <cell r="H715">
            <v>70.39</v>
          </cell>
        </row>
        <row r="786">
          <cell r="H786">
            <v>1.83</v>
          </cell>
        </row>
      </sheetData>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Vínculo (2)"/>
      <sheetName val="DADOS"/>
      <sheetName val="TransComerc_Basc10m³"/>
      <sheetName val="TapaBuraco"/>
      <sheetName val="Plan1"/>
      <sheetName val="PRO-08"/>
      <sheetName val="PLANILHA ATUALIZADA"/>
      <sheetName val="RESUMO DE MEDIÇÃO"/>
      <sheetName val="Quadro Geral"/>
      <sheetName val="PRO_08"/>
      <sheetName val="Capa Memória de Calc"/>
      <sheetName val="Capa Resumo"/>
      <sheetName val="Capa Apres"/>
      <sheetName val="Capa Documentação"/>
      <sheetName val="Capa Anexo I"/>
      <sheetName val="Capa Anexo II"/>
      <sheetName val="Capa Anexo III"/>
      <sheetName val="Capa Anexo IV"/>
      <sheetName val="Capa Mapa"/>
      <sheetName val="Capa Premissas"/>
      <sheetName val="Capa Caract. Seg."/>
      <sheetName val="Capa Caract_ Seg_"/>
      <sheetName val="Teor"/>
      <sheetName val="Serviços"/>
      <sheetName val="Especif"/>
      <sheetName val="RESUMO_AUT1"/>
      <sheetName val="C"/>
      <sheetName val="FV-DNER"/>
      <sheetName val="orçamento_global"/>
      <sheetName val="Sub-base"/>
      <sheetName val="Resumo"/>
      <sheetName val="DMT Terrap."/>
      <sheetName val="Reajustamento"/>
      <sheetName val="Relatorio"/>
      <sheetName val="Resumo_Transp_Aquis_Mat_Bet"/>
      <sheetName val="NOVO_Transp_Aquis_Mat_Bet (2)"/>
      <sheetName val="COMPARA_PREGAO"/>
      <sheetName val="COMPARATIVO REV01"/>
      <sheetName val="COMPARATIVO"/>
      <sheetName val="1A MED PARC"/>
      <sheetName val="LISTAS"/>
      <sheetName val="LISTA_MATERIAIS"/>
      <sheetName val="MATERIAIS"/>
      <sheetName val="Vínculo"/>
      <sheetName val="FIDENS-R$mil"/>
      <sheetName val="COMPOS1"/>
      <sheetName val="RBE ACT mi"/>
      <sheetName val="RESUMO TOTAL LOTE"/>
      <sheetName val="BR 146"/>
      <sheetName val="8ª MP_BR-459"/>
      <sheetName val="points"/>
      <sheetName val="Mat"/>
      <sheetName val="RESUMO BACIAS_IMPRESSÃO"/>
      <sheetName val="K"/>
      <sheetName val="8ª MP_BR_459"/>
      <sheetName val="Plan 2.7"/>
      <sheetName val="CUSTO ZONA SU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TO"/>
    </sheetNames>
    <sheetDataSet>
      <sheetData sheetId="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_ORIGINAL"/>
      <sheetName val="RESUMO_AUT1"/>
      <sheetName val="PROJETO"/>
      <sheetName val="DADOS"/>
      <sheetName val="TransComerc_Basc10m³"/>
      <sheetName val="TapaBuraco"/>
      <sheetName val="eq"/>
      <sheetName val="mo"/>
      <sheetName val="Teor"/>
      <sheetName val="lista_comp"/>
      <sheetName val="Serviços"/>
      <sheetName val="RELAT610"/>
      <sheetName val="PQ"/>
      <sheetName val="CARTA PROPOSTA"/>
      <sheetName val="Página 16"/>
      <sheetName val="QuQuant"/>
      <sheetName val="Planilha Original"/>
      <sheetName val="PROJETO BR_146 (2)"/>
      <sheetName val="TABELA"/>
      <sheetName val="Quadro de qntd"/>
      <sheetName val="FIDENS-R$mil"/>
      <sheetName val="PLANILHA CONTRATUAL"/>
      <sheetName val="RESUMO"/>
      <sheetName val="Medição"/>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2ª medição Agrimat"/>
      <sheetName val="RESUMO"/>
      <sheetName val="RESUMO-Medição"/>
      <sheetName val="RESUMO_DVOP_JBS"/>
      <sheetName val="plan"/>
      <sheetName val="Corte DMT 50 a 200"/>
      <sheetName val="dmt materiais"/>
      <sheetName val="Vínculo (2)"/>
      <sheetName val="indice de reajuste"/>
      <sheetName val="Orçamento"/>
      <sheetName val="Planilha1"/>
      <sheetName val="insumos básicos"/>
      <sheetName val="PROTÓTIPO"/>
      <sheetName val="RESUMO APROPRIADOR SERVIÇO"/>
    </sheetNames>
    <sheetDataSet>
      <sheetData sheetId="0">
        <row r="12">
          <cell r="B12" t="str">
            <v>Firma: AGRIMAT ENGª INDUSTRIA E COMÉRCIO LTDA</v>
          </cell>
        </row>
      </sheetData>
      <sheetData sheetId="1">
        <row r="12">
          <cell r="B12" t="str">
            <v>Firma: AGRIMAT ENGª INDUSTRIA E COMÉRCIO LTDA</v>
          </cell>
        </row>
      </sheetData>
      <sheetData sheetId="2">
        <row r="12">
          <cell r="B12" t="str">
            <v>Firma: AGRIMAT ENGª INDUSTRIA E COMÉRCIO LTDA</v>
          </cell>
        </row>
      </sheetData>
      <sheetData sheetId="3">
        <row r="12">
          <cell r="B12" t="str">
            <v>Firma: AGRIMAT ENGª INDUSTRIA E COMÉRCIO LTDA</v>
          </cell>
        </row>
      </sheetData>
      <sheetData sheetId="4">
        <row r="12">
          <cell r="B12" t="str">
            <v>Firma: AGRIMAT ENGª INDUSTRIA E COMÉRCIO LTDA</v>
          </cell>
        </row>
      </sheetData>
      <sheetData sheetId="5">
        <row r="12">
          <cell r="B12" t="str">
            <v>Firma: AGRIMAT ENGª INDUSTRIA E COMÉRCIO LTDA</v>
          </cell>
        </row>
      </sheetData>
      <sheetData sheetId="6">
        <row r="138">
          <cell r="C138" t="str">
            <v xml:space="preserve"> Local e Data:  Brasnorte/MT, 01 de abril de 2004</v>
          </cell>
        </row>
      </sheetData>
      <sheetData sheetId="7">
        <row r="138">
          <cell r="C138" t="str">
            <v xml:space="preserve"> Local e Data:  Brasnorte/MT, 01 de abril de 2004</v>
          </cell>
        </row>
      </sheetData>
      <sheetData sheetId="8">
        <row r="138">
          <cell r="C138" t="str">
            <v xml:space="preserve"> Local e Data:  Brasnorte/MT, 01 de abril de 2004</v>
          </cell>
        </row>
      </sheetData>
      <sheetData sheetId="9">
        <row r="138">
          <cell r="C138" t="str">
            <v xml:space="preserve"> Local e Data:  Brasnorte/MT, 01 de abril de 2004</v>
          </cell>
        </row>
      </sheetData>
      <sheetData sheetId="10"/>
      <sheetData sheetId="11"/>
      <sheetData sheetId="12"/>
      <sheetData sheetId="13"/>
      <sheetData sheetId="14">
        <row r="27">
          <cell r="J27">
            <v>32400</v>
          </cell>
        </row>
      </sheetData>
      <sheetData sheetId="15">
        <row r="27">
          <cell r="J27">
            <v>32400</v>
          </cell>
        </row>
      </sheetData>
      <sheetData sheetId="16">
        <row r="27">
          <cell r="J27">
            <v>32400</v>
          </cell>
        </row>
      </sheetData>
      <sheetData sheetId="17">
        <row r="27">
          <cell r="J27">
            <v>32400</v>
          </cell>
        </row>
      </sheetData>
      <sheetData sheetId="18">
        <row r="27">
          <cell r="J27">
            <v>32400</v>
          </cell>
        </row>
      </sheetData>
      <sheetData sheetId="19">
        <row r="27">
          <cell r="J27">
            <v>32400</v>
          </cell>
        </row>
      </sheetData>
      <sheetData sheetId="20">
        <row r="27">
          <cell r="J27">
            <v>32400</v>
          </cell>
        </row>
      </sheetData>
      <sheetData sheetId="21">
        <row r="30">
          <cell r="S30">
            <v>0</v>
          </cell>
        </row>
      </sheetData>
      <sheetData sheetId="22">
        <row r="30">
          <cell r="S30">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2">
          <cell r="B12" t="str">
            <v>Firma: AGRIMAT ENGª INDUSTRIA E COMÉRCIO LTDA</v>
          </cell>
        </row>
      </sheetData>
      <sheetData sheetId="37">
        <row r="12">
          <cell r="B12" t="str">
            <v>Firma: AGRIMAT ENGª INDUSTRIA E COMÉRCIO LTDA</v>
          </cell>
        </row>
      </sheetData>
      <sheetData sheetId="38" refreshError="1"/>
      <sheetData sheetId="39" refreshError="1"/>
      <sheetData sheetId="40" refreshError="1"/>
      <sheetData sheetId="41">
        <row r="12">
          <cell r="B12" t="str">
            <v>Firma: AGRIMAT ENGª INDUSTRIA E COMÉRCIO LTDA</v>
          </cell>
        </row>
      </sheetData>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_AUT1"/>
    </sheetNames>
    <sheetDataSet>
      <sheetData sheetId="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de Entrada 1"/>
      <sheetName val="Dados de Entrada 2"/>
      <sheetName val="Dados de Entrada 3"/>
      <sheetName val="Capa"/>
      <sheetName val="Página 1"/>
      <sheetName val="Dados de Entrada 4"/>
      <sheetName val="Página 2"/>
      <sheetName val="Página 3"/>
      <sheetName val="Página 4"/>
      <sheetName val="Página 6"/>
      <sheetName val="Página 5"/>
      <sheetName val="Página 7"/>
      <sheetName val="Página 8"/>
      <sheetName val="Dens. médias"/>
      <sheetName val="Dens. teórica"/>
      <sheetName val="Página 9"/>
      <sheetName val="Página 10"/>
      <sheetName val="Página 11"/>
      <sheetName val="Página 12"/>
      <sheetName val="Página 13"/>
      <sheetName val="Teor"/>
      <sheetName val="DENAGREGRAUDO"/>
      <sheetName val="DENSAGRMIUDO"/>
      <sheetName val="MASESPFINPULV"/>
      <sheetName val="DETDENSCAP20"/>
      <sheetName val="DENSCORPROVA"/>
      <sheetName val="GRAFTEMPVISC1"/>
      <sheetName val="GRAFTEMPVISC2"/>
      <sheetName val="CALIBRAGEM"/>
      <sheetName val="CALIBRAGEM-II"/>
      <sheetName val="CALIBRAGEM1"/>
      <sheetName val="CALIBRAGEM2"/>
      <sheetName val="SILOFR4"/>
      <sheetName val="SILOFR3"/>
      <sheetName val="SILOFR2"/>
      <sheetName val="SILOFR1"/>
      <sheetName val="Dosador"/>
      <sheetName val="BALANÇA"/>
      <sheetName val="RESULFINAL"/>
      <sheetName val="DURABILIDADE"/>
      <sheetName val="INDICE FORMA"/>
      <sheetName val="ABRASÃO"/>
      <sheetName val="ADESIVIDADE"/>
      <sheetName val="mão de obra,leis e bdi"/>
      <sheetName val="CUSTO HORÁRIO"/>
      <sheetName val="Mão de obra"/>
      <sheetName val="Material"/>
      <sheetName val="Resumo Financeiro"/>
      <sheetName val="RESUMO_AUT1"/>
      <sheetName val="B M Pl04"/>
      <sheetName val="Listas"/>
      <sheetName val="RELATÓRIO"/>
      <sheetName val="RESUMO-DVOP"/>
      <sheetName val="RESUMO_DVOP"/>
      <sheetName val="BR-230 POMBAL-S.GONÇALO"/>
      <sheetName val="Medição"/>
      <sheetName val="PLANILHA"/>
      <sheetName val="Plan1"/>
      <sheetName val="DADOS"/>
      <sheetName val="mat"/>
      <sheetName val="DMT modelo"/>
      <sheetName val="Mat Asf"/>
      <sheetName val="rosto"/>
      <sheetName val="matbet"/>
      <sheetName val="matbet aterro"/>
      <sheetName val="DG"/>
      <sheetName val="aterro"/>
      <sheetName val="CAP2"/>
      <sheetName val="cap resumo aterro"/>
      <sheetName val="cap resumo"/>
      <sheetName val="rosto i"/>
      <sheetName val="CSV"/>
      <sheetName val="CONT NE"/>
      <sheetName val="FRESA2"/>
      <sheetName val="FRESA RESUMO"/>
      <sheetName val="MOBCANT"/>
      <sheetName val="MICRO"/>
      <sheetName val="MAN"/>
      <sheetName val="P_LIGAÇÃO2"/>
      <sheetName val="P_LIGAÇÃO RESUMO ATERRO"/>
      <sheetName val="P_LIGAÇÃO RESUMO"/>
      <sheetName val="tachas reflet"/>
      <sheetName val="REP SUP2"/>
      <sheetName val="Geral"/>
      <sheetName val="compos1"/>
      <sheetName val="P A T O 99 B"/>
      <sheetName val="Tabela"/>
      <sheetName val="Preços_BSTC"/>
      <sheetName val="61M-CBMI"/>
      <sheetName val="PROJ.CBUQ F-B-11606022000"/>
    </sheetNames>
    <sheetDataSet>
      <sheetData sheetId="0">
        <row r="3">
          <cell r="A3">
            <v>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3">
          <cell r="A3">
            <v>4</v>
          </cell>
          <cell r="B3">
            <v>7.8929999999999998</v>
          </cell>
          <cell r="C3">
            <v>53.947000000000003</v>
          </cell>
          <cell r="D3">
            <v>776</v>
          </cell>
          <cell r="E3">
            <v>10.7</v>
          </cell>
          <cell r="F3">
            <v>2.3340000000000001</v>
          </cell>
          <cell r="G3">
            <v>17.135999999999999</v>
          </cell>
        </row>
        <row r="4">
          <cell r="A4">
            <v>4.5</v>
          </cell>
          <cell r="B4">
            <v>6.391</v>
          </cell>
          <cell r="C4">
            <v>62.156999999999996</v>
          </cell>
          <cell r="D4">
            <v>990</v>
          </cell>
          <cell r="E4">
            <v>11.5</v>
          </cell>
          <cell r="F4">
            <v>2.3530000000000002</v>
          </cell>
          <cell r="G4">
            <v>16.885000000000002</v>
          </cell>
        </row>
        <row r="5">
          <cell r="A5">
            <v>5</v>
          </cell>
          <cell r="B5">
            <v>5.2510000000000003</v>
          </cell>
          <cell r="C5">
            <v>69.018000000000001</v>
          </cell>
          <cell r="D5">
            <v>1016</v>
          </cell>
          <cell r="E5">
            <v>13.1</v>
          </cell>
          <cell r="F5">
            <v>2.3639999999999999</v>
          </cell>
          <cell r="G5">
            <v>16.945</v>
          </cell>
        </row>
        <row r="6">
          <cell r="A6">
            <v>5.5</v>
          </cell>
          <cell r="B6">
            <v>4.4960000000000004</v>
          </cell>
          <cell r="C6">
            <v>74.105000000000004</v>
          </cell>
          <cell r="D6">
            <v>908</v>
          </cell>
          <cell r="E6">
            <v>14.2</v>
          </cell>
          <cell r="F6">
            <v>2.3650000000000002</v>
          </cell>
          <cell r="G6">
            <v>17.359000000000002</v>
          </cell>
        </row>
        <row r="7">
          <cell r="A7">
            <v>6</v>
          </cell>
          <cell r="B7">
            <v>3.9609999999999999</v>
          </cell>
          <cell r="C7">
            <v>77.971999999999994</v>
          </cell>
          <cell r="D7">
            <v>766</v>
          </cell>
          <cell r="E7">
            <v>15.6</v>
          </cell>
          <cell r="F7">
            <v>2.36</v>
          </cell>
          <cell r="G7">
            <v>17.97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refreshError="1"/>
      <sheetData sheetId="8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de Entrada 1"/>
      <sheetName val="Dados de Entrada 2"/>
      <sheetName val="Dados de Entrada 3"/>
      <sheetName val="Dados de Entrada 4"/>
      <sheetName val="Capa"/>
      <sheetName val="Página 1"/>
      <sheetName val="Página 2"/>
      <sheetName val="Página 3"/>
      <sheetName val="Página 4"/>
      <sheetName val="Página 5"/>
      <sheetName val="Página 6"/>
      <sheetName val="Página 7"/>
      <sheetName val="Página 8"/>
      <sheetName val="Página 9"/>
      <sheetName val="Página 10"/>
      <sheetName val="Página 11"/>
      <sheetName val="Página 12"/>
      <sheetName val="Página 13"/>
      <sheetName val="Página 14"/>
      <sheetName val="RESULFINAL"/>
      <sheetName val="Página 16"/>
      <sheetName val="DENAGREGRAUDO"/>
      <sheetName val="DENSAGRMIUDO"/>
      <sheetName val="MASESPFINPULV"/>
      <sheetName val="Traço da Mist.+Filler."/>
      <sheetName val="Traço da Mist. Bet."/>
      <sheetName val="E. Areia"/>
      <sheetName val="E. Areia (2)"/>
      <sheetName val="Pes Agr Silos Frio 3.4&quot;"/>
      <sheetName val="Pes Agr Silos Frio Areia méd"/>
      <sheetName val="Pes Agr Silos Frio 3.8&quot;+pó"/>
      <sheetName val="Até Aqui"/>
      <sheetName val="DETDENSCAP20"/>
      <sheetName val="DENSCORPROVA"/>
      <sheetName val="GRAFTEMPVISC1"/>
      <sheetName val="CALIBRAGEM"/>
      <sheetName val="CALIBRAGEM-II"/>
      <sheetName val="CALIBRAGEM1"/>
      <sheetName val="CALIBRAGEM2"/>
      <sheetName val="SILOFR4"/>
      <sheetName val="SILOFR3"/>
      <sheetName val="SILOFR2"/>
      <sheetName val="SILOFR1"/>
      <sheetName val="Dosador"/>
      <sheetName val="BALANÇA"/>
      <sheetName val="Filler"/>
      <sheetName val="Analise SF 4"/>
      <sheetName val="Analise SF 3"/>
      <sheetName val="Analise SF 2"/>
      <sheetName val="Analise SF 1"/>
      <sheetName val="Analise SF Filler"/>
      <sheetName val="Analise SQ 3"/>
      <sheetName val="Analise SQ 2"/>
      <sheetName val="Analise SQ 1"/>
      <sheetName val="DURABILIDADE"/>
      <sheetName val="INDICE FORMA"/>
      <sheetName val="ABRASÃO"/>
      <sheetName val="ADESIVIDADE"/>
      <sheetName val="Teor"/>
      <sheetName val="RESUMO_AUT1"/>
      <sheetName val="BSTC 0,60"/>
      <sheetName val="BOCA BSTC 0,60"/>
      <sheetName val="P A T O 99 B"/>
      <sheetName val="Resumo Financeiro"/>
      <sheetName val="traço cbuq faixa c Carpizza CON"/>
      <sheetName val="Mat As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3">
          <cell r="A3">
            <v>4.5</v>
          </cell>
          <cell r="B3">
            <v>6.6202348981163466</v>
          </cell>
          <cell r="C3">
            <v>60.964134991383446</v>
          </cell>
          <cell r="D3">
            <v>1025.855</v>
          </cell>
          <cell r="E3">
            <v>8.6999999999999993</v>
          </cell>
          <cell r="F3">
            <v>2.3529999999999998</v>
          </cell>
          <cell r="G3">
            <v>16.963493472502915</v>
          </cell>
        </row>
        <row r="4">
          <cell r="A4">
            <v>5</v>
          </cell>
          <cell r="B4">
            <v>5.5001923970155246</v>
          </cell>
          <cell r="C4">
            <v>67.747806208191548</v>
          </cell>
          <cell r="D4">
            <v>1094.5825</v>
          </cell>
          <cell r="E4">
            <v>9.5749999999999993</v>
          </cell>
          <cell r="F4">
            <v>2.3630000000000004</v>
          </cell>
          <cell r="G4">
            <v>17.047556761540491</v>
          </cell>
        </row>
        <row r="5">
          <cell r="A5">
            <v>5.5</v>
          </cell>
          <cell r="B5">
            <v>4.4232587303692874</v>
          </cell>
          <cell r="C5">
            <v>74.264023326736492</v>
          </cell>
          <cell r="D5">
            <v>879.57749999999999</v>
          </cell>
          <cell r="E5">
            <v>10.725000000000001</v>
          </cell>
          <cell r="F5">
            <v>2.37175</v>
          </cell>
          <cell r="G5">
            <v>17.178598970077541</v>
          </cell>
        </row>
        <row r="6">
          <cell r="A6">
            <v>6</v>
          </cell>
          <cell r="B6">
            <v>4.0007841277410066</v>
          </cell>
          <cell r="C6">
            <v>77.635106010695324</v>
          </cell>
          <cell r="D6">
            <v>567.98</v>
          </cell>
          <cell r="E6">
            <v>13.6</v>
          </cell>
          <cell r="F6">
            <v>2.3642500000000002</v>
          </cell>
          <cell r="G6">
            <v>17.877321384085253</v>
          </cell>
        </row>
        <row r="7">
          <cell r="A7">
            <v>6.5</v>
          </cell>
          <cell r="B7">
            <v>4.0533844045161054</v>
          </cell>
          <cell r="C7">
            <v>78.676681324823704</v>
          </cell>
          <cell r="D7">
            <v>529.86500000000001</v>
          </cell>
          <cell r="E7">
            <v>19.450000000000003</v>
          </cell>
          <cell r="F7">
            <v>2.3452500000000001</v>
          </cell>
          <cell r="G7">
            <v>18.970602326582025</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qui"/>
      <sheetName val="Pato"/>
      <sheetName val="CALCULOS AUXILIARES"/>
      <sheetName val="Q Custo"/>
      <sheetName val="Cronog"/>
      <sheetName val="Transp"/>
      <sheetName val="Memorial"/>
      <sheetName val="Memorial II"/>
      <sheetName val="SERV MAT BET"/>
      <sheetName val="TRANSP FRIO E QUENTE"/>
      <sheetName val="Comp P Unit "/>
      <sheetName val="C MÃO OBRA"/>
      <sheetName val="CUSTO MATERIAL"/>
      <sheetName val="CUSTO EQUIP"/>
      <sheetName val="MOBIL_INST_CANT"/>
      <sheetName val="COMP TRANSP EQUIP"/>
      <sheetName val="Plan1"/>
      <sheetName val="RESUMO_AUT1"/>
      <sheetName val="Página 16"/>
      <sheetName val="Desmat"/>
      <sheetName val="RELATÓRIO"/>
      <sheetName val="Mat Asf"/>
      <sheetName val="p a t o 99 b"/>
      <sheetName val="mem da 22ª"/>
      <sheetName val="serviços"/>
      <sheetName val="tlmb"/>
      <sheetName val="Orçamento"/>
      <sheetName val="compos1"/>
    </sheetNames>
    <sheetDataSet>
      <sheetData sheetId="0">
        <row r="3">
          <cell r="A3" t="str">
            <v xml:space="preserve">RODOVIA </v>
          </cell>
          <cell r="B3" t="str">
            <v>: BR-364/MT</v>
          </cell>
        </row>
        <row r="4">
          <cell r="I4" t="str">
            <v>SR/DNIT/MT</v>
          </cell>
        </row>
        <row r="6">
          <cell r="B6" t="str">
            <v>: ENTR. MT-461(A) (Km 112,90) - ENTR. MT-270(B) (Km 215,90)</v>
          </cell>
        </row>
        <row r="7">
          <cell r="A7" t="str">
            <v>EXTENSÃO</v>
          </cell>
        </row>
      </sheetData>
      <sheetData sheetId="1">
        <row r="1">
          <cell r="A1" t="str">
            <v>MT - DNIT - Superintendencia Regional no Estado do Mato Grosso</v>
          </cell>
        </row>
      </sheetData>
      <sheetData sheetId="2">
        <row r="1">
          <cell r="A1" t="str">
            <v>MT - DNIT - Superintendencia Regional no Estado do Mato Grosso</v>
          </cell>
        </row>
        <row r="12">
          <cell r="E12">
            <v>2916.8777473920004</v>
          </cell>
        </row>
      </sheetData>
      <sheetData sheetId="3">
        <row r="1">
          <cell r="A1" t="str">
            <v>MT - DNIT - Superintendencia Regional no Estado do Mato Grosso</v>
          </cell>
        </row>
      </sheetData>
      <sheetData sheetId="4">
        <row r="1">
          <cell r="A1" t="str">
            <v>MT - DNIT - Superintendencia Regional no Estado do Mato Grosso</v>
          </cell>
        </row>
      </sheetData>
      <sheetData sheetId="5">
        <row r="1">
          <cell r="A1" t="str">
            <v>MT - DNIT - Superintendencia Regional no Estado do Mato Grosso</v>
          </cell>
        </row>
      </sheetData>
      <sheetData sheetId="6">
        <row r="12">
          <cell r="E12">
            <v>2916.8777473920004</v>
          </cell>
        </row>
      </sheetData>
      <sheetData sheetId="7">
        <row r="12">
          <cell r="E12">
            <v>2916.8777473920004</v>
          </cell>
        </row>
      </sheetData>
      <sheetData sheetId="8">
        <row r="1">
          <cell r="A1" t="str">
            <v>MT - DNIT - Superintendencia Regional no Estado do Mato Grosso</v>
          </cell>
        </row>
      </sheetData>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Croqui"/>
      <sheetName val="CALCULOS AUXILIARES"/>
      <sheetName val="Pato"/>
      <sheetName val="Página 16"/>
      <sheetName val="DADOS"/>
      <sheetName val="mat"/>
      <sheetName val="TLMB"/>
      <sheetName val="TCB5"/>
      <sheetName val="TEB4"/>
      <sheetName val="TCC4"/>
      <sheetName val="Plan7"/>
      <sheetName val="Plan8"/>
      <sheetName val="Plan9"/>
      <sheetName val="Plan10"/>
      <sheetName val="Plan11"/>
      <sheetName val="Plan12"/>
      <sheetName val="Plan13"/>
      <sheetName val="Plan14"/>
      <sheetName val="Plan15"/>
      <sheetName val="Plan16"/>
      <sheetName val="Desmat 0,15"/>
      <sheetName val="Aterro"/>
      <sheetName val="resumo financeiro"/>
      <sheetName val="Dados do projeto"/>
      <sheetName val="MO"/>
      <sheetName val="RESUMO-Medição"/>
      <sheetName val="Mat Asf"/>
    </sheetNames>
    <sheetDataSet>
      <sheetData sheetId="0">
        <row r="5">
          <cell r="I5" t="str">
            <v>PD/19 - 22/95</v>
          </cell>
        </row>
        <row r="6">
          <cell r="I6" t="str">
            <v>SERCEL LTDA</v>
          </cell>
        </row>
        <row r="11">
          <cell r="G11">
            <v>1088.0999999999999</v>
          </cell>
        </row>
        <row r="12">
          <cell r="G12">
            <v>682.5</v>
          </cell>
        </row>
        <row r="13">
          <cell r="G13">
            <v>985.53</v>
          </cell>
        </row>
        <row r="32">
          <cell r="G32">
            <v>117</v>
          </cell>
        </row>
        <row r="37">
          <cell r="G37">
            <v>7800</v>
          </cell>
        </row>
        <row r="55">
          <cell r="G55">
            <v>614.25</v>
          </cell>
        </row>
        <row r="57">
          <cell r="G57">
            <v>392.346</v>
          </cell>
        </row>
        <row r="59">
          <cell r="G59">
            <v>50</v>
          </cell>
        </row>
        <row r="60">
          <cell r="G60">
            <v>400</v>
          </cell>
        </row>
      </sheetData>
      <sheetData sheetId="1">
        <row r="4">
          <cell r="B4" t="str">
            <v>BR-262/MS</v>
          </cell>
        </row>
        <row r="5">
          <cell r="B5" t="str">
            <v>DIV. SP/MS - FRONT. BRASIL/BOLIVIA</v>
          </cell>
          <cell r="C5" t="str">
            <v>195 km</v>
          </cell>
        </row>
        <row r="6">
          <cell r="B6" t="str">
            <v>CAMPO GRANDE - MIRANDA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s09.009.03"/>
      <sheetName val="2s09.009.05"/>
      <sheetName val="2S02.999.05"/>
      <sheetName val="2S02.999.03"/>
      <sheetName val="2S01.001.01"/>
      <sheetName val="1A00.902.01"/>
      <sheetName val="1A01.603.01"/>
      <sheetName val="CX COL"/>
      <sheetName val="1A00.901.51"/>
      <sheetName val="2S04.950.71"/>
      <sheetName val="2S04.942.52"/>
      <sheetName val="2S04.940.51"/>
      <sheetName val="2S04.940.52"/>
      <sheetName val="2S04.910.55"/>
      <sheetName val="1A01.894.51"/>
      <sheetName val="1A01.415.51"/>
      <sheetName val="1A01.410.51"/>
      <sheetName val="1A01.412.51"/>
      <sheetName val="2S04.910.53"/>
      <sheetName val="2S04.910.51"/>
      <sheetName val="2S04.111.51"/>
      <sheetName val="1A00.903.51"/>
      <sheetName val="2S04.110.71"/>
      <sheetName val="2S04.101.53"/>
      <sheetName val="1A01.765.51"/>
      <sheetName val="1A00.908.51"/>
      <sheetName val="2S04.100.73"/>
      <sheetName val="1A01.603.51"/>
      <sheetName val="2S04.101.52"/>
      <sheetName val="1A00.418.51"/>
      <sheetName val="1A00.717.00"/>
      <sheetName val="1A00.716.00"/>
      <sheetName val="1A01.760.51"/>
      <sheetName val="1A01.604.51"/>
      <sheetName val="1A01.401.01"/>
      <sheetName val="1A00.907.51"/>
      <sheetName val="1A01.512.60"/>
      <sheetName val="2 S 01.100.72"/>
      <sheetName val="1A01.893.01"/>
      <sheetName val="1A01.891.01"/>
      <sheetName val="2S04.400.01"/>
      <sheetName val="1A01.890.01"/>
      <sheetName val="1A01.780.01"/>
      <sheetName val="1A01.120.01"/>
      <sheetName val="1A01.105.01"/>
      <sheetName val="1A01.100.01"/>
      <sheetName val="3S01.930.00"/>
      <sheetName val="2S05.120.01"/>
      <sheetName val="2S01.100.01c"/>
      <sheetName val="2S01.100.01B"/>
      <sheetName val="2S05.102.00"/>
      <sheetName val="2S05.100.00"/>
      <sheetName val="4S06.121.01"/>
      <sheetName val="4S06.121.11"/>
      <sheetName val="4S06.200.01"/>
      <sheetName val="4S06.110.22"/>
      <sheetName val="4S06.100.21"/>
      <sheetName val="2S09.002.05"/>
      <sheetName val="2S02.501.52"/>
      <sheetName val="2S02.500.51"/>
      <sheetName val="2S02.300.00"/>
      <sheetName val="2S09.001.05"/>
      <sheetName val="2S02.200.01"/>
      <sheetName val="2S02.200.00"/>
      <sheetName val="2S02.110.00"/>
      <sheetName val="2S01.511.00"/>
      <sheetName val="2S01.100.10"/>
      <sheetName val="2S01.100.09"/>
      <sheetName val="2S01.100.01"/>
      <sheetName val="2S01.005.00"/>
      <sheetName val="DADOS"/>
      <sheetName val="eq"/>
      <sheetName val="mo"/>
      <sheetName val="mat"/>
      <sheetName val="plan"/>
      <sheetName val="relatório-1ª m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row r="4">
          <cell r="B4">
            <v>25</v>
          </cell>
        </row>
      </sheetData>
      <sheetData sheetId="71"/>
      <sheetData sheetId="72"/>
      <sheetData sheetId="73" refreshError="1">
        <row r="2">
          <cell r="A2" t="str">
            <v>M105</v>
          </cell>
          <cell r="B2" t="str">
            <v>Emulsão asfática RR-2C</v>
          </cell>
          <cell r="C2">
            <v>0</v>
          </cell>
        </row>
        <row r="3">
          <cell r="A3" t="str">
            <v>M101</v>
          </cell>
          <cell r="B3" t="str">
            <v>Cimento asfáltico CAP-20</v>
          </cell>
          <cell r="C3">
            <v>0</v>
          </cell>
        </row>
        <row r="4">
          <cell r="A4" t="str">
            <v>M103</v>
          </cell>
          <cell r="B4" t="str">
            <v>Asfalto diluído CM-30</v>
          </cell>
          <cell r="C4">
            <v>0</v>
          </cell>
        </row>
        <row r="5">
          <cell r="A5" t="str">
            <v>M202</v>
          </cell>
          <cell r="B5" t="str">
            <v>Cimento pothand CP-32</v>
          </cell>
          <cell r="C5">
            <v>0.26</v>
          </cell>
        </row>
        <row r="6">
          <cell r="A6" t="str">
            <v>M302</v>
          </cell>
          <cell r="B6" t="str">
            <v>Pregos de ferro (18x30)</v>
          </cell>
          <cell r="C6">
            <v>3.99</v>
          </cell>
        </row>
        <row r="7">
          <cell r="A7" t="str">
            <v>M321</v>
          </cell>
          <cell r="B7" t="str">
            <v>Arama farpado n°. 16 galv. simples</v>
          </cell>
          <cell r="C7">
            <v>0.4</v>
          </cell>
        </row>
        <row r="8">
          <cell r="A8" t="str">
            <v>M322</v>
          </cell>
          <cell r="B8" t="str">
            <v>Grampo para cerca galvanizado 1 x 9</v>
          </cell>
          <cell r="C8">
            <v>6.5</v>
          </cell>
        </row>
        <row r="9">
          <cell r="A9" t="str">
            <v>M334</v>
          </cell>
          <cell r="B9" t="str">
            <v>Paraf. Zinc. c/fenda 1 1/2" x 3/16"</v>
          </cell>
          <cell r="C9">
            <v>0.2</v>
          </cell>
        </row>
        <row r="10">
          <cell r="A10" t="str">
            <v>M335</v>
          </cell>
          <cell r="B10" t="str">
            <v>Paraf. Zinc. Francês 4" x 5/16"</v>
          </cell>
          <cell r="C10">
            <v>0.39</v>
          </cell>
        </row>
        <row r="11">
          <cell r="A11" t="str">
            <v>M403</v>
          </cell>
          <cell r="B11" t="str">
            <v>Mourão madeira H=2,15 m D=12 cm</v>
          </cell>
          <cell r="C11">
            <v>12</v>
          </cell>
        </row>
        <row r="12">
          <cell r="A12" t="str">
            <v>M403</v>
          </cell>
          <cell r="B12" t="str">
            <v>Mourão madeira H=2,15 m D=9 cm</v>
          </cell>
          <cell r="C12">
            <v>10</v>
          </cell>
        </row>
        <row r="13">
          <cell r="A13" t="str">
            <v>M406</v>
          </cell>
          <cell r="B13" t="str">
            <v>Caibros de 7,5 cm x 7,5 cm</v>
          </cell>
          <cell r="C13">
            <v>3.1</v>
          </cell>
        </row>
        <row r="14">
          <cell r="A14" t="str">
            <v>M408</v>
          </cell>
          <cell r="B14" t="str">
            <v>Tábua de 5ª 2,5 cm x 30,0 cm</v>
          </cell>
          <cell r="C14">
            <v>4</v>
          </cell>
        </row>
        <row r="15">
          <cell r="A15" t="str">
            <v>M413</v>
          </cell>
          <cell r="B15" t="str">
            <v>Gastalho 10 x 2,5 cm</v>
          </cell>
          <cell r="C15">
            <v>1.9</v>
          </cell>
        </row>
        <row r="16">
          <cell r="A16" t="str">
            <v>M601</v>
          </cell>
          <cell r="B16" t="str">
            <v>Tinta refletiva acrílica p/2 anos</v>
          </cell>
          <cell r="C16">
            <v>12.22</v>
          </cell>
        </row>
        <row r="17">
          <cell r="A17" t="str">
            <v>M602</v>
          </cell>
          <cell r="B17" t="str">
            <v>Adubo NPK (4.14.8)</v>
          </cell>
          <cell r="C17">
            <v>1.8</v>
          </cell>
        </row>
        <row r="18">
          <cell r="A18" t="str">
            <v>M603</v>
          </cell>
          <cell r="B18" t="str">
            <v>Inseticida</v>
          </cell>
          <cell r="C18">
            <v>31</v>
          </cell>
        </row>
        <row r="19">
          <cell r="A19" t="str">
            <v>M611</v>
          </cell>
          <cell r="B19" t="str">
            <v>Redutor tipo 2002 prim. Qualidade</v>
          </cell>
          <cell r="C19">
            <v>6.82</v>
          </cell>
        </row>
        <row r="20">
          <cell r="A20" t="str">
            <v>M615</v>
          </cell>
          <cell r="B20" t="str">
            <v>Microesfera PRE-MIX</v>
          </cell>
          <cell r="C20">
            <v>4.8</v>
          </cell>
        </row>
        <row r="21">
          <cell r="A21" t="str">
            <v>M616</v>
          </cell>
          <cell r="B21" t="str">
            <v>Microesfera DROP-ON</v>
          </cell>
          <cell r="C21">
            <v>4.8</v>
          </cell>
        </row>
        <row r="22">
          <cell r="A22" t="str">
            <v>M618</v>
          </cell>
          <cell r="B22" t="str">
            <v>Massa termoplástica para aspersão</v>
          </cell>
          <cell r="C22">
            <v>6.82</v>
          </cell>
        </row>
        <row r="23">
          <cell r="A23" t="str">
            <v>M619</v>
          </cell>
          <cell r="B23" t="str">
            <v>Cola poliester</v>
          </cell>
          <cell r="C23">
            <v>12</v>
          </cell>
        </row>
        <row r="24">
          <cell r="A24" t="str">
            <v>M621</v>
          </cell>
          <cell r="B24" t="str">
            <v>Desmoldante</v>
          </cell>
          <cell r="C24">
            <v>4.2</v>
          </cell>
        </row>
        <row r="25">
          <cell r="A25" t="str">
            <v>M624</v>
          </cell>
          <cell r="B25" t="str">
            <v>Tinta para pré-marcação</v>
          </cell>
          <cell r="C25">
            <v>11.77</v>
          </cell>
        </row>
        <row r="26">
          <cell r="A26" t="str">
            <v>M710</v>
          </cell>
          <cell r="B26" t="str">
            <v>Pedra-de-mão ou Rochão Comercial</v>
          </cell>
          <cell r="C26">
            <v>24</v>
          </cell>
        </row>
        <row r="27">
          <cell r="A27" t="str">
            <v>M715</v>
          </cell>
          <cell r="B27" t="str">
            <v>Pó calcário dolomítico</v>
          </cell>
          <cell r="C27">
            <v>0.06</v>
          </cell>
        </row>
        <row r="28">
          <cell r="A28" t="str">
            <v>M906</v>
          </cell>
          <cell r="B28" t="str">
            <v>Sementes p/ hidrossemeadura</v>
          </cell>
          <cell r="C28">
            <v>12</v>
          </cell>
        </row>
        <row r="29">
          <cell r="A29" t="str">
            <v>M907</v>
          </cell>
          <cell r="B29" t="str">
            <v>Adulbo Orgânico</v>
          </cell>
          <cell r="C29">
            <v>0.2</v>
          </cell>
        </row>
        <row r="30">
          <cell r="A30" t="str">
            <v>M915</v>
          </cell>
          <cell r="B30" t="str">
            <v>Muda de arbusto - califa; espirradeira ou similar (h=0,50m)</v>
          </cell>
          <cell r="C30">
            <v>7</v>
          </cell>
        </row>
        <row r="31">
          <cell r="A31" t="str">
            <v>M916</v>
          </cell>
          <cell r="B31" t="str">
            <v>Terra preta vegetal</v>
          </cell>
          <cell r="C31">
            <v>35</v>
          </cell>
        </row>
        <row r="32">
          <cell r="A32" t="str">
            <v>M973</v>
          </cell>
          <cell r="B32" t="str">
            <v>Tacha refletiva bidirecional</v>
          </cell>
          <cell r="C32">
            <v>7.87</v>
          </cell>
        </row>
        <row r="33">
          <cell r="A33" t="str">
            <v>M980</v>
          </cell>
          <cell r="B33" t="str">
            <v>Indenização de jazida</v>
          </cell>
          <cell r="C33">
            <v>1.1000000000000001</v>
          </cell>
        </row>
      </sheetData>
      <sheetData sheetId="74"/>
      <sheetData sheetId="7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M-CBMI"/>
      <sheetName val="MAT-BET"/>
      <sheetName val="REL-AC"/>
      <sheetName val="PLUVIOM"/>
      <sheetName val="TAPA BURACO"/>
      <sheetName val="RECOMP REVESTIMENTO"/>
      <sheetName val="LIMP MEIO FIO"/>
      <sheetName val="LIMP VALETAS"/>
      <sheetName val="REMOCAO MEC BAR"/>
      <sheetName val="REMOCAO MEC BAR (2)"/>
      <sheetName val="M.OBRA MARCO"/>
      <sheetName val="RESUMO "/>
      <sheetName val="WILSON"/>
      <sheetName val="H-HORAS MARCO"/>
      <sheetName val="acertos"/>
      <sheetName val="CONT MAT BET"/>
      <sheetName val="QUADRO COMPARATIVO"/>
      <sheetName val="quadro 08 - composições"/>
      <sheetName val="dados de entrada concorrência"/>
      <sheetName val="Rel-15ª med."/>
      <sheetName val="PMF"/>
      <sheetName val="Regula"/>
      <sheetName val="eq"/>
      <sheetName val="mo"/>
      <sheetName val="resumo"/>
      <sheetName val="REAJU"/>
      <sheetName val="plmuseu"/>
    </sheetNames>
    <sheetDataSet>
      <sheetData sheetId="0">
        <row r="2">
          <cell r="U2" t="str">
            <v>FOLHA 01</v>
          </cell>
        </row>
        <row r="7">
          <cell r="S7" t="str">
            <v xml:space="preserve">             QUADRO DE INDICADORES FISICOS  </v>
          </cell>
        </row>
        <row r="9">
          <cell r="S9" t="str">
            <v xml:space="preserve"> FIRMA    :  CBEMI- CONSTRUTORA BRASILEIRA E  MINERADORA LTDA</v>
          </cell>
        </row>
        <row r="10">
          <cell r="S10" t="str">
            <v xml:space="preserve"> CONTRATO :  PD -16.001/97-00          MEDICAO :</v>
          </cell>
          <cell r="T10" t="str">
            <v xml:space="preserve"> 61a. M.P.</v>
          </cell>
        </row>
        <row r="11">
          <cell r="S11" t="str">
            <v xml:space="preserve"> SERVICOS:     EXECUTADOS ATE:31/03/02  PERIODO LIQUIDO  01/03/02 A 31/03/02</v>
          </cell>
        </row>
        <row r="13">
          <cell r="T13" t="str">
            <v>UNIDADE</v>
          </cell>
          <cell r="U13" t="str">
            <v>QUANTIDADE</v>
          </cell>
        </row>
        <row r="15">
          <cell r="S15" t="str">
            <v xml:space="preserve"> - TAPA BURACO</v>
          </cell>
          <cell r="T15" t="str">
            <v>1000 M3</v>
          </cell>
          <cell r="U15">
            <v>4.2</v>
          </cell>
        </row>
        <row r="16">
          <cell r="S16" t="str">
            <v xml:space="preserve"> - LIMPEZA DE SARGETA E MEIO-FIO</v>
          </cell>
          <cell r="T16" t="str">
            <v>Km</v>
          </cell>
          <cell r="U16">
            <v>573.39</v>
          </cell>
        </row>
        <row r="17">
          <cell r="S17" t="str">
            <v xml:space="preserve"> - ROÇADA</v>
          </cell>
          <cell r="T17" t="str">
            <v>HA</v>
          </cell>
          <cell r="U17">
            <v>818.22</v>
          </cell>
        </row>
        <row r="18">
          <cell r="S18" t="str">
            <v xml:space="preserve"> - RECOMPOSICAO DO REVESTIMENTO</v>
          </cell>
          <cell r="T18" t="str">
            <v>KM</v>
          </cell>
          <cell r="U18">
            <v>53.38</v>
          </cell>
        </row>
        <row r="19">
          <cell r="S19" t="str">
            <v xml:space="preserve"> - SINALIZACAO</v>
          </cell>
          <cell r="T19" t="str">
            <v>KM</v>
          </cell>
          <cell r="U19">
            <v>112.7</v>
          </cell>
        </row>
        <row r="20">
          <cell r="S20" t="str">
            <v xml:space="preserve"> - RECOMPOSICAO DE EROSAO</v>
          </cell>
          <cell r="T20" t="str">
            <v>1000 M3</v>
          </cell>
          <cell r="U20">
            <v>16.41</v>
          </cell>
        </row>
        <row r="41">
          <cell r="S41" t="str">
            <v>CERTIFICO QUE O(S) SERVIÇO(S) ACIMA DISCRIMINADOS FOI(FORAM) EFETUADO(S):</v>
          </cell>
        </row>
        <row r="45">
          <cell r="T45" t="str">
            <v>EM, 01/03/2002</v>
          </cell>
        </row>
        <row r="50">
          <cell r="S50" t="str">
            <v>_______________________          ____________________________    _________________________</v>
          </cell>
        </row>
        <row r="51">
          <cell r="S51" t="str">
            <v>ENG. GERVASIO MARCINICHEN               ENG. IZALDO CARLOS KONDLATSCH       ENG . WAGNER  FERNANDO FABRE</v>
          </cell>
        </row>
      </sheetData>
      <sheetData sheetId="1">
        <row r="18">
          <cell r="H18">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R1"/>
      <sheetName val="UTR 2"/>
      <sheetName val="UTR3"/>
      <sheetName val="UTR4"/>
      <sheetName val="UTR5"/>
    </sheetNames>
    <sheetDataSet>
      <sheetData sheetId="0" refreshError="1"/>
      <sheetData sheetId="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_betum_BTM (2)"/>
      <sheetName val="Extenso"/>
      <sheetName val="Extenso (2)"/>
      <sheetName val="Croqui-L1"/>
      <sheetName val="Capa"/>
      <sheetName val="Diagrama Unificado"/>
      <sheetName val="Soluções"/>
      <sheetName val="Inventário"/>
      <sheetName val="PATO"/>
      <sheetName val="Plan2"/>
      <sheetName val="Transporte"/>
      <sheetName val="Quantidades"/>
      <sheetName val="Curva ABC"/>
      <sheetName val="SICRO"/>
      <sheetName val="Curva ABC (2)"/>
      <sheetName val="Cronograma"/>
      <sheetName val="CADASTRO DESCIDA D'ÁGUA"/>
      <sheetName val="Diagrama"/>
      <sheetName val="PonteMadeira"/>
      <sheetName val="Pontes 1"/>
      <sheetName val="Pontes 2"/>
      <sheetName val="Cadastro Bueiros"/>
      <sheetName val="CADASTRO SARJETAS"/>
      <sheetName val="CADASTRO MEIO FIO"/>
      <sheetName val="Cadastro_Valetas"/>
      <sheetName val="CADASTRO DE CERCAS"/>
      <sheetName val="Mobilização"/>
      <sheetName val="transp comercial basc  "/>
      <sheetName val="Prancha"/>
      <sheetName val="CANTEIRO"/>
      <sheetName val="Layout"/>
      <sheetName val="Defensa"/>
      <sheetName val="trans_betum_CGB"/>
      <sheetName val="veic100"/>
      <sheetName val="trans_betum_CGB_EXCEDENTE"/>
      <sheetName val="ANP"/>
      <sheetName val="Atual. Mat. Betum."/>
      <sheetName val="Micro"/>
      <sheetName val="PMF"/>
      <sheetName val="CBUQ POLIMERO"/>
      <sheetName val="Just alter espessura"/>
      <sheetName val="pint_lig"/>
      <sheetName val="imprimação"/>
      <sheetName val="MBUQ"/>
      <sheetName val="TSD"/>
      <sheetName val="Rem Prof - Dem Man"/>
    </sheetNames>
    <sheetDataSet>
      <sheetData sheetId="0" refreshError="1"/>
      <sheetData sheetId="1" refreshError="1"/>
      <sheetData sheetId="2" refreshError="1"/>
      <sheetData sheetId="3" refreshError="1"/>
      <sheetData sheetId="4" refreshError="1"/>
      <sheetData sheetId="5">
        <row r="19">
          <cell r="D19">
            <v>85</v>
          </cell>
        </row>
      </sheetData>
      <sheetData sheetId="6" refreshError="1"/>
      <sheetData sheetId="7" refreshError="1"/>
      <sheetData sheetId="8" refreshError="1"/>
      <sheetData sheetId="9" refreshError="1"/>
      <sheetData sheetId="10" refreshError="1"/>
      <sheetData sheetId="11" refreshError="1"/>
      <sheetData sheetId="12" refreshError="1"/>
      <sheetData sheetId="13">
        <row r="6">
          <cell r="B6" t="str">
            <v>1 A 00 001 41</v>
          </cell>
        </row>
      </sheetData>
      <sheetData sheetId="14" refreshError="1"/>
      <sheetData sheetId="15" refreshError="1"/>
      <sheetData sheetId="16" refreshError="1"/>
      <sheetData sheetId="17">
        <row r="24">
          <cell r="V24">
            <v>750.8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NT_OBRAS"/>
      <sheetName val="ligação predial"/>
      <sheetName val="REDE COLETORA"/>
      <sheetName val="ESTA ELEVATÓRIA_"/>
      <sheetName val="EMISSÁRIO_"/>
      <sheetName val="AQU TERRENO-"/>
      <sheetName val="RESUMO"/>
      <sheetName val="aux"/>
      <sheetName val="RESUMO-DVOP"/>
      <sheetName val="RELATÓRIO"/>
      <sheetName val="DMT modelo"/>
    </sheetNames>
    <sheetDataSet>
      <sheetData sheetId="0">
        <row r="8">
          <cell r="H8">
            <v>15099.060000000001</v>
          </cell>
        </row>
      </sheetData>
      <sheetData sheetId="1">
        <row r="9">
          <cell r="H9">
            <v>87735.12</v>
          </cell>
        </row>
        <row r="19">
          <cell r="H19">
            <v>33993.180000000008</v>
          </cell>
        </row>
      </sheetData>
      <sheetData sheetId="2">
        <row r="9">
          <cell r="H9">
            <v>327265.86999999994</v>
          </cell>
        </row>
        <row r="67">
          <cell r="H67">
            <v>90106.86</v>
          </cell>
        </row>
      </sheetData>
      <sheetData sheetId="3">
        <row r="9">
          <cell r="H9">
            <v>30966.526499999996</v>
          </cell>
        </row>
        <row r="106">
          <cell r="H106">
            <v>49744.2</v>
          </cell>
        </row>
        <row r="143">
          <cell r="H143">
            <v>18679.9211</v>
          </cell>
        </row>
      </sheetData>
      <sheetData sheetId="4">
        <row r="9">
          <cell r="H9">
            <v>797.15</v>
          </cell>
        </row>
        <row r="39">
          <cell r="H39">
            <v>754.13</v>
          </cell>
        </row>
        <row r="50">
          <cell r="H50">
            <v>6502.5400000000009</v>
          </cell>
        </row>
        <row r="80">
          <cell r="H80">
            <v>3995.81</v>
          </cell>
        </row>
      </sheetData>
      <sheetData sheetId="5">
        <row r="9">
          <cell r="H9">
            <v>12000</v>
          </cell>
        </row>
      </sheetData>
      <sheetData sheetId="6"/>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Crono Físico-Financeiro "/>
      <sheetName val="P A T O 99 B"/>
      <sheetName val="Desmat 0,15"/>
      <sheetName val="Indice de Reajuste"/>
      <sheetName val="RELATÓRIO"/>
      <sheetName val="Orçamento"/>
      <sheetName val="RESUMO MED"/>
      <sheetName val="REBAIXO DE CORTE"/>
      <sheetName val="Desmatamento "/>
      <sheetName val="PROTOTIPO DE MEDIÇÃO"/>
      <sheetName val="orcID nº1"/>
      <sheetName val="orc ID nº 15"/>
      <sheetName val="orc ID nº17"/>
      <sheetName val="orc ID nº 18"/>
      <sheetName val="orc ID nº19"/>
      <sheetName val="orc ID nº2 "/>
      <sheetName val="orc ID nº3"/>
      <sheetName val="orcID nº4"/>
      <sheetName val="orcID nº5"/>
      <sheetName val="orcID nº6"/>
      <sheetName val="orcID nº7"/>
      <sheetName val="orc ID nº8"/>
      <sheetName val="orc ID nº9"/>
      <sheetName val="orc ID nº12"/>
      <sheetName val="orc ID nº13"/>
      <sheetName val="orc ID nº 14"/>
      <sheetName val="orc ID nº16"/>
      <sheetName val="aux"/>
      <sheetName val="Planilha1"/>
      <sheetName val="quadro 08 - composições"/>
      <sheetName val="dados de entrada concorrência"/>
    </sheetNames>
    <sheetDataSet>
      <sheetData sheetId="0">
        <row r="36">
          <cell r="C36" t="str">
            <v>Engº. ??????????????</v>
          </cell>
        </row>
      </sheetData>
      <sheetData sheetId="1">
        <row r="36">
          <cell r="C36" t="str">
            <v>Engº. ??????????????</v>
          </cell>
        </row>
      </sheetData>
      <sheetData sheetId="2">
        <row r="36">
          <cell r="C36" t="str">
            <v>Engº. ??????????????</v>
          </cell>
        </row>
      </sheetData>
      <sheetData sheetId="3">
        <row r="36">
          <cell r="C36" t="str">
            <v>Engº. ??????????????</v>
          </cell>
        </row>
      </sheetData>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row r="27">
          <cell r="U27">
            <v>0</v>
          </cell>
        </row>
      </sheetData>
      <sheetData sheetId="13"/>
      <sheetData sheetId="14">
        <row r="31">
          <cell r="Q31">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 H-UTIL.-EQIP."/>
      <sheetName val="CÓD.-SERVIÇO"/>
      <sheetName val="PROD-EQUIPE"/>
      <sheetName val="01.100.00"/>
      <sheetName val="BONIFICAÇÃO"/>
      <sheetName val="TPU-MARÇO_2002"/>
      <sheetName val="TPU_MARÇO_2002"/>
      <sheetName val="Sheet6"/>
      <sheetName val="SERVIÇOS digitado"/>
      <sheetName val="ORÇAMENTO 01"/>
      <sheetName val="TLMB"/>
    </sheetNames>
    <sheetDataSet>
      <sheetData sheetId="0" refreshError="1"/>
      <sheetData sheetId="1" refreshError="1"/>
      <sheetData sheetId="2" refreshError="1"/>
      <sheetData sheetId="3" refreshError="1"/>
      <sheetData sheetId="4" refreshError="1"/>
      <sheetData sheetId="5" refreshError="1">
        <row r="2">
          <cell r="B2" t="str">
            <v>Cód. Colinas</v>
          </cell>
          <cell r="D2" t="str">
            <v>Código</v>
          </cell>
          <cell r="E2" t="str">
            <v>Serviços</v>
          </cell>
          <cell r="F2" t="str">
            <v>Unid.</v>
          </cell>
          <cell r="H2" t="str">
            <v>Cód.</v>
          </cell>
        </row>
        <row r="3">
          <cell r="H3" t="str">
            <v>TER</v>
          </cell>
        </row>
        <row r="4">
          <cell r="H4" t="str">
            <v>PAV</v>
          </cell>
        </row>
        <row r="5">
          <cell r="D5" t="str">
            <v xml:space="preserve">FASE 21 - SERVIÇOS PRELIMINARES :  </v>
          </cell>
          <cell r="H5" t="str">
            <v>PAV1</v>
          </cell>
        </row>
        <row r="6">
          <cell r="B6" t="str">
            <v>0.1.1</v>
          </cell>
          <cell r="D6" t="str">
            <v>21.01.01</v>
          </cell>
          <cell r="E6" t="str">
            <v>Sondagem a percussão até 15 m</v>
          </cell>
          <cell r="F6" t="str">
            <v>m</v>
          </cell>
          <cell r="H6" t="str">
            <v>PAV2</v>
          </cell>
        </row>
        <row r="7">
          <cell r="B7" t="str">
            <v>0.1.2</v>
          </cell>
          <cell r="D7" t="str">
            <v xml:space="preserve">21.01.02 </v>
          </cell>
          <cell r="E7" t="str">
            <v>Sondagem a perc. até 15 m loc.alag.&lt;50cm</v>
          </cell>
          <cell r="F7" t="str">
            <v>m</v>
          </cell>
          <cell r="H7" t="str">
            <v>PAV3</v>
          </cell>
        </row>
        <row r="8">
          <cell r="B8" t="str">
            <v>0.1.3</v>
          </cell>
          <cell r="D8" t="str">
            <v>21.01.03</v>
          </cell>
          <cell r="E8" t="str">
            <v>Sondagem a percussão de 15 a 30 m</v>
          </cell>
          <cell r="F8" t="str">
            <v>m</v>
          </cell>
          <cell r="H8" t="str">
            <v>PAV4</v>
          </cell>
        </row>
        <row r="9">
          <cell r="B9" t="str">
            <v>0.1.4</v>
          </cell>
          <cell r="D9" t="str">
            <v xml:space="preserve">21.01.04 </v>
          </cell>
          <cell r="E9" t="str">
            <v>Sondagem a perc.15a30m loc.alag.&lt;50cm</v>
          </cell>
          <cell r="F9" t="str">
            <v>m</v>
          </cell>
          <cell r="H9" t="str">
            <v>PAV5</v>
          </cell>
        </row>
        <row r="10">
          <cell r="B10" t="str">
            <v>0.1.5</v>
          </cell>
          <cell r="D10" t="str">
            <v>21.01.05</v>
          </cell>
          <cell r="E10" t="str">
            <v>Sondagem percussão superior 30 m</v>
          </cell>
          <cell r="F10" t="str">
            <v>m</v>
          </cell>
          <cell r="H10" t="str">
            <v>PAV6</v>
          </cell>
        </row>
        <row r="11">
          <cell r="B11" t="str">
            <v>0.1.6</v>
          </cell>
          <cell r="D11" t="str">
            <v xml:space="preserve">21.01.06 </v>
          </cell>
          <cell r="E11" t="str">
            <v>Sondagem perc.+30 m loc.alag.&lt; 50 cm</v>
          </cell>
          <cell r="F11" t="str">
            <v>m</v>
          </cell>
          <cell r="H11" t="str">
            <v>PAV7</v>
          </cell>
        </row>
        <row r="12">
          <cell r="B12" t="str">
            <v>0.1.7</v>
          </cell>
          <cell r="D12" t="str">
            <v>21.01.07</v>
          </cell>
          <cell r="E12" t="str">
            <v>Sondagem perc. - taxa fixa de instalação</v>
          </cell>
          <cell r="F12" t="str">
            <v>un</v>
          </cell>
          <cell r="H12" t="str">
            <v>DRE</v>
          </cell>
        </row>
        <row r="13">
          <cell r="B13" t="str">
            <v>0.1.8</v>
          </cell>
          <cell r="D13" t="str">
            <v xml:space="preserve">21.01.08 </v>
          </cell>
          <cell r="E13" t="str">
            <v>Sondagem rotativa - taxa fixa instalação</v>
          </cell>
          <cell r="F13" t="str">
            <v>un</v>
          </cell>
          <cell r="H13" t="str">
            <v>VDT</v>
          </cell>
        </row>
        <row r="14">
          <cell r="B14" t="str">
            <v>0.1.9</v>
          </cell>
          <cell r="D14" t="str">
            <v>21.01.09</v>
          </cell>
          <cell r="E14" t="str">
            <v>Sondagem - transporte de equipamento</v>
          </cell>
          <cell r="F14" t="str">
            <v>km x equip.</v>
          </cell>
          <cell r="H14" t="str">
            <v>IMO</v>
          </cell>
        </row>
        <row r="15">
          <cell r="B15" t="str">
            <v>0.1.10</v>
          </cell>
          <cell r="D15" t="str">
            <v xml:space="preserve">21.01.10 </v>
          </cell>
          <cell r="E15" t="str">
            <v>Sondagem - deslocamento de equipamento</v>
          </cell>
          <cell r="F15" t="str">
            <v>m</v>
          </cell>
        </row>
        <row r="16">
          <cell r="B16" t="str">
            <v>0.1.11</v>
          </cell>
          <cell r="D16" t="str">
            <v>21.01.11</v>
          </cell>
          <cell r="E16" t="str">
            <v>Sondagem perc. - plataforma ou banqueta</v>
          </cell>
          <cell r="F16" t="str">
            <v>equip.</v>
          </cell>
        </row>
        <row r="17">
          <cell r="B17" t="str">
            <v>0.1.12</v>
          </cell>
          <cell r="D17" t="str">
            <v>21.01.12</v>
          </cell>
          <cell r="E17" t="str">
            <v>Sondagem rotativa - plataforma ou banqueta</v>
          </cell>
          <cell r="F17" t="str">
            <v>equip.</v>
          </cell>
        </row>
        <row r="18">
          <cell r="B18" t="str">
            <v>0.1.13</v>
          </cell>
          <cell r="D18" t="str">
            <v>21.01.13</v>
          </cell>
          <cell r="E18" t="str">
            <v>Abertura de picada</v>
          </cell>
          <cell r="F18" t="str">
            <v>m</v>
          </cell>
        </row>
        <row r="19">
          <cell r="B19" t="str">
            <v>0.1.14</v>
          </cell>
          <cell r="D19" t="str">
            <v>21.01.14</v>
          </cell>
          <cell r="E19" t="str">
            <v>Sondagem - flutuante</v>
          </cell>
          <cell r="F19" t="str">
            <v>obra</v>
          </cell>
        </row>
        <row r="20">
          <cell r="B20" t="str">
            <v>0.1.15</v>
          </cell>
          <cell r="D20" t="str">
            <v>21.01.15</v>
          </cell>
          <cell r="E20" t="str">
            <v>Sondagem percussão instalação flutuante</v>
          </cell>
          <cell r="F20" t="str">
            <v>sond.</v>
          </cell>
        </row>
        <row r="21">
          <cell r="B21" t="str">
            <v>0.1.16</v>
          </cell>
          <cell r="D21" t="str">
            <v>21.01.16</v>
          </cell>
          <cell r="E21" t="str">
            <v>Sondagem rotativa - instalação flutuante</v>
          </cell>
          <cell r="F21" t="str">
            <v>sond.</v>
          </cell>
        </row>
        <row r="22">
          <cell r="B22" t="str">
            <v>0.1.17</v>
          </cell>
          <cell r="D22" t="str">
            <v xml:space="preserve">21.01.17 </v>
          </cell>
          <cell r="E22" t="str">
            <v>Sondagem rotativa solo 57,10mm (AX)</v>
          </cell>
          <cell r="F22" t="str">
            <v>m</v>
          </cell>
        </row>
        <row r="23">
          <cell r="B23" t="str">
            <v>0.1.18</v>
          </cell>
          <cell r="D23" t="str">
            <v>21.01.18</v>
          </cell>
          <cell r="E23" t="str">
            <v>Sondagem rotativa solo 73,00mm (BX)</v>
          </cell>
          <cell r="F23" t="str">
            <v>m</v>
          </cell>
        </row>
        <row r="24">
          <cell r="B24" t="str">
            <v>0.1.19</v>
          </cell>
          <cell r="D24" t="str">
            <v xml:space="preserve">21.01.19 </v>
          </cell>
          <cell r="E24" t="str">
            <v>Sondagem rotativa solo 88,9mm (NX)</v>
          </cell>
          <cell r="F24" t="str">
            <v>m</v>
          </cell>
        </row>
        <row r="25">
          <cell r="B25" t="str">
            <v>0.1.20</v>
          </cell>
          <cell r="D25" t="str">
            <v xml:space="preserve">21.01.20 </v>
          </cell>
          <cell r="E25" t="str">
            <v>Sondagem rotativa solo 114,30mm (HX)</v>
          </cell>
          <cell r="F25" t="str">
            <v>m</v>
          </cell>
        </row>
        <row r="26">
          <cell r="B26" t="str">
            <v>0.1.21</v>
          </cell>
          <cell r="D26" t="str">
            <v>21.01.21</v>
          </cell>
          <cell r="E26" t="str">
            <v>Sondagem rotativa rocha alt. 57,1mm (AX)</v>
          </cell>
          <cell r="F26" t="str">
            <v>m</v>
          </cell>
        </row>
        <row r="27">
          <cell r="B27" t="str">
            <v>0.1.22</v>
          </cell>
          <cell r="D27" t="str">
            <v>21.01.22</v>
          </cell>
          <cell r="E27" t="str">
            <v>Sondagem rotativa rocha alt. 73,0mm (BX)</v>
          </cell>
          <cell r="F27" t="str">
            <v>m</v>
          </cell>
        </row>
        <row r="28">
          <cell r="B28" t="str">
            <v>0.1.23</v>
          </cell>
          <cell r="D28" t="str">
            <v>21.01.23</v>
          </cell>
          <cell r="E28" t="str">
            <v>Sondagem rotativa rocha alt. 88,9mm (NX)</v>
          </cell>
          <cell r="F28" t="str">
            <v>m</v>
          </cell>
        </row>
        <row r="29">
          <cell r="B29" t="str">
            <v>0.1.24</v>
          </cell>
          <cell r="D29" t="str">
            <v>21.01.24</v>
          </cell>
          <cell r="E29" t="str">
            <v>Sondagem rotativa rocha alt. 114,3mm (HX)</v>
          </cell>
          <cell r="F29" t="str">
            <v>m</v>
          </cell>
        </row>
        <row r="30">
          <cell r="B30" t="str">
            <v>0.1.25</v>
          </cell>
          <cell r="D30" t="str">
            <v xml:space="preserve">21.01.25 </v>
          </cell>
          <cell r="E30" t="str">
            <v>Sondagem rotativa rocha sã 57,10mm (AX)</v>
          </cell>
          <cell r="F30" t="str">
            <v>m</v>
          </cell>
        </row>
        <row r="31">
          <cell r="B31" t="str">
            <v>0.1.26</v>
          </cell>
          <cell r="D31" t="str">
            <v>21.01.26</v>
          </cell>
          <cell r="E31" t="str">
            <v>Sondagem rotativa rocha sã 73,00mm (BX)</v>
          </cell>
          <cell r="F31" t="str">
            <v>m</v>
          </cell>
        </row>
        <row r="32">
          <cell r="B32" t="str">
            <v>0.1.27</v>
          </cell>
          <cell r="D32" t="str">
            <v>21.01.27</v>
          </cell>
          <cell r="E32" t="str">
            <v xml:space="preserve">Sondagem rotativa rocha sã 88,90mm (NX) </v>
          </cell>
          <cell r="F32" t="str">
            <v>m</v>
          </cell>
        </row>
        <row r="33">
          <cell r="B33" t="str">
            <v>0.1.28</v>
          </cell>
          <cell r="D33" t="str">
            <v>21.01.28</v>
          </cell>
          <cell r="E33" t="str">
            <v>Sondagem rotativa rocha sã 114,3mm (HX)</v>
          </cell>
          <cell r="F33" t="str">
            <v>m</v>
          </cell>
        </row>
        <row r="34">
          <cell r="B34" t="str">
            <v>0.1.29</v>
          </cell>
          <cell r="D34" t="str">
            <v>21.01.29</v>
          </cell>
          <cell r="E34" t="str">
            <v>Sondagem à trado profundidade até 5 m</v>
          </cell>
          <cell r="F34" t="str">
            <v>m</v>
          </cell>
        </row>
        <row r="35">
          <cell r="B35" t="str">
            <v>0.1.30</v>
          </cell>
          <cell r="D35" t="str">
            <v>21.01.30</v>
          </cell>
          <cell r="E35" t="str">
            <v>Sondagem à trado profundidade 5 a 10 m</v>
          </cell>
          <cell r="F35" t="str">
            <v>m</v>
          </cell>
        </row>
        <row r="36">
          <cell r="B36" t="str">
            <v>0.1.31</v>
          </cell>
          <cell r="D36" t="str">
            <v>21.02.01</v>
          </cell>
          <cell r="E36" t="str">
            <v>Lev. até 10.000</v>
          </cell>
          <cell r="F36" t="str">
            <v>m²</v>
          </cell>
        </row>
        <row r="37">
          <cell r="B37" t="str">
            <v>0.1.32</v>
          </cell>
          <cell r="D37" t="str">
            <v>21.02.02</v>
          </cell>
          <cell r="E37" t="str">
            <v>Lev. até 10.000 m² em vegetação densa</v>
          </cell>
          <cell r="F37" t="str">
            <v>m²</v>
          </cell>
        </row>
        <row r="38">
          <cell r="B38" t="str">
            <v>0.1.33</v>
          </cell>
          <cell r="D38" t="str">
            <v>21.02.03</v>
          </cell>
          <cell r="E38" t="str">
            <v xml:space="preserve">Lev. até 10.000 m² em zona urbana </v>
          </cell>
          <cell r="F38" t="str">
            <v>m²</v>
          </cell>
        </row>
        <row r="39">
          <cell r="B39" t="str">
            <v>0.1.34</v>
          </cell>
          <cell r="D39" t="str">
            <v>21.02.04</v>
          </cell>
          <cell r="E39" t="str">
            <v>Lev. até 10.000 m² em zona suburbana</v>
          </cell>
          <cell r="F39" t="str">
            <v>m²</v>
          </cell>
        </row>
        <row r="40">
          <cell r="B40" t="str">
            <v>0.1.35</v>
          </cell>
          <cell r="D40" t="str">
            <v>21.02.05</v>
          </cell>
          <cell r="E40" t="str">
            <v>Lev. de 10.000 a 50.000 m²</v>
          </cell>
          <cell r="F40" t="str">
            <v>m²</v>
          </cell>
        </row>
        <row r="41">
          <cell r="B41" t="str">
            <v>0.1.36</v>
          </cell>
          <cell r="D41" t="str">
            <v>21.02.06</v>
          </cell>
          <cell r="E41" t="str">
            <v>Lev. de 10.000 a 50.000 m² vegetação densa</v>
          </cell>
          <cell r="F41" t="str">
            <v>m²</v>
          </cell>
        </row>
        <row r="42">
          <cell r="B42" t="str">
            <v>0.1.37</v>
          </cell>
          <cell r="D42" t="str">
            <v>21.02.07</v>
          </cell>
          <cell r="E42" t="str">
            <v>Lev. de 10.000 a 50.000 m² zona urbana</v>
          </cell>
          <cell r="F42" t="str">
            <v>m²</v>
          </cell>
        </row>
        <row r="43">
          <cell r="B43" t="str">
            <v>0.1.38</v>
          </cell>
          <cell r="D43" t="str">
            <v>21.02.08</v>
          </cell>
          <cell r="E43" t="str">
            <v>Lev. de 10.000 a 50.000 m² zona suburbana</v>
          </cell>
          <cell r="F43" t="str">
            <v>m²</v>
          </cell>
        </row>
        <row r="44">
          <cell r="B44" t="str">
            <v>0.1.39</v>
          </cell>
          <cell r="D44" t="str">
            <v>21.02.09</v>
          </cell>
          <cell r="E44" t="str">
            <v>Lev. superior a 50.000 m²</v>
          </cell>
          <cell r="F44" t="str">
            <v>m²</v>
          </cell>
        </row>
        <row r="45">
          <cell r="B45" t="str">
            <v>0.1.40</v>
          </cell>
          <cell r="D45" t="str">
            <v>21.02.10</v>
          </cell>
          <cell r="E45" t="str">
            <v>Lev. superior a 50.000 m² vegetação densa</v>
          </cell>
          <cell r="F45" t="str">
            <v>m²</v>
          </cell>
        </row>
        <row r="46">
          <cell r="B46" t="str">
            <v>0.1.41</v>
          </cell>
          <cell r="D46" t="str">
            <v>21.02.11</v>
          </cell>
          <cell r="E46" t="str">
            <v>Lev. superior a 50.000 m² zona urbana</v>
          </cell>
          <cell r="F46" t="str">
            <v>m²</v>
          </cell>
        </row>
        <row r="47">
          <cell r="B47" t="str">
            <v>0.1.42</v>
          </cell>
          <cell r="D47" t="str">
            <v xml:space="preserve">21.02.12 </v>
          </cell>
          <cell r="E47" t="str">
            <v>Lev. superior a 50.000 m² zona suburbana</v>
          </cell>
          <cell r="F47" t="str">
            <v>m²</v>
          </cell>
        </row>
        <row r="48">
          <cell r="B48" t="str">
            <v>0.1.43</v>
          </cell>
          <cell r="D48" t="str">
            <v>21.02.13</v>
          </cell>
          <cell r="E48" t="str">
            <v>Transp. Coordenadas</v>
          </cell>
          <cell r="F48" t="str">
            <v>km</v>
          </cell>
        </row>
        <row r="49">
          <cell r="B49" t="str">
            <v>0.1.44</v>
          </cell>
          <cell r="D49" t="str">
            <v>21.02.14</v>
          </cell>
          <cell r="E49" t="str">
            <v>Transp. Coord. Vgt</v>
          </cell>
          <cell r="F49" t="str">
            <v>km</v>
          </cell>
        </row>
        <row r="50">
          <cell r="B50" t="str">
            <v>0.1.45</v>
          </cell>
          <cell r="D50" t="str">
            <v>21.02.15</v>
          </cell>
          <cell r="E50" t="str">
            <v>Transporte coordenadas zona urbana</v>
          </cell>
          <cell r="F50" t="str">
            <v>km</v>
          </cell>
        </row>
        <row r="51">
          <cell r="B51" t="str">
            <v>0.1.46</v>
          </cell>
          <cell r="D51" t="str">
            <v>21.02.16</v>
          </cell>
          <cell r="E51" t="str">
            <v>Transporte coordenadas zona suburbana</v>
          </cell>
          <cell r="F51" t="str">
            <v>km</v>
          </cell>
        </row>
        <row r="52">
          <cell r="B52" t="str">
            <v>0.1.47</v>
          </cell>
          <cell r="D52" t="str">
            <v>21.02.17</v>
          </cell>
          <cell r="E52" t="str">
            <v>Transporte de turma</v>
          </cell>
          <cell r="F52" t="str">
            <v>km</v>
          </cell>
        </row>
        <row r="53">
          <cell r="B53" t="str">
            <v>0.1.48</v>
          </cell>
          <cell r="D53" t="str">
            <v>21.02.18</v>
          </cell>
          <cell r="E53" t="str">
            <v>Locação de anteprojeto região ondulada</v>
          </cell>
          <cell r="F53" t="str">
            <v>km</v>
          </cell>
        </row>
        <row r="54">
          <cell r="B54" t="str">
            <v>0.1.49</v>
          </cell>
          <cell r="D54" t="str">
            <v>21.02.19</v>
          </cell>
          <cell r="E54" t="str">
            <v>Locação anteprojeto região montanhosa</v>
          </cell>
          <cell r="F54" t="str">
            <v>km</v>
          </cell>
        </row>
        <row r="55">
          <cell r="B55" t="str">
            <v>0.1.50</v>
          </cell>
          <cell r="D55" t="str">
            <v>21.02.20</v>
          </cell>
          <cell r="E55" t="str">
            <v>Locação linha ensaio região ondulada</v>
          </cell>
          <cell r="F55" t="str">
            <v>km</v>
          </cell>
        </row>
        <row r="56">
          <cell r="B56" t="str">
            <v>0.1.51</v>
          </cell>
          <cell r="D56" t="str">
            <v>21.02.21</v>
          </cell>
          <cell r="E56" t="str">
            <v>Locação linha ensaio região montanhosa</v>
          </cell>
          <cell r="F56" t="str">
            <v>km</v>
          </cell>
        </row>
        <row r="57">
          <cell r="B57" t="str">
            <v>0.1.52</v>
          </cell>
          <cell r="D57" t="str">
            <v>21.02.22</v>
          </cell>
          <cell r="E57" t="str">
            <v>Locação linha expl.em região montanhosa</v>
          </cell>
          <cell r="F57" t="str">
            <v>km</v>
          </cell>
        </row>
        <row r="58">
          <cell r="B58" t="str">
            <v>0.1.53</v>
          </cell>
          <cell r="D58" t="str">
            <v>21.02.23</v>
          </cell>
          <cell r="E58" t="str">
            <v>Locação linha expl.região escarpada</v>
          </cell>
          <cell r="F58" t="str">
            <v>km</v>
          </cell>
        </row>
        <row r="59">
          <cell r="B59" t="str">
            <v>0.1.54</v>
          </cell>
          <cell r="D59" t="str">
            <v>21.02.24</v>
          </cell>
          <cell r="E59" t="str">
            <v>Locação projeto região plana</v>
          </cell>
          <cell r="F59" t="str">
            <v>km</v>
          </cell>
        </row>
        <row r="60">
          <cell r="B60" t="str">
            <v>0.1.55</v>
          </cell>
          <cell r="D60" t="str">
            <v>21.02.25</v>
          </cell>
          <cell r="E60" t="str">
            <v>Locação projeto região plana veget.densa</v>
          </cell>
          <cell r="F60" t="str">
            <v>km</v>
          </cell>
        </row>
        <row r="61">
          <cell r="B61" t="str">
            <v>0.1.56</v>
          </cell>
          <cell r="D61" t="str">
            <v>21.02.26</v>
          </cell>
          <cell r="E61" t="str">
            <v>Locação projeto reg. plana zona urbana</v>
          </cell>
          <cell r="F61" t="str">
            <v>km</v>
          </cell>
        </row>
        <row r="62">
          <cell r="B62" t="str">
            <v>0.1.57</v>
          </cell>
          <cell r="D62" t="str">
            <v>21.02.27</v>
          </cell>
          <cell r="E62" t="str">
            <v>Locação projeto reg.plana zona suburbana</v>
          </cell>
          <cell r="F62" t="str">
            <v>km</v>
          </cell>
        </row>
        <row r="63">
          <cell r="B63" t="str">
            <v>0.1.58</v>
          </cell>
          <cell r="D63" t="str">
            <v xml:space="preserve">21.02.28 </v>
          </cell>
          <cell r="E63" t="str">
            <v>Locação projeto reg.ondulada</v>
          </cell>
          <cell r="F63" t="str">
            <v>km</v>
          </cell>
        </row>
        <row r="64">
          <cell r="B64" t="str">
            <v>0.1.59</v>
          </cell>
          <cell r="D64" t="str">
            <v>21.02.29</v>
          </cell>
          <cell r="E64" t="str">
            <v>Locação projeto reg. ondulada veget.densa</v>
          </cell>
          <cell r="F64" t="str">
            <v>km</v>
          </cell>
        </row>
        <row r="65">
          <cell r="B65" t="str">
            <v>0.1.60</v>
          </cell>
          <cell r="D65" t="str">
            <v>21.02.30</v>
          </cell>
          <cell r="E65" t="str">
            <v>Locação projeto reg. ondulada zona urbana</v>
          </cell>
          <cell r="F65" t="str">
            <v>km</v>
          </cell>
        </row>
        <row r="66">
          <cell r="B66" t="str">
            <v>0.1.61</v>
          </cell>
          <cell r="D66" t="str">
            <v>21.02.31</v>
          </cell>
          <cell r="E66" t="str">
            <v>Locação projeto reg. ondulada zona suburbana</v>
          </cell>
          <cell r="F66" t="str">
            <v>km</v>
          </cell>
        </row>
        <row r="67">
          <cell r="B67" t="str">
            <v>0.1.62</v>
          </cell>
          <cell r="D67" t="str">
            <v>21.02.32</v>
          </cell>
          <cell r="E67" t="str">
            <v>Locação projeto região montanhosa</v>
          </cell>
          <cell r="F67" t="str">
            <v>km</v>
          </cell>
        </row>
        <row r="68">
          <cell r="B68" t="str">
            <v>0.1.63</v>
          </cell>
          <cell r="D68" t="str">
            <v>21.02.33</v>
          </cell>
          <cell r="E68" t="str">
            <v>Locação projeto reg. montanhosa veget.densa</v>
          </cell>
          <cell r="F68" t="str">
            <v>km</v>
          </cell>
        </row>
        <row r="69">
          <cell r="B69" t="str">
            <v>0.1.64</v>
          </cell>
          <cell r="D69" t="str">
            <v>21.02.34</v>
          </cell>
          <cell r="E69" t="str">
            <v>Locação projeto reg. montanhosa zona urbana</v>
          </cell>
          <cell r="F69" t="str">
            <v>km</v>
          </cell>
        </row>
        <row r="70">
          <cell r="B70" t="str">
            <v>0.1.65</v>
          </cell>
          <cell r="D70" t="str">
            <v>21.02.35</v>
          </cell>
          <cell r="E70" t="str">
            <v>Locação projeto reg. montanhosa zona suburbana</v>
          </cell>
          <cell r="F70" t="str">
            <v>km</v>
          </cell>
        </row>
        <row r="71">
          <cell r="B71" t="str">
            <v>0.1.66</v>
          </cell>
          <cell r="D71" t="str">
            <v>21.02.36</v>
          </cell>
          <cell r="E71" t="str">
            <v>Locação projeto região escarpada</v>
          </cell>
          <cell r="F71" t="str">
            <v>km</v>
          </cell>
        </row>
        <row r="72">
          <cell r="B72" t="str">
            <v>0.1.67</v>
          </cell>
          <cell r="D72" t="str">
            <v>21.02.37</v>
          </cell>
          <cell r="E72" t="str">
            <v>Locação projeto reg. escarpada veget. densa</v>
          </cell>
          <cell r="F72" t="str">
            <v>km</v>
          </cell>
        </row>
        <row r="73">
          <cell r="B73" t="str">
            <v>0.1.68</v>
          </cell>
          <cell r="D73" t="str">
            <v>21.02.38</v>
          </cell>
          <cell r="E73" t="str">
            <v>Locação projeto reg. escarpada z. urbana</v>
          </cell>
          <cell r="F73" t="str">
            <v>km</v>
          </cell>
        </row>
        <row r="74">
          <cell r="B74" t="str">
            <v>0.1.69</v>
          </cell>
          <cell r="D74" t="str">
            <v>21.02.39</v>
          </cell>
          <cell r="E74" t="str">
            <v>Locação projeto reg. escarpada z.suburbana</v>
          </cell>
          <cell r="F74" t="str">
            <v>km</v>
          </cell>
        </row>
        <row r="75">
          <cell r="B75" t="str">
            <v>0.1.70</v>
          </cell>
          <cell r="D75" t="str">
            <v>21.02.40</v>
          </cell>
          <cell r="E75" t="str">
            <v>Cadastro região ondulada</v>
          </cell>
          <cell r="F75" t="str">
            <v>km</v>
          </cell>
        </row>
        <row r="76">
          <cell r="B76" t="str">
            <v>0.1.71</v>
          </cell>
          <cell r="D76" t="str">
            <v>21.02.41</v>
          </cell>
          <cell r="E76" t="str">
            <v>Cadastro reg.ondulada veget.densa</v>
          </cell>
          <cell r="F76" t="str">
            <v>km</v>
          </cell>
        </row>
        <row r="77">
          <cell r="B77" t="str">
            <v>0.1.72</v>
          </cell>
          <cell r="D77" t="str">
            <v>21.02.42</v>
          </cell>
          <cell r="E77" t="str">
            <v>Cadastro reg.ondulada zona urbana</v>
          </cell>
          <cell r="F77" t="str">
            <v>km</v>
          </cell>
        </row>
        <row r="78">
          <cell r="B78" t="str">
            <v>0.1.73</v>
          </cell>
          <cell r="D78" t="str">
            <v>21.02.43</v>
          </cell>
          <cell r="E78" t="str">
            <v>Cadastro reg.ondulada zona suburbana</v>
          </cell>
          <cell r="F78" t="str">
            <v>km</v>
          </cell>
        </row>
        <row r="79">
          <cell r="B79" t="str">
            <v>0.1.74</v>
          </cell>
          <cell r="D79" t="str">
            <v>21.02.44</v>
          </cell>
          <cell r="E79" t="str">
            <v>Cadastro região montanhosa</v>
          </cell>
          <cell r="F79" t="str">
            <v>km</v>
          </cell>
        </row>
        <row r="80">
          <cell r="B80" t="str">
            <v>0.1.75</v>
          </cell>
          <cell r="D80" t="str">
            <v>21.02.45</v>
          </cell>
          <cell r="E80" t="str">
            <v>Cadastro região montanhosa veget. densa</v>
          </cell>
          <cell r="F80" t="str">
            <v>km</v>
          </cell>
        </row>
        <row r="81">
          <cell r="B81" t="str">
            <v>0.1.76</v>
          </cell>
          <cell r="D81" t="str">
            <v>21.02.46</v>
          </cell>
          <cell r="E81" t="str">
            <v>Cadastro reg. montanhosa zona urbana</v>
          </cell>
          <cell r="F81" t="str">
            <v>km</v>
          </cell>
        </row>
        <row r="82">
          <cell r="B82" t="str">
            <v>0.1.77</v>
          </cell>
          <cell r="D82" t="str">
            <v>21.02.47</v>
          </cell>
          <cell r="E82" t="str">
            <v>Cadastro região montanhosa zona suburbana</v>
          </cell>
          <cell r="F82" t="str">
            <v>km</v>
          </cell>
        </row>
        <row r="83">
          <cell r="B83" t="str">
            <v>0.1.78</v>
          </cell>
          <cell r="D83" t="str">
            <v>21.02.48</v>
          </cell>
          <cell r="E83" t="str">
            <v>Cadastro região escarpada</v>
          </cell>
          <cell r="F83" t="str">
            <v>km</v>
          </cell>
        </row>
        <row r="84">
          <cell r="B84" t="str">
            <v>0.1.79</v>
          </cell>
          <cell r="D84" t="str">
            <v>21.02.49</v>
          </cell>
          <cell r="E84" t="str">
            <v>Cadastro reg. escarpada vegetação densa</v>
          </cell>
          <cell r="F84" t="str">
            <v>km</v>
          </cell>
        </row>
        <row r="85">
          <cell r="B85" t="str">
            <v>0.1.80</v>
          </cell>
          <cell r="D85" t="str">
            <v>21.02.50</v>
          </cell>
          <cell r="E85" t="str">
            <v>Cadastro reg. escarpada zona urbana</v>
          </cell>
          <cell r="F85" t="str">
            <v>km</v>
          </cell>
        </row>
        <row r="86">
          <cell r="B86" t="str">
            <v>0.1.81</v>
          </cell>
          <cell r="D86" t="str">
            <v>21.02.51</v>
          </cell>
          <cell r="E86" t="str">
            <v>Cadastro reg. escarpada zona suburbana</v>
          </cell>
          <cell r="F86" t="str">
            <v>km</v>
          </cell>
        </row>
        <row r="87">
          <cell r="B87" t="str">
            <v>0.1.82</v>
          </cell>
          <cell r="D87" t="str">
            <v>21.02.52</v>
          </cell>
          <cell r="E87" t="str">
            <v>Lev.bat.áreas até 100000 m²</v>
          </cell>
          <cell r="F87" t="str">
            <v>m²</v>
          </cell>
        </row>
        <row r="88">
          <cell r="B88" t="str">
            <v>0.1.83</v>
          </cell>
          <cell r="D88" t="str">
            <v>21.02.53</v>
          </cell>
          <cell r="E88" t="str">
            <v>Lev.bat.áreas até 100000 m² veget.densa</v>
          </cell>
          <cell r="F88" t="str">
            <v>m²</v>
          </cell>
        </row>
        <row r="89">
          <cell r="B89" t="str">
            <v>0.1.84</v>
          </cell>
          <cell r="D89" t="str">
            <v>21.02.54</v>
          </cell>
          <cell r="E89" t="str">
            <v>Lev.bat.áreas até 100000 m² zona urbana</v>
          </cell>
          <cell r="F89" t="str">
            <v>m²</v>
          </cell>
        </row>
        <row r="90">
          <cell r="B90" t="str">
            <v>0.1.85</v>
          </cell>
          <cell r="D90" t="str">
            <v>21.02.55</v>
          </cell>
          <cell r="E90" t="str">
            <v>Lev.bat.áreas até 100000 m² z. suburbana</v>
          </cell>
          <cell r="F90" t="str">
            <v>m²</v>
          </cell>
        </row>
        <row r="91">
          <cell r="B91" t="str">
            <v>0.1.86</v>
          </cell>
          <cell r="D91" t="str">
            <v>21.02.56</v>
          </cell>
          <cell r="E91" t="str">
            <v>Lev.bat.áreas 100000 a 500000 m²</v>
          </cell>
          <cell r="F91" t="str">
            <v>m²</v>
          </cell>
        </row>
        <row r="92">
          <cell r="B92" t="str">
            <v>0.1.87</v>
          </cell>
          <cell r="D92" t="str">
            <v>21.02.57</v>
          </cell>
          <cell r="E92" t="str">
            <v>Lev.bat.áreas 100000/500000m² veg. densa</v>
          </cell>
          <cell r="F92" t="str">
            <v>m²</v>
          </cell>
        </row>
        <row r="93">
          <cell r="B93" t="str">
            <v>0.1.88</v>
          </cell>
          <cell r="D93" t="str">
            <v>21.02.58</v>
          </cell>
          <cell r="E93" t="str">
            <v>Lev.bat.áreas 100000/500000 m² z.urbana</v>
          </cell>
          <cell r="F93" t="str">
            <v>m²</v>
          </cell>
        </row>
        <row r="94">
          <cell r="B94" t="str">
            <v>0.1.89</v>
          </cell>
          <cell r="D94" t="str">
            <v>21.02.59</v>
          </cell>
          <cell r="E94" t="str">
            <v>Lev.bat.áreas 100000/500000m² z.suburbana</v>
          </cell>
          <cell r="F94" t="str">
            <v>m²</v>
          </cell>
        </row>
        <row r="95">
          <cell r="B95" t="str">
            <v>0.1.90</v>
          </cell>
          <cell r="D95" t="str">
            <v>21.02.60</v>
          </cell>
          <cell r="E95" t="str">
            <v>Lev.bat.áreas acima de 500000 m²</v>
          </cell>
          <cell r="F95" t="str">
            <v>m²</v>
          </cell>
        </row>
        <row r="96">
          <cell r="B96" t="str">
            <v>0.1.91</v>
          </cell>
          <cell r="D96" t="str">
            <v>21.02.61</v>
          </cell>
          <cell r="E96" t="str">
            <v>Lev.bat.áreas acima de 500000m² veget.densa</v>
          </cell>
          <cell r="F96" t="str">
            <v>m²</v>
          </cell>
        </row>
        <row r="97">
          <cell r="B97" t="str">
            <v>0.1.92</v>
          </cell>
          <cell r="D97" t="str">
            <v>21.02.62</v>
          </cell>
          <cell r="E97" t="str">
            <v>Lev.bat.áreas acima de 500000 m² z.urbana</v>
          </cell>
          <cell r="F97" t="str">
            <v>m²</v>
          </cell>
        </row>
        <row r="98">
          <cell r="B98" t="str">
            <v>0.1.93</v>
          </cell>
          <cell r="D98" t="str">
            <v>21.02.63</v>
          </cell>
          <cell r="E98" t="str">
            <v>Lev.bat.áreas acima de 500000 m² z. suburbana.</v>
          </cell>
          <cell r="F98" t="str">
            <v>m²</v>
          </cell>
        </row>
        <row r="99">
          <cell r="B99" t="str">
            <v>0.1.94</v>
          </cell>
          <cell r="D99" t="str">
            <v>21.02.64</v>
          </cell>
          <cell r="E99" t="str">
            <v>Lev.batimetrico</v>
          </cell>
          <cell r="F99" t="str">
            <v>km</v>
          </cell>
        </row>
        <row r="100">
          <cell r="B100" t="str">
            <v>0.1.95</v>
          </cell>
          <cell r="D100" t="str">
            <v>21.02.65</v>
          </cell>
          <cell r="E100" t="str">
            <v>Lev.Batimetrico em vegetação densa</v>
          </cell>
          <cell r="F100" t="str">
            <v>km</v>
          </cell>
        </row>
        <row r="101">
          <cell r="B101" t="str">
            <v>0.1.96</v>
          </cell>
          <cell r="D101" t="str">
            <v>21.02.66</v>
          </cell>
          <cell r="E101" t="str">
            <v>Lev.Batimetrico em zona urbana</v>
          </cell>
          <cell r="F101" t="str">
            <v>km</v>
          </cell>
        </row>
        <row r="102">
          <cell r="B102" t="str">
            <v>0.1.97</v>
          </cell>
          <cell r="D102" t="str">
            <v>21.02.67</v>
          </cell>
          <cell r="E102" t="str">
            <v>Lev.Batimetrico em zona suburbana</v>
          </cell>
          <cell r="F102" t="str">
            <v>km</v>
          </cell>
        </row>
        <row r="103">
          <cell r="B103" t="str">
            <v>0.1.98</v>
          </cell>
          <cell r="D103" t="str">
            <v>21.02.68</v>
          </cell>
          <cell r="E103" t="str">
            <v>Serv.hidrologia/drenagem reg. ondulada</v>
          </cell>
          <cell r="F103" t="str">
            <v>km</v>
          </cell>
        </row>
        <row r="104">
          <cell r="B104" t="str">
            <v>0.1.99</v>
          </cell>
          <cell r="D104" t="str">
            <v>21.02.69</v>
          </cell>
          <cell r="E104" t="str">
            <v>Serv.hidrologia/drenagem reg. montanhosa</v>
          </cell>
          <cell r="F104" t="str">
            <v>km</v>
          </cell>
        </row>
        <row r="105">
          <cell r="B105" t="str">
            <v>0.1.100</v>
          </cell>
          <cell r="D105" t="str">
            <v>21.02.70</v>
          </cell>
          <cell r="E105" t="str">
            <v>Serv.hidrologia/drenagem reg. escarpada</v>
          </cell>
          <cell r="F105" t="str">
            <v>km</v>
          </cell>
        </row>
        <row r="106">
          <cell r="B106" t="str">
            <v>0.1.101</v>
          </cell>
          <cell r="D106" t="str">
            <v>21.03.01</v>
          </cell>
          <cell r="E106" t="str">
            <v>Remoção cerca arame, incl. Transporte</v>
          </cell>
          <cell r="F106" t="str">
            <v>m</v>
          </cell>
        </row>
        <row r="107">
          <cell r="B107" t="str">
            <v>0.1.102</v>
          </cell>
          <cell r="D107" t="str">
            <v>21.03.02</v>
          </cell>
          <cell r="E107" t="str">
            <v>Remoção de defensa métalica simples</v>
          </cell>
          <cell r="F107" t="str">
            <v>m</v>
          </cell>
        </row>
        <row r="108">
          <cell r="B108" t="str">
            <v>0.1.103</v>
          </cell>
          <cell r="D108" t="str">
            <v>21.03.03</v>
          </cell>
          <cell r="E108" t="str">
            <v>Remoção de defensa metálica dupla</v>
          </cell>
          <cell r="F108" t="str">
            <v>m</v>
          </cell>
        </row>
        <row r="109">
          <cell r="B109" t="str">
            <v>0.1.104</v>
          </cell>
          <cell r="D109" t="str">
            <v>21.03.06</v>
          </cell>
          <cell r="E109" t="str">
            <v>Remoção canalização D&gt;0,60m</v>
          </cell>
          <cell r="F109" t="str">
            <v>m</v>
          </cell>
        </row>
        <row r="110">
          <cell r="B110" t="str">
            <v>0.1.105</v>
          </cell>
          <cell r="D110" t="str">
            <v>21.03.07</v>
          </cell>
          <cell r="E110" t="str">
            <v>Remoção canalização D&lt;0,60m</v>
          </cell>
          <cell r="F110" t="str">
            <v>m</v>
          </cell>
        </row>
        <row r="111">
          <cell r="B111" t="str">
            <v>0.1.106</v>
          </cell>
          <cell r="D111" t="str">
            <v>21.03.08</v>
          </cell>
          <cell r="E111" t="str">
            <v>Remoção e transporte de guia pré-moldada</v>
          </cell>
          <cell r="F111" t="str">
            <v>m</v>
          </cell>
        </row>
        <row r="112">
          <cell r="B112" t="str">
            <v>0.1.107</v>
          </cell>
          <cell r="D112" t="str">
            <v>21.03.09</v>
          </cell>
          <cell r="E112" t="str">
            <v>Remoção de estaca de eucalipto</v>
          </cell>
          <cell r="F112" t="str">
            <v>m</v>
          </cell>
        </row>
        <row r="113">
          <cell r="B113" t="str">
            <v>0.1.108</v>
          </cell>
          <cell r="D113" t="str">
            <v>21.03.10</v>
          </cell>
          <cell r="E113" t="str">
            <v>Remoção de tacha refletiva</v>
          </cell>
          <cell r="F113" t="str">
            <v>un</v>
          </cell>
        </row>
        <row r="114">
          <cell r="B114" t="str">
            <v>0.1.109</v>
          </cell>
          <cell r="D114" t="str">
            <v>21.03.11.07</v>
          </cell>
          <cell r="E114" t="str">
            <v>Remoção de pintura demarcatória de via</v>
          </cell>
          <cell r="F114" t="str">
            <v>m²</v>
          </cell>
        </row>
        <row r="115">
          <cell r="B115" t="str">
            <v>0.1.110</v>
          </cell>
          <cell r="D115" t="str">
            <v>21.04.01</v>
          </cell>
          <cell r="E115" t="str">
            <v>Cerca de arame farpado c/ 4 fios</v>
          </cell>
          <cell r="F115" t="str">
            <v>m</v>
          </cell>
        </row>
        <row r="116">
          <cell r="B116" t="str">
            <v>0.1.111</v>
          </cell>
          <cell r="D116" t="str">
            <v>21.04.02</v>
          </cell>
          <cell r="E116" t="str">
            <v>Cerca de arame farpado c/ 6 fios</v>
          </cell>
          <cell r="F116" t="str">
            <v>m</v>
          </cell>
        </row>
        <row r="117">
          <cell r="B117" t="str">
            <v>0.1.112</v>
          </cell>
          <cell r="D117" t="str">
            <v>21.04.03</v>
          </cell>
          <cell r="E117" t="str">
            <v>Cerca arame farpado por reaproveitamento</v>
          </cell>
          <cell r="F117" t="str">
            <v>m</v>
          </cell>
        </row>
        <row r="118">
          <cell r="B118" t="str">
            <v>0.1.113</v>
          </cell>
          <cell r="D118" t="str">
            <v>21.05.01</v>
          </cell>
          <cell r="E118" t="str">
            <v>Demolição de concreto Armado</v>
          </cell>
          <cell r="F118" t="str">
            <v>m³</v>
          </cell>
        </row>
        <row r="119">
          <cell r="B119" t="str">
            <v>0.1.114</v>
          </cell>
          <cell r="D119" t="str">
            <v>21.05.02</v>
          </cell>
          <cell r="E119" t="str">
            <v>Demolição de concreto simples</v>
          </cell>
          <cell r="F119" t="str">
            <v>m³</v>
          </cell>
        </row>
        <row r="120">
          <cell r="B120" t="str">
            <v>0.1.115</v>
          </cell>
          <cell r="D120" t="str">
            <v>21.05.04</v>
          </cell>
          <cell r="E120" t="str">
            <v>Demolição de Pavimento Rígido</v>
          </cell>
          <cell r="F120" t="str">
            <v>m³</v>
          </cell>
        </row>
        <row r="121">
          <cell r="B121" t="str">
            <v>0.1.116</v>
          </cell>
          <cell r="D121" t="str">
            <v>21.05.05</v>
          </cell>
          <cell r="E121" t="str">
            <v>Demolição de Edificação em Alvenaria</v>
          </cell>
          <cell r="F121" t="str">
            <v>m²</v>
          </cell>
        </row>
        <row r="122">
          <cell r="B122" t="str">
            <v>0.1.117</v>
          </cell>
          <cell r="D122" t="str">
            <v>21.05.06</v>
          </cell>
          <cell r="E122" t="str">
            <v>Demolição de Edificação em Madeira</v>
          </cell>
          <cell r="F122" t="str">
            <v>m²</v>
          </cell>
        </row>
        <row r="123">
          <cell r="B123" t="str">
            <v>0.1.118</v>
          </cell>
          <cell r="D123" t="str">
            <v>21.05.07</v>
          </cell>
          <cell r="E123" t="str">
            <v>Demolição pavi.flex, incl.transp.até 1km</v>
          </cell>
          <cell r="F123" t="str">
            <v>m³</v>
          </cell>
        </row>
        <row r="124">
          <cell r="B124" t="str">
            <v>0.1.119</v>
          </cell>
          <cell r="D124" t="str">
            <v>21.05.08</v>
          </cell>
          <cell r="E124" t="str">
            <v>Limpeza de dispositivo de drenagem</v>
          </cell>
          <cell r="F124" t="str">
            <v>m</v>
          </cell>
        </row>
        <row r="125">
          <cell r="B125" t="str">
            <v>0.1.120</v>
          </cell>
          <cell r="D125" t="str">
            <v>21.05.09</v>
          </cell>
          <cell r="E125" t="str">
            <v>Limpeza manual de terreno</v>
          </cell>
          <cell r="F125" t="str">
            <v>m²</v>
          </cell>
        </row>
        <row r="126">
          <cell r="B126" t="str">
            <v>0.1.121</v>
          </cell>
          <cell r="D126" t="str">
            <v>21.05.10</v>
          </cell>
          <cell r="E126" t="str">
            <v>Limpeza de dispositivo de drenagem para plataforma</v>
          </cell>
          <cell r="F126" t="str">
            <v>m</v>
          </cell>
        </row>
        <row r="128">
          <cell r="B128" t="str">
            <v>Cód. Colinas</v>
          </cell>
          <cell r="D128" t="str">
            <v>Código</v>
          </cell>
          <cell r="E128" t="str">
            <v>Serviços</v>
          </cell>
          <cell r="F128" t="str">
            <v>Unid.</v>
          </cell>
        </row>
        <row r="131">
          <cell r="D131" t="str">
            <v>FASE 22 - TERRAPLENAGEM</v>
          </cell>
        </row>
        <row r="132">
          <cell r="B132" t="str">
            <v>1.1.1</v>
          </cell>
          <cell r="D132" t="str">
            <v>22.01.01</v>
          </cell>
          <cell r="E132" t="str">
            <v>Limp. terreno s/destocamento de árvores</v>
          </cell>
          <cell r="F132" t="str">
            <v>m²</v>
          </cell>
        </row>
        <row r="133">
          <cell r="B133" t="str">
            <v>1.1.2</v>
          </cell>
          <cell r="D133" t="str">
            <v>22.01.02</v>
          </cell>
          <cell r="E133" t="str">
            <v>Limp. terreno c/ dest.arv.perímetro&lt;= 78cm</v>
          </cell>
          <cell r="F133" t="str">
            <v>m²</v>
          </cell>
        </row>
        <row r="134">
          <cell r="B134" t="str">
            <v>1.1.3</v>
          </cell>
          <cell r="D134" t="str">
            <v>22.01.03</v>
          </cell>
          <cell r="E134" t="str">
            <v>Limp manual terreno amont. de materiais</v>
          </cell>
          <cell r="F134" t="str">
            <v>m²</v>
          </cell>
        </row>
        <row r="135">
          <cell r="B135" t="str">
            <v>1.1.4</v>
          </cell>
          <cell r="D135" t="str">
            <v>22.01.04</v>
          </cell>
          <cell r="E135" t="str">
            <v>Derrub.dest.arv.P&gt;78</v>
          </cell>
          <cell r="F135" t="str">
            <v>un</v>
          </cell>
        </row>
        <row r="136">
          <cell r="B136" t="str">
            <v>1.1.5</v>
          </cell>
          <cell r="D136" t="str">
            <v>22.01.05</v>
          </cell>
          <cell r="E136" t="str">
            <v>Destocamento árv. com perímetro maior que 78cm</v>
          </cell>
          <cell r="F136" t="str">
            <v>un</v>
          </cell>
        </row>
        <row r="137">
          <cell r="B137" t="str">
            <v>1.1.6</v>
          </cell>
          <cell r="D137" t="str">
            <v>22.01.06</v>
          </cell>
          <cell r="E137" t="str">
            <v>Raspagem do terreno</v>
          </cell>
          <cell r="F137" t="str">
            <v>m²</v>
          </cell>
        </row>
        <row r="138">
          <cell r="B138" t="str">
            <v>1.1.7</v>
          </cell>
          <cell r="D138" t="str">
            <v>22.01.07</v>
          </cell>
          <cell r="E138" t="str">
            <v>Carga de material de limpeza de escavação</v>
          </cell>
          <cell r="F138" t="str">
            <v>m³</v>
          </cell>
        </row>
        <row r="139">
          <cell r="B139" t="str">
            <v>1.1.8</v>
          </cell>
          <cell r="D139" t="str">
            <v>22.02.01.01</v>
          </cell>
          <cell r="E139" t="str">
            <v>Escavação 1/2ª cat. trator + pá carreg.</v>
          </cell>
          <cell r="F139" t="str">
            <v>m³</v>
          </cell>
        </row>
        <row r="140">
          <cell r="B140" t="str">
            <v>1.1.9</v>
          </cell>
          <cell r="D140" t="str">
            <v>22.02.01.02</v>
          </cell>
          <cell r="E140" t="str">
            <v>Escavação 1/2ª cat. c/ motoscraper</v>
          </cell>
          <cell r="F140" t="str">
            <v>m³</v>
          </cell>
        </row>
        <row r="141">
          <cell r="B141" t="str">
            <v>1.1.10</v>
          </cell>
          <cell r="D141" t="str">
            <v>22.02.01.03</v>
          </cell>
          <cell r="E141" t="str">
            <v>Escavação 1/2ª cat. c/ escav. Hidraúlica</v>
          </cell>
          <cell r="F141" t="str">
            <v>m³</v>
          </cell>
        </row>
        <row r="142">
          <cell r="B142" t="str">
            <v>1.1.11</v>
          </cell>
          <cell r="D142" t="str">
            <v>22.02.02</v>
          </cell>
          <cell r="E142" t="str">
            <v>Escavação e carga material 2ª cat. c/ripper</v>
          </cell>
          <cell r="F142" t="str">
            <v>m³</v>
          </cell>
        </row>
        <row r="143">
          <cell r="B143" t="str">
            <v>1.1.12</v>
          </cell>
          <cell r="D143" t="str">
            <v>22.02.03</v>
          </cell>
          <cell r="E143" t="str">
            <v>Escavação carga material 2ª cat. com explosivo</v>
          </cell>
          <cell r="F143" t="str">
            <v>m³</v>
          </cell>
        </row>
        <row r="144">
          <cell r="B144" t="str">
            <v>1.1.13</v>
          </cell>
          <cell r="D144" t="str">
            <v>22.02.04</v>
          </cell>
          <cell r="E144" t="str">
            <v>Escavação e carga material de 3ª cat.</v>
          </cell>
          <cell r="F144" t="str">
            <v>m³</v>
          </cell>
        </row>
        <row r="145">
          <cell r="B145" t="str">
            <v>1.1.14</v>
          </cell>
          <cell r="D145" t="str">
            <v>22.02.05</v>
          </cell>
          <cell r="E145" t="str">
            <v>Escavação Carga solo mole sob lâmina d'agua</v>
          </cell>
          <cell r="F145" t="str">
            <v>m³</v>
          </cell>
        </row>
        <row r="146">
          <cell r="B146" t="str">
            <v>1.1.15</v>
          </cell>
          <cell r="D146" t="str">
            <v>22.02.06</v>
          </cell>
          <cell r="E146" t="str">
            <v>Carga de material limpeza</v>
          </cell>
          <cell r="F146" t="str">
            <v>m³</v>
          </cell>
        </row>
        <row r="147">
          <cell r="B147" t="str">
            <v>1.1.16</v>
          </cell>
          <cell r="D147" t="str">
            <v>22.02.07</v>
          </cell>
          <cell r="E147" t="str">
            <v>Escavação, carga e desc. Mat. Sil-arg. No corte</v>
          </cell>
          <cell r="F147" t="str">
            <v>m³</v>
          </cell>
        </row>
        <row r="148">
          <cell r="B148" t="str">
            <v>1.1.17</v>
          </cell>
          <cell r="D148" t="str">
            <v>22.02.08</v>
          </cell>
          <cell r="E148" t="str">
            <v>Aquis. Mat. Espal. Conf. Rolagem mat. Sil. Arg</v>
          </cell>
          <cell r="F148" t="str">
            <v>m³</v>
          </cell>
        </row>
        <row r="149">
          <cell r="B149" t="str">
            <v>1.1.18</v>
          </cell>
          <cell r="D149" t="str">
            <v>22.02.09</v>
          </cell>
          <cell r="E149" t="str">
            <v>Espalhamento/Regularização/Compactação/ de Material em bota-Fora</v>
          </cell>
          <cell r="F149" t="str">
            <v>m³</v>
          </cell>
        </row>
        <row r="150">
          <cell r="B150" t="str">
            <v>1.1.19</v>
          </cell>
          <cell r="D150" t="str">
            <v>22.03.01</v>
          </cell>
          <cell r="E150" t="str">
            <v xml:space="preserve">Transporte de 1ª/2ª categoria até 1 km </v>
          </cell>
          <cell r="F150" t="str">
            <v>m³xkm</v>
          </cell>
        </row>
        <row r="151">
          <cell r="B151" t="str">
            <v>1.1.20</v>
          </cell>
          <cell r="D151" t="str">
            <v>22.03.02</v>
          </cell>
          <cell r="E151" t="str">
            <v>Transporte de 1ª/2ª categoria até 2 km</v>
          </cell>
          <cell r="F151" t="str">
            <v>m³xkm</v>
          </cell>
        </row>
        <row r="152">
          <cell r="B152" t="str">
            <v>1.1.21</v>
          </cell>
          <cell r="D152" t="str">
            <v>22.03.03</v>
          </cell>
          <cell r="E152" t="str">
            <v xml:space="preserve">Transporte de 1ª/2ª categoria até 5 km </v>
          </cell>
          <cell r="F152" t="str">
            <v>m³xkm</v>
          </cell>
        </row>
        <row r="153">
          <cell r="B153" t="str">
            <v>1.1.22</v>
          </cell>
          <cell r="D153" t="str">
            <v>22.03.04</v>
          </cell>
          <cell r="E153" t="str">
            <v>Transporte de 1ª/2ª categoria até 10 km</v>
          </cell>
          <cell r="F153" t="str">
            <v>m³xkm</v>
          </cell>
        </row>
        <row r="154">
          <cell r="B154" t="str">
            <v>1.1.23</v>
          </cell>
          <cell r="D154" t="str">
            <v>22.03.05</v>
          </cell>
          <cell r="E154" t="str">
            <v>Transporte de 1ª/2ª categoria até 15 km</v>
          </cell>
          <cell r="F154" t="str">
            <v>m³xkm</v>
          </cell>
        </row>
        <row r="155">
          <cell r="B155" t="str">
            <v>1.1.24</v>
          </cell>
          <cell r="D155" t="str">
            <v>22.03.06</v>
          </cell>
          <cell r="E155" t="str">
            <v>Transporte de 1ª/2ª categoria alem 15 km</v>
          </cell>
          <cell r="F155" t="str">
            <v>m³xkm</v>
          </cell>
        </row>
        <row r="156">
          <cell r="B156" t="str">
            <v>1.1.25</v>
          </cell>
          <cell r="D156" t="str">
            <v>22.03.07</v>
          </cell>
          <cell r="E156" t="str">
            <v>Transporte de 3ª categoria até 1 km</v>
          </cell>
          <cell r="F156" t="str">
            <v>m³xkm</v>
          </cell>
        </row>
        <row r="157">
          <cell r="B157" t="str">
            <v>1.1.26</v>
          </cell>
          <cell r="D157" t="str">
            <v>22.03.08</v>
          </cell>
          <cell r="E157" t="str">
            <v xml:space="preserve">Transporte de 3ª categoria alem de 1 km </v>
          </cell>
          <cell r="F157" t="str">
            <v>m³xkm</v>
          </cell>
        </row>
        <row r="158">
          <cell r="B158" t="str">
            <v>1.1.27</v>
          </cell>
          <cell r="D158" t="str">
            <v>22.03.09</v>
          </cell>
          <cell r="E158" t="str">
            <v xml:space="preserve">Transporte de solo mole até 2 km </v>
          </cell>
          <cell r="F158" t="str">
            <v>m³xkm</v>
          </cell>
        </row>
        <row r="159">
          <cell r="B159" t="str">
            <v>1.1.28</v>
          </cell>
          <cell r="D159" t="str">
            <v>22.03.10</v>
          </cell>
          <cell r="E159" t="str">
            <v xml:space="preserve">Transporte de solo mole alem 2 km </v>
          </cell>
          <cell r="F159" t="str">
            <v>m³xkm</v>
          </cell>
        </row>
        <row r="160">
          <cell r="B160" t="str">
            <v>1.1.29</v>
          </cell>
          <cell r="D160" t="str">
            <v>22.03.11</v>
          </cell>
          <cell r="E160" t="str">
            <v>Transporte material de limpeza até 1km</v>
          </cell>
          <cell r="F160" t="str">
            <v>m³xkm</v>
          </cell>
        </row>
        <row r="161">
          <cell r="B161" t="str">
            <v>1.1.30</v>
          </cell>
          <cell r="D161" t="str">
            <v>22.03.12</v>
          </cell>
          <cell r="E161" t="str">
            <v xml:space="preserve">Transporte material de limpeza além de 1km </v>
          </cell>
          <cell r="F161" t="str">
            <v>m³xkm</v>
          </cell>
        </row>
        <row r="162">
          <cell r="B162" t="str">
            <v>1.1.31</v>
          </cell>
          <cell r="D162" t="str">
            <v>22.04.01</v>
          </cell>
          <cell r="E162" t="str">
            <v xml:space="preserve">Compactação de aterro maior/igual 95%PS </v>
          </cell>
          <cell r="F162" t="str">
            <v>m³</v>
          </cell>
        </row>
        <row r="163">
          <cell r="B163" t="str">
            <v>1.1.32</v>
          </cell>
          <cell r="D163" t="str">
            <v>22.06.01</v>
          </cell>
          <cell r="E163" t="str">
            <v>Lastro fundação de aterro c/areia lavada</v>
          </cell>
          <cell r="F163" t="str">
            <v>m³</v>
          </cell>
        </row>
        <row r="164">
          <cell r="B164" t="str">
            <v>1.1.33</v>
          </cell>
          <cell r="D164" t="str">
            <v>22.06.04</v>
          </cell>
          <cell r="E164" t="str">
            <v>Lastro fundação de aterro c/pedra rachão</v>
          </cell>
          <cell r="F164" t="str">
            <v>m³</v>
          </cell>
        </row>
        <row r="165">
          <cell r="B165" t="str">
            <v>1.1.34</v>
          </cell>
          <cell r="D165" t="str">
            <v>22.06.05</v>
          </cell>
          <cell r="E165" t="str">
            <v xml:space="preserve">Espalhamento Adensamento Material de Fund. de Aterro </v>
          </cell>
          <cell r="F165" t="str">
            <v>m³</v>
          </cell>
        </row>
        <row r="166">
          <cell r="B166" t="str">
            <v>1.1.35</v>
          </cell>
          <cell r="D166" t="str">
            <v>22.07.01</v>
          </cell>
          <cell r="E166" t="str">
            <v>Valeta de proteção manual</v>
          </cell>
          <cell r="F166" t="str">
            <v>m</v>
          </cell>
        </row>
        <row r="168">
          <cell r="B168" t="str">
            <v>Cód. Colinas</v>
          </cell>
          <cell r="D168" t="str">
            <v>Código</v>
          </cell>
          <cell r="E168" t="str">
            <v>Serviços</v>
          </cell>
          <cell r="F168" t="str">
            <v>Unid.</v>
          </cell>
        </row>
        <row r="171">
          <cell r="D171" t="str">
            <v>FASE 23 - PAVIMENTAÇÃO</v>
          </cell>
        </row>
        <row r="172">
          <cell r="B172" t="str">
            <v>3.1.1</v>
          </cell>
          <cell r="D172" t="str">
            <v>23.01.01</v>
          </cell>
          <cell r="E172" t="str">
            <v>Dem. Pav. Flex. m³ 3,95</v>
          </cell>
          <cell r="F172" t="str">
            <v>m³</v>
          </cell>
        </row>
        <row r="173">
          <cell r="B173" t="str">
            <v>3.1.2</v>
          </cell>
          <cell r="D173" t="str">
            <v>23.02.01</v>
          </cell>
          <cell r="E173" t="str">
            <v>Melhoria/preparo sub-leito - 100% PN</v>
          </cell>
          <cell r="F173" t="str">
            <v>m²</v>
          </cell>
        </row>
        <row r="174">
          <cell r="B174" t="str">
            <v>3.1.3</v>
          </cell>
          <cell r="D174" t="str">
            <v>23.02.02</v>
          </cell>
          <cell r="E174" t="str">
            <v xml:space="preserve">Melhoria/preparo sub-leito - 100% PI </v>
          </cell>
          <cell r="F174" t="str">
            <v>m²</v>
          </cell>
        </row>
        <row r="175">
          <cell r="B175" t="str">
            <v>3.1.4</v>
          </cell>
          <cell r="D175" t="str">
            <v>23.03.01</v>
          </cell>
          <cell r="E175" t="str">
            <v>Reforço sub-leito escav.solo escolhido</v>
          </cell>
          <cell r="F175" t="str">
            <v>m³</v>
          </cell>
        </row>
        <row r="176">
          <cell r="B176" t="str">
            <v>3.1.5</v>
          </cell>
          <cell r="D176" t="str">
            <v>23.03.02.01</v>
          </cell>
          <cell r="E176" t="str">
            <v xml:space="preserve">Reforço de sub-leito - transp até 01km </v>
          </cell>
          <cell r="F176" t="str">
            <v>m³xkm</v>
          </cell>
        </row>
        <row r="177">
          <cell r="B177" t="str">
            <v>3.1.6</v>
          </cell>
          <cell r="D177" t="str">
            <v>23.03.02.02</v>
          </cell>
          <cell r="E177" t="str">
            <v xml:space="preserve">Reforço de sub-leito - transp até 02km </v>
          </cell>
          <cell r="F177" t="str">
            <v>m³xkm</v>
          </cell>
        </row>
        <row r="178">
          <cell r="B178" t="str">
            <v>3.1.7</v>
          </cell>
          <cell r="D178" t="str">
            <v>23.03.02.03</v>
          </cell>
          <cell r="E178" t="str">
            <v>Reforço de sub-leito - transp até 05km</v>
          </cell>
          <cell r="F178" t="str">
            <v>m³xkm</v>
          </cell>
        </row>
        <row r="179">
          <cell r="B179" t="str">
            <v>3.1.8</v>
          </cell>
          <cell r="D179" t="str">
            <v>23.03.02.04</v>
          </cell>
          <cell r="E179" t="str">
            <v xml:space="preserve">Reforço de sub-leito - transp até 10km </v>
          </cell>
          <cell r="F179" t="str">
            <v>m³xkm</v>
          </cell>
        </row>
        <row r="180">
          <cell r="B180" t="str">
            <v>3.1.9</v>
          </cell>
          <cell r="D180" t="str">
            <v>23.03.02.05</v>
          </cell>
          <cell r="E180" t="str">
            <v>Reforço de sub-leito - transp até 15km</v>
          </cell>
          <cell r="F180" t="str">
            <v>m³xkm</v>
          </cell>
        </row>
        <row r="181">
          <cell r="B181" t="str">
            <v>3.1.10</v>
          </cell>
          <cell r="D181" t="str">
            <v>23.03.02.06</v>
          </cell>
          <cell r="E181" t="str">
            <v xml:space="preserve">Reforço de sub-leito - transp. + 15km </v>
          </cell>
          <cell r="F181" t="str">
            <v>m³xkm</v>
          </cell>
        </row>
        <row r="182">
          <cell r="B182" t="str">
            <v>3.1.11</v>
          </cell>
          <cell r="D182" t="str">
            <v>23.03.03</v>
          </cell>
          <cell r="E182" t="str">
            <v xml:space="preserve">Reforço de sub-leito compact 100% PI </v>
          </cell>
          <cell r="F182" t="str">
            <v>m³</v>
          </cell>
        </row>
        <row r="183">
          <cell r="B183" t="str">
            <v>3.1.12</v>
          </cell>
          <cell r="D183" t="str">
            <v>23.03.04</v>
          </cell>
          <cell r="E183" t="str">
            <v xml:space="preserve">Reforço de sub-leito compact 100% PN </v>
          </cell>
          <cell r="F183" t="str">
            <v>m³</v>
          </cell>
        </row>
        <row r="184">
          <cell r="B184" t="str">
            <v>3.1.13</v>
          </cell>
          <cell r="D184" t="str">
            <v>23.04.01.01.26</v>
          </cell>
          <cell r="E184" t="str">
            <v>Sub-base ou base solo cim 3% - Usina</v>
          </cell>
          <cell r="F184" t="str">
            <v>m³</v>
          </cell>
        </row>
        <row r="185">
          <cell r="B185" t="str">
            <v>3.1.14</v>
          </cell>
          <cell r="D185" t="str">
            <v>23.04.01.02</v>
          </cell>
          <cell r="E185" t="str">
            <v>Sub-base ou base solo cim 4% - Usina</v>
          </cell>
          <cell r="F185" t="str">
            <v>m³</v>
          </cell>
        </row>
        <row r="186">
          <cell r="B186" t="str">
            <v>3.1.15</v>
          </cell>
          <cell r="D186" t="str">
            <v>23.04.01.03</v>
          </cell>
          <cell r="E186" t="str">
            <v>Sub-base ou base solo cim 5% - Usina</v>
          </cell>
          <cell r="F186" t="str">
            <v>m³</v>
          </cell>
        </row>
        <row r="187">
          <cell r="B187" t="str">
            <v>3.1.16</v>
          </cell>
          <cell r="D187" t="str">
            <v>23.04.01.04</v>
          </cell>
          <cell r="E187" t="str">
            <v>Sub-base ou base solo cim 6% - Usina</v>
          </cell>
          <cell r="F187" t="str">
            <v>m³</v>
          </cell>
        </row>
        <row r="188">
          <cell r="B188" t="str">
            <v>3.1.17</v>
          </cell>
          <cell r="D188" t="str">
            <v>23.04.01.05</v>
          </cell>
          <cell r="E188" t="str">
            <v>Sub-base ou base solo cim 7% - Usina</v>
          </cell>
          <cell r="F188" t="str">
            <v>m³</v>
          </cell>
        </row>
        <row r="189">
          <cell r="B189" t="str">
            <v>3.1.18</v>
          </cell>
          <cell r="D189" t="str">
            <v>23.04.01.06</v>
          </cell>
          <cell r="E189" t="str">
            <v>Sub-base ou base solo cim 8% - Usina</v>
          </cell>
          <cell r="F189" t="str">
            <v>m³</v>
          </cell>
        </row>
        <row r="190">
          <cell r="B190" t="str">
            <v>3.1.19</v>
          </cell>
          <cell r="D190" t="str">
            <v>23.04.01.07</v>
          </cell>
          <cell r="E190" t="str">
            <v>Sub-base ou base solo cim 9% - Usina</v>
          </cell>
          <cell r="F190" t="str">
            <v>m³</v>
          </cell>
        </row>
        <row r="191">
          <cell r="B191" t="str">
            <v>3.1.20</v>
          </cell>
          <cell r="D191" t="str">
            <v>23.04.01.08</v>
          </cell>
          <cell r="E191" t="str">
            <v>Sub-base ou base solo cim 10% - Usina</v>
          </cell>
          <cell r="F191" t="str">
            <v>m³</v>
          </cell>
        </row>
        <row r="192">
          <cell r="B192" t="str">
            <v>3.1.21</v>
          </cell>
          <cell r="D192" t="str">
            <v>23.04.01.09</v>
          </cell>
          <cell r="E192" t="str">
            <v>Sub-base ou base solo cim 11% - Usina</v>
          </cell>
          <cell r="F192" t="str">
            <v>m³</v>
          </cell>
        </row>
        <row r="193">
          <cell r="B193" t="str">
            <v>3.1.22</v>
          </cell>
          <cell r="D193" t="str">
            <v>23.04.01.10</v>
          </cell>
          <cell r="E193" t="str">
            <v>Sub-base ou base solo cim 12% - Usina</v>
          </cell>
          <cell r="F193" t="str">
            <v>m³</v>
          </cell>
        </row>
        <row r="194">
          <cell r="B194" t="str">
            <v>3.1.23</v>
          </cell>
          <cell r="D194" t="str">
            <v>23.04.01.11</v>
          </cell>
          <cell r="E194" t="str">
            <v>Sub-base ou base solo cim 3% - Pulv.</v>
          </cell>
          <cell r="F194" t="str">
            <v>m³</v>
          </cell>
        </row>
        <row r="195">
          <cell r="B195" t="str">
            <v>3.1.24</v>
          </cell>
          <cell r="D195" t="str">
            <v>23.04.01.12</v>
          </cell>
          <cell r="E195" t="str">
            <v>Sub-base ou base solo cim 4% - Pulv.</v>
          </cell>
          <cell r="F195" t="str">
            <v>m³</v>
          </cell>
        </row>
        <row r="196">
          <cell r="B196" t="str">
            <v>3.1.25</v>
          </cell>
          <cell r="D196" t="str">
            <v>23.04.01.13</v>
          </cell>
          <cell r="E196" t="str">
            <v xml:space="preserve">Sub-base ou base solo cim 5% - Pulv. </v>
          </cell>
          <cell r="F196" t="str">
            <v>m³</v>
          </cell>
        </row>
        <row r="197">
          <cell r="B197" t="str">
            <v>3.1.26</v>
          </cell>
          <cell r="D197" t="str">
            <v>23.04.01.14</v>
          </cell>
          <cell r="E197" t="str">
            <v>Sub-base ou base solo cim 6% - Pulv.</v>
          </cell>
          <cell r="F197" t="str">
            <v>m³</v>
          </cell>
        </row>
        <row r="198">
          <cell r="B198" t="str">
            <v>3.1.27</v>
          </cell>
          <cell r="D198" t="str">
            <v>23.04.01.15</v>
          </cell>
          <cell r="E198" t="str">
            <v xml:space="preserve">Sub-base ou base solo cim 7% - Pulv. </v>
          </cell>
          <cell r="F198" t="str">
            <v>m³</v>
          </cell>
        </row>
        <row r="199">
          <cell r="B199" t="str">
            <v>3.1.28</v>
          </cell>
          <cell r="D199" t="str">
            <v>23.04.01.16</v>
          </cell>
          <cell r="E199" t="str">
            <v xml:space="preserve">Sub-base ou base solo cim 8% - Pulv. </v>
          </cell>
          <cell r="F199" t="str">
            <v>m³</v>
          </cell>
        </row>
        <row r="200">
          <cell r="B200" t="str">
            <v>3.1.29</v>
          </cell>
          <cell r="D200" t="str">
            <v>23.04.01.17</v>
          </cell>
          <cell r="E200" t="str">
            <v xml:space="preserve">Sub-base ou base solo cim 9% - Pulv. </v>
          </cell>
          <cell r="F200" t="str">
            <v>m³</v>
          </cell>
        </row>
        <row r="201">
          <cell r="B201" t="str">
            <v>3.1.30</v>
          </cell>
          <cell r="D201" t="str">
            <v>23.04.01.18</v>
          </cell>
          <cell r="E201" t="str">
            <v xml:space="preserve">Sub-base ou base solo cim 10% - Pulv. </v>
          </cell>
          <cell r="F201" t="str">
            <v>m³</v>
          </cell>
        </row>
        <row r="202">
          <cell r="B202" t="str">
            <v>3.1.31</v>
          </cell>
          <cell r="D202" t="str">
            <v>23.04.01.19</v>
          </cell>
          <cell r="E202" t="str">
            <v xml:space="preserve">Sub-base ou base solo cim 11% - Pulv. </v>
          </cell>
          <cell r="F202" t="str">
            <v>m³</v>
          </cell>
        </row>
        <row r="203">
          <cell r="B203" t="str">
            <v>3.1.32</v>
          </cell>
          <cell r="D203" t="str">
            <v>23.04.01.20</v>
          </cell>
          <cell r="E203" t="str">
            <v xml:space="preserve">Sub-base ou base solo cim 12% - Pulv. </v>
          </cell>
          <cell r="F203" t="str">
            <v>m³</v>
          </cell>
        </row>
        <row r="204">
          <cell r="B204" t="str">
            <v>3.1.33</v>
          </cell>
          <cell r="D204" t="str">
            <v>23.04.02.01</v>
          </cell>
          <cell r="E204" t="str">
            <v xml:space="preserve">Sub-base ou base solo brita c/ cim.3% </v>
          </cell>
          <cell r="F204" t="str">
            <v>m³</v>
          </cell>
        </row>
        <row r="205">
          <cell r="B205" t="str">
            <v>3.1.34</v>
          </cell>
          <cell r="D205" t="str">
            <v>23.04.02.02</v>
          </cell>
          <cell r="E205" t="str">
            <v xml:space="preserve">Sub-base ou base solo brita c/ cim.4% </v>
          </cell>
          <cell r="F205" t="str">
            <v>m³</v>
          </cell>
        </row>
        <row r="206">
          <cell r="B206" t="str">
            <v>3.1.35</v>
          </cell>
          <cell r="D206" t="str">
            <v>23.04.02.03</v>
          </cell>
          <cell r="E206" t="str">
            <v xml:space="preserve">Sub-base ou base solo brita c/ cim.5% </v>
          </cell>
          <cell r="F206" t="str">
            <v>m³</v>
          </cell>
        </row>
        <row r="207">
          <cell r="B207" t="str">
            <v>3.1.36</v>
          </cell>
          <cell r="D207" t="str">
            <v>23.04.02.04</v>
          </cell>
          <cell r="E207" t="str">
            <v xml:space="preserve">Sub-base ou base solo brita c/ cim.6% </v>
          </cell>
          <cell r="F207" t="str">
            <v>m³</v>
          </cell>
        </row>
        <row r="208">
          <cell r="B208" t="str">
            <v>3.1.37</v>
          </cell>
          <cell r="D208" t="str">
            <v>23.04.02.05</v>
          </cell>
          <cell r="E208" t="str">
            <v xml:space="preserve">Sub-base ou base de solo brita 50% brita </v>
          </cell>
          <cell r="F208" t="str">
            <v>m³</v>
          </cell>
        </row>
        <row r="209">
          <cell r="B209" t="str">
            <v>3.1.38</v>
          </cell>
          <cell r="D209" t="str">
            <v>23.04.02.07</v>
          </cell>
          <cell r="E209" t="str">
            <v>Sub-base ou base de solo brita 60% brita</v>
          </cell>
          <cell r="F209" t="str">
            <v>m³</v>
          </cell>
        </row>
        <row r="210">
          <cell r="B210" t="str">
            <v>3.1.39</v>
          </cell>
          <cell r="D210" t="str">
            <v>23.04.02.09</v>
          </cell>
          <cell r="E210" t="str">
            <v>Sub-base ou base de solo brita 70% brita</v>
          </cell>
          <cell r="F210" t="str">
            <v>m³</v>
          </cell>
        </row>
        <row r="211">
          <cell r="B211" t="str">
            <v>3.1.40</v>
          </cell>
          <cell r="D211" t="str">
            <v>23.04.02.11</v>
          </cell>
          <cell r="E211" t="str">
            <v xml:space="preserve">Sub-base ou base de solo brita 80% brita </v>
          </cell>
          <cell r="F211" t="str">
            <v>m³</v>
          </cell>
        </row>
        <row r="212">
          <cell r="B212" t="str">
            <v>3.1.41</v>
          </cell>
          <cell r="D212" t="str">
            <v>23.04.02.13</v>
          </cell>
          <cell r="E212" t="str">
            <v>Sub-base ou base de solo brita 90% brita</v>
          </cell>
          <cell r="F212" t="str">
            <v>m³</v>
          </cell>
        </row>
        <row r="213">
          <cell r="B213" t="str">
            <v>3.1.42</v>
          </cell>
          <cell r="D213" t="str">
            <v>23.04.03.01</v>
          </cell>
          <cell r="E213" t="str">
            <v xml:space="preserve">Sub-base ou base brita grad. simples </v>
          </cell>
          <cell r="F213" t="str">
            <v>m³</v>
          </cell>
        </row>
        <row r="214">
          <cell r="B214" t="str">
            <v>3.1.43</v>
          </cell>
          <cell r="D214" t="str">
            <v>23.04.03.02</v>
          </cell>
          <cell r="E214" t="str">
            <v>Sub-base ou base de Pedra Britada</v>
          </cell>
          <cell r="F214" t="str">
            <v>m³</v>
          </cell>
        </row>
        <row r="215">
          <cell r="B215" t="str">
            <v>3.1.44</v>
          </cell>
          <cell r="D215" t="str">
            <v>23.04.03.03</v>
          </cell>
          <cell r="E215" t="str">
            <v>Sub-base ou base de Bica Corrida</v>
          </cell>
          <cell r="F215" t="str">
            <v>m³</v>
          </cell>
        </row>
        <row r="216">
          <cell r="B216" t="str">
            <v>3.1.45</v>
          </cell>
          <cell r="D216" t="str">
            <v>23.04.03.04</v>
          </cell>
          <cell r="E216" t="str">
            <v>Sub-base ou base de Pedra Rachão, Conf. ET-POO/042 (DERSA)</v>
          </cell>
          <cell r="F216" t="str">
            <v>m³</v>
          </cell>
        </row>
        <row r="217">
          <cell r="B217" t="str">
            <v>3.1.46</v>
          </cell>
          <cell r="D217" t="str">
            <v>23.04.04.01</v>
          </cell>
          <cell r="E217" t="str">
            <v>Sub-base/base brita grad.c/ cim 1% vol.</v>
          </cell>
          <cell r="F217" t="str">
            <v>m³</v>
          </cell>
        </row>
        <row r="218">
          <cell r="B218" t="str">
            <v>3.1.47</v>
          </cell>
          <cell r="D218" t="str">
            <v>23.04.04.02</v>
          </cell>
          <cell r="E218" t="str">
            <v xml:space="preserve">Sub-base/base brita grad.c/cim 2% vol. </v>
          </cell>
          <cell r="F218" t="str">
            <v>m³</v>
          </cell>
        </row>
        <row r="219">
          <cell r="B219" t="str">
            <v>3.1.48</v>
          </cell>
          <cell r="D219" t="str">
            <v>23.04.04.03</v>
          </cell>
          <cell r="E219" t="str">
            <v xml:space="preserve">Sub-base/base brita grad.c/cim 3% vol. </v>
          </cell>
          <cell r="F219" t="str">
            <v>m³</v>
          </cell>
        </row>
        <row r="220">
          <cell r="B220" t="str">
            <v>3.1.49</v>
          </cell>
          <cell r="D220" t="str">
            <v>23.04.04.04</v>
          </cell>
          <cell r="E220" t="str">
            <v xml:space="preserve">Sub-base/base brita grad.c/cim 4% vol. </v>
          </cell>
          <cell r="F220" t="str">
            <v>m³</v>
          </cell>
        </row>
        <row r="221">
          <cell r="B221" t="str">
            <v>3.1.50</v>
          </cell>
          <cell r="D221" t="str">
            <v>23.04.05.01</v>
          </cell>
          <cell r="E221" t="str">
            <v>Sub-base/base solo estabiliz. Granulometr.</v>
          </cell>
          <cell r="F221" t="str">
            <v>m³</v>
          </cell>
        </row>
        <row r="222">
          <cell r="B222" t="str">
            <v>3.1.51</v>
          </cell>
          <cell r="D222" t="str">
            <v>23.04.06.01</v>
          </cell>
          <cell r="E222" t="str">
            <v>Sub-base/base macadame hidraúlico</v>
          </cell>
          <cell r="F222" t="str">
            <v>m³</v>
          </cell>
        </row>
        <row r="223">
          <cell r="B223" t="str">
            <v>3.1.52</v>
          </cell>
          <cell r="D223" t="str">
            <v>23.04.06.02</v>
          </cell>
          <cell r="E223" t="str">
            <v>Sub-base/base macadame betum.</v>
          </cell>
          <cell r="F223" t="str">
            <v>m³</v>
          </cell>
        </row>
        <row r="224">
          <cell r="B224" t="str">
            <v>3.1.53</v>
          </cell>
          <cell r="D224" t="str">
            <v>23.04.07.01</v>
          </cell>
          <cell r="E224" t="str">
            <v xml:space="preserve">Sub-base/base solo aren. fino 95%PI </v>
          </cell>
          <cell r="F224" t="str">
            <v>m³</v>
          </cell>
        </row>
        <row r="225">
          <cell r="B225" t="str">
            <v>3.1.54</v>
          </cell>
          <cell r="D225" t="str">
            <v>23.04.07.03</v>
          </cell>
          <cell r="E225" t="str">
            <v xml:space="preserve">Sub-base/base solo estabiliz. quimic. </v>
          </cell>
          <cell r="F225" t="str">
            <v>m³</v>
          </cell>
        </row>
        <row r="226">
          <cell r="B226" t="str">
            <v>3.1.55</v>
          </cell>
          <cell r="D226" t="str">
            <v>23.05.01</v>
          </cell>
          <cell r="E226" t="str">
            <v xml:space="preserve">Imprimadura bet. impermeabilizante </v>
          </cell>
          <cell r="F226" t="str">
            <v>m²</v>
          </cell>
        </row>
        <row r="227">
          <cell r="B227" t="str">
            <v>3.1.56</v>
          </cell>
          <cell r="D227" t="str">
            <v>23.05.02</v>
          </cell>
          <cell r="E227" t="str">
            <v xml:space="preserve">Imprimadura betuminosa ligante </v>
          </cell>
          <cell r="F227" t="str">
            <v>m²</v>
          </cell>
        </row>
        <row r="228">
          <cell r="B228" t="str">
            <v>3.1.57</v>
          </cell>
          <cell r="D228" t="str">
            <v>23.05.03</v>
          </cell>
          <cell r="E228" t="str">
            <v xml:space="preserve">Imprimadura bet. auxiliar de ligação </v>
          </cell>
          <cell r="F228" t="str">
            <v>m²</v>
          </cell>
        </row>
        <row r="229">
          <cell r="B229" t="str">
            <v>3.1.58</v>
          </cell>
          <cell r="D229" t="str">
            <v>23.05.04</v>
          </cell>
          <cell r="E229" t="str">
            <v>Imprimadura betuminosa ligante modif. Polimero</v>
          </cell>
          <cell r="F229" t="str">
            <v>m²</v>
          </cell>
        </row>
        <row r="230">
          <cell r="B230" t="str">
            <v>3.1.59</v>
          </cell>
          <cell r="D230" t="str">
            <v>23.06.01</v>
          </cell>
          <cell r="E230" t="str">
            <v xml:space="preserve">Tratamento superficial simples </v>
          </cell>
          <cell r="F230" t="str">
            <v>m²</v>
          </cell>
        </row>
        <row r="231">
          <cell r="B231" t="str">
            <v>3.1.60</v>
          </cell>
          <cell r="D231" t="str">
            <v>23.06.02</v>
          </cell>
          <cell r="E231" t="str">
            <v xml:space="preserve">Tratamento superficial duplo </v>
          </cell>
          <cell r="F231" t="str">
            <v>m³</v>
          </cell>
        </row>
        <row r="232">
          <cell r="B232" t="str">
            <v>3.1.61</v>
          </cell>
          <cell r="D232" t="str">
            <v>23.06.03</v>
          </cell>
          <cell r="E232" t="str">
            <v xml:space="preserve">Tratamento superficial triplo </v>
          </cell>
          <cell r="F232" t="str">
            <v>m³</v>
          </cell>
        </row>
        <row r="233">
          <cell r="B233" t="str">
            <v>3.1.62</v>
          </cell>
          <cell r="D233" t="str">
            <v>23.06.04</v>
          </cell>
          <cell r="E233" t="str">
            <v>Micro Pavimento c/ Polimero Com Fibra</v>
          </cell>
          <cell r="F233" t="str">
            <v>m²</v>
          </cell>
        </row>
        <row r="234">
          <cell r="B234" t="str">
            <v>3.1.63</v>
          </cell>
          <cell r="D234" t="str">
            <v>23.06.04.01</v>
          </cell>
          <cell r="E234" t="str">
            <v>Micro Pavimento c/ Polimero Sem Fibra</v>
          </cell>
          <cell r="F234" t="str">
            <v>m²</v>
          </cell>
        </row>
        <row r="235">
          <cell r="B235" t="str">
            <v>3.1.64</v>
          </cell>
          <cell r="D235" t="str">
            <v>23.06.05</v>
          </cell>
          <cell r="E235" t="str">
            <v xml:space="preserve">Tratamento superf. c/ lama asfáltica </v>
          </cell>
          <cell r="F235" t="str">
            <v>m²</v>
          </cell>
        </row>
        <row r="236">
          <cell r="B236" t="str">
            <v>3.1.65</v>
          </cell>
          <cell r="D236" t="str">
            <v>23.06.06</v>
          </cell>
          <cell r="E236" t="str">
            <v xml:space="preserve">Tratamento sup.cam. lama asfáltica grossa </v>
          </cell>
          <cell r="F236" t="str">
            <v>m²</v>
          </cell>
        </row>
        <row r="237">
          <cell r="B237" t="str">
            <v>3.1.66</v>
          </cell>
          <cell r="D237" t="str">
            <v>23.06.07</v>
          </cell>
          <cell r="E237" t="str">
            <v xml:space="preserve">Tratamento superf. simples modif. p/polimero </v>
          </cell>
          <cell r="F237" t="str">
            <v>m²</v>
          </cell>
        </row>
        <row r="238">
          <cell r="B238" t="str">
            <v>3.1.67</v>
          </cell>
          <cell r="D238" t="str">
            <v>23.06.08</v>
          </cell>
          <cell r="E238" t="str">
            <v xml:space="preserve">Tratamento superf. duplo modif. p/polimero </v>
          </cell>
          <cell r="F238" t="str">
            <v>m³</v>
          </cell>
        </row>
        <row r="239">
          <cell r="B239" t="str">
            <v>3.1.68</v>
          </cell>
          <cell r="D239" t="str">
            <v>23.06.09</v>
          </cell>
          <cell r="E239" t="str">
            <v xml:space="preserve">Tratamento superf. triplo modif. p/polimero </v>
          </cell>
          <cell r="F239" t="str">
            <v>m³</v>
          </cell>
        </row>
        <row r="240">
          <cell r="B240" t="str">
            <v>3.1.69</v>
          </cell>
          <cell r="D240" t="str">
            <v>23.07.01</v>
          </cell>
          <cell r="E240" t="str">
            <v xml:space="preserve">Camada Base Pré-misturado a frio </v>
          </cell>
          <cell r="F240" t="str">
            <v>m³</v>
          </cell>
        </row>
        <row r="241">
          <cell r="B241" t="str">
            <v>3.1.70</v>
          </cell>
          <cell r="D241" t="str">
            <v>23.08.01.01</v>
          </cell>
          <cell r="E241" t="str">
            <v xml:space="preserve">Conc. asf. us.quente - Binder grad. A s/DOP </v>
          </cell>
          <cell r="F241" t="str">
            <v>m³</v>
          </cell>
        </row>
        <row r="242">
          <cell r="B242" t="str">
            <v>3.1.71</v>
          </cell>
          <cell r="D242" t="str">
            <v>23.08.02</v>
          </cell>
          <cell r="E242" t="str">
            <v xml:space="preserve">Conc. asf. us.quente - Binder grad. B c/DOP </v>
          </cell>
          <cell r="F242" t="str">
            <v>m³</v>
          </cell>
        </row>
        <row r="243">
          <cell r="B243" t="str">
            <v>3.1.72</v>
          </cell>
          <cell r="D243" t="str">
            <v>23.08.02.01</v>
          </cell>
          <cell r="E243" t="str">
            <v xml:space="preserve">Conc. asf. us.quente - Binder grad. B s/DOP </v>
          </cell>
          <cell r="F243" t="str">
            <v>m³</v>
          </cell>
        </row>
        <row r="244">
          <cell r="B244" t="str">
            <v>3.1.73</v>
          </cell>
          <cell r="D244" t="str">
            <v>23.08.03.01</v>
          </cell>
          <cell r="E244" t="str">
            <v xml:space="preserve">Camada Rolante -CBUQ Graduação - "C" s/DOP </v>
          </cell>
          <cell r="F244" t="str">
            <v>m³</v>
          </cell>
        </row>
        <row r="245">
          <cell r="B245" t="str">
            <v>3.1.74</v>
          </cell>
          <cell r="D245" t="str">
            <v>23.08.03.03</v>
          </cell>
          <cell r="E245" t="str">
            <v xml:space="preserve">Camada Rolante -CBUQ Graduação - "C" c/DOP </v>
          </cell>
          <cell r="F245" t="str">
            <v>m³</v>
          </cell>
        </row>
        <row r="246">
          <cell r="B246" t="str">
            <v>3.1.75</v>
          </cell>
          <cell r="D246" t="str">
            <v>23.08.06</v>
          </cell>
          <cell r="E246" t="str">
            <v>Conc. asfaltico modificado / 15% em peso de Borracha ( CONTINUO)</v>
          </cell>
          <cell r="F246" t="str">
            <v>m³</v>
          </cell>
        </row>
        <row r="247">
          <cell r="B247" t="str">
            <v>3.1.76</v>
          </cell>
          <cell r="D247" t="str">
            <v>23.09.01</v>
          </cell>
          <cell r="E247" t="str">
            <v>Capa selante tipo 2</v>
          </cell>
          <cell r="F247" t="str">
            <v>m²</v>
          </cell>
        </row>
        <row r="248">
          <cell r="B248" t="str">
            <v>3.1.77</v>
          </cell>
          <cell r="D248" t="str">
            <v>23.09.02</v>
          </cell>
          <cell r="E248" t="str">
            <v xml:space="preserve">Capa selante tipo 3 </v>
          </cell>
          <cell r="F248" t="str">
            <v>m²</v>
          </cell>
        </row>
        <row r="249">
          <cell r="B249" t="str">
            <v>3.1.78</v>
          </cell>
          <cell r="D249" t="str">
            <v>23.10.01</v>
          </cell>
          <cell r="E249" t="str">
            <v xml:space="preserve">Fresagem de pav., indep. espessura </v>
          </cell>
          <cell r="F249" t="str">
            <v>m³</v>
          </cell>
        </row>
        <row r="250">
          <cell r="B250" t="str">
            <v>3.1.79</v>
          </cell>
          <cell r="D250" t="str">
            <v>23.11.01</v>
          </cell>
          <cell r="E250" t="str">
            <v>Pavimento de conc. pobre rolado</v>
          </cell>
          <cell r="F250" t="str">
            <v>m³</v>
          </cell>
        </row>
        <row r="251">
          <cell r="B251" t="str">
            <v>3.1.80</v>
          </cell>
          <cell r="D251" t="str">
            <v>23.11.03</v>
          </cell>
          <cell r="E251" t="str">
            <v xml:space="preserve">Pavimento de conc. Mecanico </v>
          </cell>
          <cell r="F251" t="str">
            <v>m³</v>
          </cell>
        </row>
        <row r="252">
          <cell r="B252" t="str">
            <v>3.1.81</v>
          </cell>
          <cell r="D252" t="str">
            <v>23.12.01</v>
          </cell>
          <cell r="E252" t="str">
            <v xml:space="preserve">Pavimento conc intertr. 6 cm </v>
          </cell>
          <cell r="F252" t="str">
            <v>m²</v>
          </cell>
        </row>
        <row r="253">
          <cell r="B253" t="str">
            <v>3.1.82</v>
          </cell>
          <cell r="D253" t="str">
            <v>23.12.02</v>
          </cell>
          <cell r="E253" t="str">
            <v xml:space="preserve">Pavimento conc intertr. 8 cm </v>
          </cell>
          <cell r="F253" t="str">
            <v>m²</v>
          </cell>
        </row>
        <row r="254">
          <cell r="B254" t="str">
            <v>3.1.83</v>
          </cell>
          <cell r="D254" t="str">
            <v>23.12.03</v>
          </cell>
          <cell r="E254" t="str">
            <v>Pavimento conc intertr. 10 cm</v>
          </cell>
          <cell r="F254" t="str">
            <v>m²</v>
          </cell>
        </row>
        <row r="256">
          <cell r="B256" t="str">
            <v>Cód. Colinas</v>
          </cell>
          <cell r="D256" t="str">
            <v>Código</v>
          </cell>
          <cell r="E256" t="str">
            <v>Serviços</v>
          </cell>
          <cell r="F256" t="str">
            <v>Unid.</v>
          </cell>
        </row>
        <row r="259">
          <cell r="D259" t="str">
            <v>FASE 24 - OBRAS DE ARTE CORRENTE E DRENAGEM</v>
          </cell>
        </row>
        <row r="260">
          <cell r="B260" t="str">
            <v>4.1.1</v>
          </cell>
          <cell r="D260" t="str">
            <v>24.01.01</v>
          </cell>
          <cell r="E260" t="str">
            <v xml:space="preserve">Aterro de acesso </v>
          </cell>
          <cell r="F260" t="str">
            <v>m³</v>
          </cell>
        </row>
        <row r="261">
          <cell r="B261" t="str">
            <v>4.1.2</v>
          </cell>
          <cell r="D261" t="str">
            <v>24.02.01</v>
          </cell>
          <cell r="E261" t="str">
            <v xml:space="preserve">Escavação manual para obras sem explosivos </v>
          </cell>
          <cell r="F261" t="str">
            <v>m³</v>
          </cell>
        </row>
        <row r="262">
          <cell r="B262" t="str">
            <v>4.1.3</v>
          </cell>
          <cell r="D262" t="str">
            <v>24.02.02</v>
          </cell>
          <cell r="E262" t="str">
            <v xml:space="preserve">Escavação mecânica para obras sem explosivos </v>
          </cell>
          <cell r="F262" t="str">
            <v>m³</v>
          </cell>
        </row>
        <row r="263">
          <cell r="B263" t="str">
            <v>4.1.4</v>
          </cell>
          <cell r="D263" t="str">
            <v>24.02.03</v>
          </cell>
          <cell r="E263" t="str">
            <v xml:space="preserve">Escavação mecânica para obras com explosivo </v>
          </cell>
          <cell r="F263" t="str">
            <v>m³</v>
          </cell>
        </row>
        <row r="264">
          <cell r="B264" t="str">
            <v>4.1.5</v>
          </cell>
          <cell r="D264" t="str">
            <v>24.02.04</v>
          </cell>
          <cell r="E264" t="str">
            <v xml:space="preserve">Escavação corta-rio sem explosivo </v>
          </cell>
          <cell r="F264" t="str">
            <v>m³</v>
          </cell>
        </row>
        <row r="265">
          <cell r="B265" t="str">
            <v>4.1.6</v>
          </cell>
          <cell r="D265" t="str">
            <v>24.02.05</v>
          </cell>
          <cell r="E265" t="str">
            <v xml:space="preserve">Escavação corta-rio com explosivo </v>
          </cell>
          <cell r="F265" t="str">
            <v>m³</v>
          </cell>
        </row>
        <row r="266">
          <cell r="B266" t="str">
            <v>4.1.7</v>
          </cell>
          <cell r="D266" t="str">
            <v>24.02.08</v>
          </cell>
          <cell r="E266" t="str">
            <v xml:space="preserve">Escavação fund., bueiro ou dreno sem expl. até 2 m </v>
          </cell>
          <cell r="F266" t="str">
            <v>m³</v>
          </cell>
        </row>
        <row r="267">
          <cell r="B267" t="str">
            <v>4.1.8</v>
          </cell>
          <cell r="D267" t="str">
            <v xml:space="preserve">24.02.09 </v>
          </cell>
          <cell r="E267" t="str">
            <v xml:space="preserve">Acresc. p/Escav. 1,5 m profundidade, além 2m </v>
          </cell>
          <cell r="F267" t="str">
            <v>m³</v>
          </cell>
        </row>
        <row r="268">
          <cell r="B268" t="str">
            <v>4.1.9</v>
          </cell>
          <cell r="D268" t="str">
            <v>24.02.10</v>
          </cell>
          <cell r="E268" t="str">
            <v xml:space="preserve">Escavação fund., bueiro ou dreno c/expl. até 2 m </v>
          </cell>
          <cell r="F268" t="str">
            <v>m³</v>
          </cell>
        </row>
        <row r="269">
          <cell r="B269" t="str">
            <v>4.1.10</v>
          </cell>
          <cell r="D269" t="str">
            <v>24.02.11</v>
          </cell>
          <cell r="E269" t="str">
            <v xml:space="preserve">Acresc.esc. ensec.explos.c/ 1,5m prof. além 2m </v>
          </cell>
          <cell r="F269" t="str">
            <v>m³</v>
          </cell>
        </row>
        <row r="270">
          <cell r="B270" t="str">
            <v>4.1.11</v>
          </cell>
          <cell r="D270" t="str">
            <v>24.02.12</v>
          </cell>
          <cell r="E270" t="str">
            <v xml:space="preserve">Escavação fund. dentro ensec. sem expl. até 3m </v>
          </cell>
          <cell r="F270" t="str">
            <v>m³</v>
          </cell>
        </row>
        <row r="271">
          <cell r="B271" t="str">
            <v>4.1.12</v>
          </cell>
          <cell r="D271" t="str">
            <v>24.02.13</v>
          </cell>
          <cell r="E271" t="str">
            <v xml:space="preserve">Acresc. p/escav. ensec. p/cada 1m prof. além 3m </v>
          </cell>
          <cell r="F271" t="str">
            <v>m³</v>
          </cell>
        </row>
        <row r="272">
          <cell r="B272" t="str">
            <v>4.1.13</v>
          </cell>
          <cell r="D272" t="str">
            <v>24.02.14</v>
          </cell>
          <cell r="E272" t="str">
            <v xml:space="preserve">Escavação fund. dentro ensec. com expl. até 3 m </v>
          </cell>
          <cell r="F272" t="str">
            <v>m³</v>
          </cell>
        </row>
        <row r="273">
          <cell r="B273" t="str">
            <v>4.1.14</v>
          </cell>
          <cell r="D273" t="str">
            <v>24.02.15</v>
          </cell>
          <cell r="E273" t="str">
            <v>Acresc. p/escav. ensec.c/explos.c/ 1,5m além 3m</v>
          </cell>
          <cell r="F273" t="str">
            <v>m³</v>
          </cell>
        </row>
        <row r="274">
          <cell r="B274" t="str">
            <v>4.1.15</v>
          </cell>
          <cell r="D274" t="str">
            <v>24.03.01</v>
          </cell>
          <cell r="E274" t="str">
            <v xml:space="preserve">Parede ensecadeira com prancha - esp. 0,05m </v>
          </cell>
          <cell r="F274" t="str">
            <v>m²</v>
          </cell>
        </row>
        <row r="275">
          <cell r="B275" t="str">
            <v>4.1.16</v>
          </cell>
          <cell r="D275" t="str">
            <v>24.03.02</v>
          </cell>
          <cell r="E275" t="str">
            <v>Parede ensecadeira com prancha - esp. 0,075m</v>
          </cell>
          <cell r="F275" t="str">
            <v>m²</v>
          </cell>
        </row>
        <row r="276">
          <cell r="B276" t="str">
            <v>4.1.17</v>
          </cell>
          <cell r="D276" t="str">
            <v>24.03.04</v>
          </cell>
          <cell r="E276" t="str">
            <v xml:space="preserve">Argila ench. ensecadeira, incl. apiloamento </v>
          </cell>
          <cell r="F276" t="str">
            <v>m³</v>
          </cell>
        </row>
        <row r="277">
          <cell r="B277" t="str">
            <v>4.1.18</v>
          </cell>
          <cell r="D277" t="str">
            <v>24.03.05</v>
          </cell>
          <cell r="E277" t="str">
            <v xml:space="preserve">Esgotamento continuo água </v>
          </cell>
          <cell r="F277" t="str">
            <v>m³</v>
          </cell>
        </row>
        <row r="278">
          <cell r="B278" t="str">
            <v>4.1.19</v>
          </cell>
          <cell r="D278" t="str">
            <v>24.03.06</v>
          </cell>
          <cell r="E278" t="str">
            <v>Escoramento de valas/cavas p/ fund. contínuo</v>
          </cell>
          <cell r="F278" t="str">
            <v>m²</v>
          </cell>
        </row>
        <row r="279">
          <cell r="B279" t="str">
            <v>4.1.20</v>
          </cell>
          <cell r="D279" t="str">
            <v>24.03.07</v>
          </cell>
          <cell r="E279" t="str">
            <v xml:space="preserve">Escoramento de valas/cavas para fund. descont. </v>
          </cell>
          <cell r="F279" t="str">
            <v>m²</v>
          </cell>
        </row>
        <row r="280">
          <cell r="B280" t="str">
            <v>4.1.21</v>
          </cell>
          <cell r="D280" t="str">
            <v>24.03.08</v>
          </cell>
          <cell r="E280" t="str">
            <v>Escoramento para formas</v>
          </cell>
          <cell r="F280" t="str">
            <v>m²</v>
          </cell>
        </row>
        <row r="281">
          <cell r="B281" t="str">
            <v>4.1.22</v>
          </cell>
          <cell r="D281" t="str">
            <v>24.04.01</v>
          </cell>
          <cell r="E281" t="str">
            <v xml:space="preserve">Cimbramento de passagem secundária e galeria ret. </v>
          </cell>
          <cell r="F281" t="str">
            <v>m³</v>
          </cell>
        </row>
        <row r="282">
          <cell r="B282" t="str">
            <v>4.1.23</v>
          </cell>
          <cell r="D282" t="str">
            <v>24.04.02</v>
          </cell>
          <cell r="E282" t="str">
            <v>Cimbramento de galeria em abóboda</v>
          </cell>
          <cell r="F282" t="str">
            <v>m³</v>
          </cell>
        </row>
        <row r="283">
          <cell r="B283" t="str">
            <v>4.1.24</v>
          </cell>
          <cell r="D283" t="str">
            <v>24.04.03</v>
          </cell>
          <cell r="E283" t="str">
            <v>Andaime de madeira</v>
          </cell>
          <cell r="F283" t="str">
            <v>m³</v>
          </cell>
        </row>
        <row r="284">
          <cell r="B284" t="str">
            <v>4.1.25</v>
          </cell>
          <cell r="D284" t="str">
            <v>24.04.04</v>
          </cell>
          <cell r="E284" t="str">
            <v xml:space="preserve">Andaime tubular </v>
          </cell>
          <cell r="F284" t="str">
            <v>m³</v>
          </cell>
        </row>
        <row r="285">
          <cell r="B285" t="str">
            <v>4.1.26</v>
          </cell>
          <cell r="D285" t="str">
            <v>24.05.01</v>
          </cell>
          <cell r="E285" t="str">
            <v xml:space="preserve">Forma plana para concreto comum </v>
          </cell>
          <cell r="F285" t="str">
            <v>m²</v>
          </cell>
        </row>
        <row r="286">
          <cell r="B286" t="str">
            <v>4.1.27</v>
          </cell>
          <cell r="D286" t="str">
            <v>24.05.02</v>
          </cell>
          <cell r="E286" t="str">
            <v xml:space="preserve">Forma plana para concreto aparente </v>
          </cell>
          <cell r="F286" t="str">
            <v>m²</v>
          </cell>
        </row>
        <row r="287">
          <cell r="B287" t="str">
            <v>4.1.28</v>
          </cell>
          <cell r="D287" t="str">
            <v>24.06.01</v>
          </cell>
          <cell r="E287" t="str">
            <v xml:space="preserve">Aço CA-25 </v>
          </cell>
          <cell r="F287" t="str">
            <v>kg</v>
          </cell>
        </row>
        <row r="288">
          <cell r="B288" t="str">
            <v>4.1.29</v>
          </cell>
          <cell r="D288" t="str">
            <v>24.06.02</v>
          </cell>
          <cell r="E288" t="str">
            <v xml:space="preserve">Aço CA-50 </v>
          </cell>
          <cell r="F288" t="str">
            <v>kg</v>
          </cell>
        </row>
        <row r="289">
          <cell r="B289" t="str">
            <v>4.1.30</v>
          </cell>
          <cell r="D289" t="str">
            <v xml:space="preserve">24.06.03 </v>
          </cell>
          <cell r="E289" t="str">
            <v xml:space="preserve">Aço CA-60 </v>
          </cell>
          <cell r="F289" t="str">
            <v>kg</v>
          </cell>
        </row>
        <row r="290">
          <cell r="B290" t="str">
            <v>4.1.31</v>
          </cell>
          <cell r="D290" t="str">
            <v>24.06.04</v>
          </cell>
          <cell r="E290" t="str">
            <v xml:space="preserve">Tela metálica </v>
          </cell>
          <cell r="F290" t="str">
            <v>m³</v>
          </cell>
        </row>
        <row r="291">
          <cell r="B291" t="str">
            <v>4.1.32</v>
          </cell>
          <cell r="D291" t="str">
            <v>24.07.01</v>
          </cell>
          <cell r="E291" t="str">
            <v xml:space="preserve">Concreto Fck 10 Mpa </v>
          </cell>
          <cell r="F291" t="str">
            <v>m³</v>
          </cell>
        </row>
        <row r="292">
          <cell r="B292" t="str">
            <v>4.1.33</v>
          </cell>
          <cell r="D292" t="str">
            <v>24.07.02</v>
          </cell>
          <cell r="E292" t="str">
            <v xml:space="preserve">Concreto Fck 15 MPa </v>
          </cell>
          <cell r="F292" t="str">
            <v>m³</v>
          </cell>
        </row>
        <row r="293">
          <cell r="B293" t="str">
            <v>4.1.34</v>
          </cell>
          <cell r="D293" t="str">
            <v>24.07.03</v>
          </cell>
          <cell r="E293" t="str">
            <v xml:space="preserve">Concreto Fck 18 MPa </v>
          </cell>
          <cell r="F293" t="str">
            <v>m³</v>
          </cell>
        </row>
        <row r="294">
          <cell r="B294" t="str">
            <v>4.1.35</v>
          </cell>
          <cell r="D294" t="str">
            <v>24.07.04</v>
          </cell>
          <cell r="E294" t="str">
            <v>Concreto Fck 20 MPa</v>
          </cell>
          <cell r="F294" t="str">
            <v>m³</v>
          </cell>
        </row>
        <row r="295">
          <cell r="B295" t="str">
            <v>4.1.36</v>
          </cell>
          <cell r="D295" t="str">
            <v>24.07.05</v>
          </cell>
          <cell r="E295" t="str">
            <v xml:space="preserve">Concreto Fck 25 Mpa </v>
          </cell>
          <cell r="F295" t="str">
            <v>m³</v>
          </cell>
        </row>
        <row r="296">
          <cell r="B296" t="str">
            <v>4.1.37</v>
          </cell>
          <cell r="D296" t="str">
            <v>24.07.07</v>
          </cell>
          <cell r="E296" t="str">
            <v xml:space="preserve">Concreto Fck 30 MPa </v>
          </cell>
          <cell r="F296" t="str">
            <v>m³</v>
          </cell>
        </row>
        <row r="297">
          <cell r="B297" t="str">
            <v>4.1.38</v>
          </cell>
          <cell r="D297" t="str">
            <v>24.07.08</v>
          </cell>
          <cell r="E297" t="str">
            <v xml:space="preserve">Concreto Ciclópico </v>
          </cell>
          <cell r="F297" t="str">
            <v>m³</v>
          </cell>
        </row>
        <row r="298">
          <cell r="B298" t="str">
            <v>4.1.39</v>
          </cell>
          <cell r="D298" t="str">
            <v>24.07.09</v>
          </cell>
          <cell r="E298" t="str">
            <v>Bombeamento p/ concreto qualquer resistência</v>
          </cell>
          <cell r="F298" t="str">
            <v>m³</v>
          </cell>
        </row>
        <row r="299">
          <cell r="B299" t="str">
            <v>4.1.40</v>
          </cell>
          <cell r="D299" t="str">
            <v>24.07.10</v>
          </cell>
          <cell r="E299" t="str">
            <v xml:space="preserve">Concreto Fck 12 Mpa </v>
          </cell>
          <cell r="F299" t="str">
            <v>m³</v>
          </cell>
        </row>
        <row r="300">
          <cell r="B300" t="str">
            <v>4.1.41</v>
          </cell>
          <cell r="D300" t="str">
            <v>24.07.11</v>
          </cell>
          <cell r="E300" t="str">
            <v xml:space="preserve">Concreto Fck 16 MPa </v>
          </cell>
          <cell r="F300" t="str">
            <v>m³</v>
          </cell>
        </row>
        <row r="301">
          <cell r="B301" t="str">
            <v>4.1.42</v>
          </cell>
          <cell r="D301" t="str">
            <v>24.07.12</v>
          </cell>
          <cell r="E301" t="str">
            <v>Concreto Fck 35 MPa</v>
          </cell>
          <cell r="F301" t="str">
            <v>m³</v>
          </cell>
        </row>
        <row r="302">
          <cell r="B302" t="str">
            <v>4.1.43</v>
          </cell>
          <cell r="D302" t="str">
            <v>24.07.13</v>
          </cell>
          <cell r="E302" t="str">
            <v xml:space="preserve">Concreto Fck 40 MPa </v>
          </cell>
          <cell r="F302" t="str">
            <v>m³</v>
          </cell>
        </row>
        <row r="303">
          <cell r="B303" t="str">
            <v>4.1.44</v>
          </cell>
          <cell r="D303" t="str">
            <v>24.08.01</v>
          </cell>
          <cell r="E303" t="str">
            <v>Junta elástica em PVC tipo O-12</v>
          </cell>
          <cell r="F303" t="str">
            <v>m</v>
          </cell>
        </row>
        <row r="304">
          <cell r="B304" t="str">
            <v>4.1.45</v>
          </cell>
          <cell r="D304" t="str">
            <v>24.08.02</v>
          </cell>
          <cell r="E304" t="str">
            <v xml:space="preserve">Junta elástica em PVC tipo O-22 </v>
          </cell>
          <cell r="F304" t="str">
            <v>m</v>
          </cell>
        </row>
        <row r="305">
          <cell r="B305" t="str">
            <v>4.1.46</v>
          </cell>
          <cell r="D305" t="str">
            <v>24.09.01</v>
          </cell>
          <cell r="E305" t="str">
            <v xml:space="preserve">Enrocamento pedra arrumada </v>
          </cell>
          <cell r="F305" t="str">
            <v>m³</v>
          </cell>
        </row>
        <row r="306">
          <cell r="B306" t="str">
            <v>4.1.47</v>
          </cell>
          <cell r="D306" t="str">
            <v>24.09.02</v>
          </cell>
          <cell r="E306" t="str">
            <v xml:space="preserve">Enrocamento pedra arrumada e rejuntada </v>
          </cell>
          <cell r="F306" t="str">
            <v>m³</v>
          </cell>
        </row>
        <row r="307">
          <cell r="B307" t="str">
            <v>4.1.48</v>
          </cell>
          <cell r="D307" t="str">
            <v>24.09.03</v>
          </cell>
          <cell r="E307" t="str">
            <v xml:space="preserve">Enrrocamento pedra jogada </v>
          </cell>
          <cell r="F307" t="str">
            <v>m³</v>
          </cell>
        </row>
        <row r="308">
          <cell r="B308" t="str">
            <v>4.1.49</v>
          </cell>
          <cell r="D308" t="str">
            <v>24.09.04</v>
          </cell>
          <cell r="E308" t="str">
            <v>Gabião tipo caixa 50cm - tela galv.</v>
          </cell>
          <cell r="F308" t="str">
            <v>m³</v>
          </cell>
        </row>
        <row r="309">
          <cell r="B309" t="str">
            <v>4.1.50</v>
          </cell>
        </row>
        <row r="310">
          <cell r="B310" t="str">
            <v>4.1.51</v>
          </cell>
        </row>
        <row r="311">
          <cell r="B311" t="str">
            <v>4.1.52</v>
          </cell>
          <cell r="D311" t="str">
            <v>24.09.05.01</v>
          </cell>
          <cell r="E311" t="str">
            <v xml:space="preserve">Gabião tipo colchão espessura 17cm - tela galv. </v>
          </cell>
          <cell r="F311" t="str">
            <v>m²</v>
          </cell>
        </row>
        <row r="312">
          <cell r="B312" t="str">
            <v>4.1.53</v>
          </cell>
          <cell r="D312" t="str">
            <v>24.09.06.01</v>
          </cell>
          <cell r="E312" t="str">
            <v xml:space="preserve">Gabião tipo colchão espessura 23cm - tela galv. </v>
          </cell>
          <cell r="F312" t="str">
            <v>m²</v>
          </cell>
        </row>
        <row r="313">
          <cell r="B313" t="str">
            <v>4.1.54</v>
          </cell>
          <cell r="D313" t="str">
            <v>24.09.07.01</v>
          </cell>
          <cell r="E313" t="str">
            <v>Gabião tipo colchão espessura 30cm - tela galv.</v>
          </cell>
          <cell r="F313" t="str">
            <v>m²</v>
          </cell>
        </row>
        <row r="314">
          <cell r="B314" t="str">
            <v>4.1.55</v>
          </cell>
          <cell r="D314" t="str">
            <v>24.09.08.01</v>
          </cell>
          <cell r="E314" t="str">
            <v>Gabião tipo colchão espessura 17cm - tela pvc</v>
          </cell>
          <cell r="F314" t="str">
            <v>m²</v>
          </cell>
        </row>
        <row r="315">
          <cell r="B315" t="str">
            <v>4.1.56</v>
          </cell>
          <cell r="D315" t="str">
            <v>24.09.09.01</v>
          </cell>
          <cell r="E315" t="str">
            <v>Gabião tipo colchão espessura 23cm - tela pvc</v>
          </cell>
          <cell r="F315" t="str">
            <v>m²</v>
          </cell>
        </row>
        <row r="316">
          <cell r="B316" t="str">
            <v>4.1.57</v>
          </cell>
          <cell r="D316" t="str">
            <v>24.09.10.01</v>
          </cell>
          <cell r="E316" t="str">
            <v>Gabião tipo colchão espessura 30cm - tela pvc</v>
          </cell>
          <cell r="F316" t="str">
            <v>m²</v>
          </cell>
        </row>
        <row r="317">
          <cell r="B317" t="str">
            <v>4.1.58</v>
          </cell>
          <cell r="D317" t="str">
            <v>24.09.11</v>
          </cell>
          <cell r="E317" t="str">
            <v xml:space="preserve">Gabião tipo saco - tela galv. </v>
          </cell>
          <cell r="F317" t="str">
            <v>m³</v>
          </cell>
        </row>
        <row r="318">
          <cell r="B318" t="str">
            <v>4.1.59</v>
          </cell>
          <cell r="D318" t="str">
            <v>24.09.12</v>
          </cell>
          <cell r="E318" t="str">
            <v>Gabião tipo saco - tela galv. revestido de PVC</v>
          </cell>
          <cell r="F318" t="str">
            <v>m³</v>
          </cell>
        </row>
        <row r="319">
          <cell r="B319" t="str">
            <v>4.1.60</v>
          </cell>
          <cell r="D319" t="str">
            <v>24.09.13</v>
          </cell>
          <cell r="E319" t="str">
            <v>Camada filtrante pedra britada</v>
          </cell>
          <cell r="F319" t="str">
            <v>m³</v>
          </cell>
        </row>
        <row r="320">
          <cell r="B320" t="str">
            <v>4.1.61</v>
          </cell>
          <cell r="D320" t="str">
            <v>24.10.02</v>
          </cell>
          <cell r="E320" t="str">
            <v xml:space="preserve">Calçamento concreto Fck 15 MPa </v>
          </cell>
          <cell r="F320" t="str">
            <v>m³</v>
          </cell>
        </row>
        <row r="321">
          <cell r="B321" t="str">
            <v>4.1.62</v>
          </cell>
          <cell r="D321" t="str">
            <v>24.10.03</v>
          </cell>
          <cell r="E321" t="str">
            <v>Calçamento concreto Fck 10 MPa</v>
          </cell>
          <cell r="F321" t="str">
            <v>m³</v>
          </cell>
        </row>
        <row r="322">
          <cell r="B322" t="str">
            <v>4.1.63</v>
          </cell>
          <cell r="D322" t="str">
            <v>24.11.01</v>
          </cell>
          <cell r="E322" t="str">
            <v xml:space="preserve">Alvenaria tijolo </v>
          </cell>
          <cell r="F322" t="str">
            <v>m³</v>
          </cell>
        </row>
        <row r="323">
          <cell r="B323" t="str">
            <v>4.1.64</v>
          </cell>
          <cell r="D323" t="str">
            <v>24.11.02</v>
          </cell>
          <cell r="E323" t="str">
            <v>Alvenaria de pedra seca</v>
          </cell>
          <cell r="F323" t="str">
            <v>m³</v>
          </cell>
        </row>
        <row r="324">
          <cell r="B324" t="str">
            <v>4.1.65</v>
          </cell>
          <cell r="D324" t="str">
            <v>24.11.04</v>
          </cell>
          <cell r="E324" t="str">
            <v>Alvenaria de pedra argamassada</v>
          </cell>
          <cell r="F324" t="str">
            <v>m³</v>
          </cell>
        </row>
        <row r="325">
          <cell r="B325" t="str">
            <v>4.1.66</v>
          </cell>
          <cell r="D325" t="str">
            <v>24.11.05</v>
          </cell>
          <cell r="E325" t="str">
            <v>Alvenaria de bloco de concreto</v>
          </cell>
          <cell r="F325" t="str">
            <v>m³</v>
          </cell>
        </row>
        <row r="326">
          <cell r="B326" t="str">
            <v>4.1.67</v>
          </cell>
          <cell r="D326" t="str">
            <v>24.11.07</v>
          </cell>
          <cell r="E326" t="str">
            <v>Argamassa de cimento e areia traço 1:3 esp 2cm</v>
          </cell>
          <cell r="F326" t="str">
            <v>m²</v>
          </cell>
        </row>
        <row r="327">
          <cell r="B327" t="str">
            <v>4.1.68</v>
          </cell>
          <cell r="D327" t="str">
            <v>24.12.01.01</v>
          </cell>
          <cell r="E327" t="str">
            <v xml:space="preserve">Enchimento de vala com pedra britada 1 e 2 </v>
          </cell>
          <cell r="F327" t="str">
            <v>m³</v>
          </cell>
        </row>
        <row r="328">
          <cell r="B328" t="str">
            <v>4.1.69</v>
          </cell>
          <cell r="D328" t="str">
            <v>24.12.01.02</v>
          </cell>
          <cell r="E328" t="str">
            <v xml:space="preserve">Enchimento de vala com pedra britada 3 e 4 </v>
          </cell>
          <cell r="F328" t="str">
            <v>m³</v>
          </cell>
        </row>
        <row r="329">
          <cell r="B329" t="str">
            <v>4.1.70</v>
          </cell>
          <cell r="D329" t="str">
            <v>24.12.02</v>
          </cell>
          <cell r="E329" t="str">
            <v>Enchimento de vala com areia</v>
          </cell>
          <cell r="F329" t="str">
            <v>m³</v>
          </cell>
        </row>
        <row r="330">
          <cell r="B330" t="str">
            <v>4.1.71</v>
          </cell>
          <cell r="D330" t="str">
            <v>24.12.03</v>
          </cell>
          <cell r="E330" t="str">
            <v>Enchimento de vala com pedra marroada</v>
          </cell>
          <cell r="F330" t="str">
            <v>m³</v>
          </cell>
        </row>
        <row r="331">
          <cell r="B331" t="str">
            <v>4.1.72</v>
          </cell>
          <cell r="D331" t="str">
            <v>24.12.05</v>
          </cell>
          <cell r="E331" t="str">
            <v>Enchimento base tubo com pedra britada</v>
          </cell>
          <cell r="F331" t="str">
            <v>m³</v>
          </cell>
        </row>
        <row r="332">
          <cell r="B332" t="str">
            <v>4.1.73</v>
          </cell>
          <cell r="D332" t="str">
            <v xml:space="preserve">24.12.06 </v>
          </cell>
          <cell r="E332" t="str">
            <v xml:space="preserve">Enchimento base tubo com pedregulho de cava </v>
          </cell>
          <cell r="F332" t="str">
            <v>m³</v>
          </cell>
        </row>
        <row r="333">
          <cell r="B333" t="str">
            <v>4.1.74</v>
          </cell>
          <cell r="D333" t="str">
            <v>24.12.08</v>
          </cell>
          <cell r="E333" t="str">
            <v>Compactação manual com reaterro solo local</v>
          </cell>
          <cell r="F333" t="str">
            <v>m³</v>
          </cell>
        </row>
        <row r="334">
          <cell r="B334" t="str">
            <v>4.1.75</v>
          </cell>
          <cell r="D334" t="str">
            <v>24.13.01</v>
          </cell>
          <cell r="E334" t="str">
            <v>Val. 0,50m² 1ª categoria</v>
          </cell>
          <cell r="F334" t="str">
            <v>m³</v>
          </cell>
        </row>
        <row r="335">
          <cell r="B335" t="str">
            <v>4.1.76</v>
          </cell>
          <cell r="D335" t="str">
            <v>24.13.02</v>
          </cell>
          <cell r="E335" t="str">
            <v xml:space="preserve">Val. 0,50m² 2ª categoria </v>
          </cell>
          <cell r="F335" t="str">
            <v>m³</v>
          </cell>
        </row>
        <row r="336">
          <cell r="B336" t="str">
            <v>4.1.77</v>
          </cell>
          <cell r="D336" t="str">
            <v>24.13.03</v>
          </cell>
          <cell r="E336" t="str">
            <v>Val. 0,50m² 3ª categoria</v>
          </cell>
          <cell r="F336" t="str">
            <v>m³</v>
          </cell>
        </row>
        <row r="337">
          <cell r="B337" t="str">
            <v>4.1.78</v>
          </cell>
          <cell r="D337" t="str">
            <v>24.13.04</v>
          </cell>
          <cell r="E337" t="str">
            <v>Val. seção transversal maior 0,50m² 1ª cat.</v>
          </cell>
          <cell r="F337" t="str">
            <v>m³</v>
          </cell>
        </row>
        <row r="338">
          <cell r="B338" t="str">
            <v>4.1.79</v>
          </cell>
          <cell r="D338" t="str">
            <v>24.13.05</v>
          </cell>
          <cell r="E338" t="str">
            <v xml:space="preserve">Val. seção transversal maior 0,50m² 2ª cat. </v>
          </cell>
          <cell r="F338" t="str">
            <v>m³</v>
          </cell>
        </row>
        <row r="339">
          <cell r="B339" t="str">
            <v>4.1.80</v>
          </cell>
          <cell r="D339" t="str">
            <v>24.13.06</v>
          </cell>
          <cell r="E339" t="str">
            <v>Val. seção transversal maior 0,50m² 3ª cat.</v>
          </cell>
          <cell r="F339" t="str">
            <v>m³</v>
          </cell>
        </row>
        <row r="340">
          <cell r="B340" t="str">
            <v>4.1.81</v>
          </cell>
          <cell r="D340" t="str">
            <v>24.13.07</v>
          </cell>
          <cell r="E340" t="str">
            <v>Val. 0,50m² 3ª categoria ar comprimido</v>
          </cell>
          <cell r="F340" t="str">
            <v>m³</v>
          </cell>
        </row>
        <row r="341">
          <cell r="B341" t="str">
            <v>4.1.82</v>
          </cell>
          <cell r="D341" t="str">
            <v>24.14.01</v>
          </cell>
          <cell r="E341" t="str">
            <v>Manta geotêxtil não tecido</v>
          </cell>
          <cell r="F341" t="str">
            <v>kg</v>
          </cell>
        </row>
        <row r="342">
          <cell r="B342" t="str">
            <v>4.1.83</v>
          </cell>
          <cell r="D342" t="str">
            <v>24.14.01.01</v>
          </cell>
          <cell r="F342" t="str">
            <v>m²</v>
          </cell>
        </row>
        <row r="343">
          <cell r="B343" t="str">
            <v>4.1.84</v>
          </cell>
          <cell r="D343" t="str">
            <v>24.14.01.02</v>
          </cell>
          <cell r="F343" t="str">
            <v>m²</v>
          </cell>
        </row>
        <row r="344">
          <cell r="B344" t="str">
            <v>4.1.85</v>
          </cell>
          <cell r="D344" t="str">
            <v>24.14.01.03</v>
          </cell>
          <cell r="F344" t="str">
            <v>m²</v>
          </cell>
        </row>
        <row r="345">
          <cell r="B345" t="str">
            <v>4.1.86</v>
          </cell>
          <cell r="D345" t="str">
            <v>24.14.01.04</v>
          </cell>
          <cell r="F345" t="str">
            <v>m²</v>
          </cell>
        </row>
        <row r="346">
          <cell r="B346" t="str">
            <v>4.1.87</v>
          </cell>
          <cell r="D346" t="str">
            <v>24.14.01.05</v>
          </cell>
          <cell r="F346" t="str">
            <v>m²</v>
          </cell>
        </row>
        <row r="347">
          <cell r="B347" t="str">
            <v>4.1.88</v>
          </cell>
          <cell r="D347" t="str">
            <v>24.14.01.06</v>
          </cell>
          <cell r="F347" t="str">
            <v>m²</v>
          </cell>
        </row>
        <row r="348">
          <cell r="B348" t="str">
            <v>4.1.89</v>
          </cell>
          <cell r="D348" t="str">
            <v>24.14.02</v>
          </cell>
          <cell r="E348" t="str">
            <v>Manta geotêxtil tecido</v>
          </cell>
          <cell r="F348" t="str">
            <v>kg</v>
          </cell>
        </row>
        <row r="349">
          <cell r="B349" t="str">
            <v>4.1.90</v>
          </cell>
          <cell r="D349" t="str">
            <v>24.15.01</v>
          </cell>
          <cell r="E349" t="str">
            <v>Tubo dreno concreto 15 cm</v>
          </cell>
          <cell r="F349" t="str">
            <v>m</v>
          </cell>
        </row>
        <row r="350">
          <cell r="B350" t="str">
            <v>4.1.91</v>
          </cell>
          <cell r="D350" t="str">
            <v>24.15.02</v>
          </cell>
          <cell r="E350" t="str">
            <v>Tubo dreno concreto 20 cm</v>
          </cell>
          <cell r="F350" t="str">
            <v>m</v>
          </cell>
        </row>
        <row r="351">
          <cell r="B351" t="str">
            <v>4.1.92</v>
          </cell>
          <cell r="D351" t="str">
            <v>24.15.03</v>
          </cell>
          <cell r="E351" t="str">
            <v>Tubo dreno barro 15 cm</v>
          </cell>
          <cell r="F351" t="str">
            <v>m</v>
          </cell>
        </row>
        <row r="352">
          <cell r="B352" t="str">
            <v>4.1.93</v>
          </cell>
          <cell r="D352" t="str">
            <v>24.15.04</v>
          </cell>
          <cell r="E352" t="str">
            <v>Tubo dreno barro 20 cm</v>
          </cell>
          <cell r="F352" t="str">
            <v>m</v>
          </cell>
        </row>
        <row r="353">
          <cell r="B353" t="str">
            <v>4.1.94</v>
          </cell>
          <cell r="D353" t="str">
            <v>24.15.05</v>
          </cell>
          <cell r="E353" t="str">
            <v>Tubo de pvc perfurado ou não D=0,050m</v>
          </cell>
          <cell r="F353" t="str">
            <v>m</v>
          </cell>
        </row>
        <row r="354">
          <cell r="B354" t="str">
            <v>4.1.95</v>
          </cell>
          <cell r="D354" t="str">
            <v>24.15.07</v>
          </cell>
          <cell r="E354" t="str">
            <v>Tubo de pvc perfurado ou não D=0,10m</v>
          </cell>
          <cell r="F354" t="str">
            <v>m</v>
          </cell>
        </row>
        <row r="355">
          <cell r="B355" t="str">
            <v>4.1.96</v>
          </cell>
          <cell r="D355" t="str">
            <v>24.15.08</v>
          </cell>
          <cell r="E355" t="str">
            <v>Tubo de pvc perfurado ou não D=0,15m</v>
          </cell>
          <cell r="F355" t="str">
            <v>m</v>
          </cell>
        </row>
        <row r="356">
          <cell r="B356" t="str">
            <v>4.1.97</v>
          </cell>
          <cell r="D356" t="str">
            <v>24.15.09</v>
          </cell>
          <cell r="E356" t="str">
            <v>Dreno horizontal profundo</v>
          </cell>
          <cell r="F356" t="str">
            <v>m</v>
          </cell>
        </row>
        <row r="357">
          <cell r="B357" t="str">
            <v>4.1.98</v>
          </cell>
          <cell r="D357" t="str">
            <v>24.15.11</v>
          </cell>
          <cell r="F357" t="str">
            <v>m</v>
          </cell>
        </row>
        <row r="358">
          <cell r="B358" t="str">
            <v>4.1.99</v>
          </cell>
          <cell r="D358" t="str">
            <v>24.15.12</v>
          </cell>
          <cell r="F358" t="str">
            <v>m</v>
          </cell>
        </row>
        <row r="359">
          <cell r="B359" t="str">
            <v>4.1.100</v>
          </cell>
          <cell r="D359" t="str">
            <v>24.15.13</v>
          </cell>
          <cell r="F359" t="str">
            <v>m</v>
          </cell>
        </row>
        <row r="360">
          <cell r="B360" t="str">
            <v>4.1.101</v>
          </cell>
          <cell r="D360" t="str">
            <v>24.15.14</v>
          </cell>
          <cell r="F360" t="str">
            <v>m</v>
          </cell>
        </row>
        <row r="361">
          <cell r="B361" t="str">
            <v>4.1.102</v>
          </cell>
          <cell r="D361" t="str">
            <v>24.15.15</v>
          </cell>
          <cell r="F361" t="str">
            <v>m</v>
          </cell>
        </row>
        <row r="362">
          <cell r="B362" t="str">
            <v>4.1.103</v>
          </cell>
          <cell r="D362" t="str">
            <v>24.15.16</v>
          </cell>
          <cell r="F362" t="str">
            <v>m</v>
          </cell>
        </row>
        <row r="363">
          <cell r="B363" t="str">
            <v>4.1.104</v>
          </cell>
          <cell r="D363" t="str">
            <v>24.15.17</v>
          </cell>
          <cell r="F363" t="str">
            <v>m</v>
          </cell>
        </row>
        <row r="364">
          <cell r="B364" t="str">
            <v>4.1.105</v>
          </cell>
          <cell r="D364" t="str">
            <v>24.16.01</v>
          </cell>
          <cell r="E364" t="str">
            <v>Tubo De concreto D=0,40m classe CA-1</v>
          </cell>
          <cell r="F364" t="str">
            <v>m</v>
          </cell>
        </row>
        <row r="365">
          <cell r="B365" t="str">
            <v>4.1.106</v>
          </cell>
          <cell r="D365" t="str">
            <v>24.16.02</v>
          </cell>
          <cell r="E365" t="str">
            <v xml:space="preserve">Tubo De concreto D=0,40m classe CA-2 </v>
          </cell>
          <cell r="F365" t="str">
            <v>m</v>
          </cell>
        </row>
        <row r="366">
          <cell r="B366" t="str">
            <v>4.1.107</v>
          </cell>
          <cell r="D366" t="str">
            <v>24.16.03</v>
          </cell>
        </row>
        <row r="367">
          <cell r="B367" t="str">
            <v>4.1.108</v>
          </cell>
          <cell r="D367" t="str">
            <v>24.16.04</v>
          </cell>
        </row>
        <row r="368">
          <cell r="B368" t="str">
            <v>4.1.109</v>
          </cell>
          <cell r="D368" t="str">
            <v>24.16.05</v>
          </cell>
        </row>
        <row r="369">
          <cell r="B369" t="str">
            <v>4.1.110</v>
          </cell>
          <cell r="D369" t="str">
            <v>24.16.06</v>
          </cell>
        </row>
        <row r="370">
          <cell r="B370" t="str">
            <v>4.1.111</v>
          </cell>
          <cell r="D370" t="str">
            <v>24.16.07</v>
          </cell>
          <cell r="E370" t="str">
            <v>Tubo De concreto D=0,60m classe CA-1</v>
          </cell>
          <cell r="F370" t="str">
            <v>m</v>
          </cell>
        </row>
        <row r="371">
          <cell r="B371" t="str">
            <v>4.1.112</v>
          </cell>
          <cell r="D371" t="str">
            <v>24.16.08</v>
          </cell>
          <cell r="E371" t="str">
            <v>Tubo De concreto D=0,60m classe CA-2</v>
          </cell>
          <cell r="F371" t="str">
            <v>m</v>
          </cell>
        </row>
        <row r="372">
          <cell r="B372" t="str">
            <v>4.1.113</v>
          </cell>
          <cell r="D372" t="str">
            <v>24.16.09</v>
          </cell>
          <cell r="E372" t="str">
            <v>Tubo De concreto D=0,60m classe CA-3</v>
          </cell>
          <cell r="F372" t="str">
            <v>m</v>
          </cell>
        </row>
        <row r="373">
          <cell r="B373" t="str">
            <v>4.1.114</v>
          </cell>
          <cell r="D373" t="str">
            <v>24.16.10.10</v>
          </cell>
          <cell r="E373" t="str">
            <v>Tubo De concreto D=0,60m classe CA-4</v>
          </cell>
          <cell r="F373" t="str">
            <v>m</v>
          </cell>
        </row>
        <row r="374">
          <cell r="B374" t="str">
            <v>4.1.115</v>
          </cell>
          <cell r="D374" t="str">
            <v>24.16.11</v>
          </cell>
          <cell r="E374" t="str">
            <v>Tubo De concreto D=0,80m classe CA-1</v>
          </cell>
          <cell r="F374" t="str">
            <v>m</v>
          </cell>
        </row>
        <row r="375">
          <cell r="B375" t="str">
            <v>4.1.116</v>
          </cell>
          <cell r="D375" t="str">
            <v>24.16.12</v>
          </cell>
          <cell r="E375" t="str">
            <v>Tubo De concreto D=0,80m classe CA-2</v>
          </cell>
          <cell r="F375" t="str">
            <v>m</v>
          </cell>
        </row>
        <row r="376">
          <cell r="B376" t="str">
            <v>4.1.117</v>
          </cell>
          <cell r="D376" t="str">
            <v>24.16.13</v>
          </cell>
          <cell r="E376" t="str">
            <v>Tubo De concreto D=0,80m classe CA-3</v>
          </cell>
          <cell r="F376" t="str">
            <v>m</v>
          </cell>
        </row>
        <row r="377">
          <cell r="B377" t="str">
            <v>4.1.118</v>
          </cell>
          <cell r="D377" t="str">
            <v>24.16.14</v>
          </cell>
          <cell r="E377" t="str">
            <v>Tubo De concreto D=0,80m classe CA-4</v>
          </cell>
          <cell r="F377" t="str">
            <v>m</v>
          </cell>
        </row>
        <row r="378">
          <cell r="B378" t="str">
            <v>4.1.119</v>
          </cell>
          <cell r="D378" t="str">
            <v>24.16.15</v>
          </cell>
          <cell r="E378" t="str">
            <v xml:space="preserve">Tubo De concreto D=1,00m classe CA-1 </v>
          </cell>
          <cell r="F378" t="str">
            <v>m</v>
          </cell>
        </row>
        <row r="379">
          <cell r="B379" t="str">
            <v>4.1.120</v>
          </cell>
          <cell r="D379" t="str">
            <v>24.16.16</v>
          </cell>
          <cell r="E379" t="str">
            <v xml:space="preserve">Tubo De concreto D=1,00m classe CA-2 </v>
          </cell>
          <cell r="F379" t="str">
            <v>m</v>
          </cell>
        </row>
        <row r="380">
          <cell r="B380" t="str">
            <v>4.1.121</v>
          </cell>
          <cell r="D380" t="str">
            <v>24.16.17</v>
          </cell>
          <cell r="E380" t="str">
            <v>Tubo De concreto D=1,00m classe CA-3</v>
          </cell>
          <cell r="F380" t="str">
            <v>m</v>
          </cell>
        </row>
        <row r="381">
          <cell r="B381" t="str">
            <v>4.1.122</v>
          </cell>
          <cell r="D381" t="str">
            <v>24.16.18</v>
          </cell>
          <cell r="E381" t="str">
            <v>Tubo De concreto D=1,00m classe CA-4</v>
          </cell>
          <cell r="F381" t="str">
            <v>m</v>
          </cell>
        </row>
        <row r="382">
          <cell r="B382" t="str">
            <v>4.1.123</v>
          </cell>
          <cell r="D382" t="str">
            <v>24.16.19</v>
          </cell>
          <cell r="E382" t="str">
            <v>Tubo De concreto D=1,20m classe CA-1</v>
          </cell>
          <cell r="F382" t="str">
            <v>m</v>
          </cell>
        </row>
        <row r="383">
          <cell r="B383" t="str">
            <v>4.1.124</v>
          </cell>
          <cell r="D383" t="str">
            <v>24.16.20</v>
          </cell>
          <cell r="E383" t="str">
            <v>Tubo De concreto D=1,20m classe CA-2</v>
          </cell>
          <cell r="F383" t="str">
            <v>m</v>
          </cell>
        </row>
        <row r="384">
          <cell r="B384" t="str">
            <v>4.1.125</v>
          </cell>
          <cell r="D384" t="str">
            <v>24.16.21</v>
          </cell>
          <cell r="E384" t="str">
            <v>Tubo De concreto D=1,20m classe CA-3</v>
          </cell>
          <cell r="F384" t="str">
            <v>m</v>
          </cell>
        </row>
        <row r="385">
          <cell r="B385" t="str">
            <v>4.1.126</v>
          </cell>
          <cell r="D385" t="str">
            <v>24.16.22</v>
          </cell>
          <cell r="E385" t="str">
            <v>Tubo De concreto D=1,20m classe CA-4</v>
          </cell>
          <cell r="F385" t="str">
            <v>m</v>
          </cell>
        </row>
        <row r="386">
          <cell r="B386" t="str">
            <v>4.1.127</v>
          </cell>
          <cell r="D386" t="str">
            <v>24.16.23</v>
          </cell>
          <cell r="E386" t="str">
            <v>Tubo De concreto D=1,50m classe CA-1</v>
          </cell>
          <cell r="F386" t="str">
            <v>m</v>
          </cell>
        </row>
        <row r="387">
          <cell r="B387" t="str">
            <v>4.1.128</v>
          </cell>
          <cell r="D387" t="str">
            <v>24.16.24</v>
          </cell>
          <cell r="E387" t="str">
            <v>Tubo De concreto D=1,50m classe CA-2</v>
          </cell>
          <cell r="F387" t="str">
            <v>m</v>
          </cell>
        </row>
        <row r="388">
          <cell r="B388" t="str">
            <v>4.1.129</v>
          </cell>
          <cell r="D388" t="str">
            <v>24.16.25</v>
          </cell>
          <cell r="E388" t="str">
            <v>Tubo De concreto D=1,50m classe CA-3</v>
          </cell>
          <cell r="F388" t="str">
            <v>m</v>
          </cell>
        </row>
        <row r="389">
          <cell r="B389" t="str">
            <v>4.1.130</v>
          </cell>
          <cell r="D389" t="str">
            <v>24.16.26</v>
          </cell>
          <cell r="E389" t="str">
            <v>Tubo De concreto D=1,50m classe CA-4</v>
          </cell>
          <cell r="F389" t="str">
            <v>m</v>
          </cell>
        </row>
        <row r="390">
          <cell r="B390" t="str">
            <v>4.1.131</v>
          </cell>
          <cell r="D390" t="str">
            <v>24.16.27</v>
          </cell>
          <cell r="E390" t="str">
            <v>Tubo de concreto simples D=0,40m</v>
          </cell>
          <cell r="F390" t="str">
            <v>m</v>
          </cell>
        </row>
        <row r="391">
          <cell r="B391" t="str">
            <v>4.1.132</v>
          </cell>
          <cell r="D391" t="str">
            <v>24.16.28</v>
          </cell>
          <cell r="E391" t="str">
            <v>Tubo de concreto simples D=0,60m</v>
          </cell>
          <cell r="F391" t="str">
            <v>m</v>
          </cell>
        </row>
        <row r="392">
          <cell r="B392" t="str">
            <v>4.1.133</v>
          </cell>
          <cell r="D392" t="str">
            <v>24.16.29</v>
          </cell>
          <cell r="F392" t="str">
            <v>m</v>
          </cell>
        </row>
        <row r="393">
          <cell r="B393" t="str">
            <v>4.1.134</v>
          </cell>
          <cell r="D393" t="str">
            <v>24.16.30</v>
          </cell>
          <cell r="F393" t="str">
            <v>m</v>
          </cell>
        </row>
        <row r="394">
          <cell r="B394" t="str">
            <v>4.1.135</v>
          </cell>
          <cell r="D394" t="str">
            <v>24.16.31</v>
          </cell>
          <cell r="F394" t="str">
            <v>m</v>
          </cell>
        </row>
        <row r="395">
          <cell r="B395" t="str">
            <v>4.1.136</v>
          </cell>
          <cell r="D395" t="str">
            <v>24.16.32</v>
          </cell>
          <cell r="F395" t="str">
            <v>m</v>
          </cell>
        </row>
        <row r="396">
          <cell r="B396" t="str">
            <v>4.1.137</v>
          </cell>
          <cell r="D396" t="str">
            <v>24.18.01</v>
          </cell>
          <cell r="E396" t="str">
            <v>Canaleta concreto 40 cm</v>
          </cell>
          <cell r="F396" t="str">
            <v>m</v>
          </cell>
        </row>
        <row r="397">
          <cell r="B397" t="str">
            <v>4.1.138</v>
          </cell>
          <cell r="D397" t="str">
            <v>24.18.02</v>
          </cell>
          <cell r="E397" t="str">
            <v>Canaleta concreto 60 cm</v>
          </cell>
          <cell r="F397" t="str">
            <v>m</v>
          </cell>
        </row>
        <row r="398">
          <cell r="B398" t="str">
            <v>4.1.139</v>
          </cell>
          <cell r="D398" t="str">
            <v>24.18.03</v>
          </cell>
          <cell r="E398" t="str">
            <v>Canaleta concreto 80 cm</v>
          </cell>
          <cell r="F398" t="str">
            <v>m</v>
          </cell>
        </row>
        <row r="399">
          <cell r="B399" t="str">
            <v>4.1.140</v>
          </cell>
          <cell r="D399" t="str">
            <v>24.19.01</v>
          </cell>
          <cell r="E399" t="str">
            <v>Lastro de concreto Fck 10 MPa</v>
          </cell>
          <cell r="F399" t="str">
            <v>m³</v>
          </cell>
        </row>
        <row r="400">
          <cell r="B400" t="str">
            <v>4.1.141</v>
          </cell>
          <cell r="D400" t="str">
            <v>24.19.02</v>
          </cell>
          <cell r="E400" t="str">
            <v>Sarjeta pré-fabricada de concreto Fck 15 MPa</v>
          </cell>
          <cell r="F400" t="str">
            <v>m²</v>
          </cell>
        </row>
        <row r="401">
          <cell r="B401" t="str">
            <v>4.1.142</v>
          </cell>
          <cell r="D401" t="str">
            <v>24.19.03</v>
          </cell>
          <cell r="E401" t="str">
            <v>Guia pre-fabricada concreto Fck 15 MPa</v>
          </cell>
          <cell r="F401" t="str">
            <v>m</v>
          </cell>
        </row>
        <row r="402">
          <cell r="B402" t="str">
            <v>4.1.143</v>
          </cell>
          <cell r="D402" t="str">
            <v>24.19.04</v>
          </cell>
          <cell r="E402" t="str">
            <v>Sarjeta concreto Fck 15 MPa</v>
          </cell>
          <cell r="F402" t="str">
            <v>m³</v>
          </cell>
        </row>
        <row r="403">
          <cell r="B403" t="str">
            <v>4.1.144</v>
          </cell>
          <cell r="D403" t="str">
            <v>24.19.05</v>
          </cell>
          <cell r="E403" t="str">
            <v>Guia concreto Fck 15 MPa</v>
          </cell>
          <cell r="F403" t="str">
            <v>m³</v>
          </cell>
        </row>
        <row r="404">
          <cell r="B404" t="str">
            <v>4.1.145</v>
          </cell>
          <cell r="D404" t="str">
            <v>24.19.06</v>
          </cell>
          <cell r="E404" t="str">
            <v>Telar e tampão de ferro fundido</v>
          </cell>
          <cell r="F404" t="str">
            <v>un</v>
          </cell>
        </row>
        <row r="405">
          <cell r="B405" t="str">
            <v>4.1.146</v>
          </cell>
          <cell r="D405" t="str">
            <v>24.19.07</v>
          </cell>
          <cell r="E405" t="str">
            <v>Grelha de concreto 0,10 X ,094 x 1,20m</v>
          </cell>
          <cell r="F405" t="str">
            <v>un</v>
          </cell>
        </row>
        <row r="406">
          <cell r="B406" t="str">
            <v>4.1.147</v>
          </cell>
          <cell r="D406" t="str">
            <v>24.19.07.01</v>
          </cell>
          <cell r="F406" t="str">
            <v>un</v>
          </cell>
        </row>
        <row r="407">
          <cell r="B407" t="str">
            <v>4.1.148</v>
          </cell>
          <cell r="D407" t="str">
            <v>24.19.08</v>
          </cell>
          <cell r="E407" t="str">
            <v xml:space="preserve">Grelha de fºfº p/ boca de lobo tipo GRS-135 </v>
          </cell>
          <cell r="F407" t="str">
            <v>un</v>
          </cell>
        </row>
        <row r="408">
          <cell r="B408" t="str">
            <v>4.1.149</v>
          </cell>
          <cell r="D408" t="str">
            <v>24.20.01</v>
          </cell>
          <cell r="E408" t="str">
            <v>Tubo aço corr.galv.met.não destrutivo</v>
          </cell>
          <cell r="F408" t="str">
            <v>kg</v>
          </cell>
        </row>
        <row r="409">
          <cell r="B409" t="str">
            <v>4.1.150</v>
          </cell>
          <cell r="D409" t="str">
            <v>24.20.02</v>
          </cell>
          <cell r="E409" t="str">
            <v>Tubo aço corr.epoxy met.não destrutivo</v>
          </cell>
          <cell r="F409" t="str">
            <v>kg</v>
          </cell>
        </row>
        <row r="410">
          <cell r="B410" t="str">
            <v>4.1.151</v>
          </cell>
          <cell r="D410" t="str">
            <v>24.20.03</v>
          </cell>
          <cell r="E410" t="str">
            <v>Tubo aço corr.galv.met. destrutivo</v>
          </cell>
          <cell r="F410" t="str">
            <v>kg</v>
          </cell>
        </row>
        <row r="411">
          <cell r="B411" t="str">
            <v>4.1.152</v>
          </cell>
          <cell r="D411" t="str">
            <v>24.20.04</v>
          </cell>
          <cell r="E411" t="str">
            <v>Tubo aço corr.epoxy met. destrutivo</v>
          </cell>
          <cell r="F411" t="str">
            <v>kg</v>
          </cell>
        </row>
        <row r="412">
          <cell r="B412" t="str">
            <v>4.1.153</v>
          </cell>
          <cell r="D412" t="str">
            <v>24.21.01</v>
          </cell>
          <cell r="E412" t="str">
            <v>Broca de concreto armado D=20,00cm</v>
          </cell>
          <cell r="F412" t="str">
            <v>m</v>
          </cell>
        </row>
        <row r="413">
          <cell r="B413" t="str">
            <v>4.1.154</v>
          </cell>
          <cell r="D413" t="str">
            <v>24.21.02</v>
          </cell>
          <cell r="E413" t="str">
            <v>Broca de concreto armado D=25,00cm</v>
          </cell>
          <cell r="F413" t="str">
            <v>m</v>
          </cell>
        </row>
        <row r="414">
          <cell r="B414" t="str">
            <v>4.1.155</v>
          </cell>
          <cell r="D414" t="str">
            <v>24.21.03</v>
          </cell>
          <cell r="E414" t="str">
            <v>Broca de concreto armado D=15,00cm</v>
          </cell>
          <cell r="F414" t="str">
            <v>m</v>
          </cell>
        </row>
        <row r="416">
          <cell r="B416" t="str">
            <v>Cód. Colinas</v>
          </cell>
          <cell r="D416" t="str">
            <v>Código</v>
          </cell>
          <cell r="E416" t="str">
            <v>Serviços</v>
          </cell>
          <cell r="F416" t="str">
            <v>Unid.</v>
          </cell>
        </row>
        <row r="419">
          <cell r="D419" t="str">
            <v>FASE-25 OBRAS DE CONTENÇÃO</v>
          </cell>
        </row>
        <row r="420">
          <cell r="B420" t="str">
            <v>5.1.1</v>
          </cell>
          <cell r="D420" t="str">
            <v>25.01.01</v>
          </cell>
          <cell r="E420" t="str">
            <v>Aterro de acesso</v>
          </cell>
          <cell r="F420" t="str">
            <v>m³</v>
          </cell>
        </row>
        <row r="421">
          <cell r="B421" t="str">
            <v>5.1.2</v>
          </cell>
          <cell r="D421" t="str">
            <v>25.01.03.05</v>
          </cell>
          <cell r="E421" t="str">
            <v>At. Solo cim. 6% pulv.</v>
          </cell>
          <cell r="F421" t="str">
            <v>m³</v>
          </cell>
        </row>
        <row r="422">
          <cell r="B422" t="str">
            <v>5.1.3</v>
          </cell>
          <cell r="D422" t="str">
            <v>25.02.01</v>
          </cell>
          <cell r="E422" t="str">
            <v>Escavação manual para obras sem explosivos</v>
          </cell>
          <cell r="F422" t="str">
            <v>m³</v>
          </cell>
        </row>
        <row r="423">
          <cell r="B423" t="str">
            <v>5.1.4</v>
          </cell>
          <cell r="D423" t="str">
            <v>25.02.02</v>
          </cell>
          <cell r="E423" t="str">
            <v>Escavação mecânica para obras sem explosivos</v>
          </cell>
          <cell r="F423" t="str">
            <v>m³</v>
          </cell>
        </row>
        <row r="424">
          <cell r="B424" t="str">
            <v>5.1.5</v>
          </cell>
          <cell r="D424" t="str">
            <v>25.02.03</v>
          </cell>
          <cell r="E424" t="str">
            <v>Escavação mecânica para obras com explosivo</v>
          </cell>
          <cell r="F424" t="str">
            <v>m³</v>
          </cell>
        </row>
        <row r="425">
          <cell r="B425" t="str">
            <v>5.1.6</v>
          </cell>
          <cell r="D425" t="str">
            <v>25.02.04</v>
          </cell>
          <cell r="E425" t="str">
            <v>Escavação corta-rio sem explosivo</v>
          </cell>
          <cell r="F425" t="str">
            <v>m³</v>
          </cell>
        </row>
        <row r="426">
          <cell r="B426" t="str">
            <v>5.1.7</v>
          </cell>
          <cell r="D426" t="str">
            <v>25.02.05</v>
          </cell>
          <cell r="E426" t="str">
            <v>Escavação corta-rio com explosivo</v>
          </cell>
          <cell r="F426" t="str">
            <v>m³</v>
          </cell>
        </row>
        <row r="427">
          <cell r="B427" t="str">
            <v>5.1.8</v>
          </cell>
          <cell r="D427" t="str">
            <v>25.02.06</v>
          </cell>
          <cell r="E427" t="str">
            <v>Escavação fund., bueiro ou dreno sem expl. até 2 m</v>
          </cell>
          <cell r="F427" t="str">
            <v>m³</v>
          </cell>
        </row>
        <row r="428">
          <cell r="B428" t="str">
            <v>5.1.9</v>
          </cell>
          <cell r="D428" t="str">
            <v>25.02.07</v>
          </cell>
          <cell r="E428" t="str">
            <v>Acresc. p/Escav. 1,5 m profundidade, além 2m</v>
          </cell>
          <cell r="F428" t="str">
            <v>m³</v>
          </cell>
        </row>
        <row r="429">
          <cell r="B429" t="str">
            <v>5.1.10</v>
          </cell>
          <cell r="D429" t="str">
            <v>25.02.08</v>
          </cell>
          <cell r="E429" t="str">
            <v>Escavação fund., bueiro ou dreno c/expl. até 2 m</v>
          </cell>
          <cell r="F429" t="str">
            <v>m³</v>
          </cell>
        </row>
        <row r="430">
          <cell r="B430" t="str">
            <v>5.1.11</v>
          </cell>
          <cell r="D430" t="str">
            <v>25.02.09</v>
          </cell>
          <cell r="E430" t="str">
            <v>Acresc.escav. ensec.explos.c/ 1,5m prof. além 2m</v>
          </cell>
          <cell r="F430" t="str">
            <v>m³</v>
          </cell>
        </row>
        <row r="431">
          <cell r="B431" t="str">
            <v>5.1.12</v>
          </cell>
          <cell r="D431" t="str">
            <v>25.02.10</v>
          </cell>
          <cell r="E431" t="str">
            <v>Escavação fund. dentro ensec. sem expl. até 3m</v>
          </cell>
          <cell r="F431" t="str">
            <v>m³</v>
          </cell>
        </row>
        <row r="432">
          <cell r="B432" t="str">
            <v>5.1.13</v>
          </cell>
          <cell r="D432" t="str">
            <v>25.02.11</v>
          </cell>
          <cell r="E432" t="str">
            <v>Acresc. p/escav. ensec. p/cada 1m prof. além 3m</v>
          </cell>
          <cell r="F432" t="str">
            <v>m³</v>
          </cell>
        </row>
        <row r="433">
          <cell r="B433" t="str">
            <v>5.1.14</v>
          </cell>
          <cell r="D433" t="str">
            <v>25.02.12</v>
          </cell>
          <cell r="E433" t="str">
            <v>Escavação fund. dentro ensec. com expl. até 3 m</v>
          </cell>
          <cell r="F433" t="str">
            <v>m³</v>
          </cell>
        </row>
        <row r="434">
          <cell r="B434" t="str">
            <v>5.1.15</v>
          </cell>
          <cell r="D434" t="str">
            <v>25.02.13</v>
          </cell>
          <cell r="E434" t="str">
            <v>Acresc. p/escav. ensec.c/explos.c/ 1,5m além 3m</v>
          </cell>
          <cell r="F434" t="str">
            <v>m³</v>
          </cell>
        </row>
        <row r="435">
          <cell r="B435" t="str">
            <v>5.1.16</v>
          </cell>
          <cell r="D435" t="str">
            <v>25.03.01</v>
          </cell>
          <cell r="E435" t="str">
            <v xml:space="preserve">Parede ensecadeira com prancha - esp. 2" </v>
          </cell>
          <cell r="F435" t="str">
            <v>m²</v>
          </cell>
        </row>
        <row r="436">
          <cell r="B436" t="str">
            <v>5.1.17</v>
          </cell>
          <cell r="D436" t="str">
            <v>25.03.02</v>
          </cell>
          <cell r="E436" t="str">
            <v xml:space="preserve">Parede ensecadeira com prancha - esp. 3" </v>
          </cell>
          <cell r="F436" t="str">
            <v>m²</v>
          </cell>
        </row>
        <row r="437">
          <cell r="B437" t="str">
            <v>5.1.18</v>
          </cell>
          <cell r="D437" t="str">
            <v>25.03.04</v>
          </cell>
          <cell r="E437" t="str">
            <v>Argila ench. ensecadeira, incl. apiloamento</v>
          </cell>
          <cell r="F437" t="str">
            <v>m³</v>
          </cell>
        </row>
        <row r="438">
          <cell r="B438" t="str">
            <v>5.1.19</v>
          </cell>
          <cell r="D438" t="str">
            <v>25.03.05</v>
          </cell>
          <cell r="E438" t="str">
            <v>Esgotamento continuo água</v>
          </cell>
          <cell r="F438" t="str">
            <v>m³</v>
          </cell>
        </row>
        <row r="439">
          <cell r="B439" t="str">
            <v>5.1.20</v>
          </cell>
          <cell r="D439" t="str">
            <v>25.03.06</v>
          </cell>
          <cell r="E439" t="str">
            <v>Escoramento de valas/cavas p/ fund. contínuo</v>
          </cell>
          <cell r="F439" t="str">
            <v>m²</v>
          </cell>
        </row>
        <row r="440">
          <cell r="B440" t="str">
            <v>5.1.21</v>
          </cell>
          <cell r="D440" t="str">
            <v>25.03.08</v>
          </cell>
          <cell r="E440" t="str">
            <v>Escoramento para formas</v>
          </cell>
          <cell r="F440" t="str">
            <v>m²</v>
          </cell>
        </row>
        <row r="441">
          <cell r="B441" t="str">
            <v>5.1.22</v>
          </cell>
          <cell r="D441" t="str">
            <v>25.04.01</v>
          </cell>
          <cell r="E441" t="str">
            <v>Estaca concreto pre-moldado20cm 20/25 T</v>
          </cell>
          <cell r="F441" t="str">
            <v>m</v>
          </cell>
        </row>
        <row r="442">
          <cell r="B442" t="str">
            <v>5.1.23</v>
          </cell>
          <cell r="D442" t="str">
            <v>25.04.02</v>
          </cell>
          <cell r="E442" t="str">
            <v xml:space="preserve">Estaca concreto pre-moldado25cm - 30/35 T </v>
          </cell>
          <cell r="F442" t="str">
            <v>m</v>
          </cell>
        </row>
        <row r="443">
          <cell r="B443" t="str">
            <v>5.1.24</v>
          </cell>
          <cell r="D443" t="str">
            <v>25.04.03</v>
          </cell>
          <cell r="E443" t="str">
            <v>Estaca concreto pre-moldado30cm - 40/45 T</v>
          </cell>
          <cell r="F443" t="str">
            <v>m</v>
          </cell>
        </row>
        <row r="444">
          <cell r="B444" t="str">
            <v>5.1.25</v>
          </cell>
          <cell r="D444" t="str">
            <v>25.04.04</v>
          </cell>
          <cell r="E444" t="str">
            <v>Estaca concreto pre-moldado35cm 50/60 T</v>
          </cell>
          <cell r="F444" t="str">
            <v>m</v>
          </cell>
        </row>
        <row r="445">
          <cell r="B445" t="str">
            <v>5.1.26</v>
          </cell>
          <cell r="D445" t="str">
            <v>25.04.05</v>
          </cell>
          <cell r="E445" t="str">
            <v>Estaca concreto pre-moldado40cm - 70/80 T</v>
          </cell>
          <cell r="F445" t="str">
            <v>m</v>
          </cell>
        </row>
        <row r="446">
          <cell r="B446" t="str">
            <v>5.1.27</v>
          </cell>
          <cell r="D446" t="str">
            <v>25.04.06</v>
          </cell>
          <cell r="E446" t="str">
            <v>Estaca metálica, fornec.e cravação</v>
          </cell>
          <cell r="F446" t="str">
            <v>kg</v>
          </cell>
        </row>
        <row r="447">
          <cell r="B447" t="str">
            <v>5.1.28</v>
          </cell>
          <cell r="D447" t="str">
            <v>25.04.07</v>
          </cell>
          <cell r="E447" t="str">
            <v>Estaca de madeira D=20cm - 8ton</v>
          </cell>
          <cell r="F447" t="str">
            <v>m</v>
          </cell>
        </row>
        <row r="448">
          <cell r="B448" t="str">
            <v>5.1.29</v>
          </cell>
          <cell r="D448" t="str">
            <v>25.04.08</v>
          </cell>
          <cell r="E448" t="str">
            <v>Estaca de madeira D=25cm - 15ton</v>
          </cell>
          <cell r="F448" t="str">
            <v>m</v>
          </cell>
        </row>
        <row r="449">
          <cell r="B449" t="str">
            <v>5.1.30</v>
          </cell>
          <cell r="D449" t="str">
            <v>25.04.09</v>
          </cell>
          <cell r="E449" t="str">
            <v>Estaca raiz em solo D= 15cm</v>
          </cell>
          <cell r="F449" t="str">
            <v>m</v>
          </cell>
        </row>
        <row r="450">
          <cell r="B450" t="str">
            <v>5.1.31</v>
          </cell>
          <cell r="D450" t="str">
            <v>25.04.10</v>
          </cell>
          <cell r="E450" t="str">
            <v>Estaca raiz em solo D= 16cm</v>
          </cell>
          <cell r="F450" t="str">
            <v>m</v>
          </cell>
        </row>
        <row r="451">
          <cell r="B451" t="str">
            <v>5.1.32</v>
          </cell>
          <cell r="D451" t="str">
            <v>25.04.11</v>
          </cell>
          <cell r="E451" t="str">
            <v>Estaca raiz em solo D= 20cm</v>
          </cell>
          <cell r="F451" t="str">
            <v>m</v>
          </cell>
        </row>
        <row r="452">
          <cell r="B452" t="str">
            <v>5.1.33</v>
          </cell>
          <cell r="D452" t="str">
            <v>25.04.12</v>
          </cell>
          <cell r="E452" t="str">
            <v>Estaca raiz em solo D= 25cm</v>
          </cell>
          <cell r="F452" t="str">
            <v>m</v>
          </cell>
        </row>
        <row r="453">
          <cell r="B453" t="str">
            <v>5.1.34</v>
          </cell>
          <cell r="D453" t="str">
            <v>25.04.13</v>
          </cell>
          <cell r="E453" t="str">
            <v>Estaca raiz em solo D= 31cm</v>
          </cell>
          <cell r="F453" t="str">
            <v>m</v>
          </cell>
        </row>
        <row r="454">
          <cell r="B454" t="str">
            <v>5.1.35</v>
          </cell>
          <cell r="D454" t="str">
            <v>25.04.14</v>
          </cell>
          <cell r="E454" t="str">
            <v>Estaca raiz em solo D= 40cm</v>
          </cell>
          <cell r="F454" t="str">
            <v>m</v>
          </cell>
        </row>
        <row r="455">
          <cell r="B455" t="str">
            <v>5.1.36</v>
          </cell>
          <cell r="D455" t="str">
            <v>25.04.15</v>
          </cell>
          <cell r="E455" t="str">
            <v>Estaca raiz em rocha alterada D= 15cm</v>
          </cell>
          <cell r="F455" t="str">
            <v>m</v>
          </cell>
        </row>
        <row r="456">
          <cell r="B456" t="str">
            <v>5.1.37</v>
          </cell>
          <cell r="D456" t="str">
            <v>25.04.16</v>
          </cell>
          <cell r="E456" t="str">
            <v>Estaca raiz em rocha alterada D= 16cm</v>
          </cell>
          <cell r="F456" t="str">
            <v>m</v>
          </cell>
        </row>
        <row r="457">
          <cell r="B457" t="str">
            <v>5.1.38</v>
          </cell>
          <cell r="D457" t="str">
            <v>25.04.17</v>
          </cell>
          <cell r="E457" t="str">
            <v>Estaca raiz em rocha alterada D= 20cm</v>
          </cell>
          <cell r="F457" t="str">
            <v>m</v>
          </cell>
        </row>
        <row r="458">
          <cell r="B458" t="str">
            <v>5.1.39</v>
          </cell>
          <cell r="D458" t="str">
            <v>25.04.18</v>
          </cell>
          <cell r="E458" t="str">
            <v>Estaca raiz em rocha alterada D= 25cm</v>
          </cell>
          <cell r="F458" t="str">
            <v>m</v>
          </cell>
        </row>
        <row r="459">
          <cell r="B459" t="str">
            <v>5.1.40</v>
          </cell>
          <cell r="D459" t="str">
            <v>25.04.19</v>
          </cell>
          <cell r="E459" t="str">
            <v>Estaca raiz em rocha alterada D= 31cm</v>
          </cell>
          <cell r="F459" t="str">
            <v>m</v>
          </cell>
        </row>
        <row r="460">
          <cell r="B460" t="str">
            <v>5.1.41</v>
          </cell>
          <cell r="D460" t="str">
            <v>25.04.20</v>
          </cell>
          <cell r="E460" t="str">
            <v>Estaca raiz em rocha alterada D= 40cm</v>
          </cell>
          <cell r="F460" t="str">
            <v>m</v>
          </cell>
        </row>
        <row r="461">
          <cell r="B461" t="str">
            <v>5.1.42</v>
          </cell>
          <cell r="D461" t="str">
            <v>25.04.21</v>
          </cell>
          <cell r="E461" t="str">
            <v>Estaca raiz - Taxa de instalação equipamento</v>
          </cell>
          <cell r="F461" t="str">
            <v>un</v>
          </cell>
        </row>
        <row r="462">
          <cell r="B462" t="str">
            <v>5.1.43</v>
          </cell>
          <cell r="D462" t="str">
            <v>25.05.01</v>
          </cell>
          <cell r="E462" t="str">
            <v>Andaime de madeira</v>
          </cell>
          <cell r="F462" t="str">
            <v>m³</v>
          </cell>
        </row>
        <row r="463">
          <cell r="B463" t="str">
            <v>5.1.44</v>
          </cell>
          <cell r="D463" t="str">
            <v>25.05.02</v>
          </cell>
          <cell r="E463" t="str">
            <v>Andaime tubular</v>
          </cell>
          <cell r="F463" t="str">
            <v>m³</v>
          </cell>
        </row>
        <row r="464">
          <cell r="B464" t="str">
            <v>5.1.45</v>
          </cell>
          <cell r="D464" t="str">
            <v>25.06.01</v>
          </cell>
          <cell r="E464" t="str">
            <v>Forma plana para conc. armado comum</v>
          </cell>
          <cell r="F464" t="str">
            <v>m²</v>
          </cell>
        </row>
        <row r="465">
          <cell r="B465" t="str">
            <v>5.1.46</v>
          </cell>
          <cell r="D465" t="str">
            <v>25.06.02</v>
          </cell>
          <cell r="E465" t="str">
            <v>Formas para concreto protendido ou aparente</v>
          </cell>
          <cell r="F465" t="str">
            <v>m²</v>
          </cell>
        </row>
        <row r="466">
          <cell r="B466" t="str">
            <v>5.1.47</v>
          </cell>
          <cell r="D466" t="str">
            <v>25.07.01</v>
          </cell>
          <cell r="E466" t="str">
            <v>Aço CA-25</v>
          </cell>
          <cell r="F466" t="str">
            <v>kg</v>
          </cell>
        </row>
        <row r="467">
          <cell r="B467" t="str">
            <v>5.1.48</v>
          </cell>
          <cell r="D467" t="str">
            <v>25.07.02</v>
          </cell>
          <cell r="E467" t="str">
            <v>Aço CA-50</v>
          </cell>
          <cell r="F467" t="str">
            <v>kg</v>
          </cell>
        </row>
        <row r="468">
          <cell r="B468" t="str">
            <v>5.1.49</v>
          </cell>
          <cell r="D468" t="str">
            <v>25.07.03</v>
          </cell>
          <cell r="E468" t="str">
            <v>Aço CA-60</v>
          </cell>
          <cell r="F468" t="str">
            <v>kg</v>
          </cell>
        </row>
        <row r="469">
          <cell r="B469" t="str">
            <v>5.1.50</v>
          </cell>
          <cell r="D469" t="str">
            <v>25.07.04</v>
          </cell>
          <cell r="E469" t="str">
            <v>Aço para concreto protendido</v>
          </cell>
          <cell r="F469" t="str">
            <v>kg</v>
          </cell>
        </row>
        <row r="470">
          <cell r="B470" t="str">
            <v>5.1.51</v>
          </cell>
          <cell r="D470" t="str">
            <v>25.07.05</v>
          </cell>
          <cell r="E470" t="str">
            <v>Tela metálica</v>
          </cell>
          <cell r="F470" t="str">
            <v>kg</v>
          </cell>
        </row>
        <row r="471">
          <cell r="B471" t="str">
            <v>5.1.52</v>
          </cell>
          <cell r="D471" t="str">
            <v>25.07.06</v>
          </cell>
          <cell r="E471" t="str">
            <v xml:space="preserve">Aço para concreto protendido tipo Dywidag </v>
          </cell>
          <cell r="F471" t="str">
            <v>kg</v>
          </cell>
        </row>
        <row r="472">
          <cell r="B472" t="str">
            <v>5.1.53</v>
          </cell>
          <cell r="D472" t="str">
            <v>25.08.02</v>
          </cell>
          <cell r="E472" t="str">
            <v>Apar. anc. p/ cabos de protensão ativo de 12 f -8 mm</v>
          </cell>
          <cell r="F472" t="str">
            <v>un</v>
          </cell>
        </row>
        <row r="473">
          <cell r="B473" t="str">
            <v>5.1.54</v>
          </cell>
          <cell r="D473" t="str">
            <v>25.08.03</v>
          </cell>
          <cell r="E473" t="str">
            <v>Apar. anc. p/ cabos de protensão ativo de 4 f -1/2"</v>
          </cell>
          <cell r="F473" t="str">
            <v>un</v>
          </cell>
        </row>
        <row r="474">
          <cell r="B474" t="str">
            <v>5.1.55</v>
          </cell>
          <cell r="D474" t="str">
            <v>25.08.04</v>
          </cell>
          <cell r="E474" t="str">
            <v>Apar. anc. p/ cabos de protensão ativo de 6 f -1/2"</v>
          </cell>
          <cell r="F474" t="str">
            <v>un</v>
          </cell>
        </row>
        <row r="475">
          <cell r="B475" t="str">
            <v>5.1.56</v>
          </cell>
          <cell r="D475" t="str">
            <v>25.08.05</v>
          </cell>
          <cell r="E475" t="str">
            <v>Apar. anc. p/ cabos de protensão ativo de 12 f -1/2"</v>
          </cell>
          <cell r="F475" t="str">
            <v>un</v>
          </cell>
        </row>
        <row r="476">
          <cell r="B476" t="str">
            <v>5.1.57</v>
          </cell>
          <cell r="D476" t="str">
            <v>25.08.06</v>
          </cell>
          <cell r="E476" t="str">
            <v>Apar. anc. p/ cabos de protensão ativo de 19 f -1/2"</v>
          </cell>
          <cell r="F476" t="str">
            <v>un</v>
          </cell>
        </row>
        <row r="477">
          <cell r="B477" t="str">
            <v>5.1.58</v>
          </cell>
          <cell r="D477" t="str">
            <v>25.08.07</v>
          </cell>
          <cell r="E477" t="str">
            <v>Apar. anc. p/ cabos de protensão ativo de 22 f -1/2"</v>
          </cell>
          <cell r="F477" t="str">
            <v>un</v>
          </cell>
        </row>
        <row r="478">
          <cell r="B478" t="str">
            <v>5.1.59</v>
          </cell>
          <cell r="D478" t="str">
            <v>25.08.09</v>
          </cell>
          <cell r="E478" t="str">
            <v>Apar. anc. p/ cabos de protensão pas. de 4 f -1/2"</v>
          </cell>
          <cell r="F478" t="str">
            <v>un</v>
          </cell>
        </row>
        <row r="479">
          <cell r="B479" t="str">
            <v>5.1.60</v>
          </cell>
          <cell r="D479" t="str">
            <v>25.08.10</v>
          </cell>
          <cell r="E479" t="str">
            <v>Apar. anc. p/ cabos de protensão pas. de 6 f -1/2"</v>
          </cell>
          <cell r="F479" t="str">
            <v>un</v>
          </cell>
        </row>
        <row r="480">
          <cell r="B480" t="str">
            <v>5.1.61</v>
          </cell>
          <cell r="D480" t="str">
            <v>25.08.12</v>
          </cell>
          <cell r="E480" t="str">
            <v>Apar. anc. p/ cabos de protensão pas. de 19 f -1/2"</v>
          </cell>
          <cell r="F480" t="str">
            <v>un</v>
          </cell>
        </row>
        <row r="481">
          <cell r="B481" t="str">
            <v>5.1.62</v>
          </cell>
          <cell r="D481" t="str">
            <v>25.08.15.01</v>
          </cell>
          <cell r="E481" t="str">
            <v>Tiran. 40 TF 5F D= 1/2"</v>
          </cell>
          <cell r="F481" t="str">
            <v>m</v>
          </cell>
        </row>
        <row r="482">
          <cell r="B482" t="str">
            <v>5.1.63</v>
          </cell>
          <cell r="D482" t="str">
            <v>25.08.15.02</v>
          </cell>
          <cell r="E482" t="str">
            <v>Tiran. 60 TF 8F D= 1/2"</v>
          </cell>
          <cell r="F482" t="str">
            <v>m</v>
          </cell>
        </row>
        <row r="483">
          <cell r="B483" t="str">
            <v>5.1.64</v>
          </cell>
          <cell r="D483" t="str">
            <v>25.08.15.03</v>
          </cell>
          <cell r="E483" t="str">
            <v>Tiran. 80 TF 10F D=1/2"</v>
          </cell>
          <cell r="F483" t="str">
            <v>m</v>
          </cell>
        </row>
        <row r="484">
          <cell r="B484" t="str">
            <v>5.1.65</v>
          </cell>
          <cell r="D484" t="str">
            <v>25.08.15.04</v>
          </cell>
          <cell r="E484" t="str">
            <v>Tiran. 100TF 12F D=1/2"</v>
          </cell>
          <cell r="F484" t="str">
            <v>m</v>
          </cell>
        </row>
        <row r="485">
          <cell r="B485" t="str">
            <v>5.1.66</v>
          </cell>
          <cell r="D485" t="str">
            <v>25.08.16.02</v>
          </cell>
          <cell r="E485" t="str">
            <v>Termo fixo para tirante 40tf 8 D= 1/2"</v>
          </cell>
          <cell r="F485" t="str">
            <v>un</v>
          </cell>
        </row>
        <row r="486">
          <cell r="B486" t="str">
            <v>5.1.67</v>
          </cell>
          <cell r="D486" t="str">
            <v>25.08.16.02</v>
          </cell>
          <cell r="E486" t="str">
            <v>Termo fixo para tirante 60tf 8 D= 1/2"</v>
          </cell>
          <cell r="F486" t="str">
            <v>un</v>
          </cell>
        </row>
        <row r="487">
          <cell r="B487" t="str">
            <v>5.1.68</v>
          </cell>
          <cell r="D487" t="str">
            <v>25.08.16.03</v>
          </cell>
          <cell r="E487" t="str">
            <v>Termo fixo para tirante 80tf 10 D= 1/2"</v>
          </cell>
          <cell r="F487" t="str">
            <v>un</v>
          </cell>
        </row>
        <row r="488">
          <cell r="B488" t="str">
            <v>5.1.69</v>
          </cell>
          <cell r="D488" t="str">
            <v>25.09.01</v>
          </cell>
          <cell r="E488" t="str">
            <v>Concreto Fck 10 MPa</v>
          </cell>
          <cell r="F488" t="str">
            <v>m³</v>
          </cell>
        </row>
        <row r="489">
          <cell r="B489" t="str">
            <v>5.1.70</v>
          </cell>
          <cell r="D489" t="str">
            <v>25.09.02</v>
          </cell>
          <cell r="E489" t="str">
            <v>Concreto Fck 15 MPa</v>
          </cell>
          <cell r="F489" t="str">
            <v>m³</v>
          </cell>
        </row>
        <row r="490">
          <cell r="B490" t="str">
            <v>5.1.71</v>
          </cell>
          <cell r="D490" t="str">
            <v>25.09.03</v>
          </cell>
          <cell r="E490" t="str">
            <v>Concreto Fck 18 MPa</v>
          </cell>
          <cell r="F490" t="str">
            <v>m³</v>
          </cell>
        </row>
        <row r="491">
          <cell r="B491" t="str">
            <v>5.1.72</v>
          </cell>
          <cell r="D491" t="str">
            <v>25.09.04</v>
          </cell>
          <cell r="E491" t="str">
            <v>Concreto Fck 20 Mpa</v>
          </cell>
          <cell r="F491" t="str">
            <v>m³</v>
          </cell>
        </row>
        <row r="492">
          <cell r="B492" t="str">
            <v>5.1.73</v>
          </cell>
          <cell r="D492" t="str">
            <v>25.09.05</v>
          </cell>
          <cell r="E492" t="str">
            <v>Concreto Fck 25 MPa</v>
          </cell>
          <cell r="F492" t="str">
            <v>m³</v>
          </cell>
        </row>
        <row r="493">
          <cell r="B493" t="str">
            <v>5.1.74</v>
          </cell>
          <cell r="D493" t="str">
            <v>25.09.06</v>
          </cell>
          <cell r="E493" t="str">
            <v>Concreto Fck 30 MPa</v>
          </cell>
          <cell r="F493" t="str">
            <v>m³</v>
          </cell>
        </row>
        <row r="494">
          <cell r="B494" t="str">
            <v>5.1.75</v>
          </cell>
          <cell r="D494" t="str">
            <v>25.09.07</v>
          </cell>
          <cell r="E494" t="str">
            <v>Concreto Fck 35 Mpa</v>
          </cell>
          <cell r="F494" t="str">
            <v>m³</v>
          </cell>
        </row>
        <row r="495">
          <cell r="B495" t="str">
            <v>5.1.76</v>
          </cell>
          <cell r="D495" t="str">
            <v>25.09.08</v>
          </cell>
          <cell r="E495" t="str">
            <v>Concreto Ciclópico</v>
          </cell>
          <cell r="F495" t="str">
            <v>m³</v>
          </cell>
        </row>
        <row r="496">
          <cell r="B496" t="str">
            <v>5.1.77</v>
          </cell>
          <cell r="D496" t="str">
            <v>25.09.10</v>
          </cell>
          <cell r="E496" t="str">
            <v>Concreto Projetado</v>
          </cell>
          <cell r="F496" t="str">
            <v>m³</v>
          </cell>
        </row>
        <row r="497">
          <cell r="B497" t="str">
            <v>5.1.78</v>
          </cell>
          <cell r="D497" t="str">
            <v>25.09.11</v>
          </cell>
          <cell r="E497" t="str">
            <v>Bombeamento concreto qualquer resistência</v>
          </cell>
          <cell r="F497" t="str">
            <v>m³</v>
          </cell>
        </row>
        <row r="498">
          <cell r="B498" t="str">
            <v>5.1.79</v>
          </cell>
          <cell r="D498" t="str">
            <v>25.09.12</v>
          </cell>
          <cell r="E498" t="str">
            <v>Injeção de calda de cimento</v>
          </cell>
          <cell r="F498" t="str">
            <v>kg</v>
          </cell>
        </row>
        <row r="499">
          <cell r="B499" t="str">
            <v>5.1.80</v>
          </cell>
          <cell r="D499" t="str">
            <v>25.09.13</v>
          </cell>
          <cell r="E499" t="str">
            <v>Concreto Fck 12 Mpa</v>
          </cell>
          <cell r="F499" t="str">
            <v>m³</v>
          </cell>
        </row>
        <row r="500">
          <cell r="B500" t="str">
            <v>5.1.81</v>
          </cell>
          <cell r="D500" t="str">
            <v>25.09.14</v>
          </cell>
          <cell r="E500" t="str">
            <v>Concreto Fck 16 MPa</v>
          </cell>
          <cell r="F500" t="str">
            <v>m³</v>
          </cell>
        </row>
        <row r="501">
          <cell r="B501" t="str">
            <v>5.1.82</v>
          </cell>
          <cell r="D501" t="str">
            <v>25.09.15</v>
          </cell>
          <cell r="E501" t="str">
            <v>Concreto Fck 40 Mpa</v>
          </cell>
          <cell r="F501" t="str">
            <v>m³</v>
          </cell>
        </row>
        <row r="502">
          <cell r="B502" t="str">
            <v>5.1.83</v>
          </cell>
          <cell r="D502" t="str">
            <v>25.10.01</v>
          </cell>
          <cell r="E502" t="str">
            <v>Perf. p/ dreno e tir.solo D=57,10mm (AX)</v>
          </cell>
          <cell r="F502" t="str">
            <v>m</v>
          </cell>
        </row>
        <row r="503">
          <cell r="B503" t="str">
            <v>5.1.84</v>
          </cell>
          <cell r="D503" t="str">
            <v>25.10.02</v>
          </cell>
          <cell r="E503" t="str">
            <v>Perf. p/ dreno e tir.solo D=73,00mm (BX)</v>
          </cell>
          <cell r="F503" t="str">
            <v>m</v>
          </cell>
        </row>
        <row r="504">
          <cell r="B504" t="str">
            <v>5.1.85</v>
          </cell>
          <cell r="D504" t="str">
            <v>25.10.03</v>
          </cell>
          <cell r="E504" t="str">
            <v>Perf. p/ dreno e tir.solo D=88,9mm (NX)</v>
          </cell>
          <cell r="F504" t="str">
            <v>m</v>
          </cell>
        </row>
        <row r="505">
          <cell r="B505" t="str">
            <v>5.1.86</v>
          </cell>
          <cell r="D505" t="str">
            <v>25.10.04</v>
          </cell>
          <cell r="E505" t="str">
            <v>Perf. p/ dreno e tir.solo D=114,30mm (HX)</v>
          </cell>
          <cell r="F505" t="str">
            <v>m</v>
          </cell>
        </row>
        <row r="506">
          <cell r="B506" t="str">
            <v>5.1.87</v>
          </cell>
          <cell r="D506" t="str">
            <v>25.10.05</v>
          </cell>
          <cell r="E506" t="str">
            <v>Perf. p/ dreno e tir.rochaalt. D=57,10mm (AX)</v>
          </cell>
          <cell r="F506" t="str">
            <v>m</v>
          </cell>
        </row>
        <row r="507">
          <cell r="B507" t="str">
            <v>5.1.88</v>
          </cell>
          <cell r="D507" t="str">
            <v>25.10.06</v>
          </cell>
          <cell r="E507" t="str">
            <v>Perf. p/ dreno e tir.rochaalt. D=73,00mm (BX)</v>
          </cell>
          <cell r="F507" t="str">
            <v>m</v>
          </cell>
        </row>
        <row r="508">
          <cell r="B508" t="str">
            <v>5.1.89</v>
          </cell>
          <cell r="D508" t="str">
            <v>25.10.07</v>
          </cell>
          <cell r="E508" t="str">
            <v>Perf. p/ dreno e tir.rochaalt. D=88,90mm (NX)</v>
          </cell>
          <cell r="F508" t="str">
            <v>m</v>
          </cell>
        </row>
        <row r="509">
          <cell r="B509" t="str">
            <v>5.1.90</v>
          </cell>
          <cell r="D509" t="str">
            <v>25.10.08</v>
          </cell>
          <cell r="E509" t="str">
            <v>Perf. p/ dreno e tir.rochaalt. D=114,30mm (HX)</v>
          </cell>
          <cell r="F509" t="str">
            <v>m</v>
          </cell>
        </row>
        <row r="510">
          <cell r="B510" t="str">
            <v>5.1.91</v>
          </cell>
          <cell r="D510" t="str">
            <v>25.10.09</v>
          </cell>
          <cell r="E510" t="str">
            <v>Perf. p/ dreno e tir.rocha sã D=57,10mm (AX)</v>
          </cell>
          <cell r="F510" t="str">
            <v>m</v>
          </cell>
        </row>
        <row r="511">
          <cell r="B511" t="str">
            <v>5.1.92</v>
          </cell>
          <cell r="D511" t="str">
            <v>25.10.10</v>
          </cell>
          <cell r="E511" t="str">
            <v>Perf. p/ dreno e tir.rocha sã D=73,00mm (BX)</v>
          </cell>
          <cell r="F511" t="str">
            <v>m</v>
          </cell>
        </row>
        <row r="512">
          <cell r="B512" t="str">
            <v>5.1.93</v>
          </cell>
          <cell r="D512" t="str">
            <v>25.10.11</v>
          </cell>
          <cell r="E512" t="str">
            <v>Perf. p/ dreno e tir.rocha sã D=88,90mm (NX)</v>
          </cell>
          <cell r="F512" t="str">
            <v>m</v>
          </cell>
        </row>
        <row r="513">
          <cell r="B513" t="str">
            <v>5.1.94</v>
          </cell>
          <cell r="D513" t="str">
            <v>25.10.12</v>
          </cell>
          <cell r="E513" t="str">
            <v>Perf. p/ dreno e tir.rocha sã D=114,30mm (HX)</v>
          </cell>
          <cell r="F513" t="str">
            <v>m</v>
          </cell>
        </row>
        <row r="514">
          <cell r="B514" t="str">
            <v>5.1.95</v>
          </cell>
          <cell r="D514" t="str">
            <v>25.11.01</v>
          </cell>
          <cell r="E514" t="str">
            <v>Enrocamento pedra arrumada</v>
          </cell>
          <cell r="F514" t="str">
            <v>m³</v>
          </cell>
        </row>
        <row r="515">
          <cell r="B515" t="str">
            <v>5.1.96</v>
          </cell>
          <cell r="D515" t="str">
            <v>25.11.02</v>
          </cell>
          <cell r="E515" t="str">
            <v>Enrocamento pedra arrumada e rejuntada</v>
          </cell>
          <cell r="F515" t="str">
            <v>m³</v>
          </cell>
        </row>
        <row r="516">
          <cell r="B516" t="str">
            <v>5.1.97</v>
          </cell>
          <cell r="D516" t="str">
            <v>25.11.03</v>
          </cell>
          <cell r="E516" t="str">
            <v>Enrrocamento pedra jogada</v>
          </cell>
          <cell r="F516" t="str">
            <v>m³</v>
          </cell>
        </row>
        <row r="517">
          <cell r="B517" t="str">
            <v>5.1.98</v>
          </cell>
          <cell r="D517" t="str">
            <v>25.11.04</v>
          </cell>
          <cell r="E517" t="str">
            <v>Gabião tipo caixa 50 cm - tela galv.</v>
          </cell>
          <cell r="F517" t="str">
            <v>m³</v>
          </cell>
        </row>
        <row r="518">
          <cell r="B518" t="str">
            <v>5.1.99</v>
          </cell>
          <cell r="D518" t="str">
            <v>25.11.05.01</v>
          </cell>
          <cell r="E518" t="str">
            <v>Gabião tipo colchão espessura 17cm - tela galv.</v>
          </cell>
          <cell r="F518" t="str">
            <v>m²</v>
          </cell>
        </row>
        <row r="519">
          <cell r="B519" t="str">
            <v>5.1.100</v>
          </cell>
          <cell r="D519" t="str">
            <v>25.11.06.01</v>
          </cell>
          <cell r="E519" t="str">
            <v>Gabião tipo colchão e= 23cm - tela galv.</v>
          </cell>
          <cell r="F519" t="str">
            <v>m²</v>
          </cell>
        </row>
        <row r="520">
          <cell r="B520" t="str">
            <v>5.1.101</v>
          </cell>
          <cell r="D520" t="str">
            <v>25.11.07.01</v>
          </cell>
          <cell r="E520" t="str">
            <v>Gabião tipo colchão espessura 30cm - tela galv.</v>
          </cell>
          <cell r="F520" t="str">
            <v>m²</v>
          </cell>
        </row>
        <row r="521">
          <cell r="B521" t="str">
            <v>5.1.102</v>
          </cell>
          <cell r="D521" t="str">
            <v>25.11.08.01</v>
          </cell>
          <cell r="E521" t="str">
            <v xml:space="preserve">Gabião tipo colchão espessura 17cm - tela pvc </v>
          </cell>
          <cell r="F521" t="str">
            <v>m²</v>
          </cell>
        </row>
        <row r="522">
          <cell r="B522" t="str">
            <v>5.1.103</v>
          </cell>
          <cell r="D522" t="str">
            <v>25.11.09.01</v>
          </cell>
          <cell r="E522" t="str">
            <v>Gabião tipo colchão espessura 23cm - tela pvc</v>
          </cell>
          <cell r="F522" t="str">
            <v>m²</v>
          </cell>
        </row>
        <row r="523">
          <cell r="B523" t="str">
            <v>5.1.104</v>
          </cell>
          <cell r="D523" t="str">
            <v>25.11.10.01</v>
          </cell>
          <cell r="E523" t="str">
            <v>Gabião tipo colchão espessura 30cm - tela pvc</v>
          </cell>
          <cell r="F523" t="str">
            <v>m²</v>
          </cell>
        </row>
        <row r="524">
          <cell r="B524" t="str">
            <v>5.1.105</v>
          </cell>
          <cell r="D524" t="str">
            <v>25.11.11</v>
          </cell>
          <cell r="E524" t="str">
            <v>Gabião tipo saco - tela galv.</v>
          </cell>
          <cell r="F524" t="str">
            <v>m³</v>
          </cell>
        </row>
        <row r="525">
          <cell r="B525" t="str">
            <v>5.1.106</v>
          </cell>
          <cell r="D525" t="str">
            <v>25.11.12</v>
          </cell>
          <cell r="E525" t="str">
            <v>Camada filtrante pedra britada</v>
          </cell>
          <cell r="F525" t="str">
            <v>m³</v>
          </cell>
        </row>
        <row r="526">
          <cell r="B526" t="str">
            <v>5.1.107</v>
          </cell>
          <cell r="D526" t="str">
            <v>25.12.02</v>
          </cell>
          <cell r="E526" t="str">
            <v xml:space="preserve">Calçamento concreto Fck 15 MPa </v>
          </cell>
          <cell r="F526" t="str">
            <v>m³</v>
          </cell>
        </row>
        <row r="527">
          <cell r="B527" t="str">
            <v>5.1.108</v>
          </cell>
          <cell r="D527" t="str">
            <v>25.12.03</v>
          </cell>
          <cell r="E527" t="str">
            <v xml:space="preserve">Calçamento concreto Fck 10 MPa </v>
          </cell>
          <cell r="F527" t="str">
            <v>m³</v>
          </cell>
        </row>
        <row r="528">
          <cell r="B528" t="str">
            <v>5.1.109</v>
          </cell>
          <cell r="D528" t="str">
            <v>25.13.02</v>
          </cell>
          <cell r="E528" t="str">
            <v xml:space="preserve">Alvenaria de pedra seca </v>
          </cell>
          <cell r="F528" t="str">
            <v>m³</v>
          </cell>
        </row>
        <row r="529">
          <cell r="B529" t="str">
            <v>5.1.110</v>
          </cell>
          <cell r="D529" t="str">
            <v>25.13.04</v>
          </cell>
          <cell r="E529" t="str">
            <v>Alvenaria de pedra argamassada</v>
          </cell>
          <cell r="F529" t="str">
            <v>m³</v>
          </cell>
        </row>
        <row r="530">
          <cell r="B530" t="str">
            <v>5.1.111</v>
          </cell>
          <cell r="D530" t="str">
            <v>25.13.05</v>
          </cell>
          <cell r="E530" t="str">
            <v>Alvenaria de bloco de concreto</v>
          </cell>
          <cell r="F530" t="str">
            <v>m³</v>
          </cell>
        </row>
        <row r="531">
          <cell r="B531" t="str">
            <v>5.1.112</v>
          </cell>
          <cell r="D531" t="str">
            <v>25.13.07</v>
          </cell>
          <cell r="E531" t="str">
            <v>Argamassa de cimento e areia traço 1:3 esp 2cm</v>
          </cell>
          <cell r="F531" t="str">
            <v>m²</v>
          </cell>
        </row>
        <row r="532">
          <cell r="B532" t="str">
            <v>5.1.113</v>
          </cell>
          <cell r="D532" t="str">
            <v>25.14.01</v>
          </cell>
          <cell r="E532" t="str">
            <v>Manta geotêxtil não tecida</v>
          </cell>
          <cell r="F532" t="str">
            <v>kg</v>
          </cell>
        </row>
        <row r="533">
          <cell r="B533" t="str">
            <v>5.1.114</v>
          </cell>
          <cell r="D533" t="str">
            <v>25.14.02</v>
          </cell>
          <cell r="E533" t="str">
            <v xml:space="preserve">Manta geotêxtil tecida </v>
          </cell>
          <cell r="F533" t="str">
            <v>kg</v>
          </cell>
        </row>
        <row r="534">
          <cell r="B534" t="str">
            <v>5.1.115</v>
          </cell>
          <cell r="D534" t="str">
            <v>25.15.03</v>
          </cell>
          <cell r="E534" t="str">
            <v>Fornecimento de tubo dreno barro 15 cm</v>
          </cell>
          <cell r="F534" t="str">
            <v>m</v>
          </cell>
        </row>
        <row r="535">
          <cell r="B535" t="str">
            <v>5.1.116</v>
          </cell>
          <cell r="D535" t="str">
            <v>25.15.04</v>
          </cell>
          <cell r="E535" t="str">
            <v>Fornecimento de tubo dreno barro 20 cm</v>
          </cell>
          <cell r="F535" t="str">
            <v>m</v>
          </cell>
        </row>
        <row r="536">
          <cell r="B536" t="str">
            <v>5.1.117</v>
          </cell>
          <cell r="D536" t="str">
            <v>25.15.05</v>
          </cell>
          <cell r="E536" t="str">
            <v>Assentamento de tubo dreno concreto 15 cm</v>
          </cell>
          <cell r="F536" t="str">
            <v>m</v>
          </cell>
        </row>
        <row r="537">
          <cell r="B537" t="str">
            <v>5.1.118</v>
          </cell>
          <cell r="D537" t="str">
            <v>25.15.06</v>
          </cell>
          <cell r="E537" t="str">
            <v>Assentamento de tubo dreno concreto 20 cm</v>
          </cell>
          <cell r="F537" t="str">
            <v>m</v>
          </cell>
        </row>
        <row r="538">
          <cell r="B538" t="str">
            <v>5.1.119</v>
          </cell>
          <cell r="D538" t="str">
            <v>25.15.07</v>
          </cell>
          <cell r="E538" t="str">
            <v>Assentamento de tubo dreno barro 15 cm</v>
          </cell>
          <cell r="F538" t="str">
            <v>m</v>
          </cell>
        </row>
        <row r="539">
          <cell r="B539" t="str">
            <v>5.1.120</v>
          </cell>
          <cell r="D539" t="str">
            <v>25.15.08</v>
          </cell>
          <cell r="E539" t="str">
            <v>Assentamento de tubo dreno barro 20 cm</v>
          </cell>
          <cell r="F539" t="str">
            <v>m</v>
          </cell>
        </row>
        <row r="540">
          <cell r="B540" t="str">
            <v>5.1.121</v>
          </cell>
          <cell r="D540" t="str">
            <v>25.15.09</v>
          </cell>
          <cell r="E540" t="str">
            <v>Tubo de pvc perfurado ou não D=0,050m</v>
          </cell>
          <cell r="F540" t="str">
            <v>m</v>
          </cell>
        </row>
        <row r="541">
          <cell r="B541" t="str">
            <v>5.1.122</v>
          </cell>
          <cell r="D541" t="str">
            <v>25.15.11</v>
          </cell>
          <cell r="E541" t="str">
            <v xml:space="preserve">Tubo de pvc perfurado ou não D=0,10m </v>
          </cell>
          <cell r="F541" t="str">
            <v>m</v>
          </cell>
        </row>
        <row r="542">
          <cell r="B542" t="str">
            <v>5.1.123</v>
          </cell>
          <cell r="D542" t="str">
            <v>25.15.12</v>
          </cell>
          <cell r="E542" t="str">
            <v xml:space="preserve">Tubo de pvc perfurado ou não D=0,15m </v>
          </cell>
          <cell r="F542" t="str">
            <v>m</v>
          </cell>
        </row>
        <row r="543">
          <cell r="B543" t="str">
            <v>5.1.124</v>
          </cell>
          <cell r="D543" t="str">
            <v>25.18.01</v>
          </cell>
          <cell r="E543" t="str">
            <v>Grama armada com adubo</v>
          </cell>
          <cell r="F543" t="str">
            <v>m²</v>
          </cell>
        </row>
        <row r="544">
          <cell r="B544" t="str">
            <v>5.1.125</v>
          </cell>
          <cell r="D544" t="str">
            <v>25.18.02</v>
          </cell>
          <cell r="E544" t="str">
            <v>Grama armada sem adubo</v>
          </cell>
          <cell r="F544" t="str">
            <v>m²</v>
          </cell>
        </row>
        <row r="546">
          <cell r="B546" t="str">
            <v>Cód. Colinas</v>
          </cell>
          <cell r="D546" t="str">
            <v>Código</v>
          </cell>
          <cell r="E546" t="str">
            <v>Serviços</v>
          </cell>
          <cell r="F546" t="str">
            <v>Unid.</v>
          </cell>
        </row>
        <row r="549">
          <cell r="D549" t="str">
            <v>FASE-26 OBRAS DE ARTE ESPECIAIS</v>
          </cell>
        </row>
        <row r="550">
          <cell r="B550" t="str">
            <v>6.1.1</v>
          </cell>
          <cell r="D550" t="str">
            <v>26.01.01</v>
          </cell>
          <cell r="E550" t="str">
            <v>Escavação manual para obras sem explosivos</v>
          </cell>
          <cell r="F550" t="str">
            <v>m³</v>
          </cell>
        </row>
        <row r="551">
          <cell r="B551" t="str">
            <v>6.1.2</v>
          </cell>
          <cell r="D551" t="str">
            <v>26.01.02</v>
          </cell>
          <cell r="E551" t="str">
            <v>Escavação mecânica para obras sem explosivos</v>
          </cell>
          <cell r="F551" t="str">
            <v>m³</v>
          </cell>
        </row>
        <row r="552">
          <cell r="B552" t="str">
            <v>6.1.3</v>
          </cell>
          <cell r="D552" t="str">
            <v>26.01.03</v>
          </cell>
          <cell r="E552" t="str">
            <v>Escavação mecânica para obras com explosivo</v>
          </cell>
          <cell r="F552" t="str">
            <v>m³</v>
          </cell>
        </row>
        <row r="553">
          <cell r="B553" t="str">
            <v>6.1.4</v>
          </cell>
          <cell r="D553" t="str">
            <v>26.02.01</v>
          </cell>
          <cell r="E553" t="str">
            <v xml:space="preserve">Estaca concreto pre-moldado20cm 20/25 T </v>
          </cell>
          <cell r="F553" t="str">
            <v>m</v>
          </cell>
        </row>
        <row r="554">
          <cell r="B554" t="str">
            <v>6.1.5</v>
          </cell>
          <cell r="D554" t="str">
            <v>26.02.02</v>
          </cell>
          <cell r="E554" t="str">
            <v>Estaca concreto pre-moldado25cm - 30/35 T</v>
          </cell>
          <cell r="F554" t="str">
            <v>m</v>
          </cell>
        </row>
        <row r="555">
          <cell r="B555" t="str">
            <v>6.1.6</v>
          </cell>
          <cell r="D555" t="str">
            <v>26.02.03</v>
          </cell>
          <cell r="E555" t="str">
            <v xml:space="preserve">Estaca concreto pre-moldado30cm - 40/45 T </v>
          </cell>
          <cell r="F555" t="str">
            <v>m</v>
          </cell>
        </row>
        <row r="556">
          <cell r="B556" t="str">
            <v>6.1.7</v>
          </cell>
          <cell r="D556" t="str">
            <v>26.02.04</v>
          </cell>
          <cell r="E556" t="str">
            <v>Estaca concreto pre-moldado35cm 50/60 T</v>
          </cell>
          <cell r="F556" t="str">
            <v>m</v>
          </cell>
        </row>
        <row r="557">
          <cell r="B557" t="str">
            <v>6.1.8</v>
          </cell>
          <cell r="D557" t="str">
            <v>26.02.05</v>
          </cell>
          <cell r="E557" t="str">
            <v>Estaca concreto pre-moldado40cm - 70/80 T</v>
          </cell>
          <cell r="F557" t="str">
            <v>m</v>
          </cell>
        </row>
        <row r="558">
          <cell r="B558" t="str">
            <v>6.1.9</v>
          </cell>
          <cell r="D558" t="str">
            <v>26.02.06</v>
          </cell>
          <cell r="E558" t="str">
            <v>Estaca concreto - Taxa mobil. de equip. bate-estaca</v>
          </cell>
          <cell r="F558" t="str">
            <v>un</v>
          </cell>
        </row>
        <row r="559">
          <cell r="B559" t="str">
            <v>6.1.10</v>
          </cell>
          <cell r="D559" t="str">
            <v>26.02.07</v>
          </cell>
          <cell r="E559" t="str">
            <v xml:space="preserve">Estaca metálica, fornec.e cravação </v>
          </cell>
          <cell r="F559" t="str">
            <v>kg</v>
          </cell>
        </row>
        <row r="560">
          <cell r="B560" t="str">
            <v>6.1.11</v>
          </cell>
          <cell r="D560" t="str">
            <v>26.02.13</v>
          </cell>
          <cell r="E560" t="str">
            <v>Estacão em solo D=1,00m</v>
          </cell>
          <cell r="F560" t="str">
            <v>m</v>
          </cell>
        </row>
        <row r="561">
          <cell r="B561" t="str">
            <v>6.1.12</v>
          </cell>
          <cell r="D561" t="str">
            <v>26.02.14</v>
          </cell>
          <cell r="E561" t="str">
            <v>Estacão em solo D=1,20m</v>
          </cell>
          <cell r="F561" t="str">
            <v>m</v>
          </cell>
        </row>
        <row r="562">
          <cell r="B562" t="str">
            <v>6.1.13</v>
          </cell>
          <cell r="D562" t="str">
            <v>26.02.15</v>
          </cell>
          <cell r="E562" t="str">
            <v>Estacão em solo D=1,40m</v>
          </cell>
          <cell r="F562" t="str">
            <v>m</v>
          </cell>
        </row>
        <row r="563">
          <cell r="B563" t="str">
            <v>6.1.14</v>
          </cell>
          <cell r="D563" t="str">
            <v>26.02.16</v>
          </cell>
          <cell r="E563" t="str">
            <v xml:space="preserve">Estacão em solo D=1,50m </v>
          </cell>
          <cell r="F563" t="str">
            <v>m</v>
          </cell>
        </row>
        <row r="564">
          <cell r="B564" t="str">
            <v>6.1.15</v>
          </cell>
          <cell r="D564" t="str">
            <v>26.02.17</v>
          </cell>
          <cell r="E564" t="str">
            <v xml:space="preserve">Estacão em solo D=1,60m </v>
          </cell>
          <cell r="F564" t="str">
            <v>m</v>
          </cell>
        </row>
        <row r="565">
          <cell r="B565" t="str">
            <v>6.1.16</v>
          </cell>
          <cell r="D565" t="str">
            <v>26.02.18</v>
          </cell>
          <cell r="E565" t="str">
            <v xml:space="preserve">Estacão em solo D=1,80m </v>
          </cell>
          <cell r="F565" t="str">
            <v>m</v>
          </cell>
        </row>
        <row r="566">
          <cell r="B566" t="str">
            <v>6.1.17</v>
          </cell>
          <cell r="D566" t="str">
            <v>26.02.19</v>
          </cell>
          <cell r="E566" t="str">
            <v xml:space="preserve">Estacão -Taxa mobilização de equip. </v>
          </cell>
          <cell r="F566" t="str">
            <v>un</v>
          </cell>
        </row>
        <row r="567">
          <cell r="B567" t="str">
            <v>6.1.18</v>
          </cell>
          <cell r="D567" t="str">
            <v>26.02.20</v>
          </cell>
          <cell r="E567" t="str">
            <v>Camisa metálica</v>
          </cell>
          <cell r="F567" t="str">
            <v>kg</v>
          </cell>
        </row>
        <row r="568">
          <cell r="B568" t="str">
            <v>6.1.19</v>
          </cell>
          <cell r="D568" t="str">
            <v>26.02.21</v>
          </cell>
          <cell r="E568" t="str">
            <v xml:space="preserve">Estaca de madeira D=20cm - 8ton </v>
          </cell>
          <cell r="F568" t="str">
            <v>m</v>
          </cell>
        </row>
        <row r="569">
          <cell r="B569" t="str">
            <v>6.1.20</v>
          </cell>
          <cell r="D569" t="str">
            <v>26.02.22</v>
          </cell>
          <cell r="E569" t="str">
            <v xml:space="preserve">Estaca de madeira D=25cm - 15ton </v>
          </cell>
          <cell r="F569" t="str">
            <v>m</v>
          </cell>
        </row>
        <row r="570">
          <cell r="B570" t="str">
            <v>6.1.21</v>
          </cell>
          <cell r="D570" t="str">
            <v>26.03.25</v>
          </cell>
          <cell r="E570" t="str">
            <v xml:space="preserve">Escavação Tub.céu aberto 1/2 cat. - solo </v>
          </cell>
          <cell r="F570" t="str">
            <v>m³</v>
          </cell>
        </row>
        <row r="571">
          <cell r="B571" t="str">
            <v>6.1.22</v>
          </cell>
          <cell r="D571" t="str">
            <v>26.03.26</v>
          </cell>
          <cell r="E571" t="str">
            <v xml:space="preserve">Escavação tub. Ar compr. 1/2 cat. - solo </v>
          </cell>
          <cell r="F571" t="str">
            <v>m³</v>
          </cell>
        </row>
        <row r="572">
          <cell r="B572" t="str">
            <v>6.1.23</v>
          </cell>
          <cell r="D572" t="str">
            <v>26.03.27</v>
          </cell>
          <cell r="E572" t="str">
            <v xml:space="preserve">Escavação tub. Céu aberto 3 cat. - rocha </v>
          </cell>
          <cell r="F572" t="str">
            <v>m³</v>
          </cell>
        </row>
        <row r="573">
          <cell r="B573" t="str">
            <v>6.1.24</v>
          </cell>
          <cell r="D573" t="str">
            <v>26.03.28</v>
          </cell>
          <cell r="E573" t="str">
            <v xml:space="preserve">Escavação tub. Ar comprimido 3 cat. - rocha </v>
          </cell>
          <cell r="F573" t="str">
            <v>m³</v>
          </cell>
        </row>
        <row r="574">
          <cell r="B574" t="str">
            <v>6.1.25</v>
          </cell>
          <cell r="D574" t="str">
            <v>26.04.01</v>
          </cell>
          <cell r="E574" t="str">
            <v xml:space="preserve">Cimbramento pontes e viadutos c/estaca </v>
          </cell>
          <cell r="F574" t="str">
            <v>m³</v>
          </cell>
        </row>
        <row r="575">
          <cell r="B575" t="str">
            <v>6.1.26</v>
          </cell>
          <cell r="D575" t="str">
            <v>26.04.02</v>
          </cell>
          <cell r="E575" t="str">
            <v xml:space="preserve">Cimbramento pontes e viadutos s/estaca </v>
          </cell>
          <cell r="F575" t="str">
            <v>m³</v>
          </cell>
        </row>
        <row r="576">
          <cell r="B576" t="str">
            <v>6.1.27</v>
          </cell>
          <cell r="D576" t="str">
            <v>26.04.03</v>
          </cell>
          <cell r="E576" t="str">
            <v xml:space="preserve">Cimbramento de passagem sec. galeria ret. </v>
          </cell>
          <cell r="F576" t="str">
            <v>m³</v>
          </cell>
        </row>
        <row r="577">
          <cell r="B577" t="str">
            <v>6.1.28</v>
          </cell>
          <cell r="D577" t="str">
            <v>26.04.05</v>
          </cell>
          <cell r="E577" t="str">
            <v xml:space="preserve">Andaime de madeira </v>
          </cell>
          <cell r="F577" t="str">
            <v>m³</v>
          </cell>
        </row>
        <row r="578">
          <cell r="B578" t="str">
            <v>6.1.29</v>
          </cell>
          <cell r="D578" t="str">
            <v>26.04.06</v>
          </cell>
          <cell r="E578" t="str">
            <v xml:space="preserve">Andaime tubular </v>
          </cell>
          <cell r="F578" t="str">
            <v>m³</v>
          </cell>
        </row>
        <row r="579">
          <cell r="B579" t="str">
            <v>6.1.30</v>
          </cell>
          <cell r="D579" t="str">
            <v>26.05.01</v>
          </cell>
          <cell r="E579" t="str">
            <v xml:space="preserve">Forma plana para conc. armado comum </v>
          </cell>
          <cell r="F579" t="str">
            <v>m²</v>
          </cell>
        </row>
        <row r="580">
          <cell r="B580" t="str">
            <v>6.1.31</v>
          </cell>
          <cell r="D580" t="str">
            <v>26.05.02</v>
          </cell>
          <cell r="E580" t="str">
            <v xml:space="preserve">Forma plana p/conc.protend. ou aparente </v>
          </cell>
          <cell r="F580" t="str">
            <v>m²</v>
          </cell>
        </row>
        <row r="581">
          <cell r="B581" t="str">
            <v>6.1.32</v>
          </cell>
          <cell r="D581" t="str">
            <v>26.05.03</v>
          </cell>
          <cell r="E581" t="str">
            <v xml:space="preserve">Forma sem reaproveitamento </v>
          </cell>
          <cell r="F581" t="str">
            <v>m²</v>
          </cell>
        </row>
        <row r="582">
          <cell r="B582" t="str">
            <v>6.1.33</v>
          </cell>
          <cell r="D582" t="str">
            <v>26.05.04</v>
          </cell>
          <cell r="E582" t="str">
            <v xml:space="preserve">Forma metálicas especial para vigas </v>
          </cell>
          <cell r="F582" t="str">
            <v>m²</v>
          </cell>
        </row>
        <row r="583">
          <cell r="B583" t="str">
            <v>6.1.34</v>
          </cell>
          <cell r="D583" t="str">
            <v>26.05.05</v>
          </cell>
          <cell r="E583" t="str">
            <v xml:space="preserve">Forma curva para concreto comum </v>
          </cell>
          <cell r="F583" t="str">
            <v>m²</v>
          </cell>
        </row>
        <row r="584">
          <cell r="B584" t="str">
            <v>6.1.35</v>
          </cell>
          <cell r="D584" t="str">
            <v>26.05.06</v>
          </cell>
          <cell r="E584" t="str">
            <v>Forma curva para concreto aparente</v>
          </cell>
          <cell r="F584" t="str">
            <v>m²</v>
          </cell>
        </row>
        <row r="585">
          <cell r="B585" t="str">
            <v>6.1.36</v>
          </cell>
          <cell r="D585" t="str">
            <v>26.06.01</v>
          </cell>
          <cell r="E585" t="str">
            <v xml:space="preserve">Aço CA-25 </v>
          </cell>
          <cell r="F585" t="str">
            <v>kg</v>
          </cell>
        </row>
        <row r="586">
          <cell r="B586" t="str">
            <v>6.1.37</v>
          </cell>
          <cell r="D586" t="str">
            <v>26.06.02</v>
          </cell>
          <cell r="E586" t="str">
            <v>Aço CA-50</v>
          </cell>
          <cell r="F586" t="str">
            <v>kg</v>
          </cell>
        </row>
        <row r="587">
          <cell r="B587" t="str">
            <v>6.1.38</v>
          </cell>
          <cell r="D587" t="str">
            <v>26.06.03</v>
          </cell>
          <cell r="E587" t="str">
            <v>Aço CA-60</v>
          </cell>
          <cell r="F587" t="str">
            <v>kg</v>
          </cell>
        </row>
        <row r="588">
          <cell r="B588" t="str">
            <v>6.1.39</v>
          </cell>
          <cell r="D588" t="str">
            <v>26.06.04</v>
          </cell>
          <cell r="E588" t="str">
            <v>Aço para concreto protendido</v>
          </cell>
          <cell r="F588" t="str">
            <v>kg</v>
          </cell>
        </row>
        <row r="589">
          <cell r="B589" t="str">
            <v>6.1.40</v>
          </cell>
          <cell r="D589" t="str">
            <v>26.06.05</v>
          </cell>
          <cell r="E589" t="str">
            <v xml:space="preserve">Tela metálica </v>
          </cell>
          <cell r="F589" t="str">
            <v>kg</v>
          </cell>
        </row>
        <row r="590">
          <cell r="B590" t="str">
            <v>6.1.41</v>
          </cell>
          <cell r="D590" t="str">
            <v>26.06.06</v>
          </cell>
          <cell r="E590" t="str">
            <v>Aço para concreto protendido ST 85/105</v>
          </cell>
          <cell r="F590" t="str">
            <v>kg</v>
          </cell>
        </row>
        <row r="591">
          <cell r="B591" t="str">
            <v>6.1.42</v>
          </cell>
          <cell r="D591" t="str">
            <v>26.07.03</v>
          </cell>
          <cell r="E591" t="str">
            <v xml:space="preserve">Apar. anc. p/ cabos de protensão ativo de 4 f -1/2" </v>
          </cell>
          <cell r="F591" t="str">
            <v>un</v>
          </cell>
        </row>
        <row r="592">
          <cell r="B592" t="str">
            <v>6.1.43</v>
          </cell>
          <cell r="D592" t="str">
            <v>26.07.04</v>
          </cell>
          <cell r="E592" t="str">
            <v>Apar. anc. p/ cabos de protensão ativo de 6 f -1/2"</v>
          </cell>
          <cell r="F592" t="str">
            <v>un</v>
          </cell>
        </row>
        <row r="593">
          <cell r="B593" t="str">
            <v>6.1.44</v>
          </cell>
          <cell r="D593" t="str">
            <v>26.07.05</v>
          </cell>
          <cell r="E593" t="str">
            <v xml:space="preserve">Apar. anc. p/ cabos de protensão ativo de 12 f -1/2" </v>
          </cell>
          <cell r="F593" t="str">
            <v>un</v>
          </cell>
        </row>
        <row r="594">
          <cell r="B594" t="str">
            <v>6.1.45</v>
          </cell>
          <cell r="D594" t="str">
            <v>26.07.06</v>
          </cell>
          <cell r="E594" t="str">
            <v xml:space="preserve">Apar. anc. p/ cabos de protensão ativo de 19 f -1/2" </v>
          </cell>
          <cell r="F594" t="str">
            <v>un</v>
          </cell>
        </row>
        <row r="595">
          <cell r="B595" t="str">
            <v>6.1.46</v>
          </cell>
          <cell r="D595" t="str">
            <v>26.07.09</v>
          </cell>
          <cell r="E595" t="str">
            <v xml:space="preserve">Apar. anc. p/ cabos de protensão pas. de 4 f -1/2" </v>
          </cell>
          <cell r="F595" t="str">
            <v>un</v>
          </cell>
        </row>
        <row r="596">
          <cell r="B596" t="str">
            <v>6.1.47</v>
          </cell>
          <cell r="D596" t="str">
            <v>26.07.10</v>
          </cell>
          <cell r="E596" t="str">
            <v>Apar. anc. p/ cabos de protensão pas. de 6 f -1/2"</v>
          </cell>
          <cell r="F596" t="str">
            <v>un</v>
          </cell>
        </row>
        <row r="597">
          <cell r="B597" t="str">
            <v>6.1.48</v>
          </cell>
          <cell r="D597" t="str">
            <v>26.07.12</v>
          </cell>
          <cell r="E597" t="str">
            <v xml:space="preserve">Apar. anc. p/ cabos de protensão pas. de 19 f -1/2" </v>
          </cell>
          <cell r="F597" t="str">
            <v>un</v>
          </cell>
        </row>
        <row r="598">
          <cell r="B598" t="str">
            <v>6.1.49</v>
          </cell>
          <cell r="D598" t="str">
            <v>26.08.01</v>
          </cell>
          <cell r="E598" t="str">
            <v>Aparelho de apoio neoprene fretado</v>
          </cell>
          <cell r="F598" t="str">
            <v>dm³</v>
          </cell>
        </row>
        <row r="599">
          <cell r="B599" t="str">
            <v>6.1.50</v>
          </cell>
          <cell r="D599" t="str">
            <v>26.08.02</v>
          </cell>
          <cell r="E599" t="str">
            <v>Aparelho de apoio neoprene com teflon</v>
          </cell>
          <cell r="F599" t="str">
            <v>dm³</v>
          </cell>
        </row>
        <row r="600">
          <cell r="B600" t="str">
            <v>6.1.51</v>
          </cell>
          <cell r="D600" t="str">
            <v>26.08.03</v>
          </cell>
          <cell r="E600" t="str">
            <v xml:space="preserve">Articulação de concreto tipo "Freyssinet" </v>
          </cell>
          <cell r="F600" t="str">
            <v>dm²</v>
          </cell>
        </row>
        <row r="601">
          <cell r="B601" t="str">
            <v>6.1.52</v>
          </cell>
          <cell r="D601" t="str">
            <v>26.09.01</v>
          </cell>
          <cell r="E601" t="str">
            <v>Concreto Fck 10 MPa</v>
          </cell>
          <cell r="F601" t="str">
            <v>m³</v>
          </cell>
        </row>
        <row r="602">
          <cell r="B602" t="str">
            <v>6.1.53</v>
          </cell>
          <cell r="D602" t="str">
            <v>26.09.02</v>
          </cell>
          <cell r="E602" t="str">
            <v>Concreto Fck 15 MPa</v>
          </cell>
          <cell r="F602" t="str">
            <v>m³</v>
          </cell>
        </row>
        <row r="603">
          <cell r="B603" t="str">
            <v>6.1.54</v>
          </cell>
          <cell r="D603" t="str">
            <v>26.09.03</v>
          </cell>
          <cell r="E603" t="str">
            <v>Concreto Fck 18 MPa</v>
          </cell>
          <cell r="F603" t="str">
            <v>m³</v>
          </cell>
        </row>
        <row r="604">
          <cell r="B604" t="str">
            <v>6.1.55</v>
          </cell>
          <cell r="D604" t="str">
            <v>26.09.04</v>
          </cell>
          <cell r="E604" t="str">
            <v>Concreto Fck 20 MPa</v>
          </cell>
          <cell r="F604" t="str">
            <v>m³</v>
          </cell>
        </row>
        <row r="605">
          <cell r="B605" t="str">
            <v>6.1.56</v>
          </cell>
          <cell r="D605" t="str">
            <v>26.09.05</v>
          </cell>
          <cell r="E605" t="str">
            <v>Concreto Fck 25 MPa</v>
          </cell>
          <cell r="F605" t="str">
            <v>m³</v>
          </cell>
        </row>
        <row r="606">
          <cell r="B606" t="str">
            <v>6.1.57</v>
          </cell>
          <cell r="D606" t="str">
            <v>26.09.06</v>
          </cell>
          <cell r="E606" t="str">
            <v xml:space="preserve">Concreto Fck 30 MPa </v>
          </cell>
          <cell r="F606" t="str">
            <v>m³</v>
          </cell>
        </row>
        <row r="607">
          <cell r="B607" t="str">
            <v>6.1.58</v>
          </cell>
          <cell r="D607" t="str">
            <v>26.09.07</v>
          </cell>
          <cell r="E607" t="str">
            <v>Concreto Ciclópico</v>
          </cell>
          <cell r="F607" t="str">
            <v>m³</v>
          </cell>
        </row>
        <row r="608">
          <cell r="B608" t="str">
            <v>6.1.59</v>
          </cell>
          <cell r="D608" t="str">
            <v>26.09.09</v>
          </cell>
          <cell r="E608" t="str">
            <v>Bombeamento p/ conc. qualquer resist.</v>
          </cell>
          <cell r="F608" t="str">
            <v>m³</v>
          </cell>
        </row>
        <row r="609">
          <cell r="B609" t="str">
            <v>6.1.60</v>
          </cell>
          <cell r="D609" t="str">
            <v>26.09.10</v>
          </cell>
          <cell r="E609" t="str">
            <v>Concreto Fck 12 MPa</v>
          </cell>
          <cell r="F609" t="str">
            <v>m³</v>
          </cell>
        </row>
        <row r="610">
          <cell r="B610" t="str">
            <v>6.1.61</v>
          </cell>
          <cell r="D610" t="str">
            <v>26.09.11</v>
          </cell>
          <cell r="E610" t="str">
            <v>Concreto Fck 16 Mpa</v>
          </cell>
          <cell r="F610" t="str">
            <v>m³</v>
          </cell>
        </row>
        <row r="611">
          <cell r="B611" t="str">
            <v>6.1.62</v>
          </cell>
          <cell r="D611" t="str">
            <v>26.09.12</v>
          </cell>
          <cell r="E611" t="str">
            <v>Concreto Fck 35 MPa</v>
          </cell>
          <cell r="F611" t="str">
            <v>m³</v>
          </cell>
        </row>
        <row r="612">
          <cell r="B612" t="str">
            <v>6.1.63</v>
          </cell>
          <cell r="D612" t="str">
            <v>26.09.13</v>
          </cell>
          <cell r="E612" t="str">
            <v>Concreto Fck 40 MPa</v>
          </cell>
          <cell r="F612" t="str">
            <v>m³</v>
          </cell>
        </row>
        <row r="613">
          <cell r="B613" t="str">
            <v>6.1.64</v>
          </cell>
          <cell r="D613" t="str">
            <v>26.10.01</v>
          </cell>
          <cell r="E613" t="str">
            <v>Junta/retração c/lábio polim. ab.15 até 40mm</v>
          </cell>
          <cell r="F613" t="str">
            <v>m</v>
          </cell>
        </row>
        <row r="614">
          <cell r="B614" t="str">
            <v>6.1.65</v>
          </cell>
          <cell r="D614" t="str">
            <v>26.10.02</v>
          </cell>
          <cell r="E614" t="str">
            <v>Junta/retração c/lábio polim. ab.40 até 50mm</v>
          </cell>
          <cell r="F614" t="str">
            <v>m</v>
          </cell>
        </row>
        <row r="615">
          <cell r="B615" t="str">
            <v>6.1.66</v>
          </cell>
          <cell r="D615" t="str">
            <v>26.10.03</v>
          </cell>
          <cell r="E615" t="str">
            <v>Junta/retração c/lábio polim. ab. 50 até 70mm</v>
          </cell>
          <cell r="F615" t="str">
            <v>m</v>
          </cell>
        </row>
        <row r="616">
          <cell r="B616" t="str">
            <v>6.1.67</v>
          </cell>
          <cell r="D616" t="str">
            <v>26.10.04</v>
          </cell>
          <cell r="E616" t="str">
            <v>Junta de dilatação metálica</v>
          </cell>
          <cell r="F616" t="str">
            <v>m</v>
          </cell>
        </row>
        <row r="617">
          <cell r="B617" t="str">
            <v>6.1.68</v>
          </cell>
          <cell r="D617" t="str">
            <v>26.10.05</v>
          </cell>
          <cell r="E617" t="str">
            <v>Juntas de dilatação metálica c/neoprene</v>
          </cell>
          <cell r="F617" t="str">
            <v>m</v>
          </cell>
        </row>
        <row r="618">
          <cell r="B618" t="str">
            <v>6.1.69</v>
          </cell>
          <cell r="D618" t="str">
            <v>26.11.01</v>
          </cell>
          <cell r="E618" t="str">
            <v>G.c.intransponível tipo I - des. 5289</v>
          </cell>
          <cell r="F618" t="str">
            <v>m</v>
          </cell>
        </row>
        <row r="619">
          <cell r="B619" t="str">
            <v>6.1.70</v>
          </cell>
          <cell r="D619" t="str">
            <v>26.11.02</v>
          </cell>
          <cell r="E619" t="str">
            <v>G.c.intransponível tipo II - des. 5307</v>
          </cell>
          <cell r="F619" t="str">
            <v>m</v>
          </cell>
        </row>
        <row r="620">
          <cell r="B620" t="str">
            <v>6.1.71</v>
          </cell>
          <cell r="D620" t="str">
            <v>26.11.03</v>
          </cell>
          <cell r="E620" t="str">
            <v xml:space="preserve">G.c.de conc. pré passarela - des. 5370 </v>
          </cell>
          <cell r="F620" t="str">
            <v>m</v>
          </cell>
        </row>
        <row r="621">
          <cell r="B621" t="str">
            <v>6.1.72</v>
          </cell>
          <cell r="D621" t="str">
            <v>26.11.04</v>
          </cell>
          <cell r="E621" t="str">
            <v xml:space="preserve">Barreira de seg.tipo New Jersey des-5396 </v>
          </cell>
          <cell r="F621" t="str">
            <v>m</v>
          </cell>
        </row>
        <row r="622">
          <cell r="B622" t="str">
            <v>6.1.73</v>
          </cell>
          <cell r="D622" t="str">
            <v>26.11.05</v>
          </cell>
          <cell r="E622" t="str">
            <v>Barreira double face New Jersey des 5514</v>
          </cell>
          <cell r="F622" t="str">
            <v>m</v>
          </cell>
        </row>
        <row r="623">
          <cell r="B623" t="str">
            <v>6.1.74</v>
          </cell>
          <cell r="D623" t="str">
            <v>26.11.06</v>
          </cell>
          <cell r="E623" t="str">
            <v>Barreira double face New Jersey O.A.E.des 5464</v>
          </cell>
          <cell r="F623" t="str">
            <v>m</v>
          </cell>
        </row>
        <row r="624">
          <cell r="B624" t="str">
            <v>6.1.75</v>
          </cell>
          <cell r="D624" t="str">
            <v>26.11.07</v>
          </cell>
          <cell r="E624" t="str">
            <v>Barreira double face New Jersey des 5465</v>
          </cell>
          <cell r="F624" t="str">
            <v>m</v>
          </cell>
        </row>
        <row r="625">
          <cell r="B625" t="str">
            <v>6.1.76</v>
          </cell>
          <cell r="D625" t="str">
            <v>26.11.08</v>
          </cell>
          <cell r="E625" t="str">
            <v>Barreira com passeio p/ O.A.E. - des 5397</v>
          </cell>
          <cell r="F625" t="str">
            <v>m</v>
          </cell>
        </row>
        <row r="626">
          <cell r="B626" t="str">
            <v>6.1.77</v>
          </cell>
          <cell r="D626" t="str">
            <v>26.12.01</v>
          </cell>
          <cell r="E626" t="str">
            <v>Tubo de pvc perfurado ou não D=0,050m</v>
          </cell>
          <cell r="F626" t="str">
            <v>m</v>
          </cell>
        </row>
        <row r="627">
          <cell r="B627" t="str">
            <v>6.1.78</v>
          </cell>
          <cell r="D627" t="str">
            <v>26.12.03</v>
          </cell>
          <cell r="E627" t="str">
            <v>Tubo de pvc perfurado ou não D=0,10m</v>
          </cell>
          <cell r="F627" t="str">
            <v>m</v>
          </cell>
        </row>
        <row r="628">
          <cell r="B628" t="str">
            <v>6.1.79</v>
          </cell>
          <cell r="D628" t="str">
            <v>26.12.04</v>
          </cell>
          <cell r="E628" t="str">
            <v>Tubo de pvc perfurado ou não D=0,15m</v>
          </cell>
          <cell r="F628" t="str">
            <v>m</v>
          </cell>
        </row>
        <row r="629">
          <cell r="B629" t="str">
            <v>6.1.80</v>
          </cell>
          <cell r="D629" t="str">
            <v>26.13.01</v>
          </cell>
          <cell r="E629" t="str">
            <v>Lançamento viga P&lt;= 50ton-guindaste autoprop</v>
          </cell>
          <cell r="F629" t="str">
            <v>un</v>
          </cell>
        </row>
        <row r="630">
          <cell r="B630" t="str">
            <v>6.1.81</v>
          </cell>
          <cell r="D630" t="str">
            <v>26.13.02</v>
          </cell>
          <cell r="E630" t="str">
            <v>Lançamento viga 50&lt;P&lt;=80 -guind. Autoprop</v>
          </cell>
          <cell r="F630" t="str">
            <v>un</v>
          </cell>
        </row>
        <row r="631">
          <cell r="B631" t="str">
            <v>6.1.82</v>
          </cell>
          <cell r="D631" t="str">
            <v>26.14.01</v>
          </cell>
          <cell r="E631" t="str">
            <v>Esgotamento continuo água</v>
          </cell>
          <cell r="F631" t="str">
            <v>m³</v>
          </cell>
        </row>
        <row r="632">
          <cell r="B632" t="str">
            <v>6.1.83</v>
          </cell>
          <cell r="D632" t="str">
            <v>26.14.03</v>
          </cell>
          <cell r="E632" t="str">
            <v>Parede ensecadeira com prancha - esp. 0,05m</v>
          </cell>
          <cell r="F632" t="str">
            <v>m²</v>
          </cell>
        </row>
        <row r="633">
          <cell r="B633" t="str">
            <v>6.1.84</v>
          </cell>
          <cell r="D633" t="str">
            <v>26.14.04</v>
          </cell>
          <cell r="E633" t="str">
            <v>Parede ensecadeira com prancha - esp. 0,075m</v>
          </cell>
          <cell r="F633" t="str">
            <v>m²</v>
          </cell>
        </row>
        <row r="634">
          <cell r="B634" t="str">
            <v>6.1.85</v>
          </cell>
          <cell r="D634" t="str">
            <v>26.15.01</v>
          </cell>
          <cell r="E634" t="str">
            <v>Enrocamento pedra arrumada</v>
          </cell>
          <cell r="F634" t="str">
            <v>m³</v>
          </cell>
        </row>
        <row r="635">
          <cell r="B635" t="str">
            <v>6.1.86</v>
          </cell>
          <cell r="D635" t="str">
            <v>26.15.02</v>
          </cell>
          <cell r="E635" t="str">
            <v>Enrocamento pedra arrumada e rejuntada</v>
          </cell>
          <cell r="F635" t="str">
            <v>m³</v>
          </cell>
        </row>
        <row r="636">
          <cell r="B636" t="str">
            <v>6.1.87</v>
          </cell>
          <cell r="D636" t="str">
            <v>26.15.03</v>
          </cell>
          <cell r="E636" t="str">
            <v>Enrocamento pedra jogada</v>
          </cell>
          <cell r="F636" t="str">
            <v>m³</v>
          </cell>
        </row>
        <row r="638">
          <cell r="B638" t="str">
            <v>Cód. Colinas</v>
          </cell>
          <cell r="D638" t="str">
            <v>Código</v>
          </cell>
          <cell r="E638" t="str">
            <v>Serviços</v>
          </cell>
          <cell r="F638" t="str">
            <v>Unid.</v>
          </cell>
        </row>
        <row r="641">
          <cell r="D641" t="str">
            <v>FASE-27 RECUPERAÇÃO DE OBRAS ARTE ESPECIAIS</v>
          </cell>
        </row>
        <row r="642">
          <cell r="B642" t="str">
            <v>7.1.1</v>
          </cell>
          <cell r="D642" t="str">
            <v>27.01.01</v>
          </cell>
          <cell r="E642" t="str">
            <v>Remoção manual de concreto segregado</v>
          </cell>
          <cell r="F642" t="str">
            <v>dm³</v>
          </cell>
        </row>
        <row r="643">
          <cell r="B643" t="str">
            <v>7.1.2</v>
          </cell>
          <cell r="D643" t="str">
            <v>27.01.02</v>
          </cell>
          <cell r="E643" t="str">
            <v>Demolição de concreto simples</v>
          </cell>
          <cell r="F643" t="str">
            <v>m³</v>
          </cell>
        </row>
        <row r="644">
          <cell r="B644" t="str">
            <v>7.1.3</v>
          </cell>
          <cell r="D644" t="str">
            <v>27.01.03</v>
          </cell>
          <cell r="E644" t="str">
            <v>Demolição de concreto armado</v>
          </cell>
          <cell r="F644" t="str">
            <v>m³</v>
          </cell>
        </row>
        <row r="645">
          <cell r="B645" t="str">
            <v>7.1.4</v>
          </cell>
          <cell r="D645" t="str">
            <v>27.01.04</v>
          </cell>
          <cell r="E645" t="str">
            <v xml:space="preserve">Remoção, carga e transp. entulho em geral </v>
          </cell>
          <cell r="F645" t="str">
            <v>tonxkm</v>
          </cell>
        </row>
        <row r="646">
          <cell r="B646" t="str">
            <v>7.1.5</v>
          </cell>
          <cell r="D646" t="str">
            <v>27.02.01</v>
          </cell>
          <cell r="E646" t="str">
            <v>Apic. manual concreto c/ eliminação sup. lisas</v>
          </cell>
          <cell r="F646" t="str">
            <v>m²</v>
          </cell>
        </row>
        <row r="647">
          <cell r="B647" t="str">
            <v>7.1.6</v>
          </cell>
          <cell r="D647" t="str">
            <v>27.02.02</v>
          </cell>
          <cell r="E647" t="str">
            <v>Limpeza com jato d´água s/ sup. de concreto</v>
          </cell>
          <cell r="F647" t="str">
            <v>m²</v>
          </cell>
        </row>
        <row r="648">
          <cell r="B648" t="str">
            <v>7.1.7</v>
          </cell>
          <cell r="D648" t="str">
            <v>27.02.03</v>
          </cell>
          <cell r="E648" t="str">
            <v>Lixamento manual da superfície de concreto</v>
          </cell>
          <cell r="F648" t="str">
            <v>m²</v>
          </cell>
        </row>
        <row r="649">
          <cell r="B649" t="str">
            <v>7.1.8</v>
          </cell>
          <cell r="D649" t="str">
            <v>27.02.04</v>
          </cell>
          <cell r="E649" t="str">
            <v>Jateamento de concreto com areia</v>
          </cell>
          <cell r="F649" t="str">
            <v>m²</v>
          </cell>
        </row>
        <row r="650">
          <cell r="B650" t="str">
            <v>7.1.9</v>
          </cell>
          <cell r="D650" t="str">
            <v>27.02.05</v>
          </cell>
          <cell r="E650" t="str">
            <v>Jateamento em estr. concreto com água</v>
          </cell>
          <cell r="F650" t="str">
            <v>m²</v>
          </cell>
        </row>
        <row r="651">
          <cell r="B651" t="str">
            <v>7.1.10</v>
          </cell>
          <cell r="D651" t="str">
            <v>27.02.06</v>
          </cell>
          <cell r="E651" t="str">
            <v>Jateamento ao metal quase branco c/ areia</v>
          </cell>
          <cell r="F651" t="str">
            <v>m²</v>
          </cell>
        </row>
        <row r="652">
          <cell r="B652" t="str">
            <v>7.1.11</v>
          </cell>
          <cell r="D652" t="str">
            <v>27.02.07</v>
          </cell>
          <cell r="E652" t="str">
            <v>Jateamento ao metal branco com areia</v>
          </cell>
          <cell r="F652" t="str">
            <v>m²</v>
          </cell>
        </row>
        <row r="653">
          <cell r="B653" t="str">
            <v>7.1.12</v>
          </cell>
          <cell r="D653" t="str">
            <v>27.02.08</v>
          </cell>
          <cell r="E653" t="str">
            <v>Limpeza manual com escova de aço para aço</v>
          </cell>
          <cell r="F653" t="str">
            <v>m</v>
          </cell>
        </row>
        <row r="654">
          <cell r="B654" t="str">
            <v>7.1.13</v>
          </cell>
          <cell r="D654" t="str">
            <v>27.02.09</v>
          </cell>
          <cell r="E654" t="str">
            <v>Limpeza manual c/escova aço para concreto</v>
          </cell>
          <cell r="F654" t="str">
            <v>m²</v>
          </cell>
        </row>
        <row r="655">
          <cell r="B655" t="str">
            <v>7.1.14</v>
          </cell>
          <cell r="D655" t="str">
            <v>27.03.01</v>
          </cell>
          <cell r="E655" t="str">
            <v>Andaime de madeira</v>
          </cell>
          <cell r="F655" t="str">
            <v>m³</v>
          </cell>
        </row>
        <row r="656">
          <cell r="B656" t="str">
            <v>7.1.15</v>
          </cell>
          <cell r="D656" t="str">
            <v>27.03.02</v>
          </cell>
          <cell r="E656" t="str">
            <v>Andaime tubular</v>
          </cell>
          <cell r="F656" t="str">
            <v>m³</v>
          </cell>
        </row>
        <row r="657">
          <cell r="B657" t="str">
            <v>7.1.16</v>
          </cell>
          <cell r="D657" t="str">
            <v>27.03.03</v>
          </cell>
          <cell r="E657" t="str">
            <v>Andaime suspenso</v>
          </cell>
          <cell r="F657" t="str">
            <v>m²</v>
          </cell>
        </row>
        <row r="658">
          <cell r="B658" t="str">
            <v>7.1.17</v>
          </cell>
          <cell r="D658" t="str">
            <v>27.04.01</v>
          </cell>
          <cell r="E658" t="str">
            <v xml:space="preserve">Furo no concreto D=1" profund. de 05cm </v>
          </cell>
          <cell r="F658" t="str">
            <v>un</v>
          </cell>
        </row>
        <row r="659">
          <cell r="B659" t="str">
            <v>7.1.18</v>
          </cell>
          <cell r="D659" t="str">
            <v>27.04.02</v>
          </cell>
          <cell r="E659" t="str">
            <v>Furo no concreto D=1" profund. de 15cm</v>
          </cell>
          <cell r="F659" t="str">
            <v>un</v>
          </cell>
        </row>
        <row r="660">
          <cell r="B660" t="str">
            <v>7.1.19</v>
          </cell>
          <cell r="D660" t="str">
            <v>27.04.03</v>
          </cell>
          <cell r="E660" t="str">
            <v xml:space="preserve">Furo no concreto D=1" profund. de 30cm </v>
          </cell>
          <cell r="F660" t="str">
            <v>un</v>
          </cell>
        </row>
        <row r="661">
          <cell r="B661" t="str">
            <v>7.1.20</v>
          </cell>
          <cell r="D661" t="str">
            <v>27.04.04</v>
          </cell>
          <cell r="E661" t="str">
            <v>Furo no concreto D=3/4" profund. de 05cm</v>
          </cell>
          <cell r="F661" t="str">
            <v>un</v>
          </cell>
        </row>
        <row r="662">
          <cell r="B662" t="str">
            <v>7.1.21</v>
          </cell>
          <cell r="D662" t="str">
            <v>27.04.05</v>
          </cell>
          <cell r="E662" t="str">
            <v>Furo no concreto D=3/4" profund. de 15cm</v>
          </cell>
          <cell r="F662" t="str">
            <v>un</v>
          </cell>
        </row>
        <row r="663">
          <cell r="B663" t="str">
            <v>7.1.22</v>
          </cell>
          <cell r="D663" t="str">
            <v>27.04.06</v>
          </cell>
          <cell r="E663" t="str">
            <v>Furo no concreto D=3/4" profund. de 30cm</v>
          </cell>
          <cell r="F663" t="str">
            <v>un</v>
          </cell>
        </row>
        <row r="664">
          <cell r="B664" t="str">
            <v>7.1.23</v>
          </cell>
          <cell r="D664" t="str">
            <v>27.04.07</v>
          </cell>
          <cell r="E664" t="str">
            <v>Furo no concreto D=1/2" profund. de 05cm</v>
          </cell>
          <cell r="F664" t="str">
            <v>un</v>
          </cell>
        </row>
        <row r="665">
          <cell r="B665" t="str">
            <v>7.1.24</v>
          </cell>
          <cell r="D665" t="str">
            <v>27.04.08</v>
          </cell>
          <cell r="E665" t="str">
            <v>Furo no concreto D=1/2" profund. de 15cm</v>
          </cell>
          <cell r="F665" t="str">
            <v>un</v>
          </cell>
        </row>
        <row r="666">
          <cell r="B666" t="str">
            <v>7.1.25</v>
          </cell>
          <cell r="D666" t="str">
            <v>27.04.09</v>
          </cell>
          <cell r="E666" t="str">
            <v>Furo no concreto D=1/2" profund. de 30cm</v>
          </cell>
          <cell r="F666" t="str">
            <v>un</v>
          </cell>
        </row>
        <row r="667">
          <cell r="B667" t="str">
            <v>7.1.26</v>
          </cell>
          <cell r="D667" t="str">
            <v>27.04.10</v>
          </cell>
          <cell r="E667" t="str">
            <v>Furo no concreto D=3/8" profund. de 05cm</v>
          </cell>
          <cell r="F667" t="str">
            <v>un</v>
          </cell>
        </row>
        <row r="668">
          <cell r="B668" t="str">
            <v>7.1.27</v>
          </cell>
          <cell r="D668" t="str">
            <v>27.04.11</v>
          </cell>
          <cell r="E668" t="str">
            <v>Furo no concreto D=3/8" profund. de 15cm</v>
          </cell>
          <cell r="F668" t="str">
            <v>un</v>
          </cell>
        </row>
        <row r="669">
          <cell r="B669" t="str">
            <v>7.1.28</v>
          </cell>
          <cell r="D669" t="str">
            <v>27.04.12</v>
          </cell>
          <cell r="E669" t="str">
            <v>Furo no concreto D=3/8" profund. de 30cm</v>
          </cell>
          <cell r="F669" t="str">
            <v>un</v>
          </cell>
        </row>
        <row r="670">
          <cell r="B670" t="str">
            <v>7.1.29</v>
          </cell>
          <cell r="D670" t="str">
            <v>27.05.01</v>
          </cell>
          <cell r="E670" t="str">
            <v>Forma plana para conc. armado comum</v>
          </cell>
          <cell r="F670" t="str">
            <v>m²</v>
          </cell>
        </row>
        <row r="671">
          <cell r="B671" t="str">
            <v>7.1.30</v>
          </cell>
          <cell r="D671" t="str">
            <v>27.05.02</v>
          </cell>
          <cell r="E671" t="str">
            <v>Forma plana p/conc.protend. ou aparente</v>
          </cell>
          <cell r="F671" t="str">
            <v>m²</v>
          </cell>
        </row>
        <row r="672">
          <cell r="B672" t="str">
            <v>7.1.31</v>
          </cell>
          <cell r="D672" t="str">
            <v>27.05.03</v>
          </cell>
          <cell r="E672" t="str">
            <v>Formas metálica para concreto</v>
          </cell>
          <cell r="F672" t="str">
            <v>m²</v>
          </cell>
        </row>
        <row r="673">
          <cell r="B673" t="str">
            <v>7.1.32</v>
          </cell>
          <cell r="D673" t="str">
            <v>27.06.01</v>
          </cell>
          <cell r="E673" t="str">
            <v>Aço CA-25</v>
          </cell>
          <cell r="F673" t="str">
            <v>kg</v>
          </cell>
        </row>
        <row r="674">
          <cell r="B674" t="str">
            <v>7.1.33</v>
          </cell>
          <cell r="D674" t="str">
            <v xml:space="preserve">27.06.02 </v>
          </cell>
          <cell r="E674" t="str">
            <v>Aço CA-50</v>
          </cell>
          <cell r="F674" t="str">
            <v>kg</v>
          </cell>
        </row>
        <row r="675">
          <cell r="B675" t="str">
            <v>7.1.34</v>
          </cell>
          <cell r="D675" t="str">
            <v>27.06.03</v>
          </cell>
          <cell r="E675" t="str">
            <v>Aço CA-60</v>
          </cell>
          <cell r="F675" t="str">
            <v>kg</v>
          </cell>
        </row>
        <row r="676">
          <cell r="B676" t="str">
            <v>7.1.35</v>
          </cell>
          <cell r="D676" t="str">
            <v>27.06.04</v>
          </cell>
          <cell r="E676" t="str">
            <v>Aço para concreto protendido</v>
          </cell>
          <cell r="F676" t="str">
            <v>kg</v>
          </cell>
        </row>
        <row r="677">
          <cell r="B677" t="str">
            <v>7.1.36</v>
          </cell>
          <cell r="D677" t="str">
            <v>27.06.05</v>
          </cell>
          <cell r="E677" t="str">
            <v>Tela metálica</v>
          </cell>
          <cell r="F677" t="str">
            <v>kg</v>
          </cell>
        </row>
        <row r="678">
          <cell r="B678" t="str">
            <v>7.1.37</v>
          </cell>
          <cell r="D678" t="str">
            <v>27.06.06</v>
          </cell>
          <cell r="E678" t="str">
            <v>Substituição de aço da armadura</v>
          </cell>
          <cell r="F678" t="str">
            <v>kg</v>
          </cell>
        </row>
        <row r="679">
          <cell r="B679" t="str">
            <v>7.1.38</v>
          </cell>
          <cell r="D679" t="str">
            <v>27.06.07</v>
          </cell>
          <cell r="E679" t="str">
            <v>Retirada da armadura corroída</v>
          </cell>
          <cell r="F679" t="str">
            <v>kg</v>
          </cell>
        </row>
        <row r="680">
          <cell r="B680" t="str">
            <v>7.1.39</v>
          </cell>
          <cell r="D680" t="str">
            <v>27.06.08</v>
          </cell>
          <cell r="E680" t="str">
            <v>Aço para concreto protendido ST 85/105</v>
          </cell>
          <cell r="F680" t="str">
            <v>kg</v>
          </cell>
        </row>
        <row r="681">
          <cell r="B681" t="str">
            <v>7.1.40</v>
          </cell>
          <cell r="D681" t="str">
            <v>27.06.09</v>
          </cell>
          <cell r="E681" t="str">
            <v>Emenda barras de aço com luva prensada d=12mm</v>
          </cell>
          <cell r="F681" t="str">
            <v>un</v>
          </cell>
        </row>
        <row r="682">
          <cell r="B682" t="str">
            <v>7.1.41</v>
          </cell>
          <cell r="D682" t="str">
            <v>27.06.10</v>
          </cell>
          <cell r="E682" t="str">
            <v>Emenda barras de aço com luva prensada d=16mm</v>
          </cell>
          <cell r="F682" t="str">
            <v>un</v>
          </cell>
        </row>
        <row r="683">
          <cell r="B683" t="str">
            <v>7.1.42</v>
          </cell>
          <cell r="D683" t="str">
            <v>27.06.11</v>
          </cell>
          <cell r="E683" t="str">
            <v>Emenda barras de aço com luva prensada d=20mm</v>
          </cell>
          <cell r="F683" t="str">
            <v>un</v>
          </cell>
        </row>
        <row r="684">
          <cell r="B684" t="str">
            <v>7.1.43</v>
          </cell>
          <cell r="D684" t="str">
            <v>27.06.12</v>
          </cell>
          <cell r="E684" t="str">
            <v>Emenda barras de aço com luva prensada d=25mm</v>
          </cell>
          <cell r="F684" t="str">
            <v>un</v>
          </cell>
        </row>
        <row r="685">
          <cell r="B685" t="str">
            <v>7.1.44</v>
          </cell>
          <cell r="D685" t="str">
            <v>27.06.13</v>
          </cell>
          <cell r="E685" t="str">
            <v>Emenda barras de aço com rosca d=12mm</v>
          </cell>
          <cell r="F685" t="str">
            <v>un</v>
          </cell>
        </row>
        <row r="686">
          <cell r="B686" t="str">
            <v>7.1.45</v>
          </cell>
          <cell r="D686" t="str">
            <v>27.06.14</v>
          </cell>
          <cell r="E686" t="str">
            <v>Emenda barras de aço com rosca d=16mm</v>
          </cell>
          <cell r="F686" t="str">
            <v>un</v>
          </cell>
        </row>
        <row r="687">
          <cell r="B687" t="str">
            <v>7.1.46</v>
          </cell>
          <cell r="D687" t="str">
            <v>27.06.15</v>
          </cell>
          <cell r="E687" t="str">
            <v>Emenda barras de aço com rosca d=20mm</v>
          </cell>
          <cell r="F687" t="str">
            <v>un</v>
          </cell>
        </row>
        <row r="688">
          <cell r="B688" t="str">
            <v>7.1.47</v>
          </cell>
          <cell r="D688" t="str">
            <v>27.06.16</v>
          </cell>
          <cell r="E688" t="str">
            <v>Emenda barras de aço com rosca d=25mm</v>
          </cell>
          <cell r="F688" t="str">
            <v>un</v>
          </cell>
        </row>
        <row r="689">
          <cell r="B689" t="str">
            <v>7.1.48</v>
          </cell>
          <cell r="D689" t="str">
            <v>27.06.17</v>
          </cell>
          <cell r="E689" t="str">
            <v xml:space="preserve">Chumbamento barras c/ resina epox. Injecão </v>
          </cell>
          <cell r="F689" t="str">
            <v>kg</v>
          </cell>
        </row>
        <row r="690">
          <cell r="B690" t="str">
            <v>7.1.49</v>
          </cell>
          <cell r="D690" t="str">
            <v>27.07.03</v>
          </cell>
          <cell r="E690" t="str">
            <v>Apar. anc. p/ cabos de protensão ativo de 4 f -1/2"</v>
          </cell>
          <cell r="F690" t="str">
            <v>un</v>
          </cell>
        </row>
        <row r="691">
          <cell r="B691" t="str">
            <v>7.1.50</v>
          </cell>
          <cell r="D691" t="str">
            <v>27.07.04</v>
          </cell>
          <cell r="E691" t="str">
            <v>Apar. anc. p/ cabos de protensão ativo de 6 f -1/2"</v>
          </cell>
          <cell r="F691" t="str">
            <v>un</v>
          </cell>
        </row>
        <row r="692">
          <cell r="B692" t="str">
            <v>7.1.51</v>
          </cell>
          <cell r="D692" t="str">
            <v>27.07.05</v>
          </cell>
          <cell r="E692" t="str">
            <v>Apar. anc. p/ cabos de protensão ativo de 12 f -1/2"</v>
          </cell>
          <cell r="F692" t="str">
            <v>un</v>
          </cell>
        </row>
        <row r="693">
          <cell r="B693" t="str">
            <v>7.1.52</v>
          </cell>
          <cell r="D693" t="str">
            <v xml:space="preserve">27.07.06 </v>
          </cell>
          <cell r="E693" t="str">
            <v>Apar. anc. p/ cabos de protensão ativo de 19 f -1/2"</v>
          </cell>
          <cell r="F693" t="str">
            <v>un</v>
          </cell>
        </row>
        <row r="694">
          <cell r="B694" t="str">
            <v>7.1.53</v>
          </cell>
          <cell r="D694" t="str">
            <v>27.07.09</v>
          </cell>
          <cell r="E694" t="str">
            <v xml:space="preserve">Apar. anc. p/ cabos de protensão pas. de 4 f -1/2" </v>
          </cell>
          <cell r="F694" t="str">
            <v>un</v>
          </cell>
        </row>
        <row r="695">
          <cell r="B695" t="str">
            <v>7.1.54</v>
          </cell>
          <cell r="D695" t="str">
            <v>27.07.10</v>
          </cell>
          <cell r="E695" t="str">
            <v>Apar. anc. p/ cabos de protensão pas. de 6 f -1/2"</v>
          </cell>
          <cell r="F695" t="str">
            <v>un</v>
          </cell>
        </row>
        <row r="696">
          <cell r="B696" t="str">
            <v>7.1.55</v>
          </cell>
          <cell r="D696" t="str">
            <v xml:space="preserve">27.07.12 </v>
          </cell>
          <cell r="E696" t="str">
            <v xml:space="preserve">Apar. anc. p/ cabos de protensão pas. de 19 f -1/2" </v>
          </cell>
          <cell r="F696" t="str">
            <v>un</v>
          </cell>
        </row>
        <row r="697">
          <cell r="B697" t="str">
            <v>7.1.56</v>
          </cell>
          <cell r="D697" t="str">
            <v>27.08.01</v>
          </cell>
          <cell r="E697" t="str">
            <v>Substituição aparelho apoio neoprene fretado</v>
          </cell>
          <cell r="F697" t="str">
            <v>dm³</v>
          </cell>
        </row>
        <row r="698">
          <cell r="B698" t="str">
            <v>7.1.57</v>
          </cell>
          <cell r="D698" t="str">
            <v>27.08.02</v>
          </cell>
          <cell r="E698" t="str">
            <v>Substituição aparelho apoio neoprene c/teflon</v>
          </cell>
          <cell r="F698" t="str">
            <v>dm³</v>
          </cell>
        </row>
        <row r="699">
          <cell r="B699" t="str">
            <v>7.1.58</v>
          </cell>
          <cell r="D699" t="str">
            <v>27.09.01</v>
          </cell>
          <cell r="E699" t="str">
            <v>Concreto Fck 10 MPa</v>
          </cell>
          <cell r="F699" t="str">
            <v>m³</v>
          </cell>
        </row>
        <row r="700">
          <cell r="B700" t="str">
            <v>7.1.59</v>
          </cell>
          <cell r="D700" t="str">
            <v>27.09.02</v>
          </cell>
          <cell r="E700" t="str">
            <v>Concreto Fck 15 MPa</v>
          </cell>
          <cell r="F700" t="str">
            <v>m³</v>
          </cell>
        </row>
        <row r="701">
          <cell r="B701" t="str">
            <v>7.1.60</v>
          </cell>
          <cell r="D701" t="str">
            <v xml:space="preserve">27.09.03 </v>
          </cell>
          <cell r="E701" t="str">
            <v>Concreto Fck 18 MPa</v>
          </cell>
          <cell r="F701" t="str">
            <v>m³</v>
          </cell>
        </row>
        <row r="702">
          <cell r="B702" t="str">
            <v>7.1.61</v>
          </cell>
          <cell r="D702" t="str">
            <v>27.09.04</v>
          </cell>
          <cell r="E702" t="str">
            <v>Concreto Fck 20 MPa</v>
          </cell>
          <cell r="F702" t="str">
            <v>m³</v>
          </cell>
        </row>
        <row r="703">
          <cell r="B703" t="str">
            <v>7.1.62</v>
          </cell>
          <cell r="D703" t="str">
            <v>27.09.05</v>
          </cell>
          <cell r="E703" t="str">
            <v>Concreto Fck 25 MPa</v>
          </cell>
          <cell r="F703" t="str">
            <v>m³</v>
          </cell>
        </row>
        <row r="704">
          <cell r="B704" t="str">
            <v>7.1.63</v>
          </cell>
          <cell r="D704" t="str">
            <v>27.09.07</v>
          </cell>
          <cell r="E704" t="str">
            <v>Concreto Fck 30 MPa</v>
          </cell>
          <cell r="F704" t="str">
            <v>m³</v>
          </cell>
        </row>
        <row r="705">
          <cell r="B705" t="str">
            <v>7.1.64</v>
          </cell>
          <cell r="D705" t="str">
            <v>27.09.08</v>
          </cell>
          <cell r="E705" t="str">
            <v>Concreto Ciclópico</v>
          </cell>
          <cell r="F705" t="str">
            <v>m³</v>
          </cell>
        </row>
        <row r="706">
          <cell r="B706" t="str">
            <v>7.1.65</v>
          </cell>
          <cell r="D706" t="str">
            <v xml:space="preserve">27.09.09 </v>
          </cell>
          <cell r="E706" t="str">
            <v>Concreto Projetado, medido na seção</v>
          </cell>
          <cell r="F706" t="str">
            <v>m³</v>
          </cell>
        </row>
        <row r="707">
          <cell r="B707" t="str">
            <v>7.1.66</v>
          </cell>
          <cell r="D707" t="str">
            <v>27.09.10</v>
          </cell>
          <cell r="E707" t="str">
            <v xml:space="preserve">Bombeamento p/ conc. qualquer resist. </v>
          </cell>
          <cell r="F707" t="str">
            <v>m³</v>
          </cell>
        </row>
        <row r="708">
          <cell r="B708" t="str">
            <v>7.1.67</v>
          </cell>
          <cell r="D708" t="str">
            <v>27.09.11</v>
          </cell>
          <cell r="E708" t="str">
            <v>Concreto grout alta resistência</v>
          </cell>
          <cell r="F708" t="str">
            <v>m³</v>
          </cell>
        </row>
        <row r="709">
          <cell r="B709" t="str">
            <v>7.1.68</v>
          </cell>
          <cell r="D709" t="str">
            <v>27.09.12</v>
          </cell>
          <cell r="E709" t="str">
            <v>Enchimento com concreto celular</v>
          </cell>
          <cell r="F709" t="str">
            <v>m³</v>
          </cell>
        </row>
        <row r="710">
          <cell r="B710" t="str">
            <v>7.1.69</v>
          </cell>
          <cell r="D710" t="str">
            <v>27.09.13</v>
          </cell>
          <cell r="E710" t="str">
            <v>Concreto Fck 12 Mpa</v>
          </cell>
          <cell r="F710" t="str">
            <v>m³</v>
          </cell>
        </row>
        <row r="711">
          <cell r="B711" t="str">
            <v>7.1.70</v>
          </cell>
          <cell r="D711" t="str">
            <v>27.09.14</v>
          </cell>
          <cell r="E711" t="str">
            <v>Concreto Fck 16 Mpa</v>
          </cell>
          <cell r="F711" t="str">
            <v>m³</v>
          </cell>
        </row>
        <row r="712">
          <cell r="B712" t="str">
            <v>7.1.71</v>
          </cell>
          <cell r="D712" t="str">
            <v>27.09.15</v>
          </cell>
          <cell r="E712" t="str">
            <v>Concreto Fck 35 Mpa</v>
          </cell>
          <cell r="F712" t="str">
            <v>m³</v>
          </cell>
        </row>
        <row r="713">
          <cell r="B713" t="str">
            <v>7.1.72</v>
          </cell>
          <cell r="D713" t="str">
            <v>27.09.16</v>
          </cell>
          <cell r="E713" t="str">
            <v>Concreto Fck 40 Mpa</v>
          </cell>
          <cell r="F713" t="str">
            <v>m³</v>
          </cell>
        </row>
        <row r="714">
          <cell r="B714" t="str">
            <v>7.1.73</v>
          </cell>
          <cell r="D714" t="str">
            <v>27.10.01</v>
          </cell>
          <cell r="E714" t="str">
            <v>Junta/retração c/lábio polim. ab.15 até 40mm-subst.</v>
          </cell>
          <cell r="F714" t="str">
            <v>m</v>
          </cell>
        </row>
        <row r="715">
          <cell r="B715" t="str">
            <v>7.1.74</v>
          </cell>
          <cell r="D715" t="str">
            <v>27.10.02</v>
          </cell>
          <cell r="E715" t="str">
            <v>Junta/retração c/lábio polim. ab.40 até 50mm-subst.</v>
          </cell>
          <cell r="F715" t="str">
            <v>m</v>
          </cell>
        </row>
        <row r="716">
          <cell r="B716" t="str">
            <v>7.1.75</v>
          </cell>
          <cell r="D716" t="str">
            <v>27.10.03</v>
          </cell>
          <cell r="E716" t="str">
            <v>Junta/retração c/lábio polim. ab. 50 até 70mm-subst.</v>
          </cell>
          <cell r="F716" t="str">
            <v>m</v>
          </cell>
        </row>
        <row r="717">
          <cell r="B717" t="str">
            <v>7.1.76</v>
          </cell>
          <cell r="D717" t="str">
            <v>27.10.04</v>
          </cell>
          <cell r="E717" t="str">
            <v>Substituição de junta metálica</v>
          </cell>
          <cell r="F717" t="str">
            <v>m</v>
          </cell>
        </row>
        <row r="718">
          <cell r="B718" t="str">
            <v>7.1.77</v>
          </cell>
          <cell r="D718" t="str">
            <v>27.11.01</v>
          </cell>
          <cell r="E718" t="str">
            <v>Preparação e aplicação de argamassa</v>
          </cell>
          <cell r="F718" t="str">
            <v>m³</v>
          </cell>
        </row>
        <row r="719">
          <cell r="B719" t="str">
            <v>7.1.78</v>
          </cell>
          <cell r="D719" t="str">
            <v>27.11.02</v>
          </cell>
          <cell r="E719" t="str">
            <v>Ades.epoxi p/ trincas e fis.extrut.(incl. furo e mang.)</v>
          </cell>
          <cell r="F719" t="str">
            <v>kg</v>
          </cell>
        </row>
        <row r="720">
          <cell r="B720" t="str">
            <v>7.1.79</v>
          </cell>
          <cell r="D720" t="str">
            <v>27.11.03</v>
          </cell>
          <cell r="E720" t="str">
            <v>Injeção de calda de cimento</v>
          </cell>
          <cell r="F720" t="str">
            <v>kg</v>
          </cell>
        </row>
        <row r="721">
          <cell r="B721" t="str">
            <v>7.1.80</v>
          </cell>
          <cell r="D721" t="str">
            <v>27.11.05</v>
          </cell>
          <cell r="E721" t="str">
            <v>Injeção de calda de cimento em bainhas</v>
          </cell>
          <cell r="F721" t="str">
            <v>kg</v>
          </cell>
        </row>
        <row r="722">
          <cell r="B722" t="str">
            <v>7.1.81</v>
          </cell>
          <cell r="D722" t="str">
            <v>27.11.09</v>
          </cell>
          <cell r="E722" t="str">
            <v>Argamassa de cimento e areia traço 1:6</v>
          </cell>
          <cell r="F722" t="str">
            <v>m³</v>
          </cell>
        </row>
        <row r="723">
          <cell r="B723" t="str">
            <v>7.1.82</v>
          </cell>
          <cell r="D723" t="str">
            <v>27.11.10</v>
          </cell>
          <cell r="E723" t="str">
            <v>Argamassa cimento e areia traço 1:3 esp 2cm</v>
          </cell>
          <cell r="F723" t="str">
            <v>m²</v>
          </cell>
        </row>
        <row r="724">
          <cell r="B724" t="str">
            <v>7.1.83</v>
          </cell>
          <cell r="D724" t="str">
            <v>27.12.01</v>
          </cell>
          <cell r="E724" t="str">
            <v>Tubo de pvc perfurado ou não D=0,050m</v>
          </cell>
          <cell r="F724" t="str">
            <v>m</v>
          </cell>
        </row>
        <row r="725">
          <cell r="B725" t="str">
            <v>7.1.84</v>
          </cell>
          <cell r="D725" t="str">
            <v>27.12.03</v>
          </cell>
          <cell r="E725" t="str">
            <v>Tubo de pvc perfurado ou não D=0,10m</v>
          </cell>
          <cell r="F725" t="str">
            <v>m</v>
          </cell>
        </row>
        <row r="726">
          <cell r="B726" t="str">
            <v>7.1.85</v>
          </cell>
          <cell r="D726" t="str">
            <v>27.12.04</v>
          </cell>
          <cell r="E726" t="str">
            <v xml:space="preserve">Tubo de pvc perfurado ou não D=0,15m </v>
          </cell>
          <cell r="F726" t="str">
            <v>m</v>
          </cell>
        </row>
        <row r="727">
          <cell r="B727" t="str">
            <v>7.1.86</v>
          </cell>
          <cell r="D727" t="str">
            <v>27.13.02</v>
          </cell>
          <cell r="E727" t="str">
            <v>Aditivo super plastificante</v>
          </cell>
          <cell r="F727" t="str">
            <v>kg</v>
          </cell>
        </row>
        <row r="728">
          <cell r="B728" t="str">
            <v>7.1.87</v>
          </cell>
          <cell r="D728" t="str">
            <v>27.13.03</v>
          </cell>
          <cell r="E728" t="str">
            <v>Aditivo super fluidificante</v>
          </cell>
          <cell r="F728" t="str">
            <v>kg</v>
          </cell>
        </row>
        <row r="729">
          <cell r="B729" t="str">
            <v>7.1.88</v>
          </cell>
          <cell r="D729" t="str">
            <v>27.13.04</v>
          </cell>
          <cell r="E729" t="str">
            <v xml:space="preserve">Aditivo acelerador de pega </v>
          </cell>
          <cell r="F729" t="str">
            <v>kg</v>
          </cell>
        </row>
        <row r="730">
          <cell r="B730" t="str">
            <v>7.1.89</v>
          </cell>
          <cell r="D730" t="str">
            <v>27.13.05</v>
          </cell>
          <cell r="E730" t="str">
            <v>Aditivo retardador de pega</v>
          </cell>
          <cell r="F730" t="str">
            <v>kg</v>
          </cell>
        </row>
        <row r="731">
          <cell r="B731" t="str">
            <v>7.1.90</v>
          </cell>
          <cell r="D731" t="str">
            <v>27.14.03</v>
          </cell>
          <cell r="E731" t="str">
            <v>Pintura a base de epoxi - 2 demãos</v>
          </cell>
          <cell r="F731" t="str">
            <v>m²</v>
          </cell>
        </row>
        <row r="733">
          <cell r="B733" t="str">
            <v>Cód. Colinas</v>
          </cell>
          <cell r="D733" t="str">
            <v>Código</v>
          </cell>
          <cell r="E733" t="str">
            <v>Serviços</v>
          </cell>
          <cell r="F733" t="str">
            <v>Unid.</v>
          </cell>
        </row>
        <row r="736">
          <cell r="D736" t="str">
            <v>FASE 28 - SINALIZAÇÃO E ELEMENTOS DE SEGURANÇA</v>
          </cell>
        </row>
        <row r="737">
          <cell r="B737" t="str">
            <v>8.1.1</v>
          </cell>
          <cell r="D737" t="str">
            <v>28.01.02</v>
          </cell>
          <cell r="E737" t="str">
            <v>Placa de aço + GT</v>
          </cell>
          <cell r="F737" t="str">
            <v>m²</v>
          </cell>
        </row>
        <row r="738">
          <cell r="B738" t="str">
            <v>8.1.2</v>
          </cell>
          <cell r="D738" t="str">
            <v>28.01.04</v>
          </cell>
          <cell r="E738" t="str">
            <v>Placa de aço GT+ GT</v>
          </cell>
          <cell r="F738" t="str">
            <v>m²</v>
          </cell>
        </row>
        <row r="739">
          <cell r="B739" t="str">
            <v>8.1.3</v>
          </cell>
          <cell r="D739" t="str">
            <v>28.01.05</v>
          </cell>
          <cell r="E739" t="str">
            <v>Placa de aço GT+ AI</v>
          </cell>
          <cell r="F739" t="str">
            <v>m²</v>
          </cell>
        </row>
        <row r="740">
          <cell r="B740" t="str">
            <v>8.1.4</v>
          </cell>
          <cell r="D740" t="str">
            <v>28.01.07</v>
          </cell>
          <cell r="E740" t="str">
            <v>Placa alumínio mod. GT+GT</v>
          </cell>
          <cell r="F740" t="str">
            <v>m²</v>
          </cell>
        </row>
        <row r="741">
          <cell r="B741" t="str">
            <v>8.1.5</v>
          </cell>
          <cell r="D741" t="str">
            <v>28.01.08</v>
          </cell>
          <cell r="E741" t="str">
            <v xml:space="preserve">Placa al. mod. GT+AI </v>
          </cell>
          <cell r="F741" t="str">
            <v>m²</v>
          </cell>
        </row>
        <row r="742">
          <cell r="B742" t="str">
            <v>8.1.6</v>
          </cell>
          <cell r="D742" t="str">
            <v>28.01.10</v>
          </cell>
          <cell r="E742" t="str">
            <v xml:space="preserve">Placa al.mod.Ed./Ob.GT+Vinil </v>
          </cell>
          <cell r="F742" t="str">
            <v>m²</v>
          </cell>
        </row>
        <row r="743">
          <cell r="B743" t="str">
            <v>8.1.7</v>
          </cell>
          <cell r="D743" t="str">
            <v>28.01.17</v>
          </cell>
          <cell r="E743" t="str">
            <v xml:space="preserve">Placa em al. mod. p/Port/Semi-Port - GT+GT </v>
          </cell>
          <cell r="F743" t="str">
            <v>m²</v>
          </cell>
        </row>
        <row r="744">
          <cell r="B744" t="str">
            <v>8.1.8</v>
          </cell>
          <cell r="D744" t="str">
            <v>28.01.18</v>
          </cell>
          <cell r="E744" t="str">
            <v>Placa al. mod. p/Port./Semi GT+AI</v>
          </cell>
          <cell r="F744" t="str">
            <v>m²</v>
          </cell>
        </row>
        <row r="745">
          <cell r="B745" t="str">
            <v>8.1.9</v>
          </cell>
          <cell r="D745" t="str">
            <v>28.03.01</v>
          </cell>
          <cell r="E745" t="str">
            <v>Sinaliz.hor. res.alquid. + bor.clor.</v>
          </cell>
          <cell r="F745" t="str">
            <v>m²</v>
          </cell>
        </row>
        <row r="746">
          <cell r="B746" t="str">
            <v>8.1.10</v>
          </cell>
          <cell r="D746" t="str">
            <v>28.03.02</v>
          </cell>
          <cell r="E746" t="str">
            <v xml:space="preserve">Sinaliz.hor. c/resina vinilica ou acrilica </v>
          </cell>
          <cell r="F746" t="str">
            <v>m²</v>
          </cell>
        </row>
        <row r="747">
          <cell r="B747" t="str">
            <v>8.1.11</v>
          </cell>
          <cell r="D747" t="str">
            <v>28.03.03</v>
          </cell>
          <cell r="E747" t="str">
            <v xml:space="preserve">Sinaliz.hor. com termoplast. Hot-spray </v>
          </cell>
          <cell r="F747" t="str">
            <v>m²</v>
          </cell>
        </row>
        <row r="748">
          <cell r="B748" t="str">
            <v>8.1.12</v>
          </cell>
          <cell r="D748" t="str">
            <v>28.03.04</v>
          </cell>
          <cell r="E748" t="str">
            <v xml:space="preserve">Sinaliz.hor. c/termoplast.spray- c/visib </v>
          </cell>
          <cell r="F748" t="str">
            <v>m²</v>
          </cell>
        </row>
        <row r="749">
          <cell r="B749" t="str">
            <v>8.1.13</v>
          </cell>
          <cell r="D749" t="str">
            <v>28.03.05</v>
          </cell>
          <cell r="E749" t="str">
            <v>Sinaliz. hor. c/termoplast estrudado</v>
          </cell>
          <cell r="F749" t="str">
            <v>m²</v>
          </cell>
        </row>
        <row r="750">
          <cell r="B750" t="str">
            <v>8.1.14</v>
          </cell>
          <cell r="D750" t="str">
            <v>28.03.06</v>
          </cell>
          <cell r="E750" t="str">
            <v>Sinaliz. hor tinta para pouco trafego</v>
          </cell>
          <cell r="F750" t="str">
            <v>m²</v>
          </cell>
        </row>
        <row r="751">
          <cell r="B751" t="str">
            <v>8.1.15</v>
          </cell>
          <cell r="D751" t="str">
            <v>28.03.07</v>
          </cell>
          <cell r="E751" t="str">
            <v>Sinaliz. horiz. acril.base de água</v>
          </cell>
          <cell r="F751" t="str">
            <v>m²</v>
          </cell>
        </row>
        <row r="752">
          <cell r="B752" t="str">
            <v>8.1.16</v>
          </cell>
          <cell r="D752" t="str">
            <v>28.03.08</v>
          </cell>
          <cell r="E752" t="str">
            <v>Sinaliz. horiz. acril. base água c/visibead</v>
          </cell>
          <cell r="F752" t="str">
            <v>m²</v>
          </cell>
        </row>
        <row r="753">
          <cell r="B753" t="str">
            <v>8.1.17</v>
          </cell>
          <cell r="D753" t="str">
            <v>28.03.09</v>
          </cell>
          <cell r="E753" t="str">
            <v xml:space="preserve">Tacha c/elem refl. vidro esp.lap. monod. </v>
          </cell>
          <cell r="F753" t="str">
            <v>un</v>
          </cell>
        </row>
        <row r="754">
          <cell r="B754" t="str">
            <v>8.1.18</v>
          </cell>
          <cell r="D754" t="str">
            <v>28.03.09.01</v>
          </cell>
          <cell r="E754" t="str">
            <v>Tacha c/elem refl. vidro esp.lap.bidir.</v>
          </cell>
          <cell r="F754" t="str">
            <v>un</v>
          </cell>
        </row>
        <row r="755">
          <cell r="B755" t="str">
            <v>8.1.19</v>
          </cell>
          <cell r="D755" t="str">
            <v>28.03.10</v>
          </cell>
          <cell r="E755" t="str">
            <v xml:space="preserve">Tachão mini refl. vidro esp.lap.monod. </v>
          </cell>
          <cell r="F755" t="str">
            <v>un</v>
          </cell>
        </row>
        <row r="756">
          <cell r="B756" t="str">
            <v>8.1.20</v>
          </cell>
          <cell r="D756" t="str">
            <v>28.03.10.01</v>
          </cell>
          <cell r="E756" t="str">
            <v>Tachão mini refl. vidro esp.lap.bid</v>
          </cell>
          <cell r="F756" t="str">
            <v>un</v>
          </cell>
        </row>
        <row r="757">
          <cell r="B757" t="str">
            <v>8.1.21</v>
          </cell>
          <cell r="D757" t="str">
            <v>28.03.11</v>
          </cell>
          <cell r="E757" t="str">
            <v xml:space="preserve">Tachão c/elem refl vidro esp.lap.monod. </v>
          </cell>
          <cell r="F757" t="str">
            <v>un</v>
          </cell>
        </row>
        <row r="758">
          <cell r="B758" t="str">
            <v>8.1.22</v>
          </cell>
          <cell r="D758" t="str">
            <v>28.03.12</v>
          </cell>
          <cell r="E758" t="str">
            <v xml:space="preserve">Tachão c/elem refl. vidro esp.lap bidirec. </v>
          </cell>
          <cell r="F758" t="str">
            <v>un</v>
          </cell>
        </row>
        <row r="759">
          <cell r="B759" t="str">
            <v>8.1.23</v>
          </cell>
          <cell r="D759" t="str">
            <v>28.03.13</v>
          </cell>
          <cell r="E759" t="str">
            <v>Tacha c/elem refl de plastico monod.</v>
          </cell>
          <cell r="F759" t="str">
            <v>un</v>
          </cell>
        </row>
        <row r="760">
          <cell r="B760" t="str">
            <v>8.1.24</v>
          </cell>
          <cell r="D760" t="str">
            <v>28.03.14</v>
          </cell>
          <cell r="E760" t="str">
            <v>Tacha c/elem refl de plastico bidirec.</v>
          </cell>
          <cell r="F760" t="str">
            <v>un</v>
          </cell>
        </row>
        <row r="761">
          <cell r="B761" t="str">
            <v>8.1.25</v>
          </cell>
          <cell r="D761" t="str">
            <v>28.03.15</v>
          </cell>
          <cell r="E761" t="str">
            <v xml:space="preserve">Tacha c/elem refl prism.monodirec. </v>
          </cell>
          <cell r="F761" t="str">
            <v>un</v>
          </cell>
        </row>
        <row r="762">
          <cell r="B762" t="str">
            <v>8.1.26</v>
          </cell>
          <cell r="D762" t="str">
            <v>28.03.16</v>
          </cell>
          <cell r="E762" t="str">
            <v xml:space="preserve">Tacha c/elem refl prism. bidirec. </v>
          </cell>
          <cell r="F762" t="str">
            <v>un</v>
          </cell>
        </row>
        <row r="763">
          <cell r="B763" t="str">
            <v>8.1.27</v>
          </cell>
          <cell r="D763" t="str">
            <v>28.04.01</v>
          </cell>
          <cell r="E763" t="str">
            <v>Balizador de solo</v>
          </cell>
          <cell r="F763" t="str">
            <v>un</v>
          </cell>
        </row>
        <row r="764">
          <cell r="B764" t="str">
            <v>8.1.28</v>
          </cell>
          <cell r="D764" t="str">
            <v>28.04.05</v>
          </cell>
          <cell r="E764" t="str">
            <v xml:space="preserve">Barreira plast. bicolor 1000x 500x500mm </v>
          </cell>
          <cell r="F764" t="str">
            <v>un</v>
          </cell>
        </row>
        <row r="765">
          <cell r="B765" t="str">
            <v>8.1.29</v>
          </cell>
          <cell r="D765" t="str">
            <v>28.04.06</v>
          </cell>
          <cell r="E765" t="str">
            <v>Cilindro Canalizador de trafego</v>
          </cell>
          <cell r="F765" t="str">
            <v>un</v>
          </cell>
        </row>
        <row r="766">
          <cell r="B766" t="str">
            <v>8.1.30</v>
          </cell>
          <cell r="D766" t="str">
            <v>28.04.07</v>
          </cell>
          <cell r="E766" t="str">
            <v>Balizador cilindrico GT</v>
          </cell>
          <cell r="F766" t="str">
            <v>un</v>
          </cell>
        </row>
        <row r="767">
          <cell r="B767" t="str">
            <v>8.1.31</v>
          </cell>
          <cell r="D767" t="str">
            <v>28.04.08</v>
          </cell>
          <cell r="E767" t="str">
            <v xml:space="preserve">Balizador cilindrico AI </v>
          </cell>
          <cell r="F767" t="str">
            <v>un</v>
          </cell>
        </row>
        <row r="768">
          <cell r="B768" t="str">
            <v>8.1.32</v>
          </cell>
          <cell r="D768" t="str">
            <v>28.04.09</v>
          </cell>
          <cell r="E768" t="str">
            <v>Baia proteção simples</v>
          </cell>
          <cell r="F768" t="str">
            <v>un</v>
          </cell>
        </row>
        <row r="769">
          <cell r="B769" t="str">
            <v>8.1.33</v>
          </cell>
          <cell r="D769" t="str">
            <v>28.04.10</v>
          </cell>
          <cell r="E769" t="str">
            <v>Baia proteção duplo</v>
          </cell>
          <cell r="F769" t="str">
            <v>un</v>
          </cell>
        </row>
        <row r="770">
          <cell r="B770" t="str">
            <v>8.1.34</v>
          </cell>
          <cell r="D770" t="str">
            <v>28.04.11</v>
          </cell>
          <cell r="E770" t="str">
            <v>Baia proteção master</v>
          </cell>
          <cell r="F770" t="str">
            <v>un</v>
          </cell>
        </row>
        <row r="771">
          <cell r="B771" t="str">
            <v>8.1.35</v>
          </cell>
          <cell r="D771" t="str">
            <v xml:space="preserve">28.04.12 </v>
          </cell>
          <cell r="E771" t="str">
            <v xml:space="preserve">Lamela ant.fixada em barr.N.Jersey h=0,60m </v>
          </cell>
          <cell r="F771" t="str">
            <v>m</v>
          </cell>
        </row>
        <row r="772">
          <cell r="B772" t="str">
            <v>8.1.36</v>
          </cell>
          <cell r="D772" t="str">
            <v>28.04.13</v>
          </cell>
          <cell r="E772" t="str">
            <v xml:space="preserve">Lamela ant.fixada em barr.N.Jersey h=0,80m </v>
          </cell>
          <cell r="F772" t="str">
            <v>m</v>
          </cell>
        </row>
        <row r="773">
          <cell r="B773" t="str">
            <v>8.1.37</v>
          </cell>
          <cell r="D773" t="str">
            <v>28.04.14</v>
          </cell>
          <cell r="E773" t="str">
            <v>Lamela ant.fixada em defensa h=0,80m</v>
          </cell>
          <cell r="F773" t="str">
            <v>m</v>
          </cell>
        </row>
        <row r="774">
          <cell r="B774" t="str">
            <v>8.1.38</v>
          </cell>
          <cell r="D774" t="str">
            <v>28.05.01</v>
          </cell>
          <cell r="E774" t="str">
            <v xml:space="preserve">Defensa -maleável simples </v>
          </cell>
          <cell r="F774" t="str">
            <v>m</v>
          </cell>
        </row>
        <row r="775">
          <cell r="B775" t="str">
            <v>8.1.39</v>
          </cell>
          <cell r="D775" t="str">
            <v>28.05.02</v>
          </cell>
          <cell r="E775" t="str">
            <v xml:space="preserve">Defensa -maleável duplo </v>
          </cell>
          <cell r="F775" t="str">
            <v>m</v>
          </cell>
        </row>
        <row r="776">
          <cell r="B776" t="str">
            <v>8.1.40</v>
          </cell>
          <cell r="D776" t="str">
            <v>28.05.03</v>
          </cell>
          <cell r="E776" t="str">
            <v>Defensa -maleável simples - implantação</v>
          </cell>
          <cell r="F776" t="str">
            <v>m</v>
          </cell>
        </row>
        <row r="777">
          <cell r="B777" t="str">
            <v>8.1.41</v>
          </cell>
          <cell r="D777" t="str">
            <v>28.05.04</v>
          </cell>
          <cell r="E777" t="str">
            <v>Defensa -maleável duplo - implantação</v>
          </cell>
          <cell r="F777" t="str">
            <v>m</v>
          </cell>
        </row>
        <row r="778">
          <cell r="B778" t="str">
            <v>8.1.42</v>
          </cell>
          <cell r="D778" t="str">
            <v>28.05.05</v>
          </cell>
          <cell r="E778" t="str">
            <v xml:space="preserve">Defensa -semi-maleável simples - fornecim. </v>
          </cell>
          <cell r="F778" t="str">
            <v>m</v>
          </cell>
        </row>
        <row r="779">
          <cell r="B779" t="str">
            <v>8.1.43</v>
          </cell>
          <cell r="D779" t="str">
            <v>28.05.06</v>
          </cell>
          <cell r="E779" t="str">
            <v xml:space="preserve">Defensa -semi-maleável simples - instalação </v>
          </cell>
          <cell r="F779" t="str">
            <v>m</v>
          </cell>
        </row>
        <row r="780">
          <cell r="B780" t="str">
            <v>8.1.44</v>
          </cell>
          <cell r="D780" t="str">
            <v>28.06.01</v>
          </cell>
          <cell r="E780" t="str">
            <v xml:space="preserve">G.c.intransponível tipo I - des. 5289 </v>
          </cell>
          <cell r="F780" t="str">
            <v>m</v>
          </cell>
        </row>
        <row r="781">
          <cell r="B781" t="str">
            <v>8.1.45</v>
          </cell>
          <cell r="D781" t="str">
            <v>28.06.02</v>
          </cell>
          <cell r="E781" t="str">
            <v xml:space="preserve">G.c.intransponível tipo II - des. 5307 </v>
          </cell>
          <cell r="F781" t="str">
            <v>m</v>
          </cell>
        </row>
        <row r="782">
          <cell r="B782" t="str">
            <v>8.1.46</v>
          </cell>
          <cell r="D782" t="str">
            <v>28.06.03</v>
          </cell>
          <cell r="E782" t="str">
            <v>G.c.de conc. pré passarela - des. 5370</v>
          </cell>
          <cell r="F782" t="str">
            <v>m</v>
          </cell>
        </row>
        <row r="783">
          <cell r="B783" t="str">
            <v>8.1.47</v>
          </cell>
          <cell r="D783" t="str">
            <v>28.06.04</v>
          </cell>
          <cell r="E783" t="str">
            <v xml:space="preserve">Barreira de segurança tipo New Jersey - des. 5396 </v>
          </cell>
          <cell r="F783" t="str">
            <v>m</v>
          </cell>
        </row>
        <row r="784">
          <cell r="B784" t="str">
            <v>8.1.48</v>
          </cell>
          <cell r="D784" t="str">
            <v>28.06.05</v>
          </cell>
          <cell r="E784" t="str">
            <v xml:space="preserve">Barreira double face New Jersey des 5514 </v>
          </cell>
          <cell r="F784" t="str">
            <v>m</v>
          </cell>
        </row>
        <row r="785">
          <cell r="B785" t="str">
            <v>8.1.49</v>
          </cell>
          <cell r="D785" t="str">
            <v>28.06.06</v>
          </cell>
          <cell r="E785" t="str">
            <v xml:space="preserve">Barreira double face New Jersey O.A.E.des 5464 </v>
          </cell>
          <cell r="F785" t="str">
            <v>m</v>
          </cell>
        </row>
        <row r="786">
          <cell r="B786" t="str">
            <v>8.1.50</v>
          </cell>
          <cell r="D786" t="str">
            <v>28.06.07</v>
          </cell>
          <cell r="E786" t="str">
            <v xml:space="preserve">Barreira double face New Jersey des 5465 </v>
          </cell>
          <cell r="F786" t="str">
            <v>m</v>
          </cell>
        </row>
        <row r="787">
          <cell r="B787" t="str">
            <v>8.1.51</v>
          </cell>
          <cell r="D787" t="str">
            <v>28.06.08</v>
          </cell>
          <cell r="E787" t="str">
            <v xml:space="preserve">Barreira com passeio p/ O.A.E. - des 5397 </v>
          </cell>
          <cell r="F787" t="str">
            <v>m</v>
          </cell>
        </row>
        <row r="788">
          <cell r="B788" t="str">
            <v>8.1.52</v>
          </cell>
          <cell r="D788" t="str">
            <v>28.06.09</v>
          </cell>
          <cell r="E788" t="str">
            <v xml:space="preserve">Barreira New-Jersey extrudada </v>
          </cell>
          <cell r="F788" t="str">
            <v>m</v>
          </cell>
        </row>
        <row r="789">
          <cell r="B789" t="str">
            <v>8.1.53</v>
          </cell>
          <cell r="D789" t="str">
            <v>28.06.10</v>
          </cell>
          <cell r="E789" t="str">
            <v xml:space="preserve">Suporte madeira tratada 0,10 x 0,10m </v>
          </cell>
          <cell r="F789" t="str">
            <v>m</v>
          </cell>
        </row>
        <row r="790">
          <cell r="B790" t="str">
            <v>8.1.54</v>
          </cell>
          <cell r="D790" t="str">
            <v>28.06.11</v>
          </cell>
          <cell r="E790" t="str">
            <v xml:space="preserve">Suporte de perfil metálico galvanizado </v>
          </cell>
          <cell r="F790" t="str">
            <v>kg</v>
          </cell>
        </row>
        <row r="791">
          <cell r="B791" t="str">
            <v>8.1.55</v>
          </cell>
          <cell r="D791" t="str">
            <v>28.06.12</v>
          </cell>
          <cell r="E791" t="str">
            <v xml:space="preserve">Suporte de tubo galvanizado d= 2 1/2" </v>
          </cell>
          <cell r="F791" t="str">
            <v>m</v>
          </cell>
        </row>
        <row r="792">
          <cell r="B792" t="str">
            <v>8.1.56</v>
          </cell>
          <cell r="D792" t="str">
            <v>28.07.01</v>
          </cell>
          <cell r="E792" t="str">
            <v xml:space="preserve">Broca de concreto armado D=20,00cm </v>
          </cell>
          <cell r="F792" t="str">
            <v>m</v>
          </cell>
        </row>
        <row r="793">
          <cell r="B793" t="str">
            <v>8.1.57</v>
          </cell>
          <cell r="D793" t="str">
            <v>28.07.02</v>
          </cell>
          <cell r="E793" t="str">
            <v xml:space="preserve">Broca de concreto armado D=25,00cm </v>
          </cell>
          <cell r="F793" t="str">
            <v>m</v>
          </cell>
        </row>
        <row r="794">
          <cell r="B794" t="str">
            <v>8.1.58</v>
          </cell>
          <cell r="D794" t="str">
            <v>28.07.03</v>
          </cell>
          <cell r="E794" t="str">
            <v>Broca de concreto armado D=15,00cm</v>
          </cell>
          <cell r="F794" t="str">
            <v>m</v>
          </cell>
        </row>
        <row r="795">
          <cell r="B795" t="str">
            <v>8.1.59</v>
          </cell>
          <cell r="D795" t="str">
            <v>28.07.04</v>
          </cell>
          <cell r="E795" t="str">
            <v xml:space="preserve">Placa institucional </v>
          </cell>
          <cell r="F795" t="str">
            <v>un</v>
          </cell>
        </row>
        <row r="796">
          <cell r="B796" t="str">
            <v>8.1.60</v>
          </cell>
          <cell r="D796" t="str">
            <v>28.07.05</v>
          </cell>
          <cell r="E796" t="str">
            <v xml:space="preserve">Manut placa instit. </v>
          </cell>
          <cell r="F796" t="str">
            <v>manut x mês</v>
          </cell>
        </row>
        <row r="798">
          <cell r="B798" t="str">
            <v>Cód. Colinas</v>
          </cell>
          <cell r="D798" t="str">
            <v>Código</v>
          </cell>
          <cell r="E798" t="str">
            <v>Serviços</v>
          </cell>
          <cell r="F798" t="str">
            <v>Unid.</v>
          </cell>
        </row>
        <row r="801">
          <cell r="D801" t="str">
            <v>FASE 30 - SERVIÇO DE PROTEÇÂO AO MEIO AMBIENTE</v>
          </cell>
        </row>
        <row r="802">
          <cell r="B802" t="str">
            <v>9.1.1</v>
          </cell>
          <cell r="D802" t="str">
            <v>30.01.01</v>
          </cell>
          <cell r="E802" t="str">
            <v>Grama placa s/adubo</v>
          </cell>
          <cell r="F802" t="str">
            <v>m²</v>
          </cell>
        </row>
        <row r="803">
          <cell r="B803" t="str">
            <v>9.1.2</v>
          </cell>
          <cell r="D803" t="str">
            <v>30.01.02</v>
          </cell>
          <cell r="E803" t="str">
            <v>Grama placa c/adubo</v>
          </cell>
          <cell r="F803" t="str">
            <v>m²</v>
          </cell>
        </row>
        <row r="804">
          <cell r="B804" t="str">
            <v>9.1.3</v>
          </cell>
          <cell r="D804" t="str">
            <v>30.01.03</v>
          </cell>
          <cell r="E804" t="str">
            <v>Grama muda s/adubo</v>
          </cell>
          <cell r="F804" t="str">
            <v>m²</v>
          </cell>
        </row>
        <row r="805">
          <cell r="B805" t="str">
            <v>9.1.4</v>
          </cell>
          <cell r="D805" t="str">
            <v>30.01.04</v>
          </cell>
          <cell r="E805" t="str">
            <v>Grama muda c/adubo</v>
          </cell>
          <cell r="F805" t="str">
            <v>m²</v>
          </cell>
        </row>
        <row r="806">
          <cell r="B806" t="str">
            <v>9.1.5</v>
          </cell>
          <cell r="D806" t="str">
            <v>30.01.05</v>
          </cell>
          <cell r="E806" t="str">
            <v>Plant. Semen. s/adubo</v>
          </cell>
          <cell r="F806" t="str">
            <v>m²</v>
          </cell>
        </row>
        <row r="807">
          <cell r="B807" t="str">
            <v>9.1.6</v>
          </cell>
          <cell r="D807" t="str">
            <v>30.01.06</v>
          </cell>
          <cell r="E807" t="str">
            <v>Plant. Semen. c/adubo</v>
          </cell>
          <cell r="F807" t="str">
            <v>m²</v>
          </cell>
        </row>
        <row r="808">
          <cell r="B808" t="str">
            <v>9.1.7</v>
          </cell>
          <cell r="D808" t="str">
            <v>30.01.07</v>
          </cell>
          <cell r="E808" t="str">
            <v>Hidrossemeadura</v>
          </cell>
          <cell r="F808" t="str">
            <v>m²</v>
          </cell>
        </row>
        <row r="809">
          <cell r="B809" t="str">
            <v>9.1.8</v>
          </cell>
          <cell r="D809" t="str">
            <v>30.01.08</v>
          </cell>
          <cell r="E809" t="str">
            <v>Irrig. Revest. Vegetal</v>
          </cell>
          <cell r="F809" t="str">
            <v>m²</v>
          </cell>
        </row>
        <row r="810">
          <cell r="B810" t="str">
            <v>9.1.9</v>
          </cell>
          <cell r="D810" t="str">
            <v>30.01.21</v>
          </cell>
          <cell r="E810" t="str">
            <v xml:space="preserve">Plantio de arbustos </v>
          </cell>
          <cell r="F810" t="str">
            <v>un</v>
          </cell>
        </row>
        <row r="811">
          <cell r="B811" t="str">
            <v>9.1.10</v>
          </cell>
          <cell r="D811" t="str">
            <v>30.01.22</v>
          </cell>
          <cell r="E811" t="str">
            <v>Plantio de arvores</v>
          </cell>
          <cell r="F811" t="str">
            <v>un</v>
          </cell>
        </row>
        <row r="812">
          <cell r="B812" t="str">
            <v>9.1.11</v>
          </cell>
          <cell r="D812" t="str">
            <v>30.01.30</v>
          </cell>
          <cell r="E812" t="str">
            <v xml:space="preserve">Plant gram sem c adu. </v>
          </cell>
          <cell r="F812" t="str">
            <v>m²</v>
          </cell>
        </row>
        <row r="813">
          <cell r="B813" t="str">
            <v>9.1.12</v>
          </cell>
          <cell r="D813" t="str">
            <v>30.02.02</v>
          </cell>
          <cell r="E813" t="str">
            <v xml:space="preserve">Alambrado com tela de arame galv., mourao de conc, </v>
          </cell>
          <cell r="F813" t="str">
            <v>m²</v>
          </cell>
        </row>
        <row r="815">
          <cell r="B815" t="str">
            <v>Cód. Colinas</v>
          </cell>
          <cell r="D815" t="str">
            <v>Código</v>
          </cell>
          <cell r="E815" t="str">
            <v>Serviços</v>
          </cell>
          <cell r="F815" t="str">
            <v>Unid.</v>
          </cell>
        </row>
        <row r="818">
          <cell r="D818" t="str">
            <v>FASE 31 - CONSERVAÇÃO DE ROTINA</v>
          </cell>
        </row>
        <row r="819">
          <cell r="B819" t="str">
            <v>10.1.1</v>
          </cell>
          <cell r="D819" t="str">
            <v>31.01.01</v>
          </cell>
          <cell r="E819" t="str">
            <v>Remendo pre-mist. Quente</v>
          </cell>
          <cell r="F819" t="str">
            <v>m³</v>
          </cell>
        </row>
        <row r="820">
          <cell r="B820" t="str">
            <v>10.1.2</v>
          </cell>
          <cell r="D820" t="str">
            <v>31.01.02</v>
          </cell>
          <cell r="E820" t="str">
            <v>Remendo pre-mist. Frio</v>
          </cell>
          <cell r="F820" t="str">
            <v>m³</v>
          </cell>
        </row>
        <row r="821">
          <cell r="B821" t="str">
            <v>10.1.3</v>
          </cell>
          <cell r="D821" t="str">
            <v>31.01.03</v>
          </cell>
          <cell r="E821" t="str">
            <v>Reparo em pav. Tapa buraco</v>
          </cell>
          <cell r="F821" t="str">
            <v>m³</v>
          </cell>
        </row>
        <row r="822">
          <cell r="B822" t="str">
            <v>10.1.4</v>
          </cell>
          <cell r="D822" t="str">
            <v>31.01.04</v>
          </cell>
          <cell r="E822" t="str">
            <v>Reparo de base brita graduada</v>
          </cell>
          <cell r="F822" t="str">
            <v>m³</v>
          </cell>
        </row>
        <row r="823">
          <cell r="B823" t="str">
            <v>10.1.5</v>
          </cell>
          <cell r="D823" t="str">
            <v>31.01.05</v>
          </cell>
          <cell r="E823" t="str">
            <v>Selagem de trinca</v>
          </cell>
          <cell r="F823" t="str">
            <v>litros</v>
          </cell>
        </row>
        <row r="824">
          <cell r="B824" t="str">
            <v>10.1.6</v>
          </cell>
          <cell r="D824" t="str">
            <v>31.01.06</v>
          </cell>
          <cell r="E824" t="str">
            <v>Reparo de concreto portland</v>
          </cell>
          <cell r="F824" t="str">
            <v>m³</v>
          </cell>
        </row>
        <row r="825">
          <cell r="B825" t="str">
            <v>10.1.7</v>
          </cell>
          <cell r="D825" t="str">
            <v>31.01.07</v>
          </cell>
          <cell r="E825" t="str">
            <v xml:space="preserve">Repos. Ver. Prim. Pista </v>
          </cell>
          <cell r="F825" t="str">
            <v>m³</v>
          </cell>
        </row>
        <row r="826">
          <cell r="B826" t="str">
            <v>10.1.8</v>
          </cell>
          <cell r="D826" t="str">
            <v>31.01.08</v>
          </cell>
          <cell r="E826" t="str">
            <v>Repos. Ver. Prim. Acost.</v>
          </cell>
          <cell r="F826" t="str">
            <v>m³</v>
          </cell>
        </row>
        <row r="827">
          <cell r="B827" t="str">
            <v>10.1.9</v>
          </cell>
          <cell r="D827" t="str">
            <v>31.01.09</v>
          </cell>
          <cell r="E827" t="str">
            <v xml:space="preserve">Reconformação de plataforma </v>
          </cell>
          <cell r="F827" t="str">
            <v>km</v>
          </cell>
        </row>
        <row r="828">
          <cell r="B828" t="str">
            <v>10.1.10</v>
          </cell>
          <cell r="D828" t="str">
            <v>31.01.10</v>
          </cell>
          <cell r="E828" t="str">
            <v xml:space="preserve">Reconformação de acostamento </v>
          </cell>
          <cell r="F828" t="str">
            <v>km</v>
          </cell>
        </row>
        <row r="829">
          <cell r="B829" t="str">
            <v>10.1.11</v>
          </cell>
          <cell r="D829" t="str">
            <v>31.02.01</v>
          </cell>
          <cell r="E829" t="str">
            <v>Plantio de grama em placa sem adubo</v>
          </cell>
          <cell r="F829" t="str">
            <v>m²</v>
          </cell>
        </row>
        <row r="830">
          <cell r="B830" t="str">
            <v>10.1.12</v>
          </cell>
          <cell r="D830" t="str">
            <v>31.02.02</v>
          </cell>
          <cell r="E830" t="str">
            <v>Plantio de grama em placa com adubo</v>
          </cell>
          <cell r="F830" t="str">
            <v>m²</v>
          </cell>
        </row>
        <row r="831">
          <cell r="B831" t="str">
            <v>10.1.13</v>
          </cell>
          <cell r="D831" t="str">
            <v>31.02.03</v>
          </cell>
          <cell r="E831" t="str">
            <v>Roçada manual</v>
          </cell>
          <cell r="F831" t="str">
            <v>ha</v>
          </cell>
        </row>
        <row r="832">
          <cell r="B832" t="str">
            <v>10.1.14</v>
          </cell>
          <cell r="D832" t="str">
            <v>31.02.04</v>
          </cell>
          <cell r="E832" t="str">
            <v xml:space="preserve">Roçada mecânica </v>
          </cell>
          <cell r="F832" t="str">
            <v>ha</v>
          </cell>
        </row>
        <row r="833">
          <cell r="B833" t="str">
            <v>10.1.15</v>
          </cell>
          <cell r="D833" t="str">
            <v>31.02.05</v>
          </cell>
          <cell r="E833" t="str">
            <v>Capina manual</v>
          </cell>
          <cell r="F833" t="str">
            <v>ha</v>
          </cell>
        </row>
        <row r="834">
          <cell r="B834" t="str">
            <v>10.1.16</v>
          </cell>
          <cell r="D834" t="str">
            <v>31.02.06</v>
          </cell>
          <cell r="E834" t="str">
            <v>Capina química</v>
          </cell>
          <cell r="F834" t="str">
            <v>m²</v>
          </cell>
        </row>
        <row r="835">
          <cell r="B835" t="str">
            <v>10.1.17</v>
          </cell>
          <cell r="D835" t="str">
            <v>31.02.07</v>
          </cell>
          <cell r="E835" t="str">
            <v>Conservação manual de aceiro</v>
          </cell>
          <cell r="F835" t="str">
            <v>ha</v>
          </cell>
        </row>
        <row r="836">
          <cell r="B836" t="str">
            <v>10.1.18</v>
          </cell>
          <cell r="D836" t="str">
            <v>31.02.08</v>
          </cell>
          <cell r="E836" t="str">
            <v>Despraguejamento manual de gramado</v>
          </cell>
          <cell r="F836" t="str">
            <v>ha</v>
          </cell>
        </row>
        <row r="837">
          <cell r="B837" t="str">
            <v>10.1.19</v>
          </cell>
          <cell r="D837" t="str">
            <v>31.02.09</v>
          </cell>
          <cell r="E837" t="str">
            <v>Remoção lixo entulho</v>
          </cell>
          <cell r="F837" t="str">
            <v>equipexh</v>
          </cell>
        </row>
        <row r="838">
          <cell r="B838" t="str">
            <v>10.1.20</v>
          </cell>
          <cell r="D838" t="str">
            <v>31.03.01</v>
          </cell>
          <cell r="E838" t="str">
            <v>Reparo total de cerca</v>
          </cell>
          <cell r="F838" t="str">
            <v>m</v>
          </cell>
        </row>
        <row r="839">
          <cell r="B839" t="str">
            <v>10.1.21</v>
          </cell>
          <cell r="D839" t="str">
            <v>31.03.02</v>
          </cell>
          <cell r="E839" t="str">
            <v>Reparo parcial de cerca - mourão</v>
          </cell>
          <cell r="F839" t="str">
            <v>m</v>
          </cell>
        </row>
        <row r="840">
          <cell r="B840" t="str">
            <v>10.1.22</v>
          </cell>
          <cell r="D840" t="str">
            <v>31.03.03</v>
          </cell>
          <cell r="E840" t="str">
            <v>Reparo parcial de cerca - arame</v>
          </cell>
          <cell r="F840" t="str">
            <v>m</v>
          </cell>
        </row>
        <row r="841">
          <cell r="B841" t="str">
            <v>10.1.23</v>
          </cell>
          <cell r="D841" t="str">
            <v>31.04.01</v>
          </cell>
          <cell r="E841" t="str">
            <v>Recomposição manual de aterro</v>
          </cell>
          <cell r="F841" t="str">
            <v>m³</v>
          </cell>
        </row>
        <row r="842">
          <cell r="B842" t="str">
            <v>10.1.24</v>
          </cell>
          <cell r="D842" t="str">
            <v>31.04.02</v>
          </cell>
          <cell r="E842" t="str">
            <v>Recomposição mecânica de aterro</v>
          </cell>
          <cell r="F842" t="str">
            <v>m³</v>
          </cell>
        </row>
        <row r="843">
          <cell r="B843" t="str">
            <v>10.1.25</v>
          </cell>
          <cell r="D843" t="str">
            <v>31.04.03</v>
          </cell>
          <cell r="E843" t="str">
            <v xml:space="preserve">Remoção manual de barreira </v>
          </cell>
          <cell r="F843" t="str">
            <v>m³</v>
          </cell>
        </row>
        <row r="844">
          <cell r="B844" t="str">
            <v>10.1.26</v>
          </cell>
          <cell r="D844" t="str">
            <v>31.04.04</v>
          </cell>
          <cell r="E844" t="str">
            <v>Remoção mecânica de barreira</v>
          </cell>
          <cell r="F844" t="str">
            <v>m³</v>
          </cell>
        </row>
        <row r="845">
          <cell r="B845" t="str">
            <v>10.1.27</v>
          </cell>
          <cell r="D845" t="str">
            <v>31.05.01</v>
          </cell>
          <cell r="E845" t="str">
            <v>Limpeza de drenagem da plataforma</v>
          </cell>
          <cell r="F845" t="str">
            <v>m</v>
          </cell>
        </row>
        <row r="846">
          <cell r="B846" t="str">
            <v>10.1.28</v>
          </cell>
          <cell r="D846" t="str">
            <v>31.05.02</v>
          </cell>
          <cell r="E846" t="str">
            <v>Limpeza de drenagem fora da plataforma</v>
          </cell>
          <cell r="F846" t="str">
            <v>m</v>
          </cell>
        </row>
        <row r="847">
          <cell r="B847" t="str">
            <v>10.1.29</v>
          </cell>
          <cell r="D847" t="str">
            <v>31.05.03</v>
          </cell>
          <cell r="E847" t="str">
            <v>Limpeza de bueiros diametro até 60cm</v>
          </cell>
          <cell r="F847" t="str">
            <v>m</v>
          </cell>
        </row>
        <row r="848">
          <cell r="B848" t="str">
            <v>10.1.30</v>
          </cell>
          <cell r="D848" t="str">
            <v>31.05.04</v>
          </cell>
          <cell r="E848" t="str">
            <v>Limpeza de bueiros diametro até 80cm</v>
          </cell>
          <cell r="F848" t="str">
            <v>m</v>
          </cell>
        </row>
        <row r="849">
          <cell r="B849" t="str">
            <v>10.1.31</v>
          </cell>
          <cell r="D849" t="str">
            <v>31.05.05</v>
          </cell>
          <cell r="E849" t="str">
            <v>Limpeza de bueiros diametro até 100cm</v>
          </cell>
          <cell r="F849" t="str">
            <v>m</v>
          </cell>
        </row>
        <row r="850">
          <cell r="B850" t="str">
            <v>10.1.32</v>
          </cell>
          <cell r="D850" t="str">
            <v>31.05.06</v>
          </cell>
          <cell r="E850" t="str">
            <v>Limpeza de bueiros diametro até 120cm</v>
          </cell>
          <cell r="F850" t="str">
            <v>m</v>
          </cell>
        </row>
        <row r="851">
          <cell r="B851" t="str">
            <v>10.1.33</v>
          </cell>
          <cell r="D851" t="str">
            <v>31.05.07</v>
          </cell>
          <cell r="E851" t="str">
            <v>Limpeza de bueiros diametro até 150cm</v>
          </cell>
          <cell r="F851" t="str">
            <v>m</v>
          </cell>
        </row>
        <row r="852">
          <cell r="B852" t="str">
            <v>10.1.34</v>
          </cell>
          <cell r="D852" t="str">
            <v>31.05.08</v>
          </cell>
          <cell r="E852" t="str">
            <v>Limpeza de galeria</v>
          </cell>
          <cell r="F852" t="str">
            <v>m</v>
          </cell>
        </row>
        <row r="853">
          <cell r="B853" t="str">
            <v>10.1.35</v>
          </cell>
          <cell r="D853" t="str">
            <v>31.05.09</v>
          </cell>
          <cell r="E853" t="str">
            <v>Reparo drenagem superficial de concreto</v>
          </cell>
          <cell r="F853" t="str">
            <v>m³</v>
          </cell>
        </row>
        <row r="854">
          <cell r="B854" t="str">
            <v>10.1.36</v>
          </cell>
          <cell r="D854" t="str">
            <v>31.05.10</v>
          </cell>
          <cell r="E854" t="str">
            <v>Demolição de concreto simples</v>
          </cell>
          <cell r="F854" t="str">
            <v>m³</v>
          </cell>
        </row>
        <row r="855">
          <cell r="B855" t="str">
            <v>10.1.37</v>
          </cell>
          <cell r="D855" t="str">
            <v>31.05.11</v>
          </cell>
          <cell r="E855" t="str">
            <v xml:space="preserve">Demolição de concreto Armado </v>
          </cell>
          <cell r="F855" t="str">
            <v>m³</v>
          </cell>
        </row>
        <row r="856">
          <cell r="B856" t="str">
            <v>10.1.38</v>
          </cell>
          <cell r="D856" t="str">
            <v>31.05.12</v>
          </cell>
          <cell r="E856" t="str">
            <v>Demolição e retirada de guarda-corpo</v>
          </cell>
          <cell r="F856" t="str">
            <v>m³</v>
          </cell>
        </row>
        <row r="857">
          <cell r="B857" t="str">
            <v>10.1.39</v>
          </cell>
          <cell r="D857" t="str">
            <v>31.06.01</v>
          </cell>
          <cell r="E857" t="str">
            <v>Limpeza de placa</v>
          </cell>
          <cell r="F857" t="str">
            <v>m²</v>
          </cell>
        </row>
        <row r="858">
          <cell r="B858" t="str">
            <v>10.1.40</v>
          </cell>
          <cell r="D858" t="str">
            <v>31.06.02</v>
          </cell>
          <cell r="E858" t="str">
            <v>Substituição de placa</v>
          </cell>
          <cell r="F858" t="str">
            <v>m²</v>
          </cell>
        </row>
        <row r="859">
          <cell r="B859" t="str">
            <v>10.1.41</v>
          </cell>
          <cell r="D859" t="str">
            <v>31.06.03</v>
          </cell>
          <cell r="E859" t="str">
            <v>Fornec. de placa de aco FP+GT</v>
          </cell>
          <cell r="F859" t="str">
            <v>m²</v>
          </cell>
        </row>
        <row r="860">
          <cell r="B860" t="str">
            <v>10.1.42</v>
          </cell>
          <cell r="D860" t="str">
            <v>31.06.05</v>
          </cell>
          <cell r="E860" t="str">
            <v>Placa de alumínio GT+GT</v>
          </cell>
          <cell r="F860" t="str">
            <v>m²</v>
          </cell>
        </row>
        <row r="861">
          <cell r="B861" t="str">
            <v>10.1.43</v>
          </cell>
          <cell r="D861" t="str">
            <v>31.06.06</v>
          </cell>
          <cell r="E861" t="str">
            <v>Suporte madeira tratada 0,10 x 0,10m</v>
          </cell>
          <cell r="F861" t="str">
            <v>m</v>
          </cell>
        </row>
        <row r="862">
          <cell r="B862" t="str">
            <v>10.1.44</v>
          </cell>
          <cell r="D862" t="str">
            <v>31.06.07</v>
          </cell>
          <cell r="E862" t="str">
            <v>Suporte de perfil metálico galvanizado</v>
          </cell>
          <cell r="F862" t="str">
            <v>kg</v>
          </cell>
        </row>
        <row r="863">
          <cell r="B863" t="str">
            <v>10.1.45</v>
          </cell>
          <cell r="D863" t="str">
            <v>31.06.08</v>
          </cell>
          <cell r="E863" t="str">
            <v>Suporte de tubo galvanizado d=2 1/2"</v>
          </cell>
          <cell r="F863" t="str">
            <v>m</v>
          </cell>
        </row>
        <row r="864">
          <cell r="B864" t="str">
            <v>10.1.46</v>
          </cell>
          <cell r="D864" t="str">
            <v>31.06.09</v>
          </cell>
          <cell r="E864" t="str">
            <v>Limpeza tacha refletiva mono/bidirecional</v>
          </cell>
          <cell r="F864" t="str">
            <v>un</v>
          </cell>
        </row>
        <row r="865">
          <cell r="B865" t="str">
            <v>10.1.47</v>
          </cell>
          <cell r="D865" t="str">
            <v>31.06.10</v>
          </cell>
          <cell r="E865" t="str">
            <v>Pintura de caiação 2 demãos</v>
          </cell>
          <cell r="F865" t="str">
            <v>m²</v>
          </cell>
        </row>
        <row r="866">
          <cell r="B866" t="str">
            <v>10.1.48</v>
          </cell>
          <cell r="D866" t="str">
            <v>31.07.01</v>
          </cell>
          <cell r="E866" t="str">
            <v>Substituição de defensa semi-maleável sem mat.</v>
          </cell>
          <cell r="F866" t="str">
            <v>m</v>
          </cell>
        </row>
        <row r="867">
          <cell r="B867" t="str">
            <v>10.1.49</v>
          </cell>
          <cell r="D867" t="str">
            <v>31.07.02</v>
          </cell>
          <cell r="E867" t="str">
            <v>Defensa semi-maleável - fornecimento</v>
          </cell>
          <cell r="F867" t="str">
            <v>m</v>
          </cell>
        </row>
        <row r="868">
          <cell r="B868" t="str">
            <v>10.1.50</v>
          </cell>
          <cell r="D868" t="str">
            <v>31.07.03</v>
          </cell>
          <cell r="E868" t="str">
            <v>Defensa semi-maleável - Instalação</v>
          </cell>
          <cell r="F868" t="str">
            <v>m</v>
          </cell>
        </row>
        <row r="869">
          <cell r="B869" t="str">
            <v>10.1.51</v>
          </cell>
          <cell r="D869" t="str">
            <v>31.07.04</v>
          </cell>
          <cell r="E869" t="str">
            <v>Reparo de guarda corpo metálico</v>
          </cell>
          <cell r="F869" t="str">
            <v>m²</v>
          </cell>
        </row>
        <row r="870">
          <cell r="B870" t="str">
            <v>10.1.52</v>
          </cell>
          <cell r="D870" t="str">
            <v>31.08.01</v>
          </cell>
          <cell r="E870" t="str">
            <v>Limpeza superficial concreto</v>
          </cell>
          <cell r="F870" t="str">
            <v>m²</v>
          </cell>
        </row>
        <row r="871">
          <cell r="B871" t="str">
            <v>10.1.53</v>
          </cell>
          <cell r="D871" t="str">
            <v>31.08.02</v>
          </cell>
          <cell r="E871" t="str">
            <v>Alvenaria de 1 tijolo</v>
          </cell>
          <cell r="F871" t="str">
            <v>m³</v>
          </cell>
        </row>
        <row r="872">
          <cell r="B872" t="str">
            <v>10.1.54</v>
          </cell>
          <cell r="D872" t="str">
            <v>31.08.03</v>
          </cell>
          <cell r="E872" t="str">
            <v xml:space="preserve">Recolhimento de animais </v>
          </cell>
          <cell r="F872" t="str">
            <v>equipexhora</v>
          </cell>
        </row>
        <row r="873">
          <cell r="B873" t="str">
            <v>10.1.55</v>
          </cell>
          <cell r="D873" t="str">
            <v>31.08.07</v>
          </cell>
          <cell r="E873" t="str">
            <v>Equipe para serviços conservação</v>
          </cell>
          <cell r="F873" t="str">
            <v>equipexdia</v>
          </cell>
        </row>
        <row r="874">
          <cell r="B874" t="str">
            <v>10.1.56</v>
          </cell>
          <cell r="D874" t="str">
            <v>31.08.08</v>
          </cell>
          <cell r="E874" t="str">
            <v>Transporte de pessoal</v>
          </cell>
          <cell r="F874" t="str">
            <v>km</v>
          </cell>
        </row>
        <row r="875">
          <cell r="B875" t="str">
            <v>10.1.57</v>
          </cell>
          <cell r="D875" t="str">
            <v>31.08.09</v>
          </cell>
          <cell r="E875" t="str">
            <v>Pintura latex acrílica</v>
          </cell>
          <cell r="F875" t="str">
            <v>m²</v>
          </cell>
        </row>
        <row r="876">
          <cell r="B876" t="str">
            <v>10.1.58</v>
          </cell>
          <cell r="D876" t="str">
            <v>31.09.01</v>
          </cell>
          <cell r="E876" t="str">
            <v>Guia concreto Fck 15 Mpa</v>
          </cell>
          <cell r="F876" t="str">
            <v>m³</v>
          </cell>
        </row>
        <row r="877">
          <cell r="B877" t="str">
            <v>10.1.59</v>
          </cell>
          <cell r="D877" t="str">
            <v>31.09.02</v>
          </cell>
          <cell r="E877" t="str">
            <v>Sarjeta concreto Fck 15 Mpa</v>
          </cell>
          <cell r="F877" t="str">
            <v>m³</v>
          </cell>
        </row>
        <row r="879">
          <cell r="B879" t="str">
            <v>Cód. Colinas</v>
          </cell>
          <cell r="D879" t="str">
            <v>Código</v>
          </cell>
          <cell r="E879" t="str">
            <v>Serviços</v>
          </cell>
          <cell r="F879" t="str">
            <v>Unid.</v>
          </cell>
        </row>
        <row r="882">
          <cell r="D882" t="str">
            <v>FASE 32 - CONSERVAÇÃO ESPECIAL</v>
          </cell>
        </row>
        <row r="883">
          <cell r="B883" t="str">
            <v>11.1.1</v>
          </cell>
          <cell r="D883" t="str">
            <v>32.01.01</v>
          </cell>
          <cell r="E883" t="str">
            <v>Reforço de sub-leito - Escavação</v>
          </cell>
          <cell r="F883" t="str">
            <v>m³</v>
          </cell>
        </row>
        <row r="884">
          <cell r="B884" t="str">
            <v>11.1.2</v>
          </cell>
          <cell r="D884" t="str">
            <v>32.01.02</v>
          </cell>
          <cell r="E884" t="str">
            <v>Reforço de sub-leito - compactação</v>
          </cell>
          <cell r="F884" t="str">
            <v>m³</v>
          </cell>
        </row>
        <row r="885">
          <cell r="B885" t="str">
            <v>11.1.3</v>
          </cell>
          <cell r="D885" t="str">
            <v>32.01.03</v>
          </cell>
          <cell r="E885" t="str">
            <v xml:space="preserve">Preparo e melhoramento sub-leito </v>
          </cell>
          <cell r="F885" t="str">
            <v>m²</v>
          </cell>
        </row>
        <row r="886">
          <cell r="B886" t="str">
            <v>11.1.4</v>
          </cell>
          <cell r="D886" t="str">
            <v>32.01.05</v>
          </cell>
          <cell r="E886" t="str">
            <v>Sub-base ou base brita grad. simples</v>
          </cell>
          <cell r="F886" t="str">
            <v>m³</v>
          </cell>
        </row>
        <row r="887">
          <cell r="B887" t="str">
            <v>11.1.5</v>
          </cell>
          <cell r="D887" t="str">
            <v>32.01.06</v>
          </cell>
          <cell r="E887" t="str">
            <v>Imprimadura bet. impermeabilizante</v>
          </cell>
          <cell r="F887" t="str">
            <v>m²</v>
          </cell>
        </row>
        <row r="888">
          <cell r="B888" t="str">
            <v>11.1.6</v>
          </cell>
          <cell r="D888" t="str">
            <v>32.01.07</v>
          </cell>
          <cell r="E888" t="str">
            <v>Imprimadura betuminosa ligante</v>
          </cell>
          <cell r="F888" t="str">
            <v>m²</v>
          </cell>
        </row>
        <row r="889">
          <cell r="B889" t="str">
            <v>11.1.7</v>
          </cell>
          <cell r="D889" t="str">
            <v>32.01.08</v>
          </cell>
          <cell r="E889" t="str">
            <v>Tratamento superf. c/ lama asfáltica</v>
          </cell>
          <cell r="F889" t="str">
            <v>m²</v>
          </cell>
        </row>
        <row r="890">
          <cell r="B890" t="str">
            <v>11.1.8</v>
          </cell>
          <cell r="D890" t="str">
            <v>32.01.09</v>
          </cell>
          <cell r="E890" t="str">
            <v>Camada de lama asfáltica grossa</v>
          </cell>
          <cell r="F890" t="str">
            <v>m²</v>
          </cell>
        </row>
        <row r="891">
          <cell r="B891" t="str">
            <v>11.1.9</v>
          </cell>
          <cell r="D891" t="str">
            <v>32.01.10.01</v>
          </cell>
          <cell r="E891" t="str">
            <v>Camada de rolamento CBUQ - panos s/DOP</v>
          </cell>
          <cell r="F891" t="str">
            <v>m³</v>
          </cell>
        </row>
        <row r="892">
          <cell r="B892" t="str">
            <v>11.1.10</v>
          </cell>
          <cell r="D892" t="str">
            <v>32.01.11</v>
          </cell>
          <cell r="E892" t="str">
            <v>Camada Base/regularização de pré mist. A frio</v>
          </cell>
          <cell r="F892" t="str">
            <v>m³</v>
          </cell>
        </row>
        <row r="893">
          <cell r="B893" t="str">
            <v>11.1.11</v>
          </cell>
          <cell r="D893" t="str">
            <v>32.01.12</v>
          </cell>
          <cell r="E893" t="str">
            <v>Capa selante Betuminosa</v>
          </cell>
          <cell r="F893" t="str">
            <v>m²</v>
          </cell>
        </row>
        <row r="894">
          <cell r="B894" t="str">
            <v>11.1.12</v>
          </cell>
          <cell r="D894" t="str">
            <v>32.01.13</v>
          </cell>
          <cell r="E894" t="str">
            <v>Fresagem Pavimento</v>
          </cell>
          <cell r="F894" t="str">
            <v>m³</v>
          </cell>
        </row>
        <row r="895">
          <cell r="B895" t="str">
            <v>11.1.13</v>
          </cell>
          <cell r="D895" t="str">
            <v>32.01.14</v>
          </cell>
          <cell r="E895" t="str">
            <v>Imprimadura bet. auxiliar de ligação</v>
          </cell>
          <cell r="F895" t="str">
            <v>m²</v>
          </cell>
        </row>
        <row r="896">
          <cell r="B896" t="str">
            <v>11.1.14</v>
          </cell>
          <cell r="D896" t="str">
            <v>32.01.17</v>
          </cell>
          <cell r="E896" t="str">
            <v>Remoção Camada de rolamento</v>
          </cell>
          <cell r="F896" t="str">
            <v>m³</v>
          </cell>
        </row>
        <row r="897">
          <cell r="B897" t="str">
            <v>11.1.15</v>
          </cell>
          <cell r="D897" t="str">
            <v>32.01.18</v>
          </cell>
          <cell r="E897" t="str">
            <v>Tratamento superficial duplo</v>
          </cell>
          <cell r="F897" t="str">
            <v>m³</v>
          </cell>
        </row>
        <row r="898">
          <cell r="B898" t="str">
            <v>11.1.16</v>
          </cell>
          <cell r="D898" t="str">
            <v>32.01.19</v>
          </cell>
          <cell r="E898" t="str">
            <v>Tratamento superficial triplo</v>
          </cell>
          <cell r="F898" t="str">
            <v>m³</v>
          </cell>
        </row>
        <row r="899">
          <cell r="B899" t="str">
            <v>11.1.17</v>
          </cell>
          <cell r="D899" t="str">
            <v>32.02.01</v>
          </cell>
          <cell r="E899" t="str">
            <v xml:space="preserve">Escavação manual de 1ª/2ª categoria </v>
          </cell>
          <cell r="F899" t="str">
            <v>m³</v>
          </cell>
        </row>
        <row r="900">
          <cell r="B900" t="str">
            <v>11.1.18</v>
          </cell>
          <cell r="D900" t="str">
            <v>32.02.01.01</v>
          </cell>
          <cell r="E900" t="str">
            <v>Escavação fund., bueiro ou dreno s/expl.até 2m</v>
          </cell>
          <cell r="F900" t="str">
            <v>m³</v>
          </cell>
        </row>
        <row r="901">
          <cell r="B901" t="str">
            <v>11.1.19</v>
          </cell>
          <cell r="D901" t="str">
            <v>32.02.01.02</v>
          </cell>
          <cell r="E901" t="str">
            <v>Acresc. p/Escav. 1,5 m prof., além 2m</v>
          </cell>
          <cell r="F901" t="str">
            <v>m³</v>
          </cell>
        </row>
        <row r="902">
          <cell r="B902" t="str">
            <v>11.1.20</v>
          </cell>
          <cell r="D902" t="str">
            <v>32.02.01.03</v>
          </cell>
          <cell r="E902" t="str">
            <v>Escavação fund., bueiro ou dreno c/expl. até 2 m</v>
          </cell>
          <cell r="F902" t="str">
            <v>m³</v>
          </cell>
        </row>
        <row r="903">
          <cell r="B903" t="str">
            <v>11.1.21</v>
          </cell>
          <cell r="D903" t="str">
            <v>32.02.01.04</v>
          </cell>
          <cell r="E903" t="str">
            <v>Acresc. p/escav. ensec.c/explos. c/ 1,5m além 3m</v>
          </cell>
          <cell r="F903" t="str">
            <v>m³</v>
          </cell>
        </row>
        <row r="904">
          <cell r="B904" t="str">
            <v>11.1.22</v>
          </cell>
          <cell r="D904" t="str">
            <v>32.02.02</v>
          </cell>
          <cell r="E904" t="str">
            <v>Compactação manual com reaterro solo local</v>
          </cell>
          <cell r="F904" t="str">
            <v>m³</v>
          </cell>
        </row>
        <row r="905">
          <cell r="B905" t="str">
            <v>11.1.23</v>
          </cell>
          <cell r="D905" t="str">
            <v>32.02.03</v>
          </cell>
          <cell r="E905" t="str">
            <v>Forma plana para concreto comum</v>
          </cell>
          <cell r="F905" t="str">
            <v>m²</v>
          </cell>
        </row>
        <row r="906">
          <cell r="B906" t="str">
            <v>11.1.24</v>
          </cell>
          <cell r="D906" t="str">
            <v>32.02.04</v>
          </cell>
          <cell r="E906" t="str">
            <v>Forma plana para concreto aparente</v>
          </cell>
          <cell r="F906" t="str">
            <v>m²</v>
          </cell>
        </row>
        <row r="907">
          <cell r="B907" t="str">
            <v>11.1.25</v>
          </cell>
          <cell r="D907" t="str">
            <v>32.02.05</v>
          </cell>
          <cell r="E907" t="str">
            <v>Forma curva para concreto comum</v>
          </cell>
          <cell r="F907" t="str">
            <v>m²</v>
          </cell>
        </row>
        <row r="908">
          <cell r="B908" t="str">
            <v>11.1.26</v>
          </cell>
          <cell r="D908" t="str">
            <v>32.02.06</v>
          </cell>
          <cell r="E908" t="str">
            <v>Forma curva para concreto aparente</v>
          </cell>
          <cell r="F908" t="str">
            <v>m²</v>
          </cell>
        </row>
        <row r="909">
          <cell r="B909" t="str">
            <v>11.1.27</v>
          </cell>
          <cell r="D909" t="str">
            <v>32.02.07</v>
          </cell>
          <cell r="E909" t="str">
            <v>Aço CA-25</v>
          </cell>
          <cell r="F909" t="str">
            <v>kg</v>
          </cell>
        </row>
        <row r="910">
          <cell r="B910" t="str">
            <v>11.1.28</v>
          </cell>
          <cell r="D910" t="str">
            <v>32.02.08</v>
          </cell>
          <cell r="E910" t="str">
            <v>Aço CA-50</v>
          </cell>
          <cell r="F910" t="str">
            <v>kg</v>
          </cell>
        </row>
        <row r="911">
          <cell r="B911" t="str">
            <v>11.1.29</v>
          </cell>
          <cell r="D911" t="str">
            <v>32.02.09</v>
          </cell>
          <cell r="E911" t="str">
            <v>Aço CA-60</v>
          </cell>
          <cell r="F911" t="str">
            <v>kg</v>
          </cell>
        </row>
        <row r="912">
          <cell r="B912" t="str">
            <v>11.1.30</v>
          </cell>
          <cell r="D912" t="str">
            <v>32.02.10</v>
          </cell>
          <cell r="E912" t="str">
            <v>Concreto Fck 10 MPa</v>
          </cell>
          <cell r="F912" t="str">
            <v>m³</v>
          </cell>
        </row>
        <row r="913">
          <cell r="B913" t="str">
            <v>11.1.31</v>
          </cell>
          <cell r="D913" t="str">
            <v>32.02.10.01</v>
          </cell>
          <cell r="E913" t="str">
            <v>Concreto Fck 12 MPa</v>
          </cell>
          <cell r="F913" t="str">
            <v>m³</v>
          </cell>
        </row>
        <row r="914">
          <cell r="B914" t="str">
            <v>11.1.32</v>
          </cell>
          <cell r="D914" t="str">
            <v>32.02.11</v>
          </cell>
          <cell r="E914" t="str">
            <v>Concreto Fck 15 MPa</v>
          </cell>
          <cell r="F914" t="str">
            <v>m³</v>
          </cell>
        </row>
        <row r="915">
          <cell r="B915" t="str">
            <v>11.1.33</v>
          </cell>
          <cell r="D915" t="str">
            <v>32.02.11.01</v>
          </cell>
          <cell r="E915" t="str">
            <v>Concreto Fck 16 MPa</v>
          </cell>
          <cell r="F915" t="str">
            <v>m³</v>
          </cell>
        </row>
        <row r="916">
          <cell r="B916" t="str">
            <v>11.1.34</v>
          </cell>
          <cell r="D916" t="str">
            <v>32.02.12</v>
          </cell>
          <cell r="E916" t="str">
            <v>Concreto Fck 18 MPa</v>
          </cell>
          <cell r="F916" t="str">
            <v>m³</v>
          </cell>
        </row>
        <row r="917">
          <cell r="B917" t="str">
            <v>11.1.35</v>
          </cell>
          <cell r="D917" t="str">
            <v>32.02.13</v>
          </cell>
          <cell r="E917" t="str">
            <v>Concreto Fck 20 MPa</v>
          </cell>
          <cell r="F917" t="str">
            <v>m³</v>
          </cell>
        </row>
        <row r="918">
          <cell r="B918" t="str">
            <v>11.1.36</v>
          </cell>
          <cell r="D918" t="str">
            <v>32.02.14</v>
          </cell>
          <cell r="E918" t="str">
            <v>Concreto Fck 25 MPa</v>
          </cell>
          <cell r="F918" t="str">
            <v>m³</v>
          </cell>
        </row>
        <row r="919">
          <cell r="B919" t="str">
            <v>11.1.37</v>
          </cell>
          <cell r="D919" t="str">
            <v>32.02.16</v>
          </cell>
          <cell r="E919" t="str">
            <v>Concreto Fck 30 MPa</v>
          </cell>
          <cell r="F919" t="str">
            <v>m³</v>
          </cell>
        </row>
        <row r="920">
          <cell r="B920" t="str">
            <v>11.1.38</v>
          </cell>
          <cell r="D920" t="str">
            <v>32.02.16.01</v>
          </cell>
          <cell r="E920" t="str">
            <v>Concreto Fck 35 Mpa</v>
          </cell>
          <cell r="F920" t="str">
            <v>m³</v>
          </cell>
        </row>
        <row r="921">
          <cell r="B921" t="str">
            <v>11.1.39</v>
          </cell>
          <cell r="D921" t="str">
            <v>32.02.16.02</v>
          </cell>
          <cell r="E921" t="str">
            <v>Concreto Fck 40 MPa</v>
          </cell>
          <cell r="F921" t="str">
            <v>m³</v>
          </cell>
        </row>
        <row r="922">
          <cell r="B922" t="str">
            <v>11.1.40</v>
          </cell>
          <cell r="D922" t="str">
            <v>32.02.17</v>
          </cell>
          <cell r="E922" t="str">
            <v>Concreto Ciclópico</v>
          </cell>
          <cell r="F922" t="str">
            <v>m³</v>
          </cell>
        </row>
        <row r="923">
          <cell r="B923" t="str">
            <v>11.1.41</v>
          </cell>
          <cell r="D923" t="str">
            <v>32.02.18</v>
          </cell>
          <cell r="E923" t="str">
            <v>Bombeamento p/conc. qualquer resist.</v>
          </cell>
          <cell r="F923" t="str">
            <v>m³</v>
          </cell>
        </row>
        <row r="924">
          <cell r="B924" t="str">
            <v>11.1.42</v>
          </cell>
          <cell r="D924" t="str">
            <v>32.02.19</v>
          </cell>
          <cell r="E924" t="str">
            <v>Enrocamento pedra arrumada</v>
          </cell>
          <cell r="F924" t="str">
            <v>m³</v>
          </cell>
        </row>
        <row r="925">
          <cell r="B925" t="str">
            <v>11.1.43</v>
          </cell>
          <cell r="D925" t="str">
            <v>32.02.20</v>
          </cell>
          <cell r="E925" t="str">
            <v>Enrocamento pedra arrumada e rejuntada</v>
          </cell>
          <cell r="F925" t="str">
            <v>m³</v>
          </cell>
        </row>
        <row r="926">
          <cell r="B926" t="str">
            <v>11.1.44</v>
          </cell>
          <cell r="D926" t="str">
            <v>32.02.21</v>
          </cell>
          <cell r="E926" t="str">
            <v>Enrrocamento pedra jogada</v>
          </cell>
          <cell r="F926" t="str">
            <v>m³</v>
          </cell>
        </row>
        <row r="927">
          <cell r="B927" t="str">
            <v>11.1.45</v>
          </cell>
          <cell r="D927" t="str">
            <v>32.02.22</v>
          </cell>
          <cell r="E927" t="str">
            <v xml:space="preserve">Tubo concreto D=0,40m CA-1 - fornec. </v>
          </cell>
          <cell r="F927" t="str">
            <v>m</v>
          </cell>
        </row>
        <row r="928">
          <cell r="B928" t="str">
            <v>11.1.46</v>
          </cell>
          <cell r="D928" t="str">
            <v>32.02.23</v>
          </cell>
          <cell r="E928" t="str">
            <v>Tubo concreto D=0,40m CA-2 - fornec.</v>
          </cell>
          <cell r="F928" t="str">
            <v>m</v>
          </cell>
        </row>
        <row r="929">
          <cell r="B929" t="str">
            <v>11.1.47</v>
          </cell>
          <cell r="D929" t="str">
            <v>32.02.26</v>
          </cell>
          <cell r="E929" t="str">
            <v xml:space="preserve">Tubo concreto D=0,50m CA-3 - fornec. </v>
          </cell>
          <cell r="F929" t="str">
            <v>m</v>
          </cell>
        </row>
        <row r="930">
          <cell r="B930" t="str">
            <v>11.1.48</v>
          </cell>
          <cell r="D930" t="str">
            <v>32.02.28</v>
          </cell>
          <cell r="E930" t="str">
            <v>Tubo concreto D=0,60m CA-1 - fornec.</v>
          </cell>
          <cell r="F930" t="str">
            <v>m</v>
          </cell>
        </row>
        <row r="931">
          <cell r="B931" t="str">
            <v>11.1.49</v>
          </cell>
          <cell r="D931" t="str">
            <v>32.02.29</v>
          </cell>
          <cell r="E931" t="str">
            <v xml:space="preserve">Tubo concreto D=0,60m CA-2 - fornec. </v>
          </cell>
          <cell r="F931" t="str">
            <v>m</v>
          </cell>
        </row>
        <row r="932">
          <cell r="B932" t="str">
            <v>11.1.50</v>
          </cell>
          <cell r="D932" t="str">
            <v>32.02.30</v>
          </cell>
          <cell r="E932" t="str">
            <v>Tubo concreto D=0,60m CA-3 - fornec.</v>
          </cell>
          <cell r="F932" t="str">
            <v>m</v>
          </cell>
        </row>
        <row r="933">
          <cell r="B933" t="str">
            <v>11.1.51</v>
          </cell>
          <cell r="D933" t="str">
            <v>32.02.31</v>
          </cell>
          <cell r="E933" t="str">
            <v>Tubo concreto D=0,60m CA-4 - fornec.</v>
          </cell>
          <cell r="F933" t="str">
            <v>m</v>
          </cell>
        </row>
        <row r="934">
          <cell r="B934" t="str">
            <v>11.1.52</v>
          </cell>
          <cell r="D934" t="str">
            <v>32.02.32</v>
          </cell>
          <cell r="E934" t="str">
            <v>Tubo concreto D=0,80m CA-1 - fornec.</v>
          </cell>
          <cell r="F934" t="str">
            <v>m</v>
          </cell>
        </row>
        <row r="935">
          <cell r="B935" t="str">
            <v>11.1.53</v>
          </cell>
          <cell r="D935" t="str">
            <v>32.02.33</v>
          </cell>
          <cell r="E935" t="str">
            <v>Tubo concreto D=0,80m CA-2 - fornec.</v>
          </cell>
          <cell r="F935" t="str">
            <v>m</v>
          </cell>
        </row>
        <row r="936">
          <cell r="B936" t="str">
            <v>11.1.54</v>
          </cell>
          <cell r="D936" t="str">
            <v>32.02.34</v>
          </cell>
          <cell r="E936" t="str">
            <v>Tubo concreto D=0,80m CA-3 - fornec.</v>
          </cell>
          <cell r="F936" t="str">
            <v>m</v>
          </cell>
        </row>
        <row r="937">
          <cell r="B937" t="str">
            <v>11.1.55</v>
          </cell>
          <cell r="D937" t="str">
            <v>32.02.35</v>
          </cell>
          <cell r="E937" t="str">
            <v xml:space="preserve">Tubo concreto D=0,80m CA-4 - fornceimento </v>
          </cell>
          <cell r="F937" t="str">
            <v>m</v>
          </cell>
        </row>
        <row r="938">
          <cell r="B938" t="str">
            <v>11.1.56</v>
          </cell>
          <cell r="D938" t="str">
            <v>32.02.36</v>
          </cell>
          <cell r="E938" t="str">
            <v xml:space="preserve">Tubo concreto D=1,00m CA-1 - fornec. </v>
          </cell>
          <cell r="F938" t="str">
            <v>m</v>
          </cell>
        </row>
        <row r="939">
          <cell r="B939" t="str">
            <v>11.1.57</v>
          </cell>
          <cell r="D939" t="str">
            <v>32.02.40</v>
          </cell>
          <cell r="E939" t="str">
            <v xml:space="preserve">Tubo concreto D=1,20m CA-1 - fornec. </v>
          </cell>
          <cell r="F939" t="str">
            <v>m</v>
          </cell>
        </row>
        <row r="940">
          <cell r="B940" t="str">
            <v>11.1.58</v>
          </cell>
          <cell r="D940" t="str">
            <v>32.02.44</v>
          </cell>
          <cell r="E940" t="str">
            <v xml:space="preserve">Tubo concreto D=1,50m CA-1 - fornec. </v>
          </cell>
          <cell r="F940" t="str">
            <v>m</v>
          </cell>
        </row>
        <row r="941">
          <cell r="B941" t="str">
            <v>11.1.59</v>
          </cell>
          <cell r="D941" t="str">
            <v>32.02.48</v>
          </cell>
          <cell r="E941" t="str">
            <v>Tubo concreto D=0,40m assentamento</v>
          </cell>
          <cell r="F941" t="str">
            <v>m</v>
          </cell>
        </row>
        <row r="942">
          <cell r="B942" t="str">
            <v>11.1.60</v>
          </cell>
          <cell r="D942" t="str">
            <v>32.02.49</v>
          </cell>
          <cell r="E942" t="str">
            <v>Tubo de concreto D=0,50m assentamento</v>
          </cell>
          <cell r="F942" t="str">
            <v>m</v>
          </cell>
        </row>
        <row r="943">
          <cell r="B943" t="str">
            <v>11.1.61</v>
          </cell>
          <cell r="D943" t="str">
            <v>32.02.50</v>
          </cell>
          <cell r="E943" t="str">
            <v>Tubo concreto D=0,60m assentamento</v>
          </cell>
          <cell r="F943" t="str">
            <v>m</v>
          </cell>
        </row>
        <row r="944">
          <cell r="B944" t="str">
            <v>11.1.62</v>
          </cell>
          <cell r="D944" t="str">
            <v>32.02.51</v>
          </cell>
          <cell r="E944" t="str">
            <v xml:space="preserve">Tubo concreto D=0,80m assentamento </v>
          </cell>
          <cell r="F944" t="str">
            <v>m</v>
          </cell>
        </row>
        <row r="945">
          <cell r="B945" t="str">
            <v>11.1.63</v>
          </cell>
          <cell r="D945" t="str">
            <v>32.02.52</v>
          </cell>
          <cell r="E945" t="str">
            <v>Tubo concreto D=1,00m assentamento</v>
          </cell>
          <cell r="F945" t="str">
            <v>m</v>
          </cell>
        </row>
        <row r="946">
          <cell r="B946" t="str">
            <v>11.1.64</v>
          </cell>
          <cell r="D946" t="str">
            <v>32.02.53</v>
          </cell>
          <cell r="E946" t="str">
            <v>Tubo concreto D=1,20m assentamento</v>
          </cell>
          <cell r="F946" t="str">
            <v>m</v>
          </cell>
        </row>
        <row r="947">
          <cell r="B947" t="str">
            <v>11.1.65</v>
          </cell>
          <cell r="D947" t="str">
            <v>32.02.54</v>
          </cell>
          <cell r="E947" t="str">
            <v>Tubo concreto D=1,50m assentamento</v>
          </cell>
          <cell r="F947" t="str">
            <v>m</v>
          </cell>
        </row>
        <row r="948">
          <cell r="B948" t="str">
            <v>11.1.66</v>
          </cell>
          <cell r="D948" t="str">
            <v>32.02.55</v>
          </cell>
          <cell r="E948" t="str">
            <v>Gabião tipo caixa 50cm - tela galv.</v>
          </cell>
          <cell r="F948" t="str">
            <v>m³</v>
          </cell>
        </row>
        <row r="949">
          <cell r="B949" t="str">
            <v>11.1.67</v>
          </cell>
          <cell r="D949" t="str">
            <v>32.02.56.01</v>
          </cell>
          <cell r="E949" t="str">
            <v>Gabião tipo colchão e= 17cm - tela galv.</v>
          </cell>
          <cell r="F949" t="str">
            <v>m²</v>
          </cell>
        </row>
        <row r="950">
          <cell r="B950" t="str">
            <v>11.1.68</v>
          </cell>
          <cell r="D950" t="str">
            <v>32.02.57.01</v>
          </cell>
          <cell r="E950" t="str">
            <v>Gabião tipo colchão e= 23cm - tela galv.</v>
          </cell>
          <cell r="F950" t="str">
            <v>m²</v>
          </cell>
        </row>
        <row r="951">
          <cell r="B951" t="str">
            <v>11.1.69</v>
          </cell>
          <cell r="D951" t="str">
            <v>32.02.58.01</v>
          </cell>
          <cell r="E951" t="str">
            <v xml:space="preserve">Gabião tipo colchão espessura 30cm - tela galv. </v>
          </cell>
          <cell r="F951" t="str">
            <v>m²</v>
          </cell>
        </row>
        <row r="952">
          <cell r="B952" t="str">
            <v>11.1.70</v>
          </cell>
          <cell r="D952" t="str">
            <v>32.02.59.01</v>
          </cell>
          <cell r="E952" t="str">
            <v xml:space="preserve">Gabião tipo colchão e= 17cm - tela pvc </v>
          </cell>
          <cell r="F952" t="str">
            <v>m²</v>
          </cell>
        </row>
        <row r="953">
          <cell r="B953" t="str">
            <v>11.1.71</v>
          </cell>
          <cell r="D953" t="str">
            <v>32.02.60.01</v>
          </cell>
          <cell r="E953" t="str">
            <v>Gabião tipo colchão espessura 23cm - tela pvc</v>
          </cell>
          <cell r="F953" t="str">
            <v>m²</v>
          </cell>
        </row>
        <row r="954">
          <cell r="B954" t="str">
            <v>11.1.72</v>
          </cell>
          <cell r="D954" t="str">
            <v>32.02.61.01</v>
          </cell>
          <cell r="E954" t="str">
            <v>Gabião tipo colchão espessura 30cm - tela pvc</v>
          </cell>
          <cell r="F954" t="str">
            <v>m²</v>
          </cell>
        </row>
        <row r="955">
          <cell r="B955" t="str">
            <v>11.1.73</v>
          </cell>
          <cell r="D955" t="str">
            <v>32.02.62</v>
          </cell>
          <cell r="E955" t="str">
            <v>Gabião tipo saco - tela galv.</v>
          </cell>
          <cell r="F955" t="str">
            <v>m³</v>
          </cell>
        </row>
        <row r="956">
          <cell r="B956" t="str">
            <v>11.1.74</v>
          </cell>
          <cell r="D956" t="str">
            <v>32.02.63</v>
          </cell>
          <cell r="E956" t="str">
            <v>Camada filtrante pedra britada</v>
          </cell>
          <cell r="F956" t="str">
            <v>m³</v>
          </cell>
        </row>
        <row r="957">
          <cell r="B957" t="str">
            <v>11.1.75</v>
          </cell>
          <cell r="D957" t="str">
            <v>32.02.66</v>
          </cell>
          <cell r="E957" t="str">
            <v>Canaleta concreto 40 cm</v>
          </cell>
          <cell r="F957" t="str">
            <v>m</v>
          </cell>
        </row>
        <row r="958">
          <cell r="B958" t="str">
            <v>11.1.76</v>
          </cell>
          <cell r="D958" t="str">
            <v>32.02.67</v>
          </cell>
          <cell r="E958" t="str">
            <v>Canaleta concreto 60 cm</v>
          </cell>
          <cell r="F958" t="str">
            <v>m</v>
          </cell>
        </row>
        <row r="959">
          <cell r="B959" t="str">
            <v>11.1.77</v>
          </cell>
          <cell r="D959" t="str">
            <v>32.02.68</v>
          </cell>
          <cell r="E959" t="str">
            <v>Canaleta concreto 80 cm</v>
          </cell>
          <cell r="F959" t="str">
            <v>m</v>
          </cell>
        </row>
        <row r="960">
          <cell r="B960" t="str">
            <v>11.1.78</v>
          </cell>
          <cell r="D960" t="str">
            <v>32.02.69</v>
          </cell>
          <cell r="E960" t="str">
            <v>Tubo pvc perfurado ou não D=0,050m</v>
          </cell>
          <cell r="F960" t="str">
            <v>m</v>
          </cell>
        </row>
        <row r="961">
          <cell r="B961" t="str">
            <v>11.1.79</v>
          </cell>
          <cell r="D961" t="str">
            <v>32.02.71</v>
          </cell>
          <cell r="E961" t="str">
            <v>Tubo pvc perfurado ou não D=0,10m</v>
          </cell>
          <cell r="F961" t="str">
            <v>m</v>
          </cell>
        </row>
        <row r="962">
          <cell r="B962" t="str">
            <v>11.1.80</v>
          </cell>
          <cell r="D962" t="str">
            <v>32.02.72</v>
          </cell>
          <cell r="E962" t="str">
            <v>Tubo pvc perfurado ou não D=0,15m</v>
          </cell>
          <cell r="F962" t="str">
            <v>m</v>
          </cell>
        </row>
        <row r="963">
          <cell r="B963" t="str">
            <v>11.1.81</v>
          </cell>
          <cell r="D963" t="str">
            <v>32.02.73</v>
          </cell>
          <cell r="E963" t="str">
            <v xml:space="preserve">Manta geotêxtil não tecida </v>
          </cell>
          <cell r="F963" t="str">
            <v>kg</v>
          </cell>
        </row>
        <row r="964">
          <cell r="B964" t="str">
            <v>11.1.82</v>
          </cell>
          <cell r="D964" t="str">
            <v>32.02.74</v>
          </cell>
          <cell r="E964" t="str">
            <v xml:space="preserve">Manta geotêxtil tecida </v>
          </cell>
          <cell r="F964" t="str">
            <v>kg</v>
          </cell>
        </row>
        <row r="965">
          <cell r="B965" t="str">
            <v>11.1.83</v>
          </cell>
          <cell r="D965" t="str">
            <v>32.02.75</v>
          </cell>
          <cell r="E965" t="str">
            <v>Enchimento de vala com areia lavada</v>
          </cell>
          <cell r="F965" t="str">
            <v>m³</v>
          </cell>
        </row>
        <row r="966">
          <cell r="B966" t="str">
            <v>11.1.84</v>
          </cell>
          <cell r="D966" t="str">
            <v>32.02.76</v>
          </cell>
          <cell r="E966" t="str">
            <v>Enchimento de vala com pedra britada 3 e 4</v>
          </cell>
          <cell r="F966" t="str">
            <v>m³</v>
          </cell>
        </row>
        <row r="967">
          <cell r="B967" t="str">
            <v>11.1.85</v>
          </cell>
          <cell r="D967" t="str">
            <v>32.02.77</v>
          </cell>
          <cell r="E967" t="str">
            <v>Enchimento de vala com pedra rachão</v>
          </cell>
          <cell r="F967" t="str">
            <v>m³</v>
          </cell>
        </row>
        <row r="968">
          <cell r="B968" t="str">
            <v>11.1.86</v>
          </cell>
          <cell r="D968" t="str">
            <v>32.02.79</v>
          </cell>
          <cell r="E968" t="str">
            <v>Retaludamento mecânico 1ª/2ª cat.</v>
          </cell>
          <cell r="F968" t="str">
            <v>m³</v>
          </cell>
        </row>
        <row r="969">
          <cell r="B969" t="str">
            <v>11.1.87</v>
          </cell>
          <cell r="D969" t="str">
            <v>32.02.80.01</v>
          </cell>
          <cell r="E969" t="str">
            <v>Tubo aço corr.galv.met.não destrutivo</v>
          </cell>
          <cell r="F969" t="str">
            <v>kg</v>
          </cell>
        </row>
        <row r="970">
          <cell r="B970" t="str">
            <v>11.1.88</v>
          </cell>
          <cell r="D970" t="str">
            <v>32.02.80.02</v>
          </cell>
          <cell r="E970" t="str">
            <v>Tubo aço corr.epoxy met.não destrutivo</v>
          </cell>
          <cell r="F970" t="str">
            <v>kg</v>
          </cell>
        </row>
        <row r="971">
          <cell r="B971" t="str">
            <v>11.1.89</v>
          </cell>
          <cell r="D971" t="str">
            <v>32.02.80.03</v>
          </cell>
          <cell r="E971" t="str">
            <v>Tubo aço corr.galv.met. destrutivo</v>
          </cell>
          <cell r="F971" t="str">
            <v>kg</v>
          </cell>
        </row>
        <row r="972">
          <cell r="B972" t="str">
            <v>11.1.90</v>
          </cell>
          <cell r="D972" t="str">
            <v>32.02.80.04</v>
          </cell>
          <cell r="E972" t="str">
            <v>Tubo aço corr.epoxy met. destrutivo</v>
          </cell>
          <cell r="F972" t="str">
            <v>kg</v>
          </cell>
        </row>
        <row r="973">
          <cell r="B973" t="str">
            <v>11.1.91</v>
          </cell>
          <cell r="D973" t="str">
            <v>32.03.01</v>
          </cell>
          <cell r="E973" t="str">
            <v xml:space="preserve">Tacha c/elem refl. vidro esp.lap. monod. </v>
          </cell>
          <cell r="F973" t="str">
            <v>un</v>
          </cell>
        </row>
        <row r="974">
          <cell r="B974" t="str">
            <v>11.1.92</v>
          </cell>
          <cell r="D974" t="str">
            <v>32.03.02</v>
          </cell>
          <cell r="E974" t="str">
            <v xml:space="preserve">Tacha c/elem refl. vidro esp.lap.bidir. </v>
          </cell>
          <cell r="F974" t="str">
            <v>un</v>
          </cell>
        </row>
        <row r="975">
          <cell r="B975" t="str">
            <v>11.1.93</v>
          </cell>
          <cell r="D975" t="str">
            <v>32.03.03</v>
          </cell>
          <cell r="E975" t="str">
            <v xml:space="preserve">Tachão c/elem refl vidro esp.lap.monod. </v>
          </cell>
          <cell r="F975" t="str">
            <v>un</v>
          </cell>
        </row>
        <row r="976">
          <cell r="B976" t="str">
            <v>11.1.94</v>
          </cell>
          <cell r="D976" t="str">
            <v>32.03.04</v>
          </cell>
          <cell r="E976" t="str">
            <v>Tachão c/elem refl. vidro esp.lap bidirec.</v>
          </cell>
          <cell r="F976" t="str">
            <v>un</v>
          </cell>
        </row>
        <row r="977">
          <cell r="B977" t="str">
            <v>11.1.95</v>
          </cell>
          <cell r="D977" t="str">
            <v>32.03.04.01</v>
          </cell>
          <cell r="E977" t="str">
            <v xml:space="preserve">Tachão mini refl. vidro esp.lap.monod. </v>
          </cell>
          <cell r="F977" t="str">
            <v>un</v>
          </cell>
        </row>
        <row r="978">
          <cell r="B978" t="str">
            <v>11.1.96</v>
          </cell>
          <cell r="D978" t="str">
            <v>32.03.04.02</v>
          </cell>
          <cell r="E978" t="str">
            <v xml:space="preserve">Tachão mini refl. vidro esp.lap.bid </v>
          </cell>
          <cell r="F978" t="str">
            <v>un</v>
          </cell>
        </row>
        <row r="979">
          <cell r="B979" t="str">
            <v>11.1.97</v>
          </cell>
          <cell r="D979" t="str">
            <v>32.03.04.03</v>
          </cell>
          <cell r="E979" t="str">
            <v>Tacha c/elem refl de plastico monod.</v>
          </cell>
          <cell r="F979" t="str">
            <v>un</v>
          </cell>
        </row>
        <row r="980">
          <cell r="B980" t="str">
            <v>11.1.98</v>
          </cell>
          <cell r="D980" t="str">
            <v>32.03.04.04</v>
          </cell>
          <cell r="E980" t="str">
            <v xml:space="preserve">Tacha c/elem refl de plastico bidirec. </v>
          </cell>
          <cell r="F980" t="str">
            <v>un</v>
          </cell>
        </row>
        <row r="981">
          <cell r="B981" t="str">
            <v>11.1.99</v>
          </cell>
          <cell r="D981" t="str">
            <v>32.03.04.06</v>
          </cell>
          <cell r="E981" t="str">
            <v xml:space="preserve">Tacha c/elem refl prism. bidirec. </v>
          </cell>
          <cell r="F981" t="str">
            <v>un</v>
          </cell>
        </row>
        <row r="982">
          <cell r="B982" t="str">
            <v>11.1.100</v>
          </cell>
          <cell r="D982" t="str">
            <v>32.03.05</v>
          </cell>
          <cell r="E982" t="str">
            <v>Sinaliz. horiz. acril.base de água m²</v>
          </cell>
          <cell r="F982" t="str">
            <v>m²</v>
          </cell>
        </row>
        <row r="983">
          <cell r="B983" t="str">
            <v>11.1.101</v>
          </cell>
          <cell r="D983" t="str">
            <v>32.03.06</v>
          </cell>
          <cell r="E983" t="str">
            <v>Sinaliz. horiz. acril. base água c/visibead m²</v>
          </cell>
          <cell r="F983" t="str">
            <v>m²</v>
          </cell>
        </row>
        <row r="984">
          <cell r="B984" t="str">
            <v>11.1.102</v>
          </cell>
          <cell r="D984" t="str">
            <v>32.03.07</v>
          </cell>
          <cell r="E984" t="str">
            <v>Renovação tinta res. acríl./vinílica</v>
          </cell>
          <cell r="F984" t="str">
            <v>m²</v>
          </cell>
        </row>
        <row r="985">
          <cell r="B985" t="str">
            <v>11.1.103</v>
          </cell>
          <cell r="D985" t="str">
            <v>32.03.08</v>
          </cell>
          <cell r="E985" t="str">
            <v>Renovação mat.termopl.aspersão</v>
          </cell>
          <cell r="F985" t="str">
            <v>m²</v>
          </cell>
        </row>
        <row r="986">
          <cell r="B986" t="str">
            <v>11.1.104</v>
          </cell>
          <cell r="D986" t="str">
            <v>32.03.09</v>
          </cell>
          <cell r="E986" t="str">
            <v>Renovação mat.termopl.extrusão</v>
          </cell>
          <cell r="F986" t="str">
            <v>m²</v>
          </cell>
        </row>
        <row r="987">
          <cell r="B987" t="str">
            <v>11.1.105</v>
          </cell>
          <cell r="D987" t="str">
            <v>32.03.10</v>
          </cell>
          <cell r="E987" t="str">
            <v>Renovação tinta res. alqd.borracha clorada</v>
          </cell>
          <cell r="F987" t="str">
            <v>m²</v>
          </cell>
        </row>
        <row r="988">
          <cell r="B988" t="str">
            <v>11.1.106</v>
          </cell>
          <cell r="D988" t="str">
            <v>32.04.02</v>
          </cell>
          <cell r="E988" t="str">
            <v xml:space="preserve">Destocamento árv. com perímetro maior que 78cm </v>
          </cell>
          <cell r="F988" t="str">
            <v>un</v>
          </cell>
        </row>
        <row r="989">
          <cell r="B989" t="str">
            <v>11.1.107</v>
          </cell>
          <cell r="D989" t="str">
            <v>32.04.03</v>
          </cell>
          <cell r="E989" t="str">
            <v>Limp. terreno c/ dest.arv.perímetro&lt;= 78cm</v>
          </cell>
          <cell r="F989" t="str">
            <v>m²</v>
          </cell>
        </row>
        <row r="990">
          <cell r="B990" t="str">
            <v>11.1.108</v>
          </cell>
          <cell r="D990" t="str">
            <v>32.04.04</v>
          </cell>
          <cell r="E990" t="str">
            <v>Limp. terreno s/destocamento de árvores</v>
          </cell>
          <cell r="F990" t="str">
            <v>m²</v>
          </cell>
        </row>
        <row r="991">
          <cell r="B991" t="str">
            <v>11.1.109</v>
          </cell>
          <cell r="D991" t="str">
            <v>32.05.01</v>
          </cell>
          <cell r="E991" t="str">
            <v>Escavação 1/2ª cat. trator + pá carreg.</v>
          </cell>
          <cell r="F991" t="str">
            <v>m³</v>
          </cell>
        </row>
        <row r="992">
          <cell r="B992" t="str">
            <v>11.1.110</v>
          </cell>
          <cell r="D992" t="str">
            <v>32.05.02</v>
          </cell>
          <cell r="E992" t="str">
            <v>Escavação 1/2ª cat. c/ motoscraper</v>
          </cell>
          <cell r="F992" t="str">
            <v>m³</v>
          </cell>
        </row>
        <row r="993">
          <cell r="B993" t="str">
            <v>11.1.111</v>
          </cell>
          <cell r="D993" t="str">
            <v>32.05.03</v>
          </cell>
          <cell r="E993" t="str">
            <v>Escavação 1/2ª cat. c/ escav. hidraúlica</v>
          </cell>
          <cell r="F993" t="str">
            <v>m³</v>
          </cell>
        </row>
        <row r="994">
          <cell r="B994" t="str">
            <v>11.1.112</v>
          </cell>
          <cell r="D994" t="str">
            <v>32.05.04</v>
          </cell>
          <cell r="E994" t="str">
            <v>Escavação e carga material 2ª cat. c/ripper</v>
          </cell>
          <cell r="F994" t="str">
            <v>m³</v>
          </cell>
        </row>
        <row r="995">
          <cell r="B995" t="str">
            <v>11.1.113</v>
          </cell>
          <cell r="D995" t="str">
            <v>32.05.05</v>
          </cell>
          <cell r="E995" t="str">
            <v>Escavação carga material 2ª cat. com explosivo</v>
          </cell>
          <cell r="F995" t="str">
            <v>m³</v>
          </cell>
        </row>
        <row r="996">
          <cell r="B996" t="str">
            <v>11.1.114</v>
          </cell>
          <cell r="D996" t="str">
            <v>32.05.06</v>
          </cell>
          <cell r="E996" t="str">
            <v xml:space="preserve">Escavação e carga material de 3ª cat. </v>
          </cell>
          <cell r="F996" t="str">
            <v>m³</v>
          </cell>
        </row>
        <row r="997">
          <cell r="B997" t="str">
            <v>11.1.115</v>
          </cell>
          <cell r="D997" t="str">
            <v>32.06.01</v>
          </cell>
          <cell r="E997" t="str">
            <v xml:space="preserve">Compactação de aterro maior/igual 95%PS </v>
          </cell>
          <cell r="F997" t="str">
            <v>m³</v>
          </cell>
        </row>
        <row r="998">
          <cell r="B998" t="str">
            <v>11.1.116</v>
          </cell>
          <cell r="D998" t="str">
            <v>32.07.01</v>
          </cell>
          <cell r="E998" t="str">
            <v xml:space="preserve">Transporte de 1ª/2ª categoria até 1 km </v>
          </cell>
          <cell r="F998" t="str">
            <v>m³xkm</v>
          </cell>
        </row>
        <row r="999">
          <cell r="B999" t="str">
            <v>11.1.117</v>
          </cell>
          <cell r="D999" t="str">
            <v>32.07.02</v>
          </cell>
          <cell r="E999" t="str">
            <v xml:space="preserve">Transporte de 1ª/2ª categoria até 2 km </v>
          </cell>
          <cell r="F999" t="str">
            <v>m³xkm</v>
          </cell>
        </row>
        <row r="1000">
          <cell r="B1000" t="str">
            <v>11.1.118</v>
          </cell>
          <cell r="D1000" t="str">
            <v>32.07.03</v>
          </cell>
          <cell r="E1000" t="str">
            <v xml:space="preserve">Transporte de 1ª/2ª categoria até 5 km </v>
          </cell>
          <cell r="F1000" t="str">
            <v>m³xkm</v>
          </cell>
        </row>
        <row r="1001">
          <cell r="B1001" t="str">
            <v>11.1.119</v>
          </cell>
          <cell r="D1001" t="str">
            <v>32.07.04</v>
          </cell>
          <cell r="E1001" t="str">
            <v xml:space="preserve">Transporte de 1ª/2ª categoria até 10 km </v>
          </cell>
          <cell r="F1001" t="str">
            <v>m³xkm</v>
          </cell>
        </row>
        <row r="1002">
          <cell r="B1002" t="str">
            <v>11.1.120</v>
          </cell>
          <cell r="D1002" t="str">
            <v>32.07.05</v>
          </cell>
          <cell r="E1002" t="str">
            <v xml:space="preserve">Transporte de 1ª/2ª categoria até 15 km </v>
          </cell>
          <cell r="F1002" t="str">
            <v>m³xkm</v>
          </cell>
        </row>
        <row r="1003">
          <cell r="B1003" t="str">
            <v>11.1.121</v>
          </cell>
          <cell r="D1003" t="str">
            <v>32.07.06</v>
          </cell>
          <cell r="E1003" t="str">
            <v xml:space="preserve">Transporte de 1ª/2ª categoria alem 15 km </v>
          </cell>
          <cell r="F1003" t="str">
            <v>m³xkm</v>
          </cell>
        </row>
        <row r="1004">
          <cell r="B1004" t="str">
            <v>11.1.122</v>
          </cell>
          <cell r="D1004" t="str">
            <v>32.07.11</v>
          </cell>
          <cell r="E1004" t="str">
            <v xml:space="preserve">Transporte de solo cimento ate 5 km </v>
          </cell>
          <cell r="F1004" t="str">
            <v>m³xkm</v>
          </cell>
        </row>
        <row r="1005">
          <cell r="B1005" t="str">
            <v>11.1.123</v>
          </cell>
          <cell r="D1005" t="str">
            <v>32.08.01</v>
          </cell>
          <cell r="E1005" t="str">
            <v xml:space="preserve">Sub-base ou base solo cim 7% - Pulv. </v>
          </cell>
          <cell r="F1005" t="str">
            <v>m³</v>
          </cell>
        </row>
        <row r="1006">
          <cell r="B1006" t="str">
            <v>11.1.124</v>
          </cell>
          <cell r="D1006" t="str">
            <v>32.08.04</v>
          </cell>
          <cell r="E1006" t="str">
            <v xml:space="preserve">Sub-base ou base solo cim 10% - Pulv. </v>
          </cell>
          <cell r="F1006" t="str">
            <v>m³</v>
          </cell>
        </row>
        <row r="1008">
          <cell r="B1008" t="str">
            <v>Cód. Colinas</v>
          </cell>
          <cell r="D1008" t="str">
            <v>Código</v>
          </cell>
          <cell r="E1008" t="str">
            <v>Serviços</v>
          </cell>
          <cell r="F1008" t="str">
            <v>Unid.</v>
          </cell>
        </row>
        <row r="1011">
          <cell r="D1011" t="str">
            <v>FASE 34 - SERVIÇOS TERCEIRIZADOS</v>
          </cell>
        </row>
        <row r="1012">
          <cell r="B1012" t="str">
            <v>12.1.1</v>
          </cell>
          <cell r="D1012" t="str">
            <v>34.01.01</v>
          </cell>
          <cell r="E1012" t="str">
            <v xml:space="preserve">Arrecadador </v>
          </cell>
          <cell r="F1012" t="str">
            <v>sal. mês</v>
          </cell>
        </row>
        <row r="1013">
          <cell r="B1013" t="str">
            <v>12.1.2</v>
          </cell>
          <cell r="D1013" t="str">
            <v>34.01.02</v>
          </cell>
          <cell r="E1013" t="str">
            <v>Auxiliar Man. El. Eletronica</v>
          </cell>
          <cell r="F1013" t="str">
            <v>sal. mês</v>
          </cell>
        </row>
        <row r="1014">
          <cell r="B1014" t="str">
            <v>12.1.3</v>
          </cell>
          <cell r="D1014" t="str">
            <v>34.01.03</v>
          </cell>
          <cell r="E1014" t="str">
            <v>Auxiliar de Pista</v>
          </cell>
          <cell r="F1014" t="str">
            <v>sal. mês</v>
          </cell>
        </row>
        <row r="1015">
          <cell r="B1015" t="str">
            <v>12.1.4</v>
          </cell>
          <cell r="D1015" t="str">
            <v>34.01.04</v>
          </cell>
          <cell r="E1015" t="str">
            <v>Auxiliar de tráfego</v>
          </cell>
          <cell r="F1015" t="str">
            <v>sal. mês</v>
          </cell>
        </row>
        <row r="1016">
          <cell r="B1016" t="str">
            <v>12.1.5</v>
          </cell>
          <cell r="D1016" t="str">
            <v>34.01.05</v>
          </cell>
          <cell r="E1016" t="str">
            <v>Coordenador de pedágio</v>
          </cell>
          <cell r="F1016" t="str">
            <v>sal. mês</v>
          </cell>
        </row>
        <row r="1017">
          <cell r="B1017" t="str">
            <v>12.1.6</v>
          </cell>
          <cell r="D1017" t="str">
            <v>34.01.06</v>
          </cell>
          <cell r="E1017" t="str">
            <v>Supervisor de pedágio</v>
          </cell>
          <cell r="F1017" t="str">
            <v>sal. mês</v>
          </cell>
        </row>
        <row r="1018">
          <cell r="B1018" t="str">
            <v>12.1.7</v>
          </cell>
          <cell r="D1018" t="str">
            <v>34.01.07</v>
          </cell>
          <cell r="E1018" t="str">
            <v>Conferente</v>
          </cell>
          <cell r="F1018" t="str">
            <v>sal. mês</v>
          </cell>
        </row>
        <row r="1019">
          <cell r="B1019" t="str">
            <v>12.1.8</v>
          </cell>
          <cell r="D1019" t="str">
            <v>34.01.10</v>
          </cell>
          <cell r="E1019" t="str">
            <v xml:space="preserve">Técnico manut. Elet-eletr </v>
          </cell>
          <cell r="F1019" t="str">
            <v>sal. mês</v>
          </cell>
        </row>
        <row r="1020">
          <cell r="B1020" t="str">
            <v>12.1.9</v>
          </cell>
          <cell r="D1020" t="str">
            <v>34.01.11</v>
          </cell>
          <cell r="E1020" t="str">
            <v xml:space="preserve">Auxiliar Técnico </v>
          </cell>
          <cell r="F1020" t="str">
            <v>sal. mês</v>
          </cell>
        </row>
        <row r="1021">
          <cell r="B1021" t="str">
            <v>12.1.10</v>
          </cell>
          <cell r="D1021" t="str">
            <v>34.02.01</v>
          </cell>
          <cell r="E1021" t="str">
            <v>Balanceiro</v>
          </cell>
          <cell r="F1021" t="str">
            <v>sal. mês</v>
          </cell>
        </row>
        <row r="1022">
          <cell r="B1022" t="str">
            <v>12.1.11</v>
          </cell>
          <cell r="D1022" t="str">
            <v>34.02.02</v>
          </cell>
          <cell r="E1022" t="str">
            <v>Auxiliar de pesagem</v>
          </cell>
          <cell r="F1022" t="str">
            <v>sal. mês</v>
          </cell>
        </row>
        <row r="1023">
          <cell r="B1023" t="str">
            <v>12.1.12</v>
          </cell>
          <cell r="D1023" t="str">
            <v>34.03.01</v>
          </cell>
          <cell r="E1023" t="str">
            <v>Limpeza de áreas int. pisos acarpetados</v>
          </cell>
          <cell r="F1023" t="str">
            <v>m² x mês</v>
          </cell>
        </row>
        <row r="1024">
          <cell r="B1024" t="str">
            <v>12.1.13</v>
          </cell>
          <cell r="D1024" t="str">
            <v>34.03.02</v>
          </cell>
          <cell r="E1024" t="str">
            <v>Limpeza de áreas internas e pisos frios</v>
          </cell>
          <cell r="F1024" t="str">
            <v>m² x mês</v>
          </cell>
        </row>
        <row r="1025">
          <cell r="B1025" t="str">
            <v>12.1.14</v>
          </cell>
          <cell r="D1025" t="str">
            <v>34.03.03</v>
          </cell>
          <cell r="E1025" t="str">
            <v>Limpeza de áreas internas laboratórios</v>
          </cell>
          <cell r="F1025" t="str">
            <v>m² x mês</v>
          </cell>
        </row>
        <row r="1026">
          <cell r="B1026" t="str">
            <v>12.1.15</v>
          </cell>
          <cell r="D1026" t="str">
            <v>34.03.04</v>
          </cell>
          <cell r="E1026" t="str">
            <v>Limpeza de áreas int.almoxarif.e galpões</v>
          </cell>
          <cell r="F1026" t="str">
            <v>m² x mês</v>
          </cell>
        </row>
        <row r="1027">
          <cell r="B1027" t="str">
            <v>12.1.16</v>
          </cell>
          <cell r="D1027" t="str">
            <v>34.03.05</v>
          </cell>
          <cell r="E1027" t="str">
            <v>Limpeza de áreas internas oficinas</v>
          </cell>
          <cell r="F1027" t="str">
            <v>m² x mês</v>
          </cell>
        </row>
        <row r="1028">
          <cell r="B1028" t="str">
            <v>12.1.17</v>
          </cell>
          <cell r="D1028" t="str">
            <v>34.03.06</v>
          </cell>
          <cell r="E1028" t="str">
            <v>Limpeza áreas ext. pisos pav.e terra</v>
          </cell>
          <cell r="F1028" t="str">
            <v>m² x mês</v>
          </cell>
        </row>
        <row r="1029">
          <cell r="B1029" t="str">
            <v>12.1.18</v>
          </cell>
          <cell r="D1029" t="str">
            <v>34.03.07</v>
          </cell>
          <cell r="E1029" t="str">
            <v>Limpeza ext. pát.e áreas verdes alta freq.</v>
          </cell>
          <cell r="F1029" t="str">
            <v>m² x mês</v>
          </cell>
        </row>
        <row r="1030">
          <cell r="B1030" t="str">
            <v>12.1.19</v>
          </cell>
          <cell r="D1030" t="str">
            <v>34.03.08</v>
          </cell>
          <cell r="E1030" t="str">
            <v xml:space="preserve">Limpeza ext. pát.e áreas verdes média freq </v>
          </cell>
          <cell r="F1030" t="str">
            <v>m² x mês</v>
          </cell>
        </row>
        <row r="1031">
          <cell r="B1031" t="str">
            <v>12.1.20</v>
          </cell>
          <cell r="D1031" t="str">
            <v>34.03.09</v>
          </cell>
          <cell r="E1031" t="str">
            <v>Limpeza ext. pát.e áreas verdes baixa freq</v>
          </cell>
          <cell r="F1031" t="str">
            <v>m² x mês</v>
          </cell>
        </row>
        <row r="1032">
          <cell r="B1032" t="str">
            <v>12.1.21</v>
          </cell>
          <cell r="D1032" t="str">
            <v>34.03.10</v>
          </cell>
          <cell r="E1032" t="str">
            <v xml:space="preserve">Vidros externos c/ exp.risco trimestr. </v>
          </cell>
          <cell r="F1032" t="str">
            <v>m² x mês</v>
          </cell>
        </row>
        <row r="1033">
          <cell r="B1033" t="str">
            <v>12.1.22</v>
          </cell>
          <cell r="D1033" t="str">
            <v>34.03.11</v>
          </cell>
          <cell r="E1033" t="str">
            <v>Vidros externos s/ exp.risco - trimestr.</v>
          </cell>
          <cell r="F1033" t="str">
            <v>m² x mês</v>
          </cell>
        </row>
        <row r="1034">
          <cell r="B1034" t="str">
            <v>12.1.23</v>
          </cell>
          <cell r="D1034" t="str">
            <v>34.03.12</v>
          </cell>
          <cell r="E1034" t="str">
            <v xml:space="preserve">Vidros externos c/ exp.risco - s/estral </v>
          </cell>
          <cell r="F1034" t="str">
            <v>m² x mês</v>
          </cell>
        </row>
        <row r="1035">
          <cell r="B1035" t="str">
            <v>12.1.24</v>
          </cell>
          <cell r="D1035" t="str">
            <v>34.03.13</v>
          </cell>
          <cell r="E1035" t="str">
            <v xml:space="preserve">Vidros externos s/ exp.risco - s/estral </v>
          </cell>
          <cell r="F1035" t="str">
            <v>m² x mês</v>
          </cell>
        </row>
        <row r="1036">
          <cell r="B1036" t="str">
            <v>12.1.25</v>
          </cell>
          <cell r="D1036" t="str">
            <v>34.04.02</v>
          </cell>
          <cell r="E1036" t="str">
            <v xml:space="preserve">Vigilância 44h sem. de segunda a sextaVig.feira </v>
          </cell>
          <cell r="F1036" t="str">
            <v>p x dia</v>
          </cell>
        </row>
        <row r="1037">
          <cell r="B1037" t="str">
            <v>12.1.26</v>
          </cell>
          <cell r="D1037" t="str">
            <v>34.04.04</v>
          </cell>
          <cell r="E1037" t="str">
            <v xml:space="preserve">Vigilância 12h diurno de segunda a domingo </v>
          </cell>
          <cell r="F1037" t="str">
            <v>p x dia</v>
          </cell>
        </row>
        <row r="1038">
          <cell r="B1038" t="str">
            <v>12.1.27</v>
          </cell>
          <cell r="D1038" t="str">
            <v>34.04.06</v>
          </cell>
          <cell r="E1038" t="str">
            <v xml:space="preserve">Vigilância 12h noturno de segunda a domingo </v>
          </cell>
          <cell r="F1038" t="str">
            <v>p x dia</v>
          </cell>
        </row>
        <row r="1039">
          <cell r="B1039" t="str">
            <v>12.1.28</v>
          </cell>
          <cell r="D1039" t="str">
            <v>34.05.02</v>
          </cell>
          <cell r="E1039" t="str">
            <v xml:space="preserve">Portaria 44h sem. diurno deseg/ sexta-feira </v>
          </cell>
          <cell r="F1039" t="str">
            <v>p x dia</v>
          </cell>
        </row>
        <row r="1040">
          <cell r="B1040" t="str">
            <v>12.1.29</v>
          </cell>
          <cell r="D1040" t="str">
            <v>34.05.04</v>
          </cell>
          <cell r="E1040" t="str">
            <v xml:space="preserve">Portaria 12h sem. diurno deseg/ sexta-feira </v>
          </cell>
          <cell r="F1040" t="str">
            <v>p x dia</v>
          </cell>
        </row>
        <row r="1041">
          <cell r="B1041" t="str">
            <v>12.1.30</v>
          </cell>
          <cell r="D1041" t="str">
            <v>34.05.06</v>
          </cell>
          <cell r="E1041" t="str">
            <v xml:space="preserve">Portaria 8h diurno de segunda a domingo </v>
          </cell>
          <cell r="F1041" t="str">
            <v>p x dia</v>
          </cell>
        </row>
        <row r="1042">
          <cell r="B1042" t="str">
            <v>12.1.31</v>
          </cell>
          <cell r="D1042" t="str">
            <v>34.05.08</v>
          </cell>
          <cell r="E1042" t="str">
            <v xml:space="preserve">Portaria 24h diuturno de segunda a domingo </v>
          </cell>
          <cell r="F1042" t="str">
            <v>p x dia</v>
          </cell>
        </row>
        <row r="1043">
          <cell r="B1043" t="str">
            <v>12.1.32</v>
          </cell>
          <cell r="D1043" t="str">
            <v>34.07.01.01</v>
          </cell>
          <cell r="E1043" t="str">
            <v>Médico Supervisor</v>
          </cell>
          <cell r="F1043" t="str">
            <v>h</v>
          </cell>
        </row>
        <row r="1044">
          <cell r="B1044" t="str">
            <v>12.1.33</v>
          </cell>
          <cell r="D1044" t="str">
            <v>34.07.01.02</v>
          </cell>
          <cell r="E1044" t="str">
            <v>Paramédico</v>
          </cell>
          <cell r="F1044" t="str">
            <v>h</v>
          </cell>
        </row>
        <row r="1045">
          <cell r="B1045" t="str">
            <v>12.1.34</v>
          </cell>
          <cell r="D1045" t="str">
            <v>34.07.01.03</v>
          </cell>
          <cell r="E1045" t="str">
            <v>Atendente de primeiros socorros</v>
          </cell>
          <cell r="F1045" t="str">
            <v>h</v>
          </cell>
        </row>
        <row r="1046">
          <cell r="B1046" t="str">
            <v>12.1.35</v>
          </cell>
          <cell r="D1046" t="str">
            <v>34.07.01.04</v>
          </cell>
          <cell r="E1046" t="str">
            <v>Auxiliar Atendente de primeiros socorros</v>
          </cell>
          <cell r="F1046" t="str">
            <v>h</v>
          </cell>
        </row>
        <row r="1047">
          <cell r="B1047" t="str">
            <v>12.1.36</v>
          </cell>
          <cell r="D1047" t="str">
            <v>34.07.01.05</v>
          </cell>
          <cell r="E1047" t="str">
            <v>Motorista ambulância</v>
          </cell>
          <cell r="F1047" t="str">
            <v>h</v>
          </cell>
        </row>
        <row r="1048">
          <cell r="B1048" t="str">
            <v>12.1.37</v>
          </cell>
          <cell r="D1048" t="str">
            <v>34.07.01.06</v>
          </cell>
          <cell r="E1048" t="str">
            <v>Operador de guincho</v>
          </cell>
          <cell r="F1048" t="str">
            <v>h</v>
          </cell>
        </row>
        <row r="1049">
          <cell r="B1049" t="str">
            <v>12.1.38</v>
          </cell>
          <cell r="D1049" t="str">
            <v>34.08.27</v>
          </cell>
          <cell r="E1049" t="str">
            <v>Hidr. Daee e deprn</v>
          </cell>
          <cell r="F1049" t="str">
            <v xml:space="preserve">un </v>
          </cell>
        </row>
        <row r="1051">
          <cell r="B1051" t="str">
            <v>Cód. Colinas</v>
          </cell>
          <cell r="D1051" t="str">
            <v>Código</v>
          </cell>
          <cell r="E1051" t="str">
            <v>Serviços</v>
          </cell>
          <cell r="F1051" t="str">
            <v>Unid.</v>
          </cell>
        </row>
        <row r="1054">
          <cell r="D1054" t="str">
            <v>FASE 35 - EQUIPE DE PROJETO GERENCIAMENTO, MEIO AMBIENTE E OBRA</v>
          </cell>
        </row>
        <row r="1055">
          <cell r="B1055" t="str">
            <v>13.1.1</v>
          </cell>
          <cell r="D1055" t="str">
            <v>35.01.04</v>
          </cell>
          <cell r="E1055" t="str">
            <v>Analista de Sistema Júnior</v>
          </cell>
          <cell r="F1055" t="str">
            <v>h</v>
          </cell>
        </row>
        <row r="1056">
          <cell r="B1056" t="str">
            <v>13.1.2</v>
          </cell>
          <cell r="D1056" t="str">
            <v>35.01.05</v>
          </cell>
          <cell r="E1056" t="str">
            <v>Analista de Sistema Pleno</v>
          </cell>
          <cell r="F1056" t="str">
            <v>h</v>
          </cell>
        </row>
        <row r="1057">
          <cell r="B1057" t="str">
            <v>13.1.3</v>
          </cell>
          <cell r="D1057" t="str">
            <v>35.01.06</v>
          </cell>
          <cell r="E1057" t="str">
            <v>Analista de Sistema Senior</v>
          </cell>
          <cell r="F1057" t="str">
            <v>h</v>
          </cell>
        </row>
        <row r="1058">
          <cell r="B1058" t="str">
            <v>13.1.4</v>
          </cell>
          <cell r="D1058" t="str">
            <v>35.01.09</v>
          </cell>
          <cell r="E1058" t="str">
            <v>Auxiliar de Laboratório</v>
          </cell>
          <cell r="F1058" t="str">
            <v>h</v>
          </cell>
        </row>
        <row r="1059">
          <cell r="B1059" t="str">
            <v>13.1.5</v>
          </cell>
          <cell r="D1059" t="str">
            <v>35.01.10</v>
          </cell>
          <cell r="E1059" t="str">
            <v>Auxiliar Topografia</v>
          </cell>
          <cell r="F1059" t="str">
            <v>h</v>
          </cell>
        </row>
        <row r="1060">
          <cell r="B1060" t="str">
            <v>13.1.6</v>
          </cell>
          <cell r="D1060" t="str">
            <v>35.01.11</v>
          </cell>
          <cell r="E1060" t="str">
            <v>Auxiliar/Escritório</v>
          </cell>
          <cell r="F1060" t="str">
            <v>h</v>
          </cell>
        </row>
        <row r="1061">
          <cell r="B1061" t="str">
            <v>13.1.7</v>
          </cell>
          <cell r="D1061" t="str">
            <v>35.01.12</v>
          </cell>
          <cell r="E1061" t="str">
            <v>Chefe de Escritório</v>
          </cell>
          <cell r="F1061" t="str">
            <v>h</v>
          </cell>
        </row>
        <row r="1062">
          <cell r="B1062" t="str">
            <v>13.1.8</v>
          </cell>
          <cell r="D1062" t="str">
            <v>35.01.13</v>
          </cell>
          <cell r="E1062" t="str">
            <v>Consultor (sem vínculo)</v>
          </cell>
          <cell r="F1062" t="str">
            <v>h</v>
          </cell>
        </row>
        <row r="1063">
          <cell r="B1063" t="str">
            <v>13.1.9</v>
          </cell>
          <cell r="D1063" t="str">
            <v>35.01.13.01</v>
          </cell>
          <cell r="E1063" t="str">
            <v>Consultor jurídico (sem vínculo)</v>
          </cell>
          <cell r="F1063" t="str">
            <v>h</v>
          </cell>
        </row>
        <row r="1064">
          <cell r="B1064" t="str">
            <v>13.1.10</v>
          </cell>
          <cell r="D1064" t="str">
            <v>35.01.15</v>
          </cell>
          <cell r="E1064" t="str">
            <v>Digitado</v>
          </cell>
          <cell r="F1064" t="str">
            <v>h</v>
          </cell>
        </row>
        <row r="1065">
          <cell r="B1065" t="str">
            <v>13.1.11</v>
          </cell>
          <cell r="D1065" t="str">
            <v>35.01.16</v>
          </cell>
          <cell r="E1065" t="str">
            <v>Desenhista</v>
          </cell>
          <cell r="F1065" t="str">
            <v>h</v>
          </cell>
        </row>
        <row r="1066">
          <cell r="B1066" t="str">
            <v>13.1.12</v>
          </cell>
          <cell r="D1066" t="str">
            <v>35.01.17</v>
          </cell>
          <cell r="E1066" t="str">
            <v>Desenhista/Calculista</v>
          </cell>
          <cell r="F1066" t="str">
            <v>h</v>
          </cell>
        </row>
        <row r="1067">
          <cell r="B1067" t="str">
            <v>13.1.13</v>
          </cell>
          <cell r="D1067" t="str">
            <v>35.01.18</v>
          </cell>
          <cell r="E1067" t="str">
            <v>Economista Júnior</v>
          </cell>
          <cell r="F1067" t="str">
            <v>h</v>
          </cell>
        </row>
        <row r="1068">
          <cell r="B1068" t="str">
            <v>13.1.14</v>
          </cell>
          <cell r="D1068" t="str">
            <v>35.01.19</v>
          </cell>
          <cell r="E1068" t="str">
            <v>Economista Pleno</v>
          </cell>
          <cell r="F1068" t="str">
            <v>h</v>
          </cell>
        </row>
        <row r="1069">
          <cell r="B1069" t="str">
            <v>13.1.15</v>
          </cell>
          <cell r="D1069" t="str">
            <v>35.01.20</v>
          </cell>
          <cell r="E1069" t="str">
            <v>Economista Senior</v>
          </cell>
          <cell r="F1069" t="str">
            <v>h</v>
          </cell>
        </row>
        <row r="1070">
          <cell r="B1070" t="str">
            <v>13.1.16</v>
          </cell>
          <cell r="D1070" t="str">
            <v>35.01.21</v>
          </cell>
          <cell r="E1070" t="str">
            <v>Engenheiro Júnior</v>
          </cell>
          <cell r="F1070" t="str">
            <v>h</v>
          </cell>
        </row>
        <row r="1071">
          <cell r="B1071" t="str">
            <v>13.1.17</v>
          </cell>
          <cell r="D1071" t="str">
            <v>35.01.22</v>
          </cell>
          <cell r="E1071" t="str">
            <v>Engenheiro Pleno</v>
          </cell>
          <cell r="F1071" t="str">
            <v>h</v>
          </cell>
        </row>
        <row r="1072">
          <cell r="B1072" t="str">
            <v>13.1.18</v>
          </cell>
          <cell r="D1072" t="str">
            <v>35.01.23</v>
          </cell>
          <cell r="E1072" t="str">
            <v>Engenheiro Senior</v>
          </cell>
          <cell r="F1072" t="str">
            <v>h</v>
          </cell>
        </row>
        <row r="1073">
          <cell r="B1073" t="str">
            <v>13.1.19</v>
          </cell>
          <cell r="D1073" t="str">
            <v>35.01.24</v>
          </cell>
          <cell r="E1073" t="str">
            <v>Especialista em Treinamento Pleno</v>
          </cell>
          <cell r="F1073" t="str">
            <v>h</v>
          </cell>
        </row>
        <row r="1074">
          <cell r="B1074" t="str">
            <v>13.1.20</v>
          </cell>
          <cell r="D1074" t="str">
            <v>35.01.25</v>
          </cell>
          <cell r="E1074" t="str">
            <v>Especialista em Treinamento Senior</v>
          </cell>
          <cell r="F1074" t="str">
            <v>h</v>
          </cell>
        </row>
        <row r="1075">
          <cell r="B1075" t="str">
            <v>13.1.21</v>
          </cell>
          <cell r="D1075" t="str">
            <v>35.01.26</v>
          </cell>
          <cell r="E1075" t="str">
            <v>Fiscal de Obras</v>
          </cell>
          <cell r="F1075" t="str">
            <v>h</v>
          </cell>
        </row>
        <row r="1076">
          <cell r="B1076" t="str">
            <v>13.1.22</v>
          </cell>
          <cell r="D1076" t="str">
            <v>35.01.27</v>
          </cell>
          <cell r="E1076" t="str">
            <v>Geólogo Júnior</v>
          </cell>
          <cell r="F1076" t="str">
            <v>h</v>
          </cell>
        </row>
        <row r="1077">
          <cell r="B1077" t="str">
            <v>13.1.23</v>
          </cell>
          <cell r="D1077" t="str">
            <v>35.01.28</v>
          </cell>
          <cell r="E1077" t="str">
            <v>Geólogo Pleno</v>
          </cell>
          <cell r="F1077" t="str">
            <v>h</v>
          </cell>
        </row>
        <row r="1078">
          <cell r="B1078" t="str">
            <v>13.1.24</v>
          </cell>
          <cell r="D1078" t="str">
            <v>35.01.29</v>
          </cell>
          <cell r="E1078" t="str">
            <v>Geólogo Senior</v>
          </cell>
          <cell r="F1078" t="str">
            <v>h</v>
          </cell>
        </row>
        <row r="1079">
          <cell r="B1079" t="str">
            <v>13.1.25</v>
          </cell>
          <cell r="D1079" t="str">
            <v>35.01.30</v>
          </cell>
          <cell r="E1079" t="str">
            <v>Laboratorista</v>
          </cell>
          <cell r="F1079" t="str">
            <v>h</v>
          </cell>
        </row>
        <row r="1080">
          <cell r="B1080" t="str">
            <v>13.1.26</v>
          </cell>
          <cell r="D1080" t="str">
            <v>35.01.31</v>
          </cell>
          <cell r="E1080" t="str">
            <v>Laboratorista Auxiliar</v>
          </cell>
          <cell r="F1080" t="str">
            <v>h</v>
          </cell>
        </row>
        <row r="1081">
          <cell r="B1081" t="str">
            <v>13.1.27</v>
          </cell>
          <cell r="D1081" t="str">
            <v>35.01.32</v>
          </cell>
          <cell r="E1081" t="str">
            <v>Motorista</v>
          </cell>
          <cell r="F1081" t="str">
            <v>h</v>
          </cell>
        </row>
        <row r="1082">
          <cell r="B1082" t="str">
            <v>13.1.28</v>
          </cell>
          <cell r="D1082" t="str">
            <v>35.01.33</v>
          </cell>
          <cell r="E1082" t="str">
            <v>Nivelador</v>
          </cell>
          <cell r="F1082" t="str">
            <v>h</v>
          </cell>
        </row>
        <row r="1083">
          <cell r="B1083" t="str">
            <v>13.1.29</v>
          </cell>
          <cell r="D1083" t="str">
            <v>35.01.34</v>
          </cell>
          <cell r="E1083" t="str">
            <v>Operador de Microcomputador</v>
          </cell>
          <cell r="F1083" t="str">
            <v>h</v>
          </cell>
        </row>
        <row r="1084">
          <cell r="B1084" t="str">
            <v>13.1.30</v>
          </cell>
          <cell r="D1084" t="str">
            <v>35.01.35</v>
          </cell>
          <cell r="E1084" t="str">
            <v>Programador de Computador Júnior</v>
          </cell>
          <cell r="F1084" t="str">
            <v>h</v>
          </cell>
        </row>
        <row r="1085">
          <cell r="B1085" t="str">
            <v>13.1.31</v>
          </cell>
          <cell r="D1085" t="str">
            <v>35.01.36</v>
          </cell>
          <cell r="E1085" t="str">
            <v>Programador de Computador Pleno</v>
          </cell>
          <cell r="F1085" t="str">
            <v>h</v>
          </cell>
        </row>
        <row r="1086">
          <cell r="B1086" t="str">
            <v>13.1.32</v>
          </cell>
          <cell r="D1086" t="str">
            <v>35.01.37</v>
          </cell>
          <cell r="E1086" t="str">
            <v>Programador de Computador Senior</v>
          </cell>
          <cell r="F1086" t="str">
            <v>h</v>
          </cell>
        </row>
        <row r="1087">
          <cell r="B1087" t="str">
            <v>13.1.33</v>
          </cell>
          <cell r="D1087" t="str">
            <v>35.01.38</v>
          </cell>
          <cell r="E1087" t="str">
            <v>Psicólogo</v>
          </cell>
          <cell r="F1087" t="str">
            <v>h</v>
          </cell>
        </row>
        <row r="1088">
          <cell r="B1088" t="str">
            <v>13.1.34</v>
          </cell>
          <cell r="D1088" t="str">
            <v>35.01.39</v>
          </cell>
          <cell r="E1088" t="str">
            <v>Seccionista</v>
          </cell>
          <cell r="F1088" t="str">
            <v>h</v>
          </cell>
        </row>
        <row r="1089">
          <cell r="B1089" t="str">
            <v>13.1.35</v>
          </cell>
          <cell r="D1089" t="str">
            <v>35.01.40</v>
          </cell>
          <cell r="E1089" t="str">
            <v>Secretária</v>
          </cell>
          <cell r="F1089" t="str">
            <v>h</v>
          </cell>
        </row>
        <row r="1090">
          <cell r="B1090" t="str">
            <v>13.1.36</v>
          </cell>
          <cell r="D1090" t="str">
            <v>35.01.41</v>
          </cell>
          <cell r="E1090" t="str">
            <v>Topógrafo</v>
          </cell>
          <cell r="F1090" t="str">
            <v>h</v>
          </cell>
        </row>
        <row r="1091">
          <cell r="B1091" t="str">
            <v>13.1.37</v>
          </cell>
          <cell r="D1091" t="str">
            <v>35.01.42</v>
          </cell>
          <cell r="E1091" t="str">
            <v>Topógrafo Auxiliar</v>
          </cell>
          <cell r="F1091" t="str">
            <v>h</v>
          </cell>
        </row>
        <row r="1092">
          <cell r="B1092" t="str">
            <v>13.1.38</v>
          </cell>
          <cell r="D1092" t="str">
            <v>35.01.47</v>
          </cell>
          <cell r="E1092" t="str">
            <v>Entrevistador</v>
          </cell>
          <cell r="F1092" t="str">
            <v>h</v>
          </cell>
        </row>
        <row r="1093">
          <cell r="B1093" t="str">
            <v>13.1.39</v>
          </cell>
          <cell r="D1093" t="str">
            <v>35.02.04</v>
          </cell>
          <cell r="E1093" t="str">
            <v>Auxiliar de escritório</v>
          </cell>
          <cell r="F1093" t="str">
            <v>h</v>
          </cell>
        </row>
        <row r="1094">
          <cell r="B1094" t="str">
            <v>13.1.40</v>
          </cell>
          <cell r="D1094" t="str">
            <v>35.02.05</v>
          </cell>
          <cell r="E1094" t="str">
            <v>Auxiliar de topografia</v>
          </cell>
          <cell r="F1094" t="str">
            <v>h</v>
          </cell>
        </row>
        <row r="1095">
          <cell r="B1095" t="str">
            <v>13.1.41</v>
          </cell>
          <cell r="D1095" t="str">
            <v>35.02.06</v>
          </cell>
          <cell r="E1095" t="str">
            <v>Auxiliar Técnico</v>
          </cell>
          <cell r="F1095" t="str">
            <v>h</v>
          </cell>
        </row>
        <row r="1096">
          <cell r="B1096" t="str">
            <v>13.1.42</v>
          </cell>
          <cell r="D1096" t="str">
            <v>35.02.07</v>
          </cell>
          <cell r="E1096" t="str">
            <v>Consultor A</v>
          </cell>
          <cell r="F1096" t="str">
            <v>h</v>
          </cell>
        </row>
        <row r="1097">
          <cell r="B1097" t="str">
            <v>13.1.43</v>
          </cell>
          <cell r="D1097" t="str">
            <v>35.02.08</v>
          </cell>
          <cell r="E1097" t="str">
            <v xml:space="preserve">Consultor B </v>
          </cell>
          <cell r="F1097" t="str">
            <v>h</v>
          </cell>
        </row>
        <row r="1098">
          <cell r="B1098" t="str">
            <v>13.1.44</v>
          </cell>
          <cell r="D1098" t="str">
            <v>35.02.09</v>
          </cell>
          <cell r="E1098" t="str">
            <v>Consultor C</v>
          </cell>
          <cell r="F1098" t="str">
            <v>h</v>
          </cell>
        </row>
        <row r="1099">
          <cell r="B1099" t="str">
            <v>13.1.45</v>
          </cell>
          <cell r="D1099" t="str">
            <v xml:space="preserve">35.02.10 </v>
          </cell>
          <cell r="E1099" t="str">
            <v>Coordenador</v>
          </cell>
          <cell r="F1099" t="str">
            <v>h</v>
          </cell>
        </row>
        <row r="1100">
          <cell r="B1100" t="str">
            <v>13.1.46</v>
          </cell>
          <cell r="D1100" t="str">
            <v>35.02.11</v>
          </cell>
          <cell r="E1100" t="str">
            <v>Desenhista e Calculista I</v>
          </cell>
          <cell r="F1100" t="str">
            <v>h</v>
          </cell>
        </row>
        <row r="1101">
          <cell r="B1101" t="str">
            <v>13.1.47</v>
          </cell>
          <cell r="D1101" t="str">
            <v>35.02.12</v>
          </cell>
          <cell r="E1101" t="str">
            <v>Desenhista e Calculista II</v>
          </cell>
          <cell r="F1101" t="str">
            <v>h</v>
          </cell>
        </row>
        <row r="1102">
          <cell r="B1102" t="str">
            <v>13.1.48</v>
          </cell>
          <cell r="D1102" t="str">
            <v>35.02.13</v>
          </cell>
          <cell r="E1102" t="str">
            <v xml:space="preserve">Desenhista e Calculista III </v>
          </cell>
          <cell r="F1102" t="str">
            <v>h</v>
          </cell>
        </row>
        <row r="1103">
          <cell r="B1103" t="str">
            <v>13.1.49</v>
          </cell>
          <cell r="D1103" t="str">
            <v>35.02.14</v>
          </cell>
          <cell r="E1103" t="str">
            <v>Engenheiro Júnior</v>
          </cell>
          <cell r="F1103" t="str">
            <v>h</v>
          </cell>
        </row>
        <row r="1104">
          <cell r="B1104" t="str">
            <v>13.1.50</v>
          </cell>
          <cell r="D1104" t="str">
            <v>35.02.15</v>
          </cell>
          <cell r="E1104" t="str">
            <v>Engenheiro Pleno</v>
          </cell>
          <cell r="F1104" t="str">
            <v>h</v>
          </cell>
        </row>
        <row r="1105">
          <cell r="B1105" t="str">
            <v>13.1.51</v>
          </cell>
          <cell r="D1105" t="str">
            <v>35.02.16</v>
          </cell>
          <cell r="E1105" t="str">
            <v>Engenheiro Senior</v>
          </cell>
          <cell r="F1105" t="str">
            <v>h</v>
          </cell>
        </row>
        <row r="1106">
          <cell r="B1106" t="str">
            <v>13.1.52</v>
          </cell>
          <cell r="D1106" t="str">
            <v>35.02.17</v>
          </cell>
          <cell r="E1106" t="str">
            <v>Projetista A / Assistente Técnico I</v>
          </cell>
          <cell r="F1106" t="str">
            <v>h</v>
          </cell>
        </row>
        <row r="1107">
          <cell r="B1107" t="str">
            <v>13.1.53</v>
          </cell>
          <cell r="D1107" t="str">
            <v>35.02.18</v>
          </cell>
          <cell r="E1107" t="str">
            <v>Projetista B / Assistente Técnico II</v>
          </cell>
          <cell r="F1107" t="str">
            <v>h</v>
          </cell>
        </row>
        <row r="1108">
          <cell r="B1108" t="str">
            <v>13.1.54</v>
          </cell>
          <cell r="D1108" t="str">
            <v>35.02.19</v>
          </cell>
          <cell r="E1108" t="str">
            <v xml:space="preserve">Projetista C / Assistente Técnico III </v>
          </cell>
          <cell r="F1108" t="str">
            <v>h</v>
          </cell>
        </row>
        <row r="1109">
          <cell r="B1109" t="str">
            <v>13.1.55</v>
          </cell>
          <cell r="D1109" t="str">
            <v>35.02.23</v>
          </cell>
          <cell r="E1109" t="str">
            <v>Engenheiro Agronomo</v>
          </cell>
          <cell r="F1109" t="str">
            <v>h</v>
          </cell>
        </row>
        <row r="1110">
          <cell r="B1110" t="str">
            <v>13.1.56</v>
          </cell>
          <cell r="D1110" t="str">
            <v>35.02.24</v>
          </cell>
          <cell r="E1110" t="str">
            <v>Antropólogo</v>
          </cell>
          <cell r="F1110" t="str">
            <v>h</v>
          </cell>
        </row>
        <row r="1111">
          <cell r="B1111" t="str">
            <v>13.1.57</v>
          </cell>
          <cell r="D1111" t="str">
            <v>35.02.25</v>
          </cell>
          <cell r="E1111" t="str">
            <v>Nivelador</v>
          </cell>
          <cell r="F1111" t="str">
            <v>h</v>
          </cell>
        </row>
        <row r="1112">
          <cell r="B1112" t="str">
            <v>13.1.58</v>
          </cell>
          <cell r="D1112" t="str">
            <v>35.02.26</v>
          </cell>
          <cell r="E1112" t="str">
            <v>Topógrafo</v>
          </cell>
          <cell r="F1112" t="str">
            <v>h</v>
          </cell>
        </row>
        <row r="1113">
          <cell r="B1113" t="str">
            <v>13.1.59</v>
          </cell>
          <cell r="D1113" t="str">
            <v>35.02.28</v>
          </cell>
          <cell r="E1113" t="str">
            <v>Biólogo</v>
          </cell>
          <cell r="F1113" t="str">
            <v>h</v>
          </cell>
        </row>
        <row r="1114">
          <cell r="B1114" t="str">
            <v>13.1.60</v>
          </cell>
          <cell r="D1114" t="str">
            <v>35.02.29</v>
          </cell>
          <cell r="E1114" t="str">
            <v>Economista Júnior</v>
          </cell>
          <cell r="F1114" t="str">
            <v>h</v>
          </cell>
        </row>
        <row r="1115">
          <cell r="B1115" t="str">
            <v>13.1.61</v>
          </cell>
          <cell r="D1115" t="str">
            <v>35.02.30</v>
          </cell>
          <cell r="E1115" t="str">
            <v>Economista Pleno</v>
          </cell>
          <cell r="F1115" t="str">
            <v>h</v>
          </cell>
        </row>
        <row r="1116">
          <cell r="B1116" t="str">
            <v>13.1.62</v>
          </cell>
          <cell r="D1116" t="str">
            <v>35.02.31</v>
          </cell>
          <cell r="E1116" t="str">
            <v>Economista Senior</v>
          </cell>
          <cell r="F1116" t="str">
            <v>h</v>
          </cell>
        </row>
        <row r="1117">
          <cell r="B1117" t="str">
            <v>13.1.63</v>
          </cell>
          <cell r="D1117" t="str">
            <v>35.02.32</v>
          </cell>
          <cell r="E1117" t="str">
            <v>Especialista Ambiental</v>
          </cell>
          <cell r="F1117" t="str">
            <v>h</v>
          </cell>
        </row>
        <row r="1118">
          <cell r="B1118" t="str">
            <v>13.1.64</v>
          </cell>
          <cell r="D1118" t="str">
            <v>35.02.33</v>
          </cell>
          <cell r="E1118" t="str">
            <v>Geógrafo</v>
          </cell>
          <cell r="F1118" t="str">
            <v>h</v>
          </cell>
        </row>
        <row r="1119">
          <cell r="B1119" t="str">
            <v>13.1.65</v>
          </cell>
          <cell r="D1119" t="str">
            <v>35.02.34</v>
          </cell>
          <cell r="E1119" t="str">
            <v>Geólogo Júnior</v>
          </cell>
          <cell r="F1119" t="str">
            <v>h</v>
          </cell>
        </row>
        <row r="1120">
          <cell r="B1120" t="str">
            <v>13.1.66</v>
          </cell>
          <cell r="D1120" t="str">
            <v>35.02.35</v>
          </cell>
          <cell r="E1120" t="str">
            <v>Geólogo Pleno</v>
          </cell>
          <cell r="F1120" t="str">
            <v>h</v>
          </cell>
        </row>
        <row r="1121">
          <cell r="B1121" t="str">
            <v>13.1.67</v>
          </cell>
          <cell r="D1121" t="str">
            <v>35.02.36</v>
          </cell>
          <cell r="E1121" t="str">
            <v>Geólogo Senior</v>
          </cell>
          <cell r="F1121" t="str">
            <v>h</v>
          </cell>
        </row>
        <row r="1122">
          <cell r="B1122" t="str">
            <v>13.1.68</v>
          </cell>
          <cell r="D1122" t="str">
            <v>35.02.37</v>
          </cell>
          <cell r="E1122" t="str">
            <v>Sociólogo</v>
          </cell>
          <cell r="F1122" t="str">
            <v>h</v>
          </cell>
        </row>
        <row r="1123">
          <cell r="B1123" t="str">
            <v>13.1.69</v>
          </cell>
          <cell r="D1123" t="str">
            <v>35.02.38</v>
          </cell>
          <cell r="E1123" t="str">
            <v>Técnico Artes visuais</v>
          </cell>
          <cell r="F1123" t="str">
            <v>h</v>
          </cell>
        </row>
        <row r="1124">
          <cell r="B1124" t="str">
            <v>13.1.70</v>
          </cell>
          <cell r="D1124" t="str">
            <v>35.02.39</v>
          </cell>
          <cell r="E1124" t="str">
            <v>Arqueólogo</v>
          </cell>
          <cell r="F1124" t="str">
            <v>h</v>
          </cell>
        </row>
        <row r="1125">
          <cell r="B1125" t="str">
            <v>13.1.71</v>
          </cell>
          <cell r="D1125" t="str">
            <v>35.02.40</v>
          </cell>
          <cell r="E1125" t="str">
            <v>Geomorfologo</v>
          </cell>
          <cell r="F1125" t="str">
            <v>h</v>
          </cell>
        </row>
        <row r="1127">
          <cell r="B1127" t="str">
            <v>Cód. Colinas</v>
          </cell>
          <cell r="D1127" t="str">
            <v>Código</v>
          </cell>
          <cell r="E1127" t="str">
            <v>Serviços</v>
          </cell>
          <cell r="F1127" t="str">
            <v>Unid.</v>
          </cell>
        </row>
        <row r="1130">
          <cell r="D1130" t="str">
            <v>FASE 36 - CANTEIRO DE OBRA</v>
          </cell>
        </row>
        <row r="1131">
          <cell r="B1131" t="str">
            <v>14.1.1</v>
          </cell>
          <cell r="D1131" t="str">
            <v>36.01.01.01</v>
          </cell>
          <cell r="E1131" t="str">
            <v>Inst. Canteiro tipo I (1,50%)</v>
          </cell>
          <cell r="F1131" t="str">
            <v>gb</v>
          </cell>
        </row>
        <row r="1132">
          <cell r="B1132" t="str">
            <v>14.1.2</v>
          </cell>
          <cell r="D1132" t="str">
            <v>36.01.01.02</v>
          </cell>
          <cell r="E1132" t="str">
            <v xml:space="preserve">Oper. E manutençãocanteiro tipo I (0,875%) </v>
          </cell>
          <cell r="F1132" t="str">
            <v>gb</v>
          </cell>
        </row>
        <row r="1133">
          <cell r="B1133" t="str">
            <v>14.1.3</v>
          </cell>
          <cell r="D1133" t="str">
            <v>36.01.01.03</v>
          </cell>
          <cell r="E1133" t="str">
            <v>Desmobilização canteiro tipo I (0,125%)</v>
          </cell>
          <cell r="F1133" t="str">
            <v>gb</v>
          </cell>
        </row>
        <row r="1134">
          <cell r="B1134" t="str">
            <v>14.1.4</v>
          </cell>
          <cell r="D1134" t="str">
            <v>36.01.02.01</v>
          </cell>
          <cell r="E1134" t="str">
            <v>Inst. Canteiro tipo II (1,80%)</v>
          </cell>
          <cell r="F1134" t="str">
            <v>gb</v>
          </cell>
        </row>
        <row r="1135">
          <cell r="B1135" t="str">
            <v>14.1.5</v>
          </cell>
          <cell r="D1135" t="str">
            <v>36.01.02.02</v>
          </cell>
          <cell r="E1135" t="str">
            <v>Oper. E manutençãocanteiro tipo II (1,050%)</v>
          </cell>
          <cell r="F1135" t="str">
            <v>gb</v>
          </cell>
        </row>
        <row r="1136">
          <cell r="B1136" t="str">
            <v>14.1.6</v>
          </cell>
          <cell r="D1136" t="str">
            <v>36.01.02.03</v>
          </cell>
          <cell r="E1136" t="str">
            <v>Desmobilização canteiro tipo II (0,150%)</v>
          </cell>
          <cell r="F1136" t="str">
            <v>gb</v>
          </cell>
        </row>
        <row r="1137">
          <cell r="B1137" t="str">
            <v>14.1.7</v>
          </cell>
          <cell r="D1137" t="str">
            <v>36.01.03.01</v>
          </cell>
          <cell r="E1137" t="str">
            <v>Inst. Canteiro tipo III (4,80%)</v>
          </cell>
          <cell r="F1137" t="str">
            <v>gb</v>
          </cell>
        </row>
        <row r="1138">
          <cell r="B1138" t="str">
            <v>14.1.8</v>
          </cell>
          <cell r="D1138" t="str">
            <v xml:space="preserve">36.01.03.02 </v>
          </cell>
          <cell r="E1138" t="str">
            <v>Oper. E manutençãocanteiro tipo III (0,900%)</v>
          </cell>
          <cell r="F1138" t="str">
            <v>gb</v>
          </cell>
        </row>
        <row r="1139">
          <cell r="B1139" t="str">
            <v>14.1.9</v>
          </cell>
          <cell r="D1139" t="str">
            <v>36.01.03.03</v>
          </cell>
          <cell r="E1139" t="str">
            <v>Desmobilização canteiro tipo III (0,300%)</v>
          </cell>
          <cell r="F1139" t="str">
            <v>gb</v>
          </cell>
        </row>
        <row r="1141">
          <cell r="B1141" t="str">
            <v>Cód. Colinas</v>
          </cell>
          <cell r="D1141" t="str">
            <v>Código</v>
          </cell>
          <cell r="E1141" t="str">
            <v>Serviços</v>
          </cell>
          <cell r="F1141" t="str">
            <v>Unid.</v>
          </cell>
        </row>
        <row r="1144">
          <cell r="D1144" t="str">
            <v>FASE 37 - SERVIÇOS NÃO CONSTANTES NA PLANILHA</v>
          </cell>
        </row>
        <row r="1145">
          <cell r="B1145" t="str">
            <v>16.1.1</v>
          </cell>
          <cell r="D1145" t="str">
            <v>37.01.01</v>
          </cell>
          <cell r="E1145" t="str">
            <v>Rachão intertravado com bica corrida</v>
          </cell>
          <cell r="F1145" t="str">
            <v>m³</v>
          </cell>
        </row>
        <row r="1146">
          <cell r="B1146" t="str">
            <v>16.1.2</v>
          </cell>
          <cell r="D1146" t="str">
            <v>37.01.02</v>
          </cell>
          <cell r="E1146" t="str">
            <v>Camada de Bloqueio</v>
          </cell>
          <cell r="F1146" t="str">
            <v>m³</v>
          </cell>
        </row>
        <row r="1147">
          <cell r="B1147" t="str">
            <v>16.1.3</v>
          </cell>
          <cell r="D1147" t="str">
            <v>37.01.03</v>
          </cell>
          <cell r="E1147" t="str">
            <v>Conc. asf. us. quente - Grad. C c/ DOP.</v>
          </cell>
          <cell r="F1147" t="str">
            <v>m³</v>
          </cell>
        </row>
        <row r="1148">
          <cell r="B1148" t="str">
            <v>16.1.4</v>
          </cell>
          <cell r="D1148" t="str">
            <v>37.01.04</v>
          </cell>
          <cell r="E1148" t="str">
            <v>Compactação de Aterro maior /igual 95%PS( inclusive Reaterro mat. Brejoso)</v>
          </cell>
          <cell r="F1148" t="str">
            <v>m³</v>
          </cell>
        </row>
        <row r="1149">
          <cell r="B1149" t="str">
            <v>16.1.5</v>
          </cell>
          <cell r="D1149" t="str">
            <v>37.01.05</v>
          </cell>
          <cell r="E1149" t="str">
            <v>Tubo de concreto Ø 0,60m classe CA-2 ( fornecimento e assentamento )</v>
          </cell>
          <cell r="F1149" t="str">
            <v>m</v>
          </cell>
        </row>
        <row r="1150">
          <cell r="B1150" t="str">
            <v>16.1.6</v>
          </cell>
          <cell r="D1150" t="str">
            <v>37.01.06</v>
          </cell>
          <cell r="E1150" t="str">
            <v>Tubo de concreto Ø 1,00m classe CA-2 ( fornecimento e assentamento )</v>
          </cell>
          <cell r="F1150" t="str">
            <v>m</v>
          </cell>
        </row>
        <row r="1151">
          <cell r="B1151" t="str">
            <v>16.1.7</v>
          </cell>
          <cell r="D1151" t="str">
            <v>37.01.07</v>
          </cell>
          <cell r="E1151" t="str">
            <v>Escavação para execução de dreno</v>
          </cell>
          <cell r="F1151" t="str">
            <v>m³</v>
          </cell>
        </row>
        <row r="1152">
          <cell r="B1152" t="str">
            <v>16.1.8</v>
          </cell>
          <cell r="D1152" t="str">
            <v>37.01.08</v>
          </cell>
          <cell r="E1152" t="str">
            <v>Aquis. Mat. Espal. Conf. Rolagem mat. Sil. Argil. (*)</v>
          </cell>
          <cell r="F1152" t="str">
            <v>m³</v>
          </cell>
        </row>
        <row r="1153">
          <cell r="B1153" t="str">
            <v>16.1.9</v>
          </cell>
          <cell r="D1153" t="str">
            <v>37.01.09</v>
          </cell>
          <cell r="E1153" t="str">
            <v>Transporte de 1ª/2ª categoria até 1 Km (*)</v>
          </cell>
          <cell r="F1153" t="str">
            <v>m³xkm</v>
          </cell>
        </row>
        <row r="1154">
          <cell r="B1154" t="str">
            <v>16.1.10</v>
          </cell>
          <cell r="D1154" t="str">
            <v>37.01.10</v>
          </cell>
          <cell r="E1154" t="str">
            <v>Transporte de 1ª/2ª categoria até 2 Km (*)</v>
          </cell>
          <cell r="F1154" t="str">
            <v>m³xkm</v>
          </cell>
        </row>
        <row r="1155">
          <cell r="B1155" t="str">
            <v>16.1.11</v>
          </cell>
          <cell r="D1155" t="str">
            <v>37.01.11</v>
          </cell>
          <cell r="E1155" t="str">
            <v>Espalhamento de material no bota fora inclusive mat. de limpeza</v>
          </cell>
          <cell r="F1155" t="str">
            <v>m³</v>
          </cell>
        </row>
        <row r="1156">
          <cell r="B1156" t="str">
            <v>16.1.12</v>
          </cell>
          <cell r="D1156" t="str">
            <v>37.01.12</v>
          </cell>
          <cell r="E1156" t="str">
            <v>Conc. asf. us. quente - Binder - DERSA</v>
          </cell>
          <cell r="F1156" t="str">
            <v>m³</v>
          </cell>
        </row>
        <row r="1157">
          <cell r="B1157" t="str">
            <v>16.1.13</v>
          </cell>
          <cell r="D1157" t="str">
            <v>37.01.13</v>
          </cell>
          <cell r="E1157" t="str">
            <v>Conc. asf. us. quente - capa asfáltica - DERSA</v>
          </cell>
          <cell r="F1157" t="str">
            <v>m³</v>
          </cell>
        </row>
        <row r="1158">
          <cell r="B1158" t="str">
            <v>16.1.14</v>
          </cell>
          <cell r="D1158" t="str">
            <v>37.01.14</v>
          </cell>
          <cell r="E1158" t="str">
            <v>Tubo de concreto Ø 0,80m classe CA-2 ( fornecimento e assentamento )</v>
          </cell>
          <cell r="F1158" t="str">
            <v>m</v>
          </cell>
        </row>
        <row r="1159">
          <cell r="B1159" t="str">
            <v>16.1.15</v>
          </cell>
          <cell r="D1159" t="str">
            <v>37.01.15</v>
          </cell>
          <cell r="E1159" t="str">
            <v>Tubo de concreto Ø 0,80m classe CA-3 ( fornecimento e assentamento )</v>
          </cell>
          <cell r="F1159" t="str">
            <v>m</v>
          </cell>
        </row>
        <row r="1160">
          <cell r="B1160" t="str">
            <v>16.1.16</v>
          </cell>
          <cell r="D1160" t="str">
            <v>37.01.16</v>
          </cell>
          <cell r="E1160" t="str">
            <v>Tubo de concreto Ø 1,00m classe CA-4 ( fornecimento e assentamento )</v>
          </cell>
          <cell r="F1160" t="str">
            <v>m</v>
          </cell>
        </row>
        <row r="1161">
          <cell r="B1161" t="str">
            <v>16.1.17</v>
          </cell>
          <cell r="D1161" t="str">
            <v>37.01.17</v>
          </cell>
          <cell r="E1161" t="str">
            <v>Tubo de concreto Ø 1,20m classe CA-2 ( fornecimento e assentamento )</v>
          </cell>
          <cell r="F1161" t="str">
            <v>m</v>
          </cell>
        </row>
        <row r="1162">
          <cell r="B1162" t="str">
            <v>16.1.18</v>
          </cell>
          <cell r="D1162" t="str">
            <v>37.01.18</v>
          </cell>
          <cell r="E1162" t="str">
            <v>Tubo de aço corr. Epoxy met. Destrutivo-MP100/ e= 2,0mm/84kg/m Ø = 1,30m</v>
          </cell>
          <cell r="F1162" t="str">
            <v>kg</v>
          </cell>
        </row>
        <row r="1163">
          <cell r="B1163" t="str">
            <v>16.1.19</v>
          </cell>
          <cell r="D1163" t="str">
            <v>37.01.19</v>
          </cell>
          <cell r="E1163" t="str">
            <v>Tubo de aço corr. Epoxy met. Destrutivo-MP100/ e= 3,4mm/136kg/m Ø = 1,30m</v>
          </cell>
          <cell r="F1163" t="str">
            <v>kg</v>
          </cell>
        </row>
        <row r="1164">
          <cell r="B1164" t="str">
            <v>16.1.20</v>
          </cell>
          <cell r="D1164" t="str">
            <v>37.01.20</v>
          </cell>
          <cell r="E1164" t="str">
            <v>Tubo de aço corr. Epoxy met. Destrutivo-MP100/ e= 2,0mm/125kg/m Ø = 1,50m</v>
          </cell>
          <cell r="F1164" t="str">
            <v>kg</v>
          </cell>
        </row>
        <row r="1165">
          <cell r="B1165" t="str">
            <v>16.1.21</v>
          </cell>
          <cell r="D1165" t="str">
            <v>37.01.21</v>
          </cell>
          <cell r="E1165" t="str">
            <v>Tubo de aço corr. Epoxy met. Destrutivo-MP152/ e= 2,7mm/162kg/m Ø = 1,50m</v>
          </cell>
          <cell r="F1165" t="str">
            <v>kg</v>
          </cell>
        </row>
        <row r="1166">
          <cell r="B1166" t="str">
            <v>16.1.22</v>
          </cell>
          <cell r="D1166" t="str">
            <v>37.01.22</v>
          </cell>
          <cell r="E1166" t="str">
            <v>Remoção de Tubo Ø = 0,30m</v>
          </cell>
          <cell r="F1166" t="str">
            <v>m</v>
          </cell>
        </row>
        <row r="1167">
          <cell r="B1167" t="str">
            <v>16.1.23</v>
          </cell>
          <cell r="D1167" t="str">
            <v>37.01.23</v>
          </cell>
          <cell r="E1167" t="str">
            <v>Remoção de Tubo Ø = 0,40m</v>
          </cell>
          <cell r="F1167" t="str">
            <v>m</v>
          </cell>
        </row>
        <row r="1168">
          <cell r="B1168" t="str">
            <v>16.1.24</v>
          </cell>
          <cell r="D1168" t="str">
            <v>37.01.24</v>
          </cell>
          <cell r="E1168" t="str">
            <v>Remoção de Tubo Ø = 0,60m</v>
          </cell>
          <cell r="F1168" t="str">
            <v>m</v>
          </cell>
        </row>
        <row r="1169">
          <cell r="B1169" t="str">
            <v>16.1.25</v>
          </cell>
          <cell r="D1169" t="str">
            <v>37.01.25</v>
          </cell>
          <cell r="E1169" t="str">
            <v>Tubo de concreto Ø 0,60m classe CA-3 ( fornecimento e assentamento )</v>
          </cell>
          <cell r="F1169" t="str">
            <v>m</v>
          </cell>
        </row>
        <row r="1170">
          <cell r="B1170" t="str">
            <v>16.1.26</v>
          </cell>
          <cell r="D1170" t="str">
            <v>37.01.26</v>
          </cell>
          <cell r="E1170" t="str">
            <v>Tubo de concreto Ø 0,40m classe CA-2 ( fornecimento e assentamento )</v>
          </cell>
          <cell r="F1170" t="str">
            <v>m</v>
          </cell>
        </row>
        <row r="1171">
          <cell r="B1171" t="str">
            <v>16.1.27</v>
          </cell>
          <cell r="D1171" t="str">
            <v>37.01.27</v>
          </cell>
          <cell r="E1171" t="str">
            <v>Tubo de concreto Ø 1,50m classe CA-2 ( fornecimento e assentamento )</v>
          </cell>
          <cell r="F1171" t="str">
            <v>m</v>
          </cell>
        </row>
        <row r="1172">
          <cell r="B1172" t="str">
            <v>16.1.28</v>
          </cell>
          <cell r="D1172" t="str">
            <v>37.01.28</v>
          </cell>
          <cell r="E1172" t="str">
            <v>Remoção de Tubo Ø = 0,80m</v>
          </cell>
          <cell r="F1172" t="str">
            <v>m</v>
          </cell>
        </row>
        <row r="1173">
          <cell r="B1173" t="str">
            <v>16.1.29</v>
          </cell>
          <cell r="D1173" t="str">
            <v>37.01.29</v>
          </cell>
          <cell r="E1173" t="str">
            <v>Passeio</v>
          </cell>
          <cell r="F1173" t="str">
            <v>m²</v>
          </cell>
        </row>
        <row r="1174">
          <cell r="B1174" t="str">
            <v>16.1.30</v>
          </cell>
          <cell r="D1174" t="str">
            <v>37.01.30</v>
          </cell>
          <cell r="E1174" t="str">
            <v>Aterro - Solo mole - material de 3ª Categoria</v>
          </cell>
          <cell r="F1174" t="str">
            <v>m³</v>
          </cell>
        </row>
        <row r="1175">
          <cell r="B1175" t="str">
            <v>16.1.31</v>
          </cell>
          <cell r="D1175" t="str">
            <v>37.01.31</v>
          </cell>
          <cell r="E1175" t="str">
            <v>Aterros - materila de 3ª Categoria</v>
          </cell>
          <cell r="F1175" t="str">
            <v>m³</v>
          </cell>
        </row>
        <row r="1176">
          <cell r="B1176" t="str">
            <v>16.1.32</v>
          </cell>
          <cell r="D1176" t="str">
            <v>37.01.32</v>
          </cell>
          <cell r="E1176" t="str">
            <v>Revestimento vegetal de taludes com hidrossemeadura</v>
          </cell>
          <cell r="F1176" t="str">
            <v>m²</v>
          </cell>
        </row>
        <row r="1177">
          <cell r="B1177" t="str">
            <v>16.1.33</v>
          </cell>
          <cell r="D1177" t="str">
            <v>37.01.33</v>
          </cell>
          <cell r="E1177" t="str">
            <v>Abertura de caixa para execução do acostamento</v>
          </cell>
          <cell r="F1177" t="str">
            <v>m³</v>
          </cell>
        </row>
        <row r="1178">
          <cell r="B1178" t="str">
            <v>16.1.34</v>
          </cell>
          <cell r="D1178" t="str">
            <v>37.01.34</v>
          </cell>
          <cell r="E1178" t="str">
            <v>Demolição pavi.flex, incl.transp.até 1km</v>
          </cell>
          <cell r="F1178" t="str">
            <v>m²</v>
          </cell>
        </row>
        <row r="1179">
          <cell r="B1179" t="str">
            <v>16.1.35</v>
          </cell>
          <cell r="D1179" t="str">
            <v>37.01.35</v>
          </cell>
          <cell r="E1179" t="str">
            <v>Concreto Fck 13,5 MPa</v>
          </cell>
          <cell r="F1179" t="str">
            <v>m³</v>
          </cell>
        </row>
        <row r="1180">
          <cell r="B1180" t="str">
            <v>16.1.36</v>
          </cell>
          <cell r="D1180" t="str">
            <v>37.01.36</v>
          </cell>
          <cell r="E1180" t="str">
            <v>Gabião tipo colchão espessura 30cm - tela galv.</v>
          </cell>
          <cell r="F1180" t="str">
            <v>m³</v>
          </cell>
        </row>
        <row r="1181">
          <cell r="B1181" t="str">
            <v>16.1.37</v>
          </cell>
          <cell r="D1181" t="str">
            <v>37.01.37</v>
          </cell>
          <cell r="E1181" t="str">
            <v>Barreira double face New Jersey - des 5514 (TIPO 3)</v>
          </cell>
          <cell r="F1181" t="str">
            <v>m</v>
          </cell>
        </row>
        <row r="1182">
          <cell r="B1182" t="str">
            <v>16.1.38</v>
          </cell>
          <cell r="D1182" t="str">
            <v>37.01.38</v>
          </cell>
          <cell r="E1182" t="str">
            <v>Manta geotêxtil não tecido ( Bidim RT-09 ou similar)</v>
          </cell>
          <cell r="F1182" t="str">
            <v>kg</v>
          </cell>
        </row>
        <row r="1183">
          <cell r="B1183" t="str">
            <v>16.1.39</v>
          </cell>
          <cell r="D1183" t="str">
            <v>37.01.39</v>
          </cell>
          <cell r="E1183" t="str">
            <v>Escavação de material em jazida</v>
          </cell>
          <cell r="F1183" t="str">
            <v>m³</v>
          </cell>
        </row>
        <row r="1184">
          <cell r="B1184" t="str">
            <v>16.1.40</v>
          </cell>
          <cell r="D1184" t="str">
            <v>37.01.40</v>
          </cell>
          <cell r="E1184" t="str">
            <v>Tubo ovóide S=2,25 m²</v>
          </cell>
          <cell r="F1184" t="str">
            <v>m</v>
          </cell>
        </row>
        <row r="1185">
          <cell r="B1185" t="str">
            <v>16.1.41</v>
          </cell>
          <cell r="D1185" t="str">
            <v>37.01.41</v>
          </cell>
          <cell r="E1185" t="str">
            <v>Tubo ovóide S=3,00</v>
          </cell>
          <cell r="F1185" t="str">
            <v>m</v>
          </cell>
        </row>
        <row r="1186">
          <cell r="B1186" t="str">
            <v>16.1.42</v>
          </cell>
          <cell r="D1186" t="str">
            <v>37.01.42</v>
          </cell>
          <cell r="E1186" t="str">
            <v>Tubo ovóide S=4,00</v>
          </cell>
          <cell r="F1186" t="str">
            <v>m</v>
          </cell>
        </row>
        <row r="1187">
          <cell r="B1187" t="str">
            <v>16.1.43</v>
          </cell>
          <cell r="D1187" t="str">
            <v>37.01.43</v>
          </cell>
          <cell r="E1187" t="str">
            <v>Demolição do Pavimento</v>
          </cell>
          <cell r="F1187" t="str">
            <v>m²</v>
          </cell>
        </row>
        <row r="1188">
          <cell r="B1188" t="str">
            <v>16.1.44</v>
          </cell>
          <cell r="D1188" t="str">
            <v>37.01.44</v>
          </cell>
          <cell r="E1188" t="str">
            <v>Restauração do Pavimento</v>
          </cell>
          <cell r="F1188" t="str">
            <v>m²</v>
          </cell>
        </row>
        <row r="1189">
          <cell r="B1189" t="str">
            <v>16.1.45</v>
          </cell>
          <cell r="D1189" t="str">
            <v>37.01.45</v>
          </cell>
          <cell r="E1189" t="str">
            <v xml:space="preserve">Articulação de concreto tipo "Freyssinet" </v>
          </cell>
          <cell r="F1189" t="str">
            <v>m</v>
          </cell>
        </row>
        <row r="1190">
          <cell r="B1190" t="str">
            <v>16.1.46</v>
          </cell>
          <cell r="D1190" t="str">
            <v>37.01.46</v>
          </cell>
          <cell r="E1190" t="str">
            <v>Junta de dilatação tipo Jeene</v>
          </cell>
          <cell r="F1190" t="str">
            <v>m</v>
          </cell>
        </row>
        <row r="1191">
          <cell r="B1191" t="str">
            <v>16.1.47</v>
          </cell>
          <cell r="D1191" t="str">
            <v>37.01.47</v>
          </cell>
          <cell r="E1191" t="str">
            <v>Tirantes 280 kN</v>
          </cell>
          <cell r="F1191" t="str">
            <v>m</v>
          </cell>
        </row>
        <row r="1192">
          <cell r="B1192" t="str">
            <v>16.1.48</v>
          </cell>
          <cell r="D1192" t="str">
            <v>37.01.48</v>
          </cell>
          <cell r="E1192" t="str">
            <v>Tirantes 140 kN</v>
          </cell>
          <cell r="F1192" t="str">
            <v>m</v>
          </cell>
        </row>
        <row r="1193">
          <cell r="B1193" t="str">
            <v>16.1.49</v>
          </cell>
          <cell r="D1193" t="str">
            <v>37.01.49</v>
          </cell>
          <cell r="E1193" t="str">
            <v>Ap. Ancoragem p/ Cabos Proten. Ativa</v>
          </cell>
          <cell r="F1193" t="str">
            <v>un</v>
          </cell>
        </row>
        <row r="1194">
          <cell r="B1194" t="str">
            <v>16.1.50</v>
          </cell>
          <cell r="D1194" t="str">
            <v>37.01.50</v>
          </cell>
          <cell r="E1194" t="str">
            <v>Barbacãs</v>
          </cell>
          <cell r="F1194" t="str">
            <v>un</v>
          </cell>
        </row>
        <row r="1195">
          <cell r="B1195" t="str">
            <v>16.1.51</v>
          </cell>
          <cell r="D1195" t="str">
            <v>37.01.51</v>
          </cell>
          <cell r="E1195" t="str">
            <v>Tubo de concreto Ø 0,50m classe CA-2 ( fornecimento e assentamento )</v>
          </cell>
          <cell r="F1195" t="str">
            <v>m</v>
          </cell>
        </row>
        <row r="1196">
          <cell r="B1196" t="str">
            <v>16.1.52</v>
          </cell>
          <cell r="D1196" t="str">
            <v>37.01.52</v>
          </cell>
          <cell r="E1196" t="str">
            <v>Barreira de segurança tipo New Jersey - des 5396 (TIPO 1A)</v>
          </cell>
          <cell r="F1196" t="str">
            <v>m</v>
          </cell>
        </row>
        <row r="1197">
          <cell r="B1197" t="str">
            <v>16.1.53</v>
          </cell>
          <cell r="D1197" t="str">
            <v>37.01.53</v>
          </cell>
          <cell r="E1197" t="str">
            <v>Tubo MP 100 Ø 2,10m e= 2,0mm - ( Forncimento e assentamento )</v>
          </cell>
          <cell r="F1197" t="str">
            <v>m</v>
          </cell>
        </row>
        <row r="1198">
          <cell r="B1198" t="str">
            <v>16.1.54</v>
          </cell>
          <cell r="D1198" t="str">
            <v>37.01.54</v>
          </cell>
          <cell r="E1198" t="str">
            <v>Tubo MP 100 Ø 2,20m e= 2,7mm - ( Forncimento e assentamento )</v>
          </cell>
          <cell r="F1198" t="str">
            <v>m</v>
          </cell>
        </row>
        <row r="1199">
          <cell r="B1199" t="str">
            <v>16.1.55</v>
          </cell>
          <cell r="D1199" t="str">
            <v>37.01.55</v>
          </cell>
          <cell r="E1199" t="str">
            <v>Tubo MP 152 Ø 4,60m e= 2,7mm - ( Forncimento e assentamento )</v>
          </cell>
          <cell r="F1199" t="str">
            <v>m</v>
          </cell>
        </row>
        <row r="1200">
          <cell r="B1200" t="str">
            <v>16.1.56</v>
          </cell>
          <cell r="D1200" t="str">
            <v>37.01.56</v>
          </cell>
          <cell r="E1200" t="str">
            <v>Remoção de Tubo metálico Ø = 1,50m</v>
          </cell>
          <cell r="F1200" t="str">
            <v>m</v>
          </cell>
        </row>
        <row r="1201">
          <cell r="B1201" t="str">
            <v>16.1.57</v>
          </cell>
          <cell r="D1201" t="str">
            <v>37.01.57</v>
          </cell>
          <cell r="E1201" t="str">
            <v>Tubo Metálico Ø =2,30m</v>
          </cell>
          <cell r="F1201" t="str">
            <v>m</v>
          </cell>
        </row>
        <row r="1202">
          <cell r="B1202" t="str">
            <v>16.1.58</v>
          </cell>
          <cell r="D1202" t="str">
            <v>37.01.58</v>
          </cell>
          <cell r="E1202" t="str">
            <v>Tubo de concreto Ø 1,00m classe CA-3 ( fornecimento e assentamento )</v>
          </cell>
          <cell r="F1202" t="str">
            <v>m</v>
          </cell>
        </row>
        <row r="1203">
          <cell r="B1203" t="str">
            <v>16.1.59</v>
          </cell>
          <cell r="D1203" t="str">
            <v>37.01.59</v>
          </cell>
          <cell r="E1203" t="str">
            <v>Tubo de concreto Ø 0,50m classe CA-4 ( fornecimento e assentamento )</v>
          </cell>
          <cell r="F1203" t="str">
            <v>m</v>
          </cell>
        </row>
        <row r="1204">
          <cell r="B1204" t="str">
            <v>16.1.60</v>
          </cell>
          <cell r="D1204" t="str">
            <v>37.01.60</v>
          </cell>
          <cell r="E1204" t="str">
            <v>Tubo de concreto Ø 1,50m classe CA-3 ( fornecimento e assentamento )</v>
          </cell>
          <cell r="F1204" t="str">
            <v>m</v>
          </cell>
        </row>
        <row r="1205">
          <cell r="B1205" t="str">
            <v>16.1.61</v>
          </cell>
          <cell r="D1205" t="str">
            <v>37.01.61</v>
          </cell>
          <cell r="E1205" t="str">
            <v>Restauração do Pavimento</v>
          </cell>
          <cell r="F1205" t="str">
            <v>m³</v>
          </cell>
        </row>
        <row r="1206">
          <cell r="B1206" t="str">
            <v>16.1.62</v>
          </cell>
          <cell r="D1206" t="str">
            <v>37.01.62</v>
          </cell>
          <cell r="E1206" t="str">
            <v>Aterro solo mole - material de 3ª categoria</v>
          </cell>
          <cell r="F1206" t="str">
            <v>m³</v>
          </cell>
        </row>
        <row r="1207">
          <cell r="B1207" t="str">
            <v>16.1.63</v>
          </cell>
          <cell r="D1207" t="str">
            <v>37.01.63</v>
          </cell>
          <cell r="E1207" t="str">
            <v>Aterros - material de 3ª categoria</v>
          </cell>
          <cell r="F1207" t="str">
            <v>m³</v>
          </cell>
        </row>
        <row r="1208">
          <cell r="B1208" t="str">
            <v>16.1.64</v>
          </cell>
          <cell r="D1208" t="str">
            <v>37.01.64</v>
          </cell>
          <cell r="E1208" t="str">
            <v>Sub-base ou base solo brita c/ cimento</v>
          </cell>
          <cell r="F1208" t="str">
            <v>m³</v>
          </cell>
        </row>
        <row r="1209">
          <cell r="B1209" t="str">
            <v>16.1.65</v>
          </cell>
          <cell r="D1209" t="str">
            <v>37.01.65</v>
          </cell>
          <cell r="E1209" t="str">
            <v>Apiloamento / Nivelamento</v>
          </cell>
          <cell r="F1209" t="str">
            <v>m²</v>
          </cell>
        </row>
        <row r="1210">
          <cell r="B1210" t="str">
            <v>16.1.66</v>
          </cell>
          <cell r="D1210" t="str">
            <v>37.01.66</v>
          </cell>
          <cell r="E1210" t="str">
            <v>Tela metálica</v>
          </cell>
          <cell r="F1210" t="str">
            <v>m²</v>
          </cell>
        </row>
        <row r="1211">
          <cell r="B1211" t="str">
            <v>16.1.67</v>
          </cell>
          <cell r="D1211" t="str">
            <v>37.01.67</v>
          </cell>
        </row>
        <row r="1212">
          <cell r="B1212" t="str">
            <v>16.1.68</v>
          </cell>
          <cell r="D1212" t="str">
            <v>37.01.68</v>
          </cell>
          <cell r="E1212" t="str">
            <v>Perfuração  p/ DHP em solo</v>
          </cell>
          <cell r="F1212" t="str">
            <v>m</v>
          </cell>
        </row>
        <row r="1213">
          <cell r="B1213" t="str">
            <v>16.1.69</v>
          </cell>
          <cell r="D1213" t="str">
            <v>37.01.69</v>
          </cell>
          <cell r="E1213" t="str">
            <v>Perfuração  p/ tirante em solo</v>
          </cell>
          <cell r="F1213" t="str">
            <v>m</v>
          </cell>
        </row>
        <row r="1214">
          <cell r="B1214" t="str">
            <v>16.1.70</v>
          </cell>
          <cell r="D1214" t="str">
            <v>37.01.70</v>
          </cell>
          <cell r="E1214" t="str">
            <v>Túnnel Liner Ø 2,00 e=3,4mm epoxy</v>
          </cell>
          <cell r="F1214" t="str">
            <v>m</v>
          </cell>
        </row>
        <row r="1215">
          <cell r="B1215" t="str">
            <v>16.1.71</v>
          </cell>
          <cell r="D1215" t="str">
            <v>37.01.71</v>
          </cell>
          <cell r="E1215" t="str">
            <v>Implantação de Túnnel Liner Ø = 2,00m e=3,4mm ( em solo )</v>
          </cell>
          <cell r="F1215" t="str">
            <v>m</v>
          </cell>
        </row>
        <row r="1216">
          <cell r="B1216" t="str">
            <v>16.1.72</v>
          </cell>
          <cell r="D1216" t="str">
            <v>37.01.72</v>
          </cell>
          <cell r="E1216" t="str">
            <v>Implantação de Túnnel Liner Ø = 2,00m e=3,4mm ( em talus )</v>
          </cell>
          <cell r="F1216" t="str">
            <v>m</v>
          </cell>
        </row>
        <row r="1217">
          <cell r="B1217" t="str">
            <v>16.1.73</v>
          </cell>
          <cell r="D1217" t="str">
            <v>37.01.73</v>
          </cell>
          <cell r="E1217" t="str">
            <v>Implantação de fuste metálico Ø = 2,00m e=3,4mm ( em talus )</v>
          </cell>
          <cell r="F1217" t="str">
            <v>m</v>
          </cell>
        </row>
        <row r="1218">
          <cell r="B1218" t="str">
            <v>16.1.74</v>
          </cell>
          <cell r="D1218" t="str">
            <v>37.01.74</v>
          </cell>
          <cell r="E1218" t="str">
            <v>Levantamento Topográfico</v>
          </cell>
          <cell r="F1218" t="str">
            <v>m²</v>
          </cell>
        </row>
        <row r="1219">
          <cell r="B1219" t="str">
            <v>16.1.75</v>
          </cell>
          <cell r="D1219" t="str">
            <v>37.01.75</v>
          </cell>
          <cell r="E1219" t="str">
            <v>Remoção de Tubo metálico Ø = 1,50m</v>
          </cell>
        </row>
        <row r="1220">
          <cell r="B1220" t="str">
            <v>16.1.76</v>
          </cell>
          <cell r="D1220" t="str">
            <v>37.01.76</v>
          </cell>
          <cell r="E1220" t="str">
            <v>Injeção de calda de cimento p/ consolidação do Talude</v>
          </cell>
          <cell r="F1220" t="str">
            <v>kg</v>
          </cell>
        </row>
        <row r="1221">
          <cell r="B1221" t="str">
            <v>16.1.77</v>
          </cell>
          <cell r="D1221" t="str">
            <v>37.01.77</v>
          </cell>
          <cell r="E1221" t="str">
            <v xml:space="preserve">Perfuração  p/ DHP  em talus </v>
          </cell>
          <cell r="F1221" t="str">
            <v>m</v>
          </cell>
        </row>
        <row r="1222">
          <cell r="B1222" t="str">
            <v>16.1.78</v>
          </cell>
          <cell r="D1222" t="str">
            <v>37.01.78</v>
          </cell>
          <cell r="E1222" t="str">
            <v xml:space="preserve">Perfuração  p/ tirante em rocha sã </v>
          </cell>
          <cell r="F1222" t="str">
            <v>m</v>
          </cell>
        </row>
        <row r="1223">
          <cell r="B1223" t="str">
            <v>16.1.79</v>
          </cell>
          <cell r="D1223" t="str">
            <v>37.01.79</v>
          </cell>
          <cell r="E1223" t="str">
            <v>Perfuração  p/ tirante em talus</v>
          </cell>
          <cell r="F1223" t="str">
            <v>m</v>
          </cell>
        </row>
        <row r="1224">
          <cell r="B1224" t="str">
            <v>16.1.80</v>
          </cell>
          <cell r="D1224" t="str">
            <v>37.01.80</v>
          </cell>
          <cell r="E1224" t="str">
            <v>Apar. anc. p/ Tirantes 40 TF</v>
          </cell>
          <cell r="F1224" t="str">
            <v>un</v>
          </cell>
        </row>
        <row r="1225">
          <cell r="B1225" t="str">
            <v>16.1.81</v>
          </cell>
          <cell r="D1225" t="str">
            <v>37.01.81</v>
          </cell>
          <cell r="E1225" t="str">
            <v>Tiran. 60 TF 8F D= 1/2"</v>
          </cell>
          <cell r="F1225" t="str">
            <v>m</v>
          </cell>
        </row>
        <row r="1226">
          <cell r="B1226" t="str">
            <v>16.1.82</v>
          </cell>
          <cell r="D1226" t="str">
            <v>37.01.82</v>
          </cell>
          <cell r="E1226" t="str">
            <v>Dispositivo eletronico para canalização de Tráfego</v>
          </cell>
          <cell r="F1226" t="str">
            <v>un</v>
          </cell>
        </row>
        <row r="1227">
          <cell r="B1227" t="str">
            <v>16.1.83</v>
          </cell>
          <cell r="D1227" t="str">
            <v>37.01.83</v>
          </cell>
          <cell r="E1227" t="str">
            <v>Junta Fungenband tipo "O-22"</v>
          </cell>
          <cell r="F1227" t="str">
            <v>m</v>
          </cell>
        </row>
        <row r="1247">
          <cell r="B1247" t="str">
            <v>Cód. Colinas</v>
          </cell>
          <cell r="D1247" t="str">
            <v>Código</v>
          </cell>
          <cell r="E1247" t="str">
            <v>Serviços</v>
          </cell>
          <cell r="F1247" t="str">
            <v>Unid.</v>
          </cell>
        </row>
        <row r="1250">
          <cell r="D1250" t="str">
            <v>FASE 72 - ALUGUEL DE MAQUINAS, VEICULOS E EQUIPAMENTOS</v>
          </cell>
        </row>
        <row r="1251">
          <cell r="B1251" t="str">
            <v>15.1.1</v>
          </cell>
          <cell r="D1251" t="str">
            <v>72.01.01.01</v>
          </cell>
          <cell r="E1251" t="str">
            <v>AC.CONC.SUP.B436 C-A</v>
          </cell>
          <cell r="F1251" t="str">
            <v>h</v>
          </cell>
        </row>
        <row r="1252">
          <cell r="B1252" t="str">
            <v>15.1.2</v>
          </cell>
          <cell r="D1252" t="str">
            <v>72.01.01.02</v>
          </cell>
          <cell r="E1252" t="str">
            <v xml:space="preserve">AC.CONC.SUP.B436 C-B </v>
          </cell>
          <cell r="F1252" t="str">
            <v>h</v>
          </cell>
        </row>
        <row r="1253">
          <cell r="B1253" t="str">
            <v>15.1.3</v>
          </cell>
          <cell r="D1253" t="str">
            <v>72.01.01.03</v>
          </cell>
          <cell r="E1253" t="str">
            <v>AC.CONC.SUP.B436 C-C</v>
          </cell>
          <cell r="F1253" t="str">
            <v>h</v>
          </cell>
        </row>
        <row r="1254">
          <cell r="B1254" t="str">
            <v>15.1.4</v>
          </cell>
          <cell r="D1254" t="str">
            <v>72.01.01.04</v>
          </cell>
          <cell r="E1254" t="str">
            <v>AC.CONC.SUP.B436 C-D</v>
          </cell>
          <cell r="F1254" t="str">
            <v>h</v>
          </cell>
        </row>
        <row r="1255">
          <cell r="B1255" t="str">
            <v>15.1.5</v>
          </cell>
          <cell r="D1255" t="str">
            <v>72.01.02.01</v>
          </cell>
          <cell r="E1255" t="str">
            <v>AC.CONC.SUP.BG38 C-A</v>
          </cell>
          <cell r="F1255" t="str">
            <v>h</v>
          </cell>
        </row>
        <row r="1256">
          <cell r="B1256" t="str">
            <v>15.1.6</v>
          </cell>
          <cell r="D1256" t="str">
            <v>72.01.02.02</v>
          </cell>
          <cell r="E1256" t="str">
            <v>AC.CONC.SUP.BG38 C-B</v>
          </cell>
          <cell r="F1256" t="str">
            <v>h</v>
          </cell>
        </row>
        <row r="1257">
          <cell r="B1257" t="str">
            <v>15.1.7</v>
          </cell>
          <cell r="D1257" t="str">
            <v>72.01.02.03</v>
          </cell>
          <cell r="E1257" t="str">
            <v>AC.CONC.SUP.BG38 C-C</v>
          </cell>
          <cell r="F1257" t="str">
            <v>h</v>
          </cell>
        </row>
        <row r="1258">
          <cell r="B1258" t="str">
            <v>15.1.8</v>
          </cell>
          <cell r="D1258" t="str">
            <v>72.01.02.04</v>
          </cell>
          <cell r="E1258" t="str">
            <v>AC.CONC.SUP.BG38 C-D</v>
          </cell>
          <cell r="F1258" t="str">
            <v>h</v>
          </cell>
        </row>
        <row r="1259">
          <cell r="B1259" t="str">
            <v>15.1.9</v>
          </cell>
          <cell r="D1259" t="str">
            <v>72.02.01.01</v>
          </cell>
          <cell r="E1259" t="str">
            <v>VEIC.PEQ.1600CC C-A</v>
          </cell>
          <cell r="F1259" t="str">
            <v>h</v>
          </cell>
        </row>
        <row r="1260">
          <cell r="B1260" t="str">
            <v>15.1.10</v>
          </cell>
          <cell r="D1260" t="str">
            <v>72.02.01.02</v>
          </cell>
          <cell r="E1260" t="str">
            <v>VEIC.PEQ.1600CC C-B</v>
          </cell>
          <cell r="F1260" t="str">
            <v>h</v>
          </cell>
        </row>
        <row r="1261">
          <cell r="B1261" t="str">
            <v>15.1.11</v>
          </cell>
          <cell r="D1261" t="str">
            <v>72.02.01.03</v>
          </cell>
          <cell r="E1261" t="str">
            <v>VEIC.PEQ.1600CC C-C</v>
          </cell>
          <cell r="F1261" t="str">
            <v>h</v>
          </cell>
        </row>
        <row r="1262">
          <cell r="B1262" t="str">
            <v>15.1.12</v>
          </cell>
          <cell r="D1262" t="str">
            <v>72.02.01.04</v>
          </cell>
          <cell r="E1262" t="str">
            <v>VEIC.PEQ.1600CC C-D</v>
          </cell>
          <cell r="F1262" t="str">
            <v>h</v>
          </cell>
        </row>
        <row r="1263">
          <cell r="B1263" t="str">
            <v>15.1.13</v>
          </cell>
          <cell r="D1263" t="str">
            <v>72.02.01.05</v>
          </cell>
          <cell r="E1263" t="str">
            <v xml:space="preserve">VEIC.PEQ.1600CC C-E </v>
          </cell>
          <cell r="F1263" t="str">
            <v>km</v>
          </cell>
        </row>
        <row r="1264">
          <cell r="B1264" t="str">
            <v>15.1.14</v>
          </cell>
          <cell r="D1264" t="str">
            <v>72.02.01.06</v>
          </cell>
          <cell r="E1264" t="str">
            <v>VEIC.PEQ.1600CC C-F</v>
          </cell>
          <cell r="F1264" t="str">
            <v>vei.mens.</v>
          </cell>
        </row>
        <row r="1265">
          <cell r="B1265" t="str">
            <v>15.1.15</v>
          </cell>
          <cell r="D1265" t="str">
            <v>72.02.02.01</v>
          </cell>
          <cell r="E1265" t="str">
            <v>VEIC.PEQ.1000CC C-A</v>
          </cell>
          <cell r="F1265" t="str">
            <v>h</v>
          </cell>
        </row>
        <row r="1266">
          <cell r="B1266" t="str">
            <v>15.1.16</v>
          </cell>
          <cell r="D1266" t="str">
            <v>72.02.02.02</v>
          </cell>
          <cell r="E1266" t="str">
            <v>VEIC.PEQ.1000CC C-B</v>
          </cell>
          <cell r="F1266" t="str">
            <v>h</v>
          </cell>
        </row>
        <row r="1267">
          <cell r="B1267" t="str">
            <v>15.1.17</v>
          </cell>
          <cell r="D1267" t="str">
            <v>72.02.02.03</v>
          </cell>
          <cell r="E1267" t="str">
            <v>VEIC.PEQ.1000CC C-C</v>
          </cell>
          <cell r="F1267" t="str">
            <v>h</v>
          </cell>
        </row>
        <row r="1268">
          <cell r="B1268" t="str">
            <v>15.1.18</v>
          </cell>
          <cell r="D1268" t="str">
            <v>72.02.02.04</v>
          </cell>
          <cell r="E1268" t="str">
            <v>VEIC.PEQ.1000CC C-D</v>
          </cell>
          <cell r="F1268" t="str">
            <v>h</v>
          </cell>
        </row>
        <row r="1269">
          <cell r="B1269" t="str">
            <v>15.1.19</v>
          </cell>
          <cell r="D1269" t="str">
            <v>72.02.02.05</v>
          </cell>
          <cell r="E1269" t="str">
            <v>VEIC.PEQ.1000CC C-E</v>
          </cell>
          <cell r="F1269" t="str">
            <v>km</v>
          </cell>
        </row>
        <row r="1270">
          <cell r="B1270" t="str">
            <v>15.1.20</v>
          </cell>
          <cell r="D1270" t="str">
            <v>72.02.02.06</v>
          </cell>
          <cell r="E1270" t="str">
            <v xml:space="preserve">VEIC.PEQ.1000CC C-F </v>
          </cell>
          <cell r="F1270" t="str">
            <v>vei.mens.</v>
          </cell>
        </row>
        <row r="1271">
          <cell r="B1271" t="str">
            <v>15.1.21</v>
          </cell>
          <cell r="D1271" t="str">
            <v>72.02.03.01</v>
          </cell>
          <cell r="E1271" t="str">
            <v>VEIC.UTIL. 09 PS C-A</v>
          </cell>
          <cell r="F1271" t="str">
            <v>h</v>
          </cell>
        </row>
        <row r="1272">
          <cell r="B1272" t="str">
            <v>15.1.22</v>
          </cell>
          <cell r="D1272" t="str">
            <v xml:space="preserve">72.02.03.02 </v>
          </cell>
          <cell r="E1272" t="str">
            <v xml:space="preserve">VEIC.UTIL. 09 PS C-B </v>
          </cell>
          <cell r="F1272" t="str">
            <v>h</v>
          </cell>
        </row>
        <row r="1273">
          <cell r="B1273" t="str">
            <v>15.1.23</v>
          </cell>
          <cell r="D1273" t="str">
            <v>72.02.03.03</v>
          </cell>
          <cell r="E1273" t="str">
            <v>VEIC.UTIL. 09 PS C-C</v>
          </cell>
          <cell r="F1273" t="str">
            <v>h</v>
          </cell>
        </row>
        <row r="1274">
          <cell r="B1274" t="str">
            <v>15.1.24</v>
          </cell>
          <cell r="D1274" t="str">
            <v>72.02.03.04</v>
          </cell>
          <cell r="E1274" t="str">
            <v xml:space="preserve">VEIC.UTIL. 09 PS C-D </v>
          </cell>
          <cell r="F1274" t="str">
            <v>h</v>
          </cell>
        </row>
        <row r="1275">
          <cell r="B1275" t="str">
            <v>15.1.25</v>
          </cell>
          <cell r="D1275" t="str">
            <v>72.02.03.05</v>
          </cell>
          <cell r="E1275" t="str">
            <v>VEIC.UTIL. 09 PS C-E</v>
          </cell>
          <cell r="F1275" t="str">
            <v>km</v>
          </cell>
        </row>
        <row r="1276">
          <cell r="B1276" t="str">
            <v>15.1.26</v>
          </cell>
          <cell r="D1276" t="str">
            <v>72.02.03.06</v>
          </cell>
          <cell r="E1276" t="str">
            <v xml:space="preserve">VEIC.UTIL. 09 PS C-F </v>
          </cell>
          <cell r="F1276" t="str">
            <v>vei.mens.</v>
          </cell>
        </row>
        <row r="1277">
          <cell r="B1277" t="str">
            <v>15.1.27</v>
          </cell>
          <cell r="D1277" t="str">
            <v>72.02.04.01</v>
          </cell>
          <cell r="E1277" t="str">
            <v>VEIC.UT.PICK-UP C-A</v>
          </cell>
          <cell r="F1277" t="str">
            <v>h</v>
          </cell>
        </row>
        <row r="1278">
          <cell r="B1278" t="str">
            <v>15.1.28</v>
          </cell>
          <cell r="D1278" t="str">
            <v>72.02.04.02</v>
          </cell>
          <cell r="E1278" t="str">
            <v>VEIC.UT.PICK-UP C-B</v>
          </cell>
          <cell r="F1278" t="str">
            <v>h</v>
          </cell>
        </row>
        <row r="1279">
          <cell r="B1279" t="str">
            <v>15.1.29</v>
          </cell>
          <cell r="D1279" t="str">
            <v>72.02.04.03</v>
          </cell>
          <cell r="E1279" t="str">
            <v xml:space="preserve">VEIC.UT.PICK-UP C-C </v>
          </cell>
          <cell r="F1279" t="str">
            <v>h</v>
          </cell>
        </row>
        <row r="1280">
          <cell r="B1280" t="str">
            <v>15.1.30</v>
          </cell>
          <cell r="D1280" t="str">
            <v>72.02.04.04</v>
          </cell>
          <cell r="E1280" t="str">
            <v>VEIC.UT.PICK-UP C-D</v>
          </cell>
          <cell r="F1280" t="str">
            <v>h</v>
          </cell>
        </row>
        <row r="1281">
          <cell r="B1281" t="str">
            <v>15.1.31</v>
          </cell>
          <cell r="D1281" t="str">
            <v>72.02.04.05</v>
          </cell>
          <cell r="E1281" t="str">
            <v>VEIC.UT.PICK-UP C-E</v>
          </cell>
          <cell r="F1281" t="str">
            <v>km</v>
          </cell>
        </row>
        <row r="1282">
          <cell r="B1282" t="str">
            <v>15.1.32</v>
          </cell>
          <cell r="D1282" t="str">
            <v>72.02.04.06</v>
          </cell>
          <cell r="E1282" t="str">
            <v xml:space="preserve">VEIC.UT.PICK-UP C-F </v>
          </cell>
          <cell r="F1282" t="str">
            <v>vei.mens.</v>
          </cell>
        </row>
        <row r="1283">
          <cell r="B1283" t="str">
            <v>15.1.33</v>
          </cell>
          <cell r="D1283" t="str">
            <v>72.02.05.01</v>
          </cell>
          <cell r="E1283" t="str">
            <v xml:space="preserve">VEIC.PREMARCAÇÃO C-A </v>
          </cell>
          <cell r="F1283" t="str">
            <v>h</v>
          </cell>
        </row>
        <row r="1284">
          <cell r="B1284" t="str">
            <v>15.1.34</v>
          </cell>
          <cell r="D1284" t="str">
            <v>72.02.05.02</v>
          </cell>
          <cell r="E1284" t="str">
            <v>VEIC.PREMARCAÇÃO C-B</v>
          </cell>
          <cell r="F1284" t="str">
            <v>h</v>
          </cell>
        </row>
        <row r="1285">
          <cell r="B1285" t="str">
            <v>15.1.35</v>
          </cell>
          <cell r="D1285" t="str">
            <v>72.02.05.03</v>
          </cell>
          <cell r="E1285" t="str">
            <v xml:space="preserve">VEIC.PREMARCAÇÃO C-C </v>
          </cell>
          <cell r="F1285" t="str">
            <v>h</v>
          </cell>
        </row>
        <row r="1286">
          <cell r="B1286" t="str">
            <v>15.1.36</v>
          </cell>
          <cell r="D1286" t="str">
            <v>72.02.05.04</v>
          </cell>
          <cell r="E1286" t="str">
            <v xml:space="preserve">VEIC.PREMARCAÇÃO C-D </v>
          </cell>
          <cell r="F1286" t="str">
            <v>h</v>
          </cell>
        </row>
        <row r="1287">
          <cell r="B1287" t="str">
            <v>15.1.37</v>
          </cell>
          <cell r="D1287" t="str">
            <v>72.02.06.01</v>
          </cell>
          <cell r="E1287" t="str">
            <v>ONIBUS C-A</v>
          </cell>
          <cell r="F1287" t="str">
            <v>h</v>
          </cell>
        </row>
        <row r="1288">
          <cell r="B1288" t="str">
            <v>15.1.38</v>
          </cell>
          <cell r="D1288" t="str">
            <v>72.02.06.02</v>
          </cell>
          <cell r="E1288" t="str">
            <v xml:space="preserve">ONIBUS C-B </v>
          </cell>
          <cell r="F1288" t="str">
            <v>h</v>
          </cell>
        </row>
        <row r="1289">
          <cell r="B1289" t="str">
            <v>15.1.39</v>
          </cell>
          <cell r="D1289" t="str">
            <v>72.02.06.03</v>
          </cell>
          <cell r="E1289" t="str">
            <v>ONIBUS C-C</v>
          </cell>
          <cell r="F1289" t="str">
            <v>h</v>
          </cell>
        </row>
        <row r="1290">
          <cell r="B1290" t="str">
            <v>15.1.40</v>
          </cell>
          <cell r="D1290" t="str">
            <v>72.02.06.04</v>
          </cell>
          <cell r="E1290" t="str">
            <v>ONIBUS C-D</v>
          </cell>
          <cell r="F1290" t="str">
            <v>h</v>
          </cell>
        </row>
        <row r="1291">
          <cell r="B1291" t="str">
            <v>15.1.41</v>
          </cell>
          <cell r="D1291" t="str">
            <v>72.02.06.05</v>
          </cell>
          <cell r="E1291" t="str">
            <v>ONIBUS C-E</v>
          </cell>
          <cell r="F1291" t="str">
            <v>km</v>
          </cell>
        </row>
        <row r="1292">
          <cell r="B1292" t="str">
            <v>15.1.42</v>
          </cell>
          <cell r="D1292" t="str">
            <v>72.02.07.01</v>
          </cell>
          <cell r="E1292" t="str">
            <v>MICRO ONIBUS C-A</v>
          </cell>
          <cell r="F1292" t="str">
            <v>h</v>
          </cell>
        </row>
        <row r="1293">
          <cell r="B1293" t="str">
            <v>15.1.43</v>
          </cell>
          <cell r="D1293" t="str">
            <v>72.02.07.02</v>
          </cell>
          <cell r="E1293" t="str">
            <v>MICRO ONIBUS C-B</v>
          </cell>
          <cell r="F1293" t="str">
            <v>h</v>
          </cell>
        </row>
        <row r="1294">
          <cell r="B1294" t="str">
            <v>15.1.44</v>
          </cell>
          <cell r="D1294" t="str">
            <v>72.02.07.03</v>
          </cell>
          <cell r="E1294" t="str">
            <v>MICRO ONIBUS C-C</v>
          </cell>
          <cell r="F1294" t="str">
            <v>h</v>
          </cell>
        </row>
        <row r="1295">
          <cell r="B1295" t="str">
            <v>15.1.45</v>
          </cell>
          <cell r="D1295" t="str">
            <v>72.02.07.04</v>
          </cell>
          <cell r="E1295" t="str">
            <v>MICRO ONIBUS C-D</v>
          </cell>
          <cell r="F1295" t="str">
            <v>h</v>
          </cell>
        </row>
        <row r="1296">
          <cell r="B1296" t="str">
            <v>15.1.46</v>
          </cell>
          <cell r="D1296" t="str">
            <v>72.02.07.05</v>
          </cell>
          <cell r="E1296" t="str">
            <v>MICRO ONIBUS C-E</v>
          </cell>
          <cell r="F1296" t="str">
            <v>km</v>
          </cell>
        </row>
        <row r="1297">
          <cell r="B1297" t="str">
            <v>15.1.47</v>
          </cell>
          <cell r="D1297" t="str">
            <v>72.03.01.01</v>
          </cell>
          <cell r="E1297" t="str">
            <v>BATE EST.40/80T C-A</v>
          </cell>
          <cell r="F1297" t="str">
            <v>h</v>
          </cell>
        </row>
        <row r="1298">
          <cell r="B1298" t="str">
            <v>15.1.48</v>
          </cell>
          <cell r="D1298" t="str">
            <v>72.03.01.02</v>
          </cell>
          <cell r="E1298" t="str">
            <v>BATE EST.40/80T C-B</v>
          </cell>
          <cell r="F1298" t="str">
            <v>h</v>
          </cell>
        </row>
        <row r="1299">
          <cell r="B1299" t="str">
            <v>15.1.49</v>
          </cell>
          <cell r="D1299" t="str">
            <v>72.03.01.03</v>
          </cell>
          <cell r="E1299" t="str">
            <v>BATE EST.40/80T C-C</v>
          </cell>
          <cell r="F1299" t="str">
            <v>h</v>
          </cell>
        </row>
        <row r="1300">
          <cell r="B1300" t="str">
            <v>15.1.50</v>
          </cell>
          <cell r="D1300" t="str">
            <v>72.03.01.04</v>
          </cell>
          <cell r="E1300" t="str">
            <v>BATE EST.40/80T C-D</v>
          </cell>
          <cell r="F1300" t="str">
            <v>h</v>
          </cell>
        </row>
        <row r="1301">
          <cell r="B1301" t="str">
            <v>15.1.51</v>
          </cell>
          <cell r="D1301" t="str">
            <v>72.03.02.01</v>
          </cell>
          <cell r="E1301" t="str">
            <v>BATE EST.ATE 40T C-A</v>
          </cell>
          <cell r="F1301" t="str">
            <v>h</v>
          </cell>
        </row>
        <row r="1302">
          <cell r="B1302" t="str">
            <v>15.1.52</v>
          </cell>
          <cell r="D1302" t="str">
            <v>72.03.02.02</v>
          </cell>
          <cell r="E1302" t="str">
            <v>BATE EST.ATE 40T C-B</v>
          </cell>
          <cell r="F1302" t="str">
            <v>h</v>
          </cell>
        </row>
        <row r="1303">
          <cell r="B1303" t="str">
            <v>15.1.53</v>
          </cell>
          <cell r="D1303" t="str">
            <v>72.03.02.03</v>
          </cell>
          <cell r="E1303" t="str">
            <v>BATE EST.ATE 40T C-C</v>
          </cell>
          <cell r="F1303" t="str">
            <v>h</v>
          </cell>
        </row>
        <row r="1304">
          <cell r="B1304" t="str">
            <v>15.1.54</v>
          </cell>
          <cell r="D1304" t="str">
            <v>72.03.02.04</v>
          </cell>
          <cell r="E1304" t="str">
            <v>BATE EST.ATE 40T C-D</v>
          </cell>
          <cell r="F1304" t="str">
            <v>h</v>
          </cell>
        </row>
        <row r="1305">
          <cell r="B1305" t="str">
            <v>15.1.55</v>
          </cell>
          <cell r="D1305" t="str">
            <v>72.04.01.01</v>
          </cell>
          <cell r="E1305" t="str">
            <v>BETONEIRA 320L C-A</v>
          </cell>
          <cell r="F1305" t="str">
            <v>h</v>
          </cell>
        </row>
        <row r="1306">
          <cell r="B1306" t="str">
            <v>15.1.56</v>
          </cell>
          <cell r="D1306" t="str">
            <v>72.04.01.02</v>
          </cell>
          <cell r="E1306" t="str">
            <v>BETONEIRA 320L C-B</v>
          </cell>
          <cell r="F1306" t="str">
            <v>h</v>
          </cell>
        </row>
        <row r="1307">
          <cell r="B1307" t="str">
            <v>15.1.57</v>
          </cell>
          <cell r="D1307" t="str">
            <v>72.04.01.03</v>
          </cell>
          <cell r="E1307" t="str">
            <v>BETONEIRA 320L C-C</v>
          </cell>
          <cell r="F1307" t="str">
            <v>h</v>
          </cell>
        </row>
        <row r="1308">
          <cell r="B1308" t="str">
            <v>15.1.58</v>
          </cell>
          <cell r="D1308" t="str">
            <v>72.04.01.04</v>
          </cell>
          <cell r="E1308" t="str">
            <v>BETONEIRA 320L C-D</v>
          </cell>
          <cell r="F1308" t="str">
            <v>h</v>
          </cell>
        </row>
        <row r="1309">
          <cell r="B1309" t="str">
            <v>15.1.59</v>
          </cell>
          <cell r="D1309" t="str">
            <v>72.04.02.01</v>
          </cell>
          <cell r="E1309" t="str">
            <v>BETON.320L M.G.C-A</v>
          </cell>
          <cell r="F1309" t="str">
            <v>h</v>
          </cell>
        </row>
        <row r="1310">
          <cell r="B1310" t="str">
            <v>15.1.60</v>
          </cell>
          <cell r="D1310" t="str">
            <v>72.04.02.02</v>
          </cell>
          <cell r="E1310" t="str">
            <v>BETON.320L M.G.C-B</v>
          </cell>
          <cell r="F1310" t="str">
            <v>h</v>
          </cell>
        </row>
        <row r="1311">
          <cell r="B1311" t="str">
            <v>15.1.61</v>
          </cell>
          <cell r="D1311" t="str">
            <v>72.04.02.03</v>
          </cell>
          <cell r="E1311" t="str">
            <v>BETON.320L M.G.C-C</v>
          </cell>
          <cell r="F1311" t="str">
            <v>h</v>
          </cell>
        </row>
        <row r="1312">
          <cell r="B1312" t="str">
            <v>15.1.62</v>
          </cell>
          <cell r="D1312" t="str">
            <v>72.04.02.04</v>
          </cell>
          <cell r="E1312" t="str">
            <v>BETON.320L M.G.C-D</v>
          </cell>
          <cell r="F1312" t="str">
            <v>h</v>
          </cell>
        </row>
        <row r="1313">
          <cell r="B1313" t="str">
            <v>15.1.63</v>
          </cell>
          <cell r="D1313" t="str">
            <v>72.04.03.01</v>
          </cell>
          <cell r="E1313" t="str">
            <v>BETON.580L E.C/C.C-A</v>
          </cell>
          <cell r="F1313" t="str">
            <v>h</v>
          </cell>
        </row>
        <row r="1314">
          <cell r="B1314" t="str">
            <v>15.1.64</v>
          </cell>
          <cell r="D1314" t="str">
            <v>72.04.03.02</v>
          </cell>
          <cell r="E1314" t="str">
            <v>BETON.580L E.C/C.C-B</v>
          </cell>
          <cell r="F1314" t="str">
            <v>h</v>
          </cell>
        </row>
        <row r="1315">
          <cell r="B1315" t="str">
            <v>15.1.65</v>
          </cell>
          <cell r="D1315" t="str">
            <v>72.04.03.03</v>
          </cell>
          <cell r="E1315" t="str">
            <v>BETON.580L E.C/C.C-C</v>
          </cell>
          <cell r="F1315" t="str">
            <v>h</v>
          </cell>
        </row>
        <row r="1316">
          <cell r="B1316" t="str">
            <v>15.1.66</v>
          </cell>
          <cell r="D1316" t="str">
            <v>72.04.03.04</v>
          </cell>
          <cell r="E1316" t="str">
            <v>BETON.580L E.C/C.C-D</v>
          </cell>
          <cell r="F1316" t="str">
            <v>h</v>
          </cell>
        </row>
        <row r="1317">
          <cell r="B1317" t="str">
            <v>15.1.67</v>
          </cell>
          <cell r="D1317" t="str">
            <v>72.04.04.01</v>
          </cell>
          <cell r="E1317" t="str">
            <v xml:space="preserve">BETON.580L M.G.C-A </v>
          </cell>
          <cell r="F1317" t="str">
            <v>h</v>
          </cell>
        </row>
        <row r="1318">
          <cell r="B1318" t="str">
            <v>15.1.68</v>
          </cell>
          <cell r="D1318" t="str">
            <v>72.04.04.02</v>
          </cell>
          <cell r="E1318" t="str">
            <v>BETON.580L M.G.C-B</v>
          </cell>
          <cell r="F1318" t="str">
            <v>h</v>
          </cell>
        </row>
        <row r="1319">
          <cell r="B1319" t="str">
            <v>15.1.69</v>
          </cell>
          <cell r="D1319" t="str">
            <v>72.04.04.03</v>
          </cell>
          <cell r="E1319" t="str">
            <v>BETON.580L M.G.C-C</v>
          </cell>
          <cell r="F1319" t="str">
            <v>h</v>
          </cell>
        </row>
        <row r="1320">
          <cell r="B1320" t="str">
            <v>15.1.70</v>
          </cell>
          <cell r="D1320" t="str">
            <v>72.04.04.04</v>
          </cell>
          <cell r="E1320" t="str">
            <v>BETON.580L M.G.C-D</v>
          </cell>
          <cell r="F1320" t="str">
            <v>h</v>
          </cell>
        </row>
        <row r="1321">
          <cell r="B1321" t="str">
            <v>15.1.71</v>
          </cell>
          <cell r="D1321" t="str">
            <v>72.05.01.01</v>
          </cell>
          <cell r="E1321" t="str">
            <v>BOM.DREN.27M3/H C-A</v>
          </cell>
          <cell r="F1321" t="str">
            <v>h</v>
          </cell>
        </row>
        <row r="1322">
          <cell r="B1322" t="str">
            <v>15.1.72</v>
          </cell>
          <cell r="D1322" t="str">
            <v>72.05.01.02</v>
          </cell>
          <cell r="E1322" t="str">
            <v>BOM.DREN.27M3/H C-B</v>
          </cell>
          <cell r="F1322" t="str">
            <v>h</v>
          </cell>
        </row>
        <row r="1323">
          <cell r="B1323" t="str">
            <v>15.1.73</v>
          </cell>
          <cell r="D1323" t="str">
            <v>72.05.01.03</v>
          </cell>
          <cell r="E1323" t="str">
            <v>BOM.DREN.27M3/H C-C</v>
          </cell>
          <cell r="F1323" t="str">
            <v>h</v>
          </cell>
        </row>
        <row r="1324">
          <cell r="B1324" t="str">
            <v>15.1.74</v>
          </cell>
          <cell r="D1324" t="str">
            <v>72.05.01.04</v>
          </cell>
          <cell r="E1324" t="str">
            <v>BOM.DREN.27M3/H C-D</v>
          </cell>
          <cell r="F1324" t="str">
            <v>h</v>
          </cell>
        </row>
        <row r="1325">
          <cell r="B1325" t="str">
            <v>15.1.75</v>
          </cell>
          <cell r="D1325" t="str">
            <v>72.05.02.01</v>
          </cell>
          <cell r="E1325" t="str">
            <v>BOM.DREN.60M3/H C-A</v>
          </cell>
          <cell r="F1325" t="str">
            <v>h</v>
          </cell>
        </row>
        <row r="1326">
          <cell r="B1326" t="str">
            <v>15.1.76</v>
          </cell>
          <cell r="D1326" t="str">
            <v>72.05.02.02</v>
          </cell>
          <cell r="E1326" t="str">
            <v>BOM.DREN.60M3/H C-B</v>
          </cell>
          <cell r="F1326" t="str">
            <v>h</v>
          </cell>
        </row>
        <row r="1327">
          <cell r="B1327" t="str">
            <v>15.1.77</v>
          </cell>
          <cell r="D1327" t="str">
            <v>72.05.02.03</v>
          </cell>
          <cell r="E1327" t="str">
            <v>BOM.DREN.60M3/H C-C</v>
          </cell>
          <cell r="F1327" t="str">
            <v>h</v>
          </cell>
        </row>
        <row r="1328">
          <cell r="B1328" t="str">
            <v>15.1.78</v>
          </cell>
          <cell r="D1328" t="str">
            <v>72.05.02.04</v>
          </cell>
          <cell r="E1328" t="str">
            <v>BOM.DREN.60M3/H C-D</v>
          </cell>
          <cell r="F1328" t="str">
            <v>h</v>
          </cell>
        </row>
        <row r="1329">
          <cell r="B1329" t="str">
            <v>15.1.79</v>
          </cell>
          <cell r="D1329" t="str">
            <v>72.05.03.01</v>
          </cell>
          <cell r="E1329" t="str">
            <v>BOM.DREN.144M3/H C-A</v>
          </cell>
          <cell r="F1329" t="str">
            <v>h</v>
          </cell>
        </row>
        <row r="1330">
          <cell r="B1330" t="str">
            <v>15.1.80</v>
          </cell>
          <cell r="D1330" t="str">
            <v>72.05.03.02</v>
          </cell>
          <cell r="E1330" t="str">
            <v>BOM.DREN.144M3/H C-B</v>
          </cell>
          <cell r="F1330" t="str">
            <v>h</v>
          </cell>
        </row>
        <row r="1331">
          <cell r="B1331" t="str">
            <v>15.1.81</v>
          </cell>
          <cell r="D1331" t="str">
            <v>72.05.03.03</v>
          </cell>
          <cell r="E1331" t="str">
            <v>BOM.DREN.144M3/H C-C</v>
          </cell>
          <cell r="F1331" t="str">
            <v>h</v>
          </cell>
        </row>
        <row r="1332">
          <cell r="B1332" t="str">
            <v>15.1.82</v>
          </cell>
          <cell r="D1332" t="str">
            <v>72.05.03.04</v>
          </cell>
          <cell r="E1332" t="str">
            <v>BOM.DREN.144M3/H C-D</v>
          </cell>
          <cell r="F1332" t="str">
            <v>h</v>
          </cell>
        </row>
        <row r="1333">
          <cell r="B1333" t="str">
            <v>15.1.83</v>
          </cell>
          <cell r="D1333" t="str">
            <v>72.05.04.01</v>
          </cell>
          <cell r="E1333" t="str">
            <v>BOM.DREN.180M3/H C-A</v>
          </cell>
          <cell r="F1333" t="str">
            <v>h</v>
          </cell>
        </row>
        <row r="1334">
          <cell r="B1334" t="str">
            <v>15.1.84</v>
          </cell>
          <cell r="D1334" t="str">
            <v>72.05.04.02</v>
          </cell>
          <cell r="E1334" t="str">
            <v>BOM.DREN.180M3/H C-B</v>
          </cell>
          <cell r="F1334" t="str">
            <v>h</v>
          </cell>
        </row>
        <row r="1335">
          <cell r="B1335" t="str">
            <v>15.1.85</v>
          </cell>
          <cell r="D1335" t="str">
            <v>72.05.04.03</v>
          </cell>
          <cell r="E1335" t="str">
            <v>BOM.DREN.180M3/H C-C</v>
          </cell>
          <cell r="F1335" t="str">
            <v>h</v>
          </cell>
        </row>
        <row r="1336">
          <cell r="B1336" t="str">
            <v>15.1.86</v>
          </cell>
          <cell r="D1336" t="str">
            <v>72.05.04.04</v>
          </cell>
          <cell r="E1336" t="str">
            <v>BOM.DREN.180M3/H C-D</v>
          </cell>
          <cell r="F1336" t="str">
            <v>h</v>
          </cell>
        </row>
        <row r="1337">
          <cell r="B1337" t="str">
            <v>15.1.87</v>
          </cell>
          <cell r="D1337" t="str">
            <v>72.05.05.01</v>
          </cell>
          <cell r="E1337" t="str">
            <v>BOM.DREN.60.000L C-A</v>
          </cell>
          <cell r="F1337" t="str">
            <v>h</v>
          </cell>
        </row>
        <row r="1338">
          <cell r="B1338" t="str">
            <v>15.1.88</v>
          </cell>
          <cell r="D1338" t="str">
            <v>72.05.05.02</v>
          </cell>
          <cell r="E1338" t="str">
            <v>BOM.DREN.60.000L C-B</v>
          </cell>
          <cell r="F1338" t="str">
            <v>h</v>
          </cell>
        </row>
        <row r="1339">
          <cell r="B1339" t="str">
            <v>15.1.89</v>
          </cell>
          <cell r="D1339" t="str">
            <v>72.05.05.03</v>
          </cell>
          <cell r="E1339" t="str">
            <v>BOM.DREN.60.000L C-C</v>
          </cell>
          <cell r="F1339" t="str">
            <v>h</v>
          </cell>
        </row>
        <row r="1340">
          <cell r="B1340" t="str">
            <v>15.1.90</v>
          </cell>
          <cell r="D1340" t="str">
            <v>72.05.05.04</v>
          </cell>
          <cell r="E1340" t="str">
            <v>BOM.DREN.60.000L C-D</v>
          </cell>
          <cell r="F1340" t="str">
            <v>h</v>
          </cell>
        </row>
        <row r="1341">
          <cell r="B1341" t="str">
            <v>15.1.91</v>
          </cell>
          <cell r="D1341" t="str">
            <v>72.06.01.01</v>
          </cell>
          <cell r="E1341" t="str">
            <v>BOM.INJ.1M3/H C-A</v>
          </cell>
          <cell r="F1341" t="str">
            <v>h</v>
          </cell>
        </row>
        <row r="1342">
          <cell r="B1342" t="str">
            <v>15.1.92</v>
          </cell>
          <cell r="D1342" t="str">
            <v>72.06.01.02</v>
          </cell>
          <cell r="E1342" t="str">
            <v xml:space="preserve">BOM.INJ.1M3/H C-B </v>
          </cell>
          <cell r="F1342" t="str">
            <v>h</v>
          </cell>
        </row>
        <row r="1343">
          <cell r="B1343" t="str">
            <v>15.1.93</v>
          </cell>
          <cell r="D1343" t="str">
            <v>72.06.01.03</v>
          </cell>
          <cell r="E1343" t="str">
            <v>BOM.INJ.1M3/H C-C</v>
          </cell>
          <cell r="F1343" t="str">
            <v>h</v>
          </cell>
        </row>
        <row r="1344">
          <cell r="B1344" t="str">
            <v>15.1.94</v>
          </cell>
          <cell r="D1344" t="str">
            <v>72.06.01.04</v>
          </cell>
          <cell r="E1344" t="str">
            <v>BOM.INJ.1M3/H C-D</v>
          </cell>
          <cell r="F1344" t="str">
            <v>h</v>
          </cell>
        </row>
        <row r="1345">
          <cell r="B1345" t="str">
            <v>15.1.95</v>
          </cell>
          <cell r="D1345" t="str">
            <v>72.06.02.01</v>
          </cell>
          <cell r="E1345" t="str">
            <v>BOM.INJ.3M3/H C-A</v>
          </cell>
          <cell r="F1345" t="str">
            <v>h</v>
          </cell>
        </row>
        <row r="1346">
          <cell r="B1346" t="str">
            <v>15.1.96</v>
          </cell>
          <cell r="D1346" t="str">
            <v>72.06.02.02</v>
          </cell>
          <cell r="E1346" t="str">
            <v>BOM.INJ.3M3/H C-B</v>
          </cell>
          <cell r="F1346" t="str">
            <v>h</v>
          </cell>
        </row>
        <row r="1347">
          <cell r="B1347" t="str">
            <v>15.1.97</v>
          </cell>
          <cell r="D1347" t="str">
            <v>72.06.02.03</v>
          </cell>
          <cell r="E1347" t="str">
            <v>BOM.INJ.3M3/H C-C</v>
          </cell>
          <cell r="F1347" t="str">
            <v>h</v>
          </cell>
        </row>
        <row r="1348">
          <cell r="B1348" t="str">
            <v>15.1.98</v>
          </cell>
          <cell r="D1348" t="str">
            <v>72.06.02.04</v>
          </cell>
          <cell r="E1348" t="str">
            <v xml:space="preserve">BOM.INJ.3M3/H C-D </v>
          </cell>
          <cell r="F1348" t="str">
            <v>h</v>
          </cell>
        </row>
        <row r="1349">
          <cell r="B1349" t="str">
            <v>15.1.99</v>
          </cell>
          <cell r="D1349" t="str">
            <v>72.06.03.01</v>
          </cell>
          <cell r="E1349" t="str">
            <v>BOM.INJ.35 M3/H C-A</v>
          </cell>
          <cell r="F1349" t="str">
            <v>h</v>
          </cell>
        </row>
        <row r="1350">
          <cell r="B1350" t="str">
            <v>15.1.100</v>
          </cell>
          <cell r="D1350" t="str">
            <v>72.06.03.02</v>
          </cell>
          <cell r="E1350" t="str">
            <v>BOM.INJ.35 M3/H C-B</v>
          </cell>
          <cell r="F1350" t="str">
            <v>h</v>
          </cell>
        </row>
        <row r="1351">
          <cell r="B1351" t="str">
            <v>15.1.101</v>
          </cell>
          <cell r="D1351" t="str">
            <v xml:space="preserve">72.06.03.03 </v>
          </cell>
          <cell r="E1351" t="str">
            <v>BOM.INJ.35 M3/H C-C</v>
          </cell>
          <cell r="F1351" t="str">
            <v>h</v>
          </cell>
        </row>
        <row r="1352">
          <cell r="B1352" t="str">
            <v>15.1.102</v>
          </cell>
          <cell r="D1352" t="str">
            <v xml:space="preserve">72.06.03.04 </v>
          </cell>
          <cell r="E1352" t="str">
            <v>BOM.INJ.35 M3/H C-D</v>
          </cell>
          <cell r="F1352" t="str">
            <v>h</v>
          </cell>
        </row>
        <row r="1353">
          <cell r="B1353" t="str">
            <v>15.1.103</v>
          </cell>
          <cell r="D1353" t="str">
            <v>72.06.04.01</v>
          </cell>
          <cell r="E1353" t="str">
            <v>BOM.PROJ.MAN.10 C-A</v>
          </cell>
          <cell r="F1353" t="str">
            <v>h</v>
          </cell>
        </row>
        <row r="1354">
          <cell r="B1354" t="str">
            <v>15.1.104</v>
          </cell>
          <cell r="D1354" t="str">
            <v>72.06.04.02</v>
          </cell>
          <cell r="E1354" t="str">
            <v>BOM.PROJ.MAN.10 C-B</v>
          </cell>
          <cell r="F1354" t="str">
            <v>h</v>
          </cell>
        </row>
        <row r="1355">
          <cell r="B1355" t="str">
            <v>15.1.105</v>
          </cell>
          <cell r="D1355" t="str">
            <v>72.06.04.03</v>
          </cell>
          <cell r="E1355" t="str">
            <v>BOM.PROJ.MAN.10 C-C</v>
          </cell>
          <cell r="F1355" t="str">
            <v>h</v>
          </cell>
        </row>
        <row r="1356">
          <cell r="B1356" t="str">
            <v>15.1.106</v>
          </cell>
          <cell r="D1356" t="str">
            <v>72.06.04.04</v>
          </cell>
          <cell r="E1356" t="str">
            <v>BOM.PROJ.MAN.10 C-D</v>
          </cell>
          <cell r="F1356" t="str">
            <v>h</v>
          </cell>
        </row>
        <row r="1357">
          <cell r="B1357" t="str">
            <v>15.1.107</v>
          </cell>
          <cell r="D1357" t="str">
            <v>72.06.05.01</v>
          </cell>
          <cell r="E1357" t="str">
            <v>BOM.PROJ.23M3/H C-A</v>
          </cell>
          <cell r="F1357" t="str">
            <v>h</v>
          </cell>
        </row>
        <row r="1358">
          <cell r="B1358" t="str">
            <v>15.1.108</v>
          </cell>
          <cell r="D1358" t="str">
            <v>72.06.05.02</v>
          </cell>
          <cell r="E1358" t="str">
            <v>BOM.PROJ.23M3/H C-B</v>
          </cell>
          <cell r="F1358" t="str">
            <v>h</v>
          </cell>
        </row>
        <row r="1359">
          <cell r="B1359" t="str">
            <v>15.1.109</v>
          </cell>
          <cell r="D1359" t="str">
            <v>72.06.05.03</v>
          </cell>
          <cell r="E1359" t="str">
            <v>BOM.PROJ.23M3/H C-C</v>
          </cell>
          <cell r="F1359" t="str">
            <v>h</v>
          </cell>
        </row>
        <row r="1360">
          <cell r="B1360" t="str">
            <v>15.1.110</v>
          </cell>
          <cell r="D1360" t="str">
            <v>72.06.05.04</v>
          </cell>
          <cell r="E1360" t="str">
            <v>BOM.PROJ.23M3/H C-D</v>
          </cell>
          <cell r="F1360" t="str">
            <v>h</v>
          </cell>
        </row>
        <row r="1361">
          <cell r="B1361" t="str">
            <v>15.1.111</v>
          </cell>
          <cell r="D1361" t="str">
            <v>72.07.01.01</v>
          </cell>
          <cell r="E1361" t="str">
            <v>BOMBA HIDR.PROT.C-A</v>
          </cell>
          <cell r="F1361" t="str">
            <v>h</v>
          </cell>
        </row>
        <row r="1362">
          <cell r="B1362" t="str">
            <v>15.1.112</v>
          </cell>
          <cell r="D1362" t="str">
            <v>72.07.01.02</v>
          </cell>
          <cell r="E1362" t="str">
            <v>BOMBA HIDR.PROT.C-B</v>
          </cell>
          <cell r="F1362" t="str">
            <v>h</v>
          </cell>
        </row>
        <row r="1363">
          <cell r="B1363" t="str">
            <v>15.1.113</v>
          </cell>
          <cell r="D1363" t="str">
            <v>72.07.01.03</v>
          </cell>
          <cell r="E1363" t="str">
            <v>BOMBA HIDR.PROT.C-C</v>
          </cell>
          <cell r="F1363" t="str">
            <v>h</v>
          </cell>
        </row>
        <row r="1364">
          <cell r="B1364" t="str">
            <v>15.1.114</v>
          </cell>
          <cell r="D1364" t="str">
            <v>72.07.01.04</v>
          </cell>
          <cell r="E1364" t="str">
            <v>BOMBA HIDR.PROT.C-D</v>
          </cell>
          <cell r="F1364" t="str">
            <v>h</v>
          </cell>
        </row>
        <row r="1365">
          <cell r="B1365" t="str">
            <v>15.1.115</v>
          </cell>
          <cell r="D1365" t="str">
            <v>72.07.02.01</v>
          </cell>
          <cell r="E1365" t="str">
            <v>MAC.P/PROT. AU-1 C-A</v>
          </cell>
          <cell r="F1365" t="str">
            <v>h</v>
          </cell>
        </row>
        <row r="1366">
          <cell r="B1366" t="str">
            <v>15.1.116</v>
          </cell>
          <cell r="D1366" t="str">
            <v>72.07.02.02</v>
          </cell>
          <cell r="E1366" t="str">
            <v>MAC.P/PROT. AU-1 C-B</v>
          </cell>
          <cell r="F1366" t="str">
            <v>h</v>
          </cell>
        </row>
        <row r="1367">
          <cell r="B1367" t="str">
            <v>15.1.117</v>
          </cell>
          <cell r="D1367" t="str">
            <v>72.07.02.03</v>
          </cell>
          <cell r="E1367" t="str">
            <v>MAC.P/PROT. AU-1 C-C</v>
          </cell>
          <cell r="F1367" t="str">
            <v>h</v>
          </cell>
        </row>
        <row r="1368">
          <cell r="B1368" t="str">
            <v>15.1.118</v>
          </cell>
          <cell r="D1368" t="str">
            <v>72.07.02.04</v>
          </cell>
          <cell r="E1368" t="str">
            <v>MAC.P/PROT. AU-1 C-D</v>
          </cell>
          <cell r="F1368" t="str">
            <v>h</v>
          </cell>
        </row>
        <row r="1369">
          <cell r="B1369" t="str">
            <v>15.1.119</v>
          </cell>
          <cell r="D1369" t="str">
            <v>72.07.03.01</v>
          </cell>
          <cell r="E1369" t="str">
            <v>MAC.P/PROT. AU-5 C-A</v>
          </cell>
          <cell r="F1369" t="str">
            <v>h</v>
          </cell>
        </row>
        <row r="1370">
          <cell r="B1370" t="str">
            <v>15.1.120</v>
          </cell>
          <cell r="D1370" t="str">
            <v>72.07.03.02</v>
          </cell>
          <cell r="E1370" t="str">
            <v>MAC.P/PROT. AU-5 C-B</v>
          </cell>
          <cell r="F1370" t="str">
            <v>h</v>
          </cell>
        </row>
        <row r="1371">
          <cell r="B1371" t="str">
            <v>15.1.121</v>
          </cell>
          <cell r="D1371" t="str">
            <v>72.07.03.03</v>
          </cell>
          <cell r="E1371" t="str">
            <v>MAC.P/PROT. AU-5 C-C</v>
          </cell>
          <cell r="F1371" t="str">
            <v>h</v>
          </cell>
        </row>
        <row r="1372">
          <cell r="B1372" t="str">
            <v>15.1.122</v>
          </cell>
          <cell r="D1372" t="str">
            <v>72.07.03.04</v>
          </cell>
          <cell r="E1372" t="str">
            <v>MAC.P/PROT. AU-5 C-D</v>
          </cell>
          <cell r="F1372" t="str">
            <v>h</v>
          </cell>
        </row>
        <row r="1373">
          <cell r="B1373" t="str">
            <v>15.1.123</v>
          </cell>
          <cell r="D1373" t="str">
            <v>72.07.06.01</v>
          </cell>
          <cell r="E1373" t="str">
            <v>MAC.P/PROT.S-6 C-A</v>
          </cell>
          <cell r="F1373" t="str">
            <v>h</v>
          </cell>
        </row>
        <row r="1374">
          <cell r="B1374" t="str">
            <v>15.1.124</v>
          </cell>
          <cell r="D1374" t="str">
            <v>72.07.06.02</v>
          </cell>
          <cell r="E1374" t="str">
            <v>MAC.P/PROT.S-6 C-B</v>
          </cell>
          <cell r="F1374" t="str">
            <v>h</v>
          </cell>
        </row>
        <row r="1375">
          <cell r="B1375" t="str">
            <v>15.1.125</v>
          </cell>
          <cell r="D1375" t="str">
            <v>72.07.06.03</v>
          </cell>
          <cell r="E1375" t="str">
            <v>MAC.P/PROT.S-6 C-C</v>
          </cell>
          <cell r="F1375" t="str">
            <v>h</v>
          </cell>
        </row>
        <row r="1376">
          <cell r="B1376" t="str">
            <v>15.1.126</v>
          </cell>
          <cell r="D1376" t="str">
            <v>72.07.06.04</v>
          </cell>
          <cell r="E1376" t="str">
            <v>MAC.P/PROT.S-6 C-D</v>
          </cell>
          <cell r="F1376" t="str">
            <v>h</v>
          </cell>
        </row>
        <row r="1377">
          <cell r="B1377" t="str">
            <v>15.1.127</v>
          </cell>
          <cell r="D1377" t="str">
            <v>72.07.07.01</v>
          </cell>
          <cell r="E1377" t="str">
            <v>MAC.P/PROT.K-350 C-A</v>
          </cell>
          <cell r="F1377" t="str">
            <v>h</v>
          </cell>
        </row>
        <row r="1378">
          <cell r="B1378" t="str">
            <v>15.1.128</v>
          </cell>
          <cell r="D1378" t="str">
            <v>72.07.07.02</v>
          </cell>
          <cell r="E1378" t="str">
            <v>MAC.P/PROT.K-350 C-B</v>
          </cell>
          <cell r="F1378" t="str">
            <v>h</v>
          </cell>
        </row>
        <row r="1379">
          <cell r="B1379" t="str">
            <v>15.1.129</v>
          </cell>
          <cell r="D1379" t="str">
            <v>72.07.07.03</v>
          </cell>
          <cell r="E1379" t="str">
            <v>MAC.P/PROT.K-350 C-C</v>
          </cell>
          <cell r="F1379" t="str">
            <v>h</v>
          </cell>
        </row>
        <row r="1380">
          <cell r="B1380" t="str">
            <v>15.1.130</v>
          </cell>
          <cell r="D1380" t="str">
            <v>72.07.07.04</v>
          </cell>
          <cell r="E1380" t="str">
            <v>MAC.P/PROT.K-350 C-D</v>
          </cell>
          <cell r="F1380" t="str">
            <v>h</v>
          </cell>
        </row>
        <row r="1381">
          <cell r="B1381" t="str">
            <v>15.1.131</v>
          </cell>
          <cell r="D1381" t="str">
            <v>72.08.01.01</v>
          </cell>
          <cell r="E1381" t="str">
            <v>CHAS.IRRIG.6000L C-A</v>
          </cell>
          <cell r="F1381" t="str">
            <v>h</v>
          </cell>
        </row>
        <row r="1382">
          <cell r="B1382" t="str">
            <v>15.1.132</v>
          </cell>
          <cell r="D1382" t="str">
            <v>72.08.01.02</v>
          </cell>
          <cell r="E1382" t="str">
            <v>CHAS.IRRIG.6000L C-B</v>
          </cell>
          <cell r="F1382" t="str">
            <v>h</v>
          </cell>
        </row>
        <row r="1383">
          <cell r="B1383" t="str">
            <v>15.1.133</v>
          </cell>
          <cell r="D1383" t="str">
            <v>72.08.01.03</v>
          </cell>
          <cell r="E1383" t="str">
            <v>CHAS.IRRIG.6000L C-C</v>
          </cell>
          <cell r="F1383" t="str">
            <v>h</v>
          </cell>
        </row>
        <row r="1384">
          <cell r="B1384" t="str">
            <v>15.1.134</v>
          </cell>
          <cell r="D1384" t="str">
            <v>72.08.01.04</v>
          </cell>
          <cell r="E1384" t="str">
            <v>CHAS.IRRIG.6000L C-D</v>
          </cell>
          <cell r="F1384" t="str">
            <v>h</v>
          </cell>
        </row>
        <row r="1385">
          <cell r="B1385" t="str">
            <v>15.1.135</v>
          </cell>
          <cell r="D1385" t="str">
            <v>72.08.01.05</v>
          </cell>
          <cell r="E1385" t="str">
            <v>CHAS.IRRIG.6000L C-E</v>
          </cell>
          <cell r="F1385" t="str">
            <v>km</v>
          </cell>
        </row>
        <row r="1386">
          <cell r="B1386" t="str">
            <v>15.1.136</v>
          </cell>
          <cell r="D1386" t="str">
            <v>72.08.02.01</v>
          </cell>
          <cell r="E1386" t="str">
            <v>CHAS.IRRIG.9000L C-A</v>
          </cell>
          <cell r="F1386" t="str">
            <v>h</v>
          </cell>
        </row>
        <row r="1387">
          <cell r="B1387" t="str">
            <v>15.1.137</v>
          </cell>
          <cell r="D1387" t="str">
            <v>72.08.02.02</v>
          </cell>
          <cell r="E1387" t="str">
            <v>CHAS.IRRIG.9000L C-B</v>
          </cell>
          <cell r="F1387" t="str">
            <v>h</v>
          </cell>
        </row>
        <row r="1388">
          <cell r="B1388" t="str">
            <v>15.1.138</v>
          </cell>
          <cell r="D1388" t="str">
            <v>72.08.02.03</v>
          </cell>
          <cell r="E1388" t="str">
            <v>CHAS.IRRIG.9000L C-C</v>
          </cell>
          <cell r="F1388" t="str">
            <v>h</v>
          </cell>
        </row>
        <row r="1389">
          <cell r="B1389" t="str">
            <v>15.1.139</v>
          </cell>
          <cell r="D1389" t="str">
            <v>72.08.02.04</v>
          </cell>
          <cell r="E1389" t="str">
            <v>CHAS.IRRIG.9000L C-D</v>
          </cell>
          <cell r="F1389" t="str">
            <v>h</v>
          </cell>
        </row>
        <row r="1390">
          <cell r="B1390" t="str">
            <v>15.1.140</v>
          </cell>
          <cell r="D1390" t="str">
            <v>72.08.02.05</v>
          </cell>
          <cell r="E1390" t="str">
            <v>CHAS.IRRIG.9000L C-E</v>
          </cell>
          <cell r="F1390" t="str">
            <v>km</v>
          </cell>
        </row>
        <row r="1391">
          <cell r="B1391" t="str">
            <v>15.1.141</v>
          </cell>
          <cell r="D1391" t="str">
            <v>72.09.01.01</v>
          </cell>
          <cell r="E1391" t="str">
            <v>CHAS.BASC. 5M3 C-A</v>
          </cell>
          <cell r="F1391" t="str">
            <v>h</v>
          </cell>
        </row>
        <row r="1392">
          <cell r="B1392" t="str">
            <v>15.1.142</v>
          </cell>
          <cell r="D1392" t="str">
            <v>72.09.01.02</v>
          </cell>
          <cell r="E1392" t="str">
            <v>CHAS.BASC. 5M3 C-B</v>
          </cell>
          <cell r="F1392" t="str">
            <v>h</v>
          </cell>
        </row>
        <row r="1393">
          <cell r="B1393" t="str">
            <v>15.1.143</v>
          </cell>
          <cell r="D1393" t="str">
            <v>72.09.01.03</v>
          </cell>
          <cell r="E1393" t="str">
            <v>CHAS.BASC. 5M3 C-C</v>
          </cell>
          <cell r="F1393" t="str">
            <v>h</v>
          </cell>
        </row>
        <row r="1394">
          <cell r="B1394" t="str">
            <v>15.1.144</v>
          </cell>
          <cell r="D1394" t="str">
            <v>72.09.01.04</v>
          </cell>
          <cell r="E1394" t="str">
            <v>CHAS.BASC. 5M3 C-D</v>
          </cell>
          <cell r="F1394" t="str">
            <v>h</v>
          </cell>
        </row>
        <row r="1395">
          <cell r="B1395" t="str">
            <v>15.1.145</v>
          </cell>
          <cell r="D1395" t="str">
            <v>72.09.01.05</v>
          </cell>
          <cell r="E1395" t="str">
            <v>CHAS.BASC. 5M3 C-E</v>
          </cell>
          <cell r="F1395" t="str">
            <v>km</v>
          </cell>
        </row>
        <row r="1396">
          <cell r="B1396" t="str">
            <v>15.1.146</v>
          </cell>
          <cell r="D1396" t="str">
            <v>72.09.02.01</v>
          </cell>
          <cell r="E1396" t="str">
            <v>CHAS.BASC. 8M3 C-A</v>
          </cell>
          <cell r="F1396" t="str">
            <v>h</v>
          </cell>
        </row>
        <row r="1397">
          <cell r="B1397" t="str">
            <v>15.1.147</v>
          </cell>
          <cell r="D1397" t="str">
            <v>72.09.02.02</v>
          </cell>
          <cell r="E1397" t="str">
            <v>CHAS.BASC. 8M3 C-B</v>
          </cell>
          <cell r="F1397" t="str">
            <v>h</v>
          </cell>
        </row>
        <row r="1398">
          <cell r="B1398" t="str">
            <v>15.1.148</v>
          </cell>
          <cell r="D1398" t="str">
            <v>72.09.02.03</v>
          </cell>
          <cell r="E1398" t="str">
            <v>CHAS.BASC. 8M3 C-C</v>
          </cell>
          <cell r="F1398" t="str">
            <v>h</v>
          </cell>
        </row>
        <row r="1399">
          <cell r="B1399" t="str">
            <v>15.1.149</v>
          </cell>
          <cell r="D1399" t="str">
            <v>72.09.02.04</v>
          </cell>
          <cell r="E1399" t="str">
            <v>CHAS.BASC. 8M3 C-D</v>
          </cell>
          <cell r="F1399" t="str">
            <v>h</v>
          </cell>
        </row>
        <row r="1400">
          <cell r="B1400" t="str">
            <v>15.1.150</v>
          </cell>
          <cell r="D1400" t="str">
            <v>72.09.02.05</v>
          </cell>
          <cell r="E1400" t="str">
            <v xml:space="preserve">CHAS.BASC. 8M3 C-E </v>
          </cell>
          <cell r="F1400" t="str">
            <v>km</v>
          </cell>
        </row>
        <row r="1401">
          <cell r="B1401" t="str">
            <v>15.1.151</v>
          </cell>
          <cell r="D1401" t="str">
            <v>72.09.03.01</v>
          </cell>
          <cell r="E1401" t="str">
            <v>CHAS.BASC. 10M3 C-A</v>
          </cell>
          <cell r="F1401" t="str">
            <v>h</v>
          </cell>
        </row>
        <row r="1402">
          <cell r="B1402" t="str">
            <v>15.1.152</v>
          </cell>
          <cell r="D1402" t="str">
            <v>72.09.03.02</v>
          </cell>
          <cell r="E1402" t="str">
            <v>CHAS.BASC. 10M3 C-B</v>
          </cell>
          <cell r="F1402" t="str">
            <v>h</v>
          </cell>
        </row>
        <row r="1403">
          <cell r="B1403" t="str">
            <v>15.1.153</v>
          </cell>
          <cell r="D1403" t="str">
            <v>72.09.03.03</v>
          </cell>
          <cell r="E1403" t="str">
            <v>CHAS.BASC. 10M3 C-C</v>
          </cell>
          <cell r="F1403" t="str">
            <v>h</v>
          </cell>
        </row>
        <row r="1404">
          <cell r="B1404" t="str">
            <v>15.1.154</v>
          </cell>
          <cell r="D1404" t="str">
            <v>72.09.03.04</v>
          </cell>
          <cell r="E1404" t="str">
            <v>CHAS.BASC. 10M3 C-D</v>
          </cell>
          <cell r="F1404" t="str">
            <v>h</v>
          </cell>
        </row>
        <row r="1405">
          <cell r="B1405" t="str">
            <v>15.1.155</v>
          </cell>
          <cell r="D1405" t="str">
            <v>72.09.03.05</v>
          </cell>
          <cell r="E1405" t="str">
            <v>CHAS.BASC. 10M3 C-E</v>
          </cell>
          <cell r="F1405" t="str">
            <v>km</v>
          </cell>
        </row>
        <row r="1406">
          <cell r="B1406" t="str">
            <v>15.1.156</v>
          </cell>
          <cell r="D1406" t="str">
            <v>72.10.01.01</v>
          </cell>
          <cell r="E1406" t="str">
            <v>CHAS.BASC. 18,3M3 C-A</v>
          </cell>
          <cell r="F1406" t="str">
            <v>h</v>
          </cell>
        </row>
        <row r="1407">
          <cell r="B1407" t="str">
            <v>15.1.157</v>
          </cell>
          <cell r="D1407" t="str">
            <v>72.10.01.02</v>
          </cell>
          <cell r="E1407" t="str">
            <v>CHAS.BASC. 18,3M3 C-B</v>
          </cell>
          <cell r="F1407" t="str">
            <v>h</v>
          </cell>
        </row>
        <row r="1408">
          <cell r="B1408" t="str">
            <v>15.1.158</v>
          </cell>
          <cell r="D1408" t="str">
            <v>72.10.01.03</v>
          </cell>
          <cell r="E1408" t="str">
            <v>CHAS.BASC. 18,3M3 C-C</v>
          </cell>
          <cell r="F1408" t="str">
            <v>h</v>
          </cell>
        </row>
        <row r="1409">
          <cell r="B1409" t="str">
            <v>15.1.159</v>
          </cell>
          <cell r="D1409" t="str">
            <v>72.10.01.04</v>
          </cell>
          <cell r="E1409" t="str">
            <v>CHAS.BASC. 18,3M3 C-D</v>
          </cell>
          <cell r="F1409" t="str">
            <v>h</v>
          </cell>
        </row>
        <row r="1410">
          <cell r="B1410" t="str">
            <v>15.1.160</v>
          </cell>
          <cell r="D1410" t="str">
            <v>72.10.01.05</v>
          </cell>
          <cell r="E1410" t="str">
            <v>CHAS.BASC. 18,3M3 C-E</v>
          </cell>
          <cell r="F1410" t="str">
            <v>km</v>
          </cell>
        </row>
        <row r="1411">
          <cell r="B1411" t="str">
            <v>15.1.161</v>
          </cell>
          <cell r="D1411" t="str">
            <v>72.11.01.01</v>
          </cell>
          <cell r="E1411" t="str">
            <v xml:space="preserve">CHAS.BET. 5M3 C-A </v>
          </cell>
          <cell r="F1411" t="str">
            <v>h</v>
          </cell>
        </row>
        <row r="1412">
          <cell r="B1412" t="str">
            <v>15.1.162</v>
          </cell>
          <cell r="D1412" t="str">
            <v>72.11.01.02</v>
          </cell>
          <cell r="E1412" t="str">
            <v>CHAS.BET. 5M3 C-B</v>
          </cell>
          <cell r="F1412" t="str">
            <v>h</v>
          </cell>
        </row>
        <row r="1413">
          <cell r="B1413" t="str">
            <v>15.1.163</v>
          </cell>
          <cell r="D1413" t="str">
            <v>72.11.01.03</v>
          </cell>
          <cell r="E1413" t="str">
            <v>CHAS.BET. 5M3 C-C</v>
          </cell>
          <cell r="F1413" t="str">
            <v>h</v>
          </cell>
        </row>
        <row r="1414">
          <cell r="B1414" t="str">
            <v>15.1.164</v>
          </cell>
          <cell r="D1414" t="str">
            <v>72.11.01.04</v>
          </cell>
          <cell r="E1414" t="str">
            <v>CHAS.BET. 5M3 C-D</v>
          </cell>
          <cell r="F1414" t="str">
            <v>h</v>
          </cell>
        </row>
        <row r="1415">
          <cell r="B1415" t="str">
            <v>15.1.165</v>
          </cell>
          <cell r="D1415" t="str">
            <v>72.11.01.05</v>
          </cell>
          <cell r="E1415" t="str">
            <v>CHAS.BET. 5M3 C-E</v>
          </cell>
          <cell r="F1415" t="str">
            <v>km</v>
          </cell>
        </row>
        <row r="1416">
          <cell r="B1416" t="str">
            <v>15.1.166</v>
          </cell>
          <cell r="D1416" t="str">
            <v>72.11.02.01</v>
          </cell>
          <cell r="E1416" t="str">
            <v>CHAS.BET. 7M3 C-A</v>
          </cell>
          <cell r="F1416" t="str">
            <v>h</v>
          </cell>
        </row>
        <row r="1417">
          <cell r="B1417" t="str">
            <v>15.1.167</v>
          </cell>
          <cell r="D1417" t="str">
            <v>72.11.02.02</v>
          </cell>
          <cell r="E1417" t="str">
            <v>CHAS.BET. 7M3 C-B</v>
          </cell>
          <cell r="F1417" t="str">
            <v>h</v>
          </cell>
        </row>
        <row r="1418">
          <cell r="B1418" t="str">
            <v>15.1.168</v>
          </cell>
          <cell r="D1418" t="str">
            <v>72.11.02.03</v>
          </cell>
          <cell r="E1418" t="str">
            <v>CHAS.BET. 7M3 C-C</v>
          </cell>
          <cell r="F1418" t="str">
            <v>h</v>
          </cell>
        </row>
        <row r="1419">
          <cell r="B1419" t="str">
            <v>15.1.169</v>
          </cell>
          <cell r="D1419" t="str">
            <v>72.11.02.04</v>
          </cell>
          <cell r="E1419" t="str">
            <v>CHAS.BET. 7M3 C-D</v>
          </cell>
          <cell r="F1419" t="str">
            <v>h</v>
          </cell>
        </row>
        <row r="1420">
          <cell r="B1420" t="str">
            <v>15.1.170</v>
          </cell>
          <cell r="D1420" t="str">
            <v>72.11.02.05</v>
          </cell>
          <cell r="E1420" t="str">
            <v>CHAS.BET. 7M3 C-E</v>
          </cell>
          <cell r="F1420" t="str">
            <v>km</v>
          </cell>
        </row>
        <row r="1421">
          <cell r="B1421" t="str">
            <v>15.1.171</v>
          </cell>
          <cell r="D1421" t="str">
            <v>72.11.03.01</v>
          </cell>
          <cell r="E1421" t="str">
            <v>CHAS.BOMB.C.22T C-A</v>
          </cell>
          <cell r="F1421" t="str">
            <v>h</v>
          </cell>
        </row>
        <row r="1422">
          <cell r="B1422" t="str">
            <v>15.1.172</v>
          </cell>
          <cell r="D1422" t="str">
            <v>72.11.03.02</v>
          </cell>
          <cell r="E1422" t="str">
            <v>CHAS.BOMB.C.22T C-B</v>
          </cell>
          <cell r="F1422" t="str">
            <v>h</v>
          </cell>
        </row>
        <row r="1423">
          <cell r="B1423" t="str">
            <v>15.1.173</v>
          </cell>
          <cell r="D1423" t="str">
            <v>72.11.03.03</v>
          </cell>
          <cell r="E1423" t="str">
            <v>CHAS.BOMB.C.22T C-C</v>
          </cell>
          <cell r="F1423" t="str">
            <v>h</v>
          </cell>
        </row>
        <row r="1424">
          <cell r="B1424" t="str">
            <v>15.1.174</v>
          </cell>
          <cell r="D1424" t="str">
            <v>72.11.03.04</v>
          </cell>
          <cell r="E1424" t="str">
            <v>CHAS.BOMB.C.22T C-D</v>
          </cell>
          <cell r="F1424" t="str">
            <v>h</v>
          </cell>
        </row>
        <row r="1425">
          <cell r="B1425" t="str">
            <v>15.1.175</v>
          </cell>
          <cell r="D1425" t="str">
            <v>72.11.03.05</v>
          </cell>
          <cell r="E1425" t="str">
            <v>CHAS.BOMB.C.22T C-E</v>
          </cell>
          <cell r="F1425" t="str">
            <v>km</v>
          </cell>
        </row>
        <row r="1426">
          <cell r="B1426" t="str">
            <v>15.1.176</v>
          </cell>
          <cell r="D1426" t="str">
            <v>72.12.01.01</v>
          </cell>
          <cell r="E1426" t="str">
            <v>CHAS.C.M.4,5T C-A</v>
          </cell>
          <cell r="F1426" t="str">
            <v>h</v>
          </cell>
        </row>
        <row r="1427">
          <cell r="B1427" t="str">
            <v>15.1.177</v>
          </cell>
          <cell r="D1427" t="str">
            <v>72.12.01.02</v>
          </cell>
          <cell r="E1427" t="str">
            <v>CHAS.C.M.4,5T C-B</v>
          </cell>
          <cell r="F1427" t="str">
            <v>h</v>
          </cell>
        </row>
        <row r="1428">
          <cell r="B1428" t="str">
            <v>15.1.178</v>
          </cell>
          <cell r="D1428" t="str">
            <v>72.12.01.03</v>
          </cell>
          <cell r="E1428" t="str">
            <v>CHAS.C.M.4,5T C-C</v>
          </cell>
          <cell r="F1428" t="str">
            <v>h</v>
          </cell>
        </row>
        <row r="1429">
          <cell r="B1429" t="str">
            <v>15.1.179</v>
          </cell>
          <cell r="D1429" t="str">
            <v>72.12.01.04</v>
          </cell>
          <cell r="E1429" t="str">
            <v>CHAS.C.M.4,5T C-D</v>
          </cell>
          <cell r="F1429" t="str">
            <v>h</v>
          </cell>
        </row>
        <row r="1430">
          <cell r="B1430" t="str">
            <v>15.1.180</v>
          </cell>
          <cell r="D1430" t="str">
            <v>72.12.01.05</v>
          </cell>
          <cell r="E1430" t="str">
            <v>CHAS.C.M.4,5T C-E</v>
          </cell>
          <cell r="F1430" t="str">
            <v>km</v>
          </cell>
        </row>
        <row r="1431">
          <cell r="B1431" t="str">
            <v>15.1.181</v>
          </cell>
          <cell r="D1431" t="str">
            <v>72.12.02.01</v>
          </cell>
          <cell r="E1431" t="str">
            <v xml:space="preserve">CHAS.C.M.8,0T C-A </v>
          </cell>
          <cell r="F1431" t="str">
            <v>h</v>
          </cell>
        </row>
        <row r="1432">
          <cell r="B1432" t="str">
            <v>15.1.182</v>
          </cell>
          <cell r="D1432" t="str">
            <v>72.12.02.02</v>
          </cell>
          <cell r="E1432" t="str">
            <v>CHAS.C.M.8,0T C-B</v>
          </cell>
          <cell r="F1432" t="str">
            <v>h</v>
          </cell>
        </row>
        <row r="1433">
          <cell r="B1433" t="str">
            <v>15.1.183</v>
          </cell>
          <cell r="D1433" t="str">
            <v>72.12.02.03</v>
          </cell>
          <cell r="E1433" t="str">
            <v>CHAS.C.M.8,0T C-C</v>
          </cell>
          <cell r="F1433" t="str">
            <v>h</v>
          </cell>
        </row>
        <row r="1434">
          <cell r="B1434" t="str">
            <v>15.1.184</v>
          </cell>
          <cell r="D1434" t="str">
            <v>72.12.02.04</v>
          </cell>
          <cell r="E1434" t="str">
            <v xml:space="preserve">CHAS.C.M.8,0T C-D </v>
          </cell>
          <cell r="F1434" t="str">
            <v>h</v>
          </cell>
        </row>
        <row r="1435">
          <cell r="B1435" t="str">
            <v>15.1.185</v>
          </cell>
          <cell r="D1435" t="str">
            <v>72.12.02.05</v>
          </cell>
          <cell r="E1435" t="str">
            <v>CHAS.C.M.8,0T C-E</v>
          </cell>
          <cell r="F1435" t="str">
            <v>km</v>
          </cell>
        </row>
        <row r="1436">
          <cell r="B1436" t="str">
            <v>15.1.186</v>
          </cell>
          <cell r="D1436" t="str">
            <v>72.12.03.01</v>
          </cell>
          <cell r="E1436" t="str">
            <v>CHAS.C.M.10,5T C-A</v>
          </cell>
          <cell r="F1436" t="str">
            <v>h</v>
          </cell>
        </row>
        <row r="1437">
          <cell r="B1437" t="str">
            <v>15.1.187</v>
          </cell>
          <cell r="D1437" t="str">
            <v>72.12.03.02</v>
          </cell>
          <cell r="E1437" t="str">
            <v>CHAS.C.M.10,5T C-B</v>
          </cell>
          <cell r="F1437" t="str">
            <v>h</v>
          </cell>
        </row>
        <row r="1438">
          <cell r="B1438" t="str">
            <v>15.1.188</v>
          </cell>
          <cell r="D1438" t="str">
            <v>72.12.03.03</v>
          </cell>
          <cell r="E1438" t="str">
            <v>CHAS.C.M.10,5T C-C</v>
          </cell>
          <cell r="F1438" t="str">
            <v>h</v>
          </cell>
        </row>
        <row r="1439">
          <cell r="B1439" t="str">
            <v>15.1.189</v>
          </cell>
          <cell r="D1439" t="str">
            <v>72.12.03.04</v>
          </cell>
          <cell r="E1439" t="str">
            <v xml:space="preserve">CHAS.C.M.10,5T C-D </v>
          </cell>
          <cell r="F1439" t="str">
            <v>h</v>
          </cell>
        </row>
        <row r="1440">
          <cell r="B1440" t="str">
            <v>15.1.190</v>
          </cell>
          <cell r="D1440" t="str">
            <v>72.12.03.05</v>
          </cell>
          <cell r="E1440" t="str">
            <v>CHAS.C.M.10,5T C-E</v>
          </cell>
          <cell r="F1440" t="str">
            <v>km</v>
          </cell>
        </row>
        <row r="1441">
          <cell r="B1441" t="str">
            <v>15.1.191</v>
          </cell>
          <cell r="D1441" t="str">
            <v>72.12.04.01</v>
          </cell>
          <cell r="E1441" t="str">
            <v>CHAS.LUBR.3000L C-A</v>
          </cell>
          <cell r="F1441" t="str">
            <v>h</v>
          </cell>
        </row>
        <row r="1442">
          <cell r="B1442" t="str">
            <v>15.1.192</v>
          </cell>
          <cell r="D1442" t="str">
            <v>72.12.04.02</v>
          </cell>
          <cell r="E1442" t="str">
            <v>CHAS.LUBR.3000L C-B</v>
          </cell>
          <cell r="F1442" t="str">
            <v>h</v>
          </cell>
        </row>
        <row r="1443">
          <cell r="B1443" t="str">
            <v>15.1.193</v>
          </cell>
          <cell r="D1443" t="str">
            <v>72.12.04.03</v>
          </cell>
          <cell r="E1443" t="str">
            <v>CHAS.LUBR.3000L C-C</v>
          </cell>
          <cell r="F1443" t="str">
            <v>h</v>
          </cell>
        </row>
        <row r="1444">
          <cell r="B1444" t="str">
            <v>15.1.194</v>
          </cell>
          <cell r="D1444" t="str">
            <v>72.12.04.04</v>
          </cell>
          <cell r="E1444" t="str">
            <v>CHAS.LUBR.3000L C-D</v>
          </cell>
          <cell r="F1444" t="str">
            <v>h</v>
          </cell>
        </row>
        <row r="1445">
          <cell r="B1445" t="str">
            <v>15.1.195</v>
          </cell>
          <cell r="D1445" t="str">
            <v>72.12.04.05</v>
          </cell>
          <cell r="E1445" t="str">
            <v>CHAS.LUBR.3000L C-E</v>
          </cell>
          <cell r="F1445" t="str">
            <v>km</v>
          </cell>
        </row>
        <row r="1446">
          <cell r="B1446" t="str">
            <v>15.1.196</v>
          </cell>
          <cell r="D1446" t="str">
            <v>72.12.05.01</v>
          </cell>
          <cell r="E1446" t="str">
            <v>CHAS.LUBR.7000L C-A</v>
          </cell>
          <cell r="F1446" t="str">
            <v>h</v>
          </cell>
        </row>
        <row r="1447">
          <cell r="B1447" t="str">
            <v>15.1.197</v>
          </cell>
          <cell r="D1447" t="str">
            <v>72.12.05.02</v>
          </cell>
          <cell r="E1447" t="str">
            <v>CHAS.LUBR.7000L C-B</v>
          </cell>
          <cell r="F1447" t="str">
            <v>h</v>
          </cell>
        </row>
        <row r="1448">
          <cell r="B1448" t="str">
            <v>15.1.198</v>
          </cell>
          <cell r="D1448" t="str">
            <v>72.12.05.03</v>
          </cell>
          <cell r="E1448" t="str">
            <v>CHAS.LUBR.7000L C-C</v>
          </cell>
          <cell r="F1448" t="str">
            <v>h</v>
          </cell>
        </row>
        <row r="1449">
          <cell r="B1449" t="str">
            <v>15.1.199</v>
          </cell>
          <cell r="D1449" t="str">
            <v>72.12.05.04</v>
          </cell>
          <cell r="E1449" t="str">
            <v>CHAS.LUBR.7000L C-D</v>
          </cell>
          <cell r="F1449" t="str">
            <v>h</v>
          </cell>
        </row>
        <row r="1450">
          <cell r="B1450" t="str">
            <v>15.1.200</v>
          </cell>
          <cell r="D1450" t="str">
            <v>72.12.05.05</v>
          </cell>
          <cell r="E1450" t="str">
            <v>CHAS.LUBR.7000L C-E</v>
          </cell>
          <cell r="F1450" t="str">
            <v>km</v>
          </cell>
        </row>
        <row r="1451">
          <cell r="B1451" t="str">
            <v>15.1.201</v>
          </cell>
          <cell r="D1451" t="str">
            <v>72.12.06.01</v>
          </cell>
          <cell r="E1451" t="str">
            <v>CHAS.ABASTECEDOR C-A</v>
          </cell>
          <cell r="F1451" t="str">
            <v>h</v>
          </cell>
        </row>
        <row r="1452">
          <cell r="B1452" t="str">
            <v>15.1.202</v>
          </cell>
          <cell r="D1452" t="str">
            <v>72.12.06.02</v>
          </cell>
          <cell r="E1452" t="str">
            <v>CHAS.ABASTECEDOR C-B</v>
          </cell>
          <cell r="F1452" t="str">
            <v>h</v>
          </cell>
        </row>
        <row r="1453">
          <cell r="B1453" t="str">
            <v>15.1.203</v>
          </cell>
          <cell r="D1453" t="str">
            <v>72.12.06.03</v>
          </cell>
          <cell r="E1453" t="str">
            <v>CHAS.ABASTECEDOR C-C</v>
          </cell>
          <cell r="F1453" t="str">
            <v>h</v>
          </cell>
        </row>
        <row r="1454">
          <cell r="B1454" t="str">
            <v>15.1.204</v>
          </cell>
          <cell r="D1454" t="str">
            <v>72.12.06.04</v>
          </cell>
          <cell r="E1454" t="str">
            <v>CHAS.ABASTECEDOR C-D</v>
          </cell>
          <cell r="F1454" t="str">
            <v>h</v>
          </cell>
        </row>
        <row r="1455">
          <cell r="B1455" t="str">
            <v>15.1.205</v>
          </cell>
          <cell r="D1455" t="str">
            <v>72.12.06.05</v>
          </cell>
          <cell r="E1455" t="str">
            <v>CHAS.ABASTECEDOR C-E</v>
          </cell>
          <cell r="F1455" t="str">
            <v>km</v>
          </cell>
        </row>
        <row r="1456">
          <cell r="B1456" t="str">
            <v>15.1.206</v>
          </cell>
          <cell r="D1456" t="str">
            <v>72.12.07.01</v>
          </cell>
          <cell r="E1456" t="str">
            <v>CHAS.BOIAD.R. 8T C-A</v>
          </cell>
          <cell r="F1456" t="str">
            <v>h</v>
          </cell>
        </row>
        <row r="1457">
          <cell r="B1457" t="str">
            <v>15.1.207</v>
          </cell>
          <cell r="D1457" t="str">
            <v>72.12.07.02</v>
          </cell>
          <cell r="E1457" t="str">
            <v>CHAS.BOIAD.R. 8T C-B</v>
          </cell>
          <cell r="F1457" t="str">
            <v>h</v>
          </cell>
        </row>
        <row r="1458">
          <cell r="B1458" t="str">
            <v>15.1.208</v>
          </cell>
          <cell r="D1458" t="str">
            <v>72.12.07.03</v>
          </cell>
          <cell r="E1458" t="str">
            <v>CHAS.BOIAD.R. 8T C-C</v>
          </cell>
          <cell r="F1458" t="str">
            <v>h</v>
          </cell>
        </row>
        <row r="1459">
          <cell r="B1459" t="str">
            <v>15.1.209</v>
          </cell>
          <cell r="D1459" t="str">
            <v>72.12.07.04</v>
          </cell>
          <cell r="E1459" t="str">
            <v>CHAS.BOIAD.R. 8T C-D</v>
          </cell>
          <cell r="F1459" t="str">
            <v>h</v>
          </cell>
        </row>
        <row r="1460">
          <cell r="B1460" t="str">
            <v>15.1.210</v>
          </cell>
          <cell r="D1460" t="str">
            <v>72.12.08.04</v>
          </cell>
          <cell r="E1460" t="str">
            <v>CAMIN. ELEETRIF. C/CEST</v>
          </cell>
          <cell r="F1460" t="str">
            <v>h</v>
          </cell>
        </row>
        <row r="1461">
          <cell r="B1461" t="str">
            <v>15.1.211</v>
          </cell>
          <cell r="D1461" t="str">
            <v>72.13.01.01</v>
          </cell>
          <cell r="E1461" t="str">
            <v>CHAS.HIDROS.5600 C-A</v>
          </cell>
          <cell r="F1461" t="str">
            <v>h</v>
          </cell>
        </row>
        <row r="1462">
          <cell r="B1462" t="str">
            <v>15.1.212</v>
          </cell>
          <cell r="D1462" t="str">
            <v>72.13.01.02</v>
          </cell>
          <cell r="E1462" t="str">
            <v>CHAS.HIDROS.5600 C-B</v>
          </cell>
          <cell r="F1462" t="str">
            <v>h</v>
          </cell>
        </row>
        <row r="1463">
          <cell r="B1463" t="str">
            <v>15.1.213</v>
          </cell>
          <cell r="D1463" t="str">
            <v>72.13.01.03</v>
          </cell>
          <cell r="E1463" t="str">
            <v>CHAS.HIDROS.5600 C-C</v>
          </cell>
          <cell r="F1463" t="str">
            <v>h</v>
          </cell>
        </row>
        <row r="1464">
          <cell r="B1464" t="str">
            <v>15.1.214</v>
          </cell>
          <cell r="D1464" t="str">
            <v>72.13.01.04</v>
          </cell>
          <cell r="E1464" t="str">
            <v>CHAS.HIDROS.5600 C-D</v>
          </cell>
          <cell r="F1464" t="str">
            <v>h</v>
          </cell>
        </row>
        <row r="1465">
          <cell r="B1465" t="str">
            <v>15.1.215</v>
          </cell>
          <cell r="D1465" t="str">
            <v>72.13.01.05</v>
          </cell>
          <cell r="E1465" t="str">
            <v>CHAS.HIDROS.5600 C-E</v>
          </cell>
          <cell r="F1465" t="str">
            <v>km</v>
          </cell>
        </row>
        <row r="1466">
          <cell r="B1466" t="str">
            <v>15.1.216</v>
          </cell>
          <cell r="D1466" t="str">
            <v>72.14.01.01</v>
          </cell>
          <cell r="E1466" t="str">
            <v>CHAS.ESPARG.6000 C-A</v>
          </cell>
          <cell r="F1466" t="str">
            <v>h</v>
          </cell>
        </row>
        <row r="1467">
          <cell r="B1467" t="str">
            <v>15.1.217</v>
          </cell>
          <cell r="D1467" t="str">
            <v>72.14.01.02</v>
          </cell>
          <cell r="E1467" t="str">
            <v>CHAS.ESPARG.6000 C-B</v>
          </cell>
          <cell r="F1467" t="str">
            <v>h</v>
          </cell>
        </row>
        <row r="1468">
          <cell r="B1468" t="str">
            <v>15.1.218</v>
          </cell>
          <cell r="D1468" t="str">
            <v>72.14.01.03</v>
          </cell>
          <cell r="E1468" t="str">
            <v>CHAS.ESPARG.6000 C-C</v>
          </cell>
          <cell r="F1468" t="str">
            <v>h</v>
          </cell>
        </row>
        <row r="1469">
          <cell r="B1469" t="str">
            <v>15.1.219</v>
          </cell>
          <cell r="D1469" t="str">
            <v>72.14.01.04</v>
          </cell>
          <cell r="E1469" t="str">
            <v>CHAS.ESPARG.6000 C-D</v>
          </cell>
          <cell r="F1469" t="str">
            <v>h</v>
          </cell>
        </row>
        <row r="1470">
          <cell r="B1470" t="str">
            <v>15.1.220</v>
          </cell>
          <cell r="D1470" t="str">
            <v>72.14.01.05</v>
          </cell>
          <cell r="E1470" t="str">
            <v>CHAS.ESPARG.6000 C-E</v>
          </cell>
          <cell r="F1470" t="str">
            <v>km</v>
          </cell>
        </row>
        <row r="1471">
          <cell r="B1471" t="str">
            <v>15.1.221</v>
          </cell>
          <cell r="D1471" t="str">
            <v>72.15.01.01</v>
          </cell>
          <cell r="E1471" t="str">
            <v>CHAS.GUIN. 3,75T C-A</v>
          </cell>
          <cell r="F1471" t="str">
            <v>h</v>
          </cell>
        </row>
        <row r="1472">
          <cell r="B1472" t="str">
            <v>15.1.222</v>
          </cell>
          <cell r="D1472" t="str">
            <v>72.15.01.02</v>
          </cell>
          <cell r="E1472" t="str">
            <v>CHAS.GUIN. 3,75T C-B</v>
          </cell>
          <cell r="F1472" t="str">
            <v>h</v>
          </cell>
        </row>
        <row r="1473">
          <cell r="B1473" t="str">
            <v>15.1.223</v>
          </cell>
          <cell r="D1473" t="str">
            <v>72.15.01.03</v>
          </cell>
          <cell r="E1473" t="str">
            <v>CHAS.GUIN. 3,75T C-C</v>
          </cell>
          <cell r="F1473" t="str">
            <v>h</v>
          </cell>
        </row>
        <row r="1474">
          <cell r="B1474" t="str">
            <v>15.1.224</v>
          </cell>
          <cell r="D1474" t="str">
            <v>72.15.01.04</v>
          </cell>
          <cell r="E1474" t="str">
            <v>CHAS.GUIN. 3,75T C-D</v>
          </cell>
          <cell r="F1474" t="str">
            <v>h</v>
          </cell>
        </row>
        <row r="1475">
          <cell r="B1475" t="str">
            <v>15.1.225</v>
          </cell>
          <cell r="D1475" t="str">
            <v>72.15.01.05</v>
          </cell>
          <cell r="E1475" t="str">
            <v>CHAS.GUIN. 3,75T C-E</v>
          </cell>
          <cell r="F1475" t="str">
            <v>km</v>
          </cell>
        </row>
        <row r="1476">
          <cell r="B1476" t="str">
            <v>15.1.226</v>
          </cell>
          <cell r="D1476" t="str">
            <v>72.15.02.01</v>
          </cell>
          <cell r="E1476" t="str">
            <v>CHAS.GUINCHO 4,10T C-A</v>
          </cell>
          <cell r="F1476" t="str">
            <v>h</v>
          </cell>
        </row>
        <row r="1477">
          <cell r="B1477" t="str">
            <v>15.1.227</v>
          </cell>
          <cell r="D1477" t="str">
            <v>72.15.02.02</v>
          </cell>
          <cell r="E1477" t="str">
            <v>CHAS.GUINCHO 4,10T C-B</v>
          </cell>
          <cell r="F1477" t="str">
            <v>h</v>
          </cell>
        </row>
        <row r="1478">
          <cell r="B1478" t="str">
            <v>15.1.228</v>
          </cell>
          <cell r="D1478" t="str">
            <v>72.15.02.03</v>
          </cell>
          <cell r="E1478" t="str">
            <v>CHAS.GUINCHO 4,10T C-C</v>
          </cell>
          <cell r="F1478" t="str">
            <v>h</v>
          </cell>
        </row>
        <row r="1479">
          <cell r="B1479" t="str">
            <v>15.1.229</v>
          </cell>
          <cell r="D1479" t="str">
            <v>72.15.02.04</v>
          </cell>
          <cell r="E1479" t="str">
            <v>CHAS.GUINCHO 4,10T C-D</v>
          </cell>
          <cell r="F1479" t="str">
            <v>h</v>
          </cell>
        </row>
        <row r="1480">
          <cell r="B1480" t="str">
            <v>15.1.230</v>
          </cell>
          <cell r="D1480" t="str">
            <v>72.15.02.05</v>
          </cell>
          <cell r="E1480" t="str">
            <v>CHAS.GUINCHO 4,10T C-E</v>
          </cell>
          <cell r="F1480" t="str">
            <v>km</v>
          </cell>
        </row>
        <row r="1481">
          <cell r="B1481" t="str">
            <v>15.1.231</v>
          </cell>
          <cell r="D1481" t="str">
            <v>72.16.01.01</v>
          </cell>
          <cell r="E1481" t="str">
            <v>CHAS.US.L.A.10,5 C-A</v>
          </cell>
          <cell r="F1481" t="str">
            <v>h</v>
          </cell>
        </row>
        <row r="1482">
          <cell r="B1482" t="str">
            <v>15.1.232</v>
          </cell>
          <cell r="D1482" t="str">
            <v>72.16.01.02</v>
          </cell>
          <cell r="E1482" t="str">
            <v>CHAS.US.L.A.10,5 C-B</v>
          </cell>
          <cell r="F1482" t="str">
            <v>h</v>
          </cell>
        </row>
        <row r="1483">
          <cell r="B1483" t="str">
            <v>15.1.233</v>
          </cell>
          <cell r="D1483" t="str">
            <v>72.16.01.03</v>
          </cell>
          <cell r="E1483" t="str">
            <v>CHAS.US.L.A.10,5 C-C</v>
          </cell>
          <cell r="F1483" t="str">
            <v>h</v>
          </cell>
        </row>
        <row r="1484">
          <cell r="B1484" t="str">
            <v>15.1.234</v>
          </cell>
          <cell r="D1484" t="str">
            <v>72.16.01.04</v>
          </cell>
          <cell r="E1484" t="str">
            <v>CHAS.US.L.A.10,5 C-D</v>
          </cell>
          <cell r="F1484" t="str">
            <v>h</v>
          </cell>
        </row>
        <row r="1485">
          <cell r="B1485" t="str">
            <v>15.1.235</v>
          </cell>
          <cell r="D1485" t="str">
            <v>72.16.01.05</v>
          </cell>
          <cell r="E1485" t="str">
            <v>CHAS.US.L.A.10,5 C-E</v>
          </cell>
          <cell r="F1485" t="str">
            <v>km</v>
          </cell>
        </row>
        <row r="1486">
          <cell r="B1486" t="str">
            <v>15.1.236</v>
          </cell>
          <cell r="D1486" t="str">
            <v>72.16.02.01</v>
          </cell>
          <cell r="E1486" t="str">
            <v>CHAS.US.M.P.9M3 C-A</v>
          </cell>
          <cell r="F1486" t="str">
            <v>h</v>
          </cell>
        </row>
        <row r="1487">
          <cell r="B1487" t="str">
            <v>15.1.237</v>
          </cell>
          <cell r="D1487" t="str">
            <v>72.16.02.02</v>
          </cell>
          <cell r="E1487" t="str">
            <v>CHAS.US.M.P.9M3 C-B</v>
          </cell>
          <cell r="F1487" t="str">
            <v>h</v>
          </cell>
        </row>
        <row r="1488">
          <cell r="B1488" t="str">
            <v>15.1.238</v>
          </cell>
          <cell r="D1488" t="str">
            <v>72.16.02.03</v>
          </cell>
          <cell r="E1488" t="str">
            <v>CHAS.US.M.P.9M3 C-C</v>
          </cell>
          <cell r="F1488" t="str">
            <v>h</v>
          </cell>
        </row>
        <row r="1489">
          <cell r="B1489" t="str">
            <v>15.1.239</v>
          </cell>
          <cell r="D1489" t="str">
            <v>72.16.02.04</v>
          </cell>
          <cell r="E1489" t="str">
            <v>CHAS.US.M.P.9M3 C-D</v>
          </cell>
          <cell r="F1489" t="str">
            <v>h</v>
          </cell>
        </row>
        <row r="1490">
          <cell r="B1490" t="str">
            <v>15.1.240</v>
          </cell>
          <cell r="D1490" t="str">
            <v>72.17.01.01</v>
          </cell>
          <cell r="E1490" t="str">
            <v>CHAS.PANT.9M C-A</v>
          </cell>
          <cell r="F1490" t="str">
            <v>h</v>
          </cell>
        </row>
        <row r="1491">
          <cell r="B1491" t="str">
            <v>15.1.241</v>
          </cell>
          <cell r="D1491" t="str">
            <v>72.17.01.02</v>
          </cell>
          <cell r="E1491" t="str">
            <v>CHAS.PANT.9M C-B</v>
          </cell>
          <cell r="F1491" t="str">
            <v>h</v>
          </cell>
        </row>
        <row r="1492">
          <cell r="B1492" t="str">
            <v>15.1.242</v>
          </cell>
          <cell r="D1492" t="str">
            <v>72.17.01.03</v>
          </cell>
          <cell r="E1492" t="str">
            <v>CHAS.PANT.9M C-C</v>
          </cell>
          <cell r="F1492" t="str">
            <v>h</v>
          </cell>
        </row>
        <row r="1493">
          <cell r="B1493" t="str">
            <v>15.1.243</v>
          </cell>
          <cell r="D1493" t="str">
            <v>72.17.01.04</v>
          </cell>
          <cell r="E1493" t="str">
            <v>CHAS.PANT.9M C-D</v>
          </cell>
          <cell r="F1493" t="str">
            <v>h</v>
          </cell>
        </row>
        <row r="1494">
          <cell r="B1494" t="str">
            <v>15.1.244</v>
          </cell>
          <cell r="D1494" t="str">
            <v>72.18.01.01</v>
          </cell>
          <cell r="E1494" t="str">
            <v>CAV.M.CARR.30000 C-A</v>
          </cell>
          <cell r="F1494" t="str">
            <v>h</v>
          </cell>
        </row>
        <row r="1495">
          <cell r="B1495" t="str">
            <v>15.1.245</v>
          </cell>
          <cell r="D1495" t="str">
            <v>72.18.01.02</v>
          </cell>
          <cell r="E1495" t="str">
            <v>CAV.M.CARR.30000 C-B</v>
          </cell>
          <cell r="F1495" t="str">
            <v>h</v>
          </cell>
        </row>
        <row r="1496">
          <cell r="B1496" t="str">
            <v>15.1.246</v>
          </cell>
          <cell r="D1496" t="str">
            <v>72.18.01.03</v>
          </cell>
          <cell r="E1496" t="str">
            <v>CAV.M.CARR.30000 C-C</v>
          </cell>
          <cell r="F1496" t="str">
            <v>h</v>
          </cell>
        </row>
        <row r="1497">
          <cell r="B1497" t="str">
            <v>15.1.247</v>
          </cell>
          <cell r="D1497" t="str">
            <v>72.18.01.04</v>
          </cell>
          <cell r="E1497" t="str">
            <v>CAV.M.CARR.30000 C-D</v>
          </cell>
          <cell r="F1497" t="str">
            <v>h</v>
          </cell>
        </row>
        <row r="1498">
          <cell r="B1498" t="str">
            <v>15.1.248</v>
          </cell>
          <cell r="D1498" t="str">
            <v>72.18.01.05</v>
          </cell>
          <cell r="E1498" t="str">
            <v>CAV.M.CARR.30000 C-E</v>
          </cell>
          <cell r="F1498" t="str">
            <v>km</v>
          </cell>
        </row>
        <row r="1499">
          <cell r="B1499" t="str">
            <v>15.1.249</v>
          </cell>
          <cell r="D1499" t="str">
            <v>72.18.02.01</v>
          </cell>
          <cell r="E1499" t="str">
            <v>CAV.M.PRAN.30000 C-A</v>
          </cell>
          <cell r="F1499" t="str">
            <v>h</v>
          </cell>
        </row>
        <row r="1500">
          <cell r="B1500" t="str">
            <v>15.1.250</v>
          </cell>
          <cell r="D1500" t="str">
            <v>72.18.02.02</v>
          </cell>
          <cell r="E1500" t="str">
            <v>CAV.M.PRAN.30000 C-B</v>
          </cell>
          <cell r="F1500" t="str">
            <v>h</v>
          </cell>
        </row>
        <row r="1501">
          <cell r="B1501" t="str">
            <v>15.1.251</v>
          </cell>
          <cell r="D1501" t="str">
            <v>72.18.02.03</v>
          </cell>
          <cell r="E1501" t="str">
            <v>CAV.M.PRAN.30000 C-C</v>
          </cell>
          <cell r="F1501" t="str">
            <v>h</v>
          </cell>
        </row>
        <row r="1502">
          <cell r="B1502" t="str">
            <v>15.1.252</v>
          </cell>
          <cell r="D1502" t="str">
            <v>72.18.02.04</v>
          </cell>
          <cell r="E1502" t="str">
            <v>CAV.M.PRAN.30000 C-D</v>
          </cell>
          <cell r="F1502" t="str">
            <v>h</v>
          </cell>
        </row>
        <row r="1503">
          <cell r="B1503" t="str">
            <v>15.1.253</v>
          </cell>
          <cell r="D1503" t="str">
            <v>72.18.02.05</v>
          </cell>
          <cell r="E1503" t="str">
            <v>CAV.M.PRAN.30000 C-E</v>
          </cell>
          <cell r="F1503" t="str">
            <v>km</v>
          </cell>
        </row>
        <row r="1504">
          <cell r="B1504" t="str">
            <v>15.1.254</v>
          </cell>
          <cell r="D1504" t="str">
            <v>72.19.01.01</v>
          </cell>
          <cell r="E1504" t="str">
            <v>CAMPANULA C-A</v>
          </cell>
          <cell r="F1504" t="str">
            <v>h</v>
          </cell>
        </row>
        <row r="1505">
          <cell r="B1505" t="str">
            <v>15.1.255</v>
          </cell>
          <cell r="D1505" t="str">
            <v>72.19.01.02</v>
          </cell>
          <cell r="E1505" t="str">
            <v>CAMPANULA C-B</v>
          </cell>
          <cell r="F1505" t="str">
            <v>h</v>
          </cell>
        </row>
        <row r="1506">
          <cell r="B1506" t="str">
            <v>15.1.256</v>
          </cell>
          <cell r="D1506" t="str">
            <v>72.19.01.03</v>
          </cell>
          <cell r="E1506" t="str">
            <v>CAMPANULA C-C</v>
          </cell>
          <cell r="F1506" t="str">
            <v>h</v>
          </cell>
        </row>
        <row r="1507">
          <cell r="B1507" t="str">
            <v>15.1.257</v>
          </cell>
          <cell r="D1507" t="str">
            <v>72.19.01.04</v>
          </cell>
          <cell r="E1507" t="str">
            <v>CAMPANULA C-D</v>
          </cell>
          <cell r="F1507" t="str">
            <v>h</v>
          </cell>
        </row>
        <row r="1508">
          <cell r="B1508" t="str">
            <v>15.1.258</v>
          </cell>
          <cell r="D1508" t="str">
            <v>72.20.01.01</v>
          </cell>
          <cell r="E1508" t="str">
            <v xml:space="preserve">COMP.PERC.M.220 C-A </v>
          </cell>
          <cell r="F1508" t="str">
            <v>h</v>
          </cell>
        </row>
        <row r="1509">
          <cell r="B1509" t="str">
            <v>15.1.259</v>
          </cell>
          <cell r="D1509" t="str">
            <v>72.20.01.02</v>
          </cell>
          <cell r="E1509" t="str">
            <v>COMP.PERC.M.220 C-B</v>
          </cell>
          <cell r="F1509" t="str">
            <v>h</v>
          </cell>
        </row>
        <row r="1510">
          <cell r="B1510" t="str">
            <v>15.1.260</v>
          </cell>
          <cell r="D1510" t="str">
            <v>72.20.01.03</v>
          </cell>
          <cell r="E1510" t="str">
            <v>COMP.PERC.M.220 C-C</v>
          </cell>
          <cell r="F1510" t="str">
            <v>h</v>
          </cell>
        </row>
        <row r="1511">
          <cell r="B1511" t="str">
            <v>15.1.261</v>
          </cell>
          <cell r="D1511" t="str">
            <v>72.20.01.04</v>
          </cell>
          <cell r="E1511" t="str">
            <v>COMP.PERC.M.220 C-D</v>
          </cell>
          <cell r="F1511" t="str">
            <v>h</v>
          </cell>
        </row>
        <row r="1512">
          <cell r="B1512" t="str">
            <v>15.1.262</v>
          </cell>
          <cell r="D1512" t="str">
            <v>72.20.02.01</v>
          </cell>
          <cell r="E1512" t="str">
            <v>COMP.PL.M.1000 C-A</v>
          </cell>
          <cell r="F1512" t="str">
            <v>h</v>
          </cell>
        </row>
        <row r="1513">
          <cell r="B1513" t="str">
            <v>15.1.263</v>
          </cell>
          <cell r="D1513" t="str">
            <v>72.20.02.02</v>
          </cell>
          <cell r="E1513" t="str">
            <v>COMP.PL.M.1000 C-B</v>
          </cell>
          <cell r="F1513" t="str">
            <v>h</v>
          </cell>
        </row>
        <row r="1514">
          <cell r="B1514" t="str">
            <v>15.1.264</v>
          </cell>
          <cell r="D1514" t="str">
            <v>72.20.02.03</v>
          </cell>
          <cell r="E1514" t="str">
            <v>COMP.PL.M.1000 C-C</v>
          </cell>
          <cell r="F1514" t="str">
            <v>h</v>
          </cell>
        </row>
        <row r="1515">
          <cell r="B1515" t="str">
            <v>15.1.265</v>
          </cell>
          <cell r="D1515" t="str">
            <v>72.20.02.04</v>
          </cell>
          <cell r="E1515" t="str">
            <v>COMP.PL.M.1000 C-D</v>
          </cell>
          <cell r="F1515" t="str">
            <v>h</v>
          </cell>
        </row>
        <row r="1516">
          <cell r="B1516" t="str">
            <v>15.1.266</v>
          </cell>
          <cell r="D1516" t="str">
            <v>72.21.01.01</v>
          </cell>
          <cell r="E1516" t="str">
            <v>COMP. XA-90 MWD C-A</v>
          </cell>
          <cell r="F1516" t="str">
            <v>h</v>
          </cell>
        </row>
        <row r="1517">
          <cell r="B1517" t="str">
            <v>15.1.267</v>
          </cell>
          <cell r="D1517" t="str">
            <v>72.21.01.02</v>
          </cell>
          <cell r="E1517" t="str">
            <v>COMP. XA-90 MWD C-B</v>
          </cell>
          <cell r="F1517" t="str">
            <v>h</v>
          </cell>
        </row>
        <row r="1518">
          <cell r="B1518" t="str">
            <v>15.1.268</v>
          </cell>
          <cell r="D1518" t="str">
            <v>72.21.01.03</v>
          </cell>
          <cell r="E1518" t="str">
            <v>COMP. XA-90 MWD C-C</v>
          </cell>
          <cell r="F1518" t="str">
            <v>h</v>
          </cell>
        </row>
        <row r="1519">
          <cell r="B1519" t="str">
            <v>15.1.269</v>
          </cell>
          <cell r="D1519" t="str">
            <v>72.21.01.04</v>
          </cell>
          <cell r="E1519" t="str">
            <v>COMP. XA-90 MWD C-D</v>
          </cell>
          <cell r="F1519" t="str">
            <v>h</v>
          </cell>
        </row>
        <row r="1520">
          <cell r="B1520" t="str">
            <v>15.1.270</v>
          </cell>
          <cell r="D1520" t="str">
            <v>72.21.02.01</v>
          </cell>
          <cell r="E1520" t="str">
            <v>COMP. XA-125 MWD C-A</v>
          </cell>
          <cell r="F1520" t="str">
            <v>h</v>
          </cell>
        </row>
        <row r="1521">
          <cell r="B1521" t="str">
            <v>15.1.271</v>
          </cell>
          <cell r="D1521" t="str">
            <v>72.21.02.02</v>
          </cell>
          <cell r="E1521" t="str">
            <v>COMP. XA-125 MWD C-B</v>
          </cell>
          <cell r="F1521" t="str">
            <v>h</v>
          </cell>
        </row>
        <row r="1522">
          <cell r="B1522" t="str">
            <v>15.1.272</v>
          </cell>
          <cell r="D1522" t="str">
            <v>72.21.02.03</v>
          </cell>
          <cell r="E1522" t="str">
            <v>COMP. XA-125 MWD C-C</v>
          </cell>
          <cell r="F1522" t="str">
            <v>h</v>
          </cell>
        </row>
        <row r="1523">
          <cell r="B1523" t="str">
            <v>15.1.273</v>
          </cell>
          <cell r="D1523" t="str">
            <v>72.21.02.04</v>
          </cell>
          <cell r="E1523" t="str">
            <v>COMP. XA-125 MWD C-D</v>
          </cell>
          <cell r="F1523" t="str">
            <v>h</v>
          </cell>
        </row>
        <row r="1524">
          <cell r="B1524" t="str">
            <v>15.1.274</v>
          </cell>
          <cell r="D1524" t="str">
            <v>72.21.03.01</v>
          </cell>
          <cell r="E1524" t="str">
            <v>COMP. XA-175 MWD C-A</v>
          </cell>
          <cell r="F1524" t="str">
            <v>h</v>
          </cell>
        </row>
        <row r="1525">
          <cell r="B1525" t="str">
            <v>15.1.275</v>
          </cell>
          <cell r="D1525" t="str">
            <v>72.21.03.02</v>
          </cell>
          <cell r="E1525" t="str">
            <v>COMP. XA-175 MWD C-B</v>
          </cell>
          <cell r="F1525" t="str">
            <v>h</v>
          </cell>
        </row>
        <row r="1526">
          <cell r="B1526" t="str">
            <v>15.1.276</v>
          </cell>
          <cell r="D1526" t="str">
            <v>72.21.03.03</v>
          </cell>
          <cell r="E1526" t="str">
            <v>COMP. XA-175 MWD C-C</v>
          </cell>
          <cell r="F1526" t="str">
            <v>h</v>
          </cell>
        </row>
        <row r="1527">
          <cell r="B1527" t="str">
            <v>15.1.277</v>
          </cell>
          <cell r="D1527" t="str">
            <v>72.21.03.04</v>
          </cell>
          <cell r="E1527" t="str">
            <v>COMP. XA-175 MWD C-D</v>
          </cell>
          <cell r="F1527" t="str">
            <v>h</v>
          </cell>
        </row>
        <row r="1528">
          <cell r="B1528" t="str">
            <v>15.1.278</v>
          </cell>
          <cell r="D1528" t="str">
            <v>72.21.04.01</v>
          </cell>
          <cell r="E1528" t="str">
            <v>COMP. XA-360 MWD C-A</v>
          </cell>
          <cell r="F1528" t="str">
            <v>h</v>
          </cell>
        </row>
        <row r="1529">
          <cell r="B1529" t="str">
            <v>15.1.279</v>
          </cell>
          <cell r="D1529" t="str">
            <v>72.21.04.02</v>
          </cell>
          <cell r="E1529" t="str">
            <v>COMP. XA-360 MWD C-B</v>
          </cell>
          <cell r="F1529" t="str">
            <v>h</v>
          </cell>
        </row>
        <row r="1530">
          <cell r="B1530" t="str">
            <v>15.1.280</v>
          </cell>
          <cell r="D1530" t="str">
            <v>72.21.04.03</v>
          </cell>
          <cell r="E1530" t="str">
            <v>COMP. XA-360 MWD C-C</v>
          </cell>
          <cell r="F1530" t="str">
            <v>h</v>
          </cell>
        </row>
        <row r="1531">
          <cell r="B1531" t="str">
            <v>15.1.281</v>
          </cell>
          <cell r="D1531" t="str">
            <v>72.21.04.04</v>
          </cell>
          <cell r="E1531" t="str">
            <v>COMP. XA-360 MWD C-D</v>
          </cell>
          <cell r="F1531" t="str">
            <v>h</v>
          </cell>
        </row>
        <row r="1532">
          <cell r="B1532" t="str">
            <v>15.1.282</v>
          </cell>
          <cell r="D1532" t="str">
            <v>72.22.03.01</v>
          </cell>
          <cell r="E1532" t="str">
            <v>DEM.FAIXA Q. 500L C-A</v>
          </cell>
          <cell r="F1532" t="str">
            <v>h</v>
          </cell>
        </row>
        <row r="1533">
          <cell r="B1533" t="str">
            <v>15.1.283</v>
          </cell>
          <cell r="D1533" t="str">
            <v>72.22.03.02</v>
          </cell>
          <cell r="E1533" t="str">
            <v>DEM.FAIXA Q. 500L C-B</v>
          </cell>
          <cell r="F1533" t="str">
            <v>h</v>
          </cell>
        </row>
        <row r="1534">
          <cell r="B1534" t="str">
            <v>15.1.284</v>
          </cell>
          <cell r="D1534" t="str">
            <v>72.22.03.03</v>
          </cell>
          <cell r="E1534" t="str">
            <v>DEM.FAIXA Q. 500L C-C</v>
          </cell>
          <cell r="F1534" t="str">
            <v>h</v>
          </cell>
        </row>
        <row r="1535">
          <cell r="B1535" t="str">
            <v>15.1.285</v>
          </cell>
          <cell r="D1535" t="str">
            <v>72.22.03.04</v>
          </cell>
          <cell r="E1535" t="str">
            <v>DEM.FAIXA Q. 500L C-D</v>
          </cell>
          <cell r="F1535" t="str">
            <v>h</v>
          </cell>
        </row>
        <row r="1536">
          <cell r="B1536" t="str">
            <v>15.1.286</v>
          </cell>
          <cell r="D1536" t="str">
            <v>72.23.01.01</v>
          </cell>
          <cell r="E1536" t="str">
            <v>DIST.A.S/E 1000 C-A</v>
          </cell>
          <cell r="F1536" t="str">
            <v>h</v>
          </cell>
        </row>
        <row r="1537">
          <cell r="B1537" t="str">
            <v>15.1.287</v>
          </cell>
          <cell r="D1537" t="str">
            <v>72.23.01.02</v>
          </cell>
          <cell r="E1537" t="str">
            <v>DIST.A.S/E 1000 C-B</v>
          </cell>
          <cell r="F1537" t="str">
            <v>h</v>
          </cell>
        </row>
        <row r="1538">
          <cell r="B1538" t="str">
            <v>15.1.288</v>
          </cell>
          <cell r="D1538" t="str">
            <v>72.23.01.03</v>
          </cell>
          <cell r="E1538" t="str">
            <v>DIST.A.S/E 1000 C-C</v>
          </cell>
          <cell r="F1538" t="str">
            <v>h</v>
          </cell>
        </row>
        <row r="1539">
          <cell r="B1539" t="str">
            <v>15.1.289</v>
          </cell>
          <cell r="D1539" t="str">
            <v>72.23.01.04</v>
          </cell>
          <cell r="E1539" t="str">
            <v>DIST.A.S/E 1000 C-D</v>
          </cell>
          <cell r="F1539" t="str">
            <v>h</v>
          </cell>
        </row>
        <row r="1540">
          <cell r="B1540" t="str">
            <v>15.1.290</v>
          </cell>
          <cell r="D1540" t="str">
            <v>72.23.02.01</v>
          </cell>
          <cell r="E1540" t="str">
            <v>DIST.AGR.600T/H C-A</v>
          </cell>
          <cell r="F1540" t="str">
            <v>h</v>
          </cell>
        </row>
        <row r="1541">
          <cell r="B1541" t="str">
            <v>15.1.291</v>
          </cell>
          <cell r="D1541" t="str">
            <v>72.23.02.02</v>
          </cell>
          <cell r="E1541" t="str">
            <v>DIST.AGR.600T/H C-B</v>
          </cell>
          <cell r="F1541" t="str">
            <v>h</v>
          </cell>
        </row>
        <row r="1542">
          <cell r="B1542" t="str">
            <v>15.1.292</v>
          </cell>
          <cell r="D1542" t="str">
            <v>72.23.02.03</v>
          </cell>
          <cell r="E1542" t="str">
            <v>DIST.AGR.600T/H C-C</v>
          </cell>
          <cell r="F1542" t="str">
            <v>h</v>
          </cell>
        </row>
        <row r="1543">
          <cell r="B1543" t="str">
            <v>15.1.293</v>
          </cell>
          <cell r="D1543" t="str">
            <v>72.23.02.04</v>
          </cell>
          <cell r="E1543" t="str">
            <v>DIST.AGR.600T/H C-D</v>
          </cell>
          <cell r="F1543" t="str">
            <v>h</v>
          </cell>
        </row>
        <row r="1544">
          <cell r="B1544" t="str">
            <v>15.1.294</v>
          </cell>
          <cell r="D1544" t="str">
            <v>72.23.03.01</v>
          </cell>
          <cell r="E1544" t="str">
            <v>DISTR.ASF.R.2400 C-A</v>
          </cell>
          <cell r="F1544" t="str">
            <v>h</v>
          </cell>
        </row>
        <row r="1545">
          <cell r="B1545" t="str">
            <v>15.1.295</v>
          </cell>
          <cell r="D1545" t="str">
            <v>72.23.03.02</v>
          </cell>
          <cell r="E1545" t="str">
            <v>DISTR.ASF.R.2400 C-B</v>
          </cell>
          <cell r="F1545" t="str">
            <v>h</v>
          </cell>
        </row>
        <row r="1546">
          <cell r="B1546" t="str">
            <v>15.1.296</v>
          </cell>
          <cell r="D1546" t="str">
            <v>72.23.03.03</v>
          </cell>
          <cell r="E1546" t="str">
            <v>DISTR.ASF.R.2400 C-C</v>
          </cell>
          <cell r="F1546" t="str">
            <v>h</v>
          </cell>
        </row>
        <row r="1547">
          <cell r="B1547" t="str">
            <v>15.1.297</v>
          </cell>
          <cell r="D1547" t="str">
            <v>72.23.03.04</v>
          </cell>
          <cell r="E1547" t="str">
            <v>DISTR.ASF.R.2400 C-D</v>
          </cell>
          <cell r="F1547" t="str">
            <v>h</v>
          </cell>
        </row>
        <row r="1548">
          <cell r="B1548" t="str">
            <v>15.1.298</v>
          </cell>
          <cell r="D1548" t="str">
            <v>72.24.01.01</v>
          </cell>
          <cell r="E1548" t="str">
            <v>DIST.AD. SEM.700L C-A</v>
          </cell>
          <cell r="F1548" t="str">
            <v>h</v>
          </cell>
        </row>
        <row r="1549">
          <cell r="B1549" t="str">
            <v>15.1.299</v>
          </cell>
          <cell r="D1549" t="str">
            <v>72.24.01.02</v>
          </cell>
          <cell r="E1549" t="str">
            <v>DIST.AD. SEM.700L C-B</v>
          </cell>
          <cell r="F1549" t="str">
            <v>h</v>
          </cell>
        </row>
        <row r="1550">
          <cell r="B1550" t="str">
            <v>15.1.300</v>
          </cell>
          <cell r="D1550" t="str">
            <v>72.24.01.03</v>
          </cell>
          <cell r="E1550" t="str">
            <v>DIST.AD. SEM.700L C-C</v>
          </cell>
          <cell r="F1550" t="str">
            <v>h</v>
          </cell>
        </row>
        <row r="1551">
          <cell r="B1551" t="str">
            <v>15.1.301</v>
          </cell>
          <cell r="D1551" t="str">
            <v>72.24.01.04</v>
          </cell>
          <cell r="E1551" t="str">
            <v>DIST.AD. SEM.700L C-D</v>
          </cell>
          <cell r="F1551" t="str">
            <v>h</v>
          </cell>
        </row>
        <row r="1552">
          <cell r="B1552" t="str">
            <v>15.1.302</v>
          </cell>
          <cell r="D1552" t="str">
            <v>72.25.01.01</v>
          </cell>
          <cell r="E1552" t="str">
            <v>DRAGA C/EMB.A.400 C-A</v>
          </cell>
          <cell r="F1552" t="str">
            <v>h</v>
          </cell>
        </row>
        <row r="1553">
          <cell r="B1553" t="str">
            <v>15.1.303</v>
          </cell>
          <cell r="D1553" t="str">
            <v>72.25.01.02</v>
          </cell>
          <cell r="E1553" t="str">
            <v>DRAGA C/EMB.A.400 C-B</v>
          </cell>
          <cell r="F1553" t="str">
            <v>h</v>
          </cell>
        </row>
        <row r="1554">
          <cell r="B1554" t="str">
            <v>15.1.304</v>
          </cell>
          <cell r="D1554" t="str">
            <v>72.25.01.03</v>
          </cell>
          <cell r="E1554" t="str">
            <v>DRAGA C/EMB.A.400 C-C h</v>
          </cell>
          <cell r="F1554" t="str">
            <v>h</v>
          </cell>
        </row>
        <row r="1555">
          <cell r="B1555" t="str">
            <v>15.1.305</v>
          </cell>
          <cell r="D1555" t="str">
            <v>72.25.01.04</v>
          </cell>
          <cell r="E1555" t="str">
            <v>DRAGA C/EMB.A.400 C-D</v>
          </cell>
          <cell r="F1555" t="str">
            <v>h</v>
          </cell>
        </row>
        <row r="1556">
          <cell r="B1556" t="str">
            <v>15.1.306</v>
          </cell>
          <cell r="D1556" t="str">
            <v>72.26.01.01</v>
          </cell>
          <cell r="E1556" t="str">
            <v>EQUIP.VIS.OAE 25M C-A</v>
          </cell>
          <cell r="F1556" t="str">
            <v>h</v>
          </cell>
        </row>
        <row r="1557">
          <cell r="B1557" t="str">
            <v>15.1.307</v>
          </cell>
          <cell r="D1557" t="str">
            <v>72.26.01.02</v>
          </cell>
          <cell r="E1557" t="str">
            <v>EQUIP.VIS.OAE 25M C-B</v>
          </cell>
          <cell r="F1557" t="str">
            <v>h</v>
          </cell>
        </row>
        <row r="1558">
          <cell r="B1558" t="str">
            <v>15.1.308</v>
          </cell>
          <cell r="D1558" t="str">
            <v>72.26.01.03</v>
          </cell>
          <cell r="E1558" t="str">
            <v>EQUIP.VIS.OAE 25M C-C</v>
          </cell>
          <cell r="F1558" t="str">
            <v>h</v>
          </cell>
        </row>
        <row r="1559">
          <cell r="B1559" t="str">
            <v>15.1.309</v>
          </cell>
          <cell r="D1559" t="str">
            <v>72.26.01.04</v>
          </cell>
          <cell r="E1559" t="str">
            <v>EQUIP.VIS.OAE 25M C-D</v>
          </cell>
          <cell r="F1559" t="str">
            <v>h</v>
          </cell>
        </row>
        <row r="1560">
          <cell r="B1560" t="str">
            <v>15.1.310</v>
          </cell>
          <cell r="D1560" t="str">
            <v>72.26.02.01</v>
          </cell>
          <cell r="E1560" t="str">
            <v>EQ.VIS.OAE 12,14M C-A</v>
          </cell>
          <cell r="F1560" t="str">
            <v>h</v>
          </cell>
        </row>
        <row r="1561">
          <cell r="B1561" t="str">
            <v>15.1.311</v>
          </cell>
          <cell r="D1561" t="str">
            <v>72.26.02.02</v>
          </cell>
          <cell r="E1561" t="str">
            <v>EQ.VIS.OAE 12,14M C-B</v>
          </cell>
          <cell r="F1561" t="str">
            <v>h</v>
          </cell>
        </row>
        <row r="1562">
          <cell r="B1562" t="str">
            <v>15.1.312</v>
          </cell>
          <cell r="D1562" t="str">
            <v>72.26.02.03</v>
          </cell>
          <cell r="E1562" t="str">
            <v>EQ.VIS.OAE 12,14M C-C</v>
          </cell>
          <cell r="F1562" t="str">
            <v>h</v>
          </cell>
        </row>
        <row r="1563">
          <cell r="B1563" t="str">
            <v>15.1.313</v>
          </cell>
          <cell r="D1563" t="str">
            <v>72.26.02.04</v>
          </cell>
          <cell r="E1563" t="str">
            <v xml:space="preserve">EQ.VIS.OAE 12,14M C-D </v>
          </cell>
          <cell r="F1563" t="str">
            <v>h</v>
          </cell>
        </row>
        <row r="1564">
          <cell r="B1564" t="str">
            <v>15.1.314</v>
          </cell>
          <cell r="D1564" t="str">
            <v>72.26.03.01</v>
          </cell>
          <cell r="E1564" t="str">
            <v>EQ.VIS.OAE 7,62M C-A</v>
          </cell>
          <cell r="F1564" t="str">
            <v>h</v>
          </cell>
        </row>
        <row r="1565">
          <cell r="B1565" t="str">
            <v>15.1.315</v>
          </cell>
          <cell r="D1565" t="str">
            <v>72.26.03.02</v>
          </cell>
          <cell r="E1565" t="str">
            <v>EQ.VIS.OAE 7,62M C-B</v>
          </cell>
          <cell r="F1565" t="str">
            <v>h</v>
          </cell>
        </row>
        <row r="1566">
          <cell r="B1566" t="str">
            <v>15.1.316</v>
          </cell>
          <cell r="D1566" t="str">
            <v>72.26.03.03</v>
          </cell>
          <cell r="E1566" t="str">
            <v>EQ.VIS.OAE 7,62M C-C</v>
          </cell>
          <cell r="F1566" t="str">
            <v>h</v>
          </cell>
        </row>
        <row r="1567">
          <cell r="B1567" t="str">
            <v>15.1.317</v>
          </cell>
          <cell r="D1567" t="str">
            <v>72.26.03.04</v>
          </cell>
          <cell r="E1567" t="str">
            <v>EQ.VIS.OAE 7,62M C-D</v>
          </cell>
          <cell r="F1567" t="str">
            <v>h</v>
          </cell>
        </row>
        <row r="1568">
          <cell r="B1568" t="str">
            <v>15.1.318</v>
          </cell>
          <cell r="D1568" t="str">
            <v xml:space="preserve">72.26.04.06 </v>
          </cell>
          <cell r="E1568" t="str">
            <v>E. LAB. CAMPO/SEDE C-F</v>
          </cell>
          <cell r="F1568" t="str">
            <v>equip. mensal</v>
          </cell>
        </row>
        <row r="1569">
          <cell r="B1569" t="str">
            <v>15.1.319</v>
          </cell>
          <cell r="D1569" t="str">
            <v>72.27.01.01</v>
          </cell>
          <cell r="E1569" t="str">
            <v>ESC.H.S/ES.0,7M3 C-A</v>
          </cell>
          <cell r="F1569" t="str">
            <v>h</v>
          </cell>
        </row>
        <row r="1570">
          <cell r="B1570" t="str">
            <v>15.1.320</v>
          </cell>
          <cell r="D1570" t="str">
            <v>72.27.01.02</v>
          </cell>
          <cell r="E1570" t="str">
            <v>ESC.H.S/ES.0,7M3 C-B</v>
          </cell>
          <cell r="F1570" t="str">
            <v>h</v>
          </cell>
        </row>
        <row r="1571">
          <cell r="B1571" t="str">
            <v>15.1.321</v>
          </cell>
          <cell r="D1571" t="str">
            <v>72.27.01.03</v>
          </cell>
          <cell r="E1571" t="str">
            <v>ESC.H.S/ES.0,7M3 C-C</v>
          </cell>
          <cell r="F1571" t="str">
            <v>h</v>
          </cell>
        </row>
        <row r="1572">
          <cell r="B1572" t="str">
            <v>15.1.322</v>
          </cell>
          <cell r="D1572" t="str">
            <v>72.27.01.04</v>
          </cell>
          <cell r="E1572" t="str">
            <v>ESC.H.S/ES.0,7M3 C-D</v>
          </cell>
          <cell r="F1572" t="str">
            <v>h</v>
          </cell>
        </row>
        <row r="1573">
          <cell r="B1573" t="str">
            <v>15.1.323</v>
          </cell>
          <cell r="D1573" t="str">
            <v>72.27.02.01</v>
          </cell>
          <cell r="E1573" t="str">
            <v>ESC.H.S/ES.0,6M3 C-A</v>
          </cell>
          <cell r="F1573" t="str">
            <v>h</v>
          </cell>
        </row>
        <row r="1574">
          <cell r="B1574" t="str">
            <v>15.1.324</v>
          </cell>
          <cell r="D1574" t="str">
            <v>72.27.02.02</v>
          </cell>
          <cell r="E1574" t="str">
            <v xml:space="preserve">ESC.H.S/ES.0,6M3 C-B </v>
          </cell>
          <cell r="F1574" t="str">
            <v>h</v>
          </cell>
        </row>
        <row r="1575">
          <cell r="B1575" t="str">
            <v>15.1.325</v>
          </cell>
          <cell r="D1575" t="str">
            <v>72.27.02.03</v>
          </cell>
          <cell r="E1575" t="str">
            <v>ESC.H.S/ES.0,6M3 C-C</v>
          </cell>
          <cell r="F1575" t="str">
            <v>h</v>
          </cell>
        </row>
        <row r="1576">
          <cell r="B1576" t="str">
            <v>15.1.326</v>
          </cell>
          <cell r="D1576" t="str">
            <v>72.27.02.04</v>
          </cell>
          <cell r="E1576" t="str">
            <v>ESC.H.S/ES.0,6M3 C-D</v>
          </cell>
          <cell r="F1576" t="str">
            <v>h</v>
          </cell>
        </row>
        <row r="1577">
          <cell r="B1577" t="str">
            <v>15.1.327</v>
          </cell>
          <cell r="D1577" t="str">
            <v>72.27.03.01</v>
          </cell>
          <cell r="E1577" t="str">
            <v xml:space="preserve">ESC.H.S/ES.0,62M3 C-A </v>
          </cell>
          <cell r="F1577" t="str">
            <v>h</v>
          </cell>
        </row>
        <row r="1578">
          <cell r="B1578" t="str">
            <v>15.1.328</v>
          </cell>
          <cell r="D1578" t="str">
            <v>72.27.03.02</v>
          </cell>
          <cell r="E1578" t="str">
            <v>ESC.H.S/ES.0,62M3 C-B</v>
          </cell>
          <cell r="F1578" t="str">
            <v>h</v>
          </cell>
        </row>
        <row r="1579">
          <cell r="B1579" t="str">
            <v>15.1.329</v>
          </cell>
          <cell r="D1579" t="str">
            <v>72.27.03.03</v>
          </cell>
          <cell r="E1579" t="str">
            <v>ESC.H.S/ES.0,62M3 C-C</v>
          </cell>
          <cell r="F1579" t="str">
            <v>h</v>
          </cell>
        </row>
        <row r="1580">
          <cell r="B1580" t="str">
            <v>15.1.330</v>
          </cell>
          <cell r="D1580" t="str">
            <v>72.27.03.04</v>
          </cell>
          <cell r="E1580" t="str">
            <v>ESC.H.S/ES.0,62M3 C-D</v>
          </cell>
          <cell r="F1580" t="str">
            <v>h</v>
          </cell>
        </row>
        <row r="1581">
          <cell r="B1581" t="str">
            <v>15.1.331</v>
          </cell>
          <cell r="D1581" t="str">
            <v>72.27.04.01</v>
          </cell>
          <cell r="E1581" t="str">
            <v>ESC.H.S/ES.2,2M3 C-A</v>
          </cell>
          <cell r="F1581" t="str">
            <v>h</v>
          </cell>
        </row>
        <row r="1582">
          <cell r="B1582" t="str">
            <v>15.1.332</v>
          </cell>
          <cell r="D1582" t="str">
            <v>72.27.04.02</v>
          </cell>
          <cell r="E1582" t="str">
            <v>ESC.H.S/ES.2,2M3 C-B</v>
          </cell>
          <cell r="F1582" t="str">
            <v>h</v>
          </cell>
        </row>
        <row r="1583">
          <cell r="B1583" t="str">
            <v>15.1.333</v>
          </cell>
          <cell r="D1583" t="str">
            <v>72.27.04.03</v>
          </cell>
          <cell r="E1583" t="str">
            <v>ESC.H.S/ES.2,2M3 C-C</v>
          </cell>
          <cell r="F1583" t="str">
            <v>h</v>
          </cell>
        </row>
        <row r="1584">
          <cell r="B1584" t="str">
            <v>15.1.334</v>
          </cell>
          <cell r="D1584" t="str">
            <v>72.27.04.04</v>
          </cell>
          <cell r="E1584" t="str">
            <v>ESC.H.S/ES.2,2M3 C-D</v>
          </cell>
          <cell r="F1584" t="str">
            <v>h</v>
          </cell>
        </row>
        <row r="1585">
          <cell r="B1585" t="str">
            <v>15.1.335</v>
          </cell>
          <cell r="D1585" t="str">
            <v>72.27.05.01</v>
          </cell>
          <cell r="E1585" t="str">
            <v>ESC.H.S/PN0,25M3 C-A</v>
          </cell>
          <cell r="F1585" t="str">
            <v>h</v>
          </cell>
        </row>
        <row r="1586">
          <cell r="B1586" t="str">
            <v>15.1.336</v>
          </cell>
          <cell r="D1586" t="str">
            <v>72.27.05.02</v>
          </cell>
          <cell r="E1586" t="str">
            <v>ESC.H.S/PN0,25M3 C-B</v>
          </cell>
          <cell r="F1586" t="str">
            <v>h</v>
          </cell>
        </row>
        <row r="1587">
          <cell r="B1587" t="str">
            <v>15.1.337</v>
          </cell>
          <cell r="D1587" t="str">
            <v>72.27.05.03</v>
          </cell>
          <cell r="E1587" t="str">
            <v>ESC.H.S/PN0,25M3 C-C</v>
          </cell>
          <cell r="F1587" t="str">
            <v>h</v>
          </cell>
        </row>
        <row r="1588">
          <cell r="B1588" t="str">
            <v>15.1.338</v>
          </cell>
          <cell r="D1588" t="str">
            <v>72.27.05.04</v>
          </cell>
          <cell r="E1588" t="str">
            <v>ESC.H.S/PN0,25M3 C-D</v>
          </cell>
          <cell r="F1588" t="str">
            <v>h</v>
          </cell>
        </row>
        <row r="1589">
          <cell r="B1589" t="str">
            <v>15.1.339</v>
          </cell>
          <cell r="D1589" t="str">
            <v>72.28.01.01</v>
          </cell>
          <cell r="E1589" t="str">
            <v>EMPILHAD.2500KG C-A</v>
          </cell>
          <cell r="F1589" t="str">
            <v>h</v>
          </cell>
        </row>
        <row r="1590">
          <cell r="B1590" t="str">
            <v>15.1.340</v>
          </cell>
          <cell r="D1590" t="str">
            <v>72.28.01.02</v>
          </cell>
          <cell r="E1590" t="str">
            <v>EMPILHAD.2500KG C-B</v>
          </cell>
          <cell r="F1590" t="str">
            <v>h</v>
          </cell>
        </row>
        <row r="1591">
          <cell r="B1591" t="str">
            <v>15.1.341</v>
          </cell>
          <cell r="D1591" t="str">
            <v>72.28.01.03</v>
          </cell>
          <cell r="E1591" t="str">
            <v xml:space="preserve">EMPILHAD.2500KG C-C </v>
          </cell>
          <cell r="F1591" t="str">
            <v>h</v>
          </cell>
        </row>
        <row r="1592">
          <cell r="B1592" t="str">
            <v>15.1.342</v>
          </cell>
          <cell r="D1592" t="str">
            <v>72.28.01.04</v>
          </cell>
          <cell r="E1592" t="str">
            <v>EMPILHAD.2500KG C-D</v>
          </cell>
          <cell r="F1592" t="str">
            <v>h</v>
          </cell>
        </row>
        <row r="1593">
          <cell r="B1593" t="str">
            <v>15.1.343</v>
          </cell>
          <cell r="D1593" t="str">
            <v>72.28.02.01</v>
          </cell>
          <cell r="E1593" t="str">
            <v>EMPILHAD.5000KG C-A</v>
          </cell>
          <cell r="F1593" t="str">
            <v>h</v>
          </cell>
        </row>
        <row r="1594">
          <cell r="B1594" t="str">
            <v>15.1.344</v>
          </cell>
          <cell r="D1594" t="str">
            <v>72.28.02.02</v>
          </cell>
          <cell r="E1594" t="str">
            <v>EMPILHAD.5000KG C-B</v>
          </cell>
          <cell r="F1594" t="str">
            <v>h</v>
          </cell>
        </row>
        <row r="1595">
          <cell r="B1595" t="str">
            <v>15.1.345</v>
          </cell>
          <cell r="D1595" t="str">
            <v>72.28.02.03</v>
          </cell>
          <cell r="E1595" t="str">
            <v>EMPILHAD.5000KG C-C</v>
          </cell>
          <cell r="F1595" t="str">
            <v>h</v>
          </cell>
        </row>
        <row r="1596">
          <cell r="B1596" t="str">
            <v>15.1.346</v>
          </cell>
          <cell r="D1596" t="str">
            <v>72.28.02.04</v>
          </cell>
          <cell r="E1596" t="str">
            <v>EMPILHAD.5000KG C-D</v>
          </cell>
          <cell r="F1596" t="str">
            <v>h</v>
          </cell>
        </row>
        <row r="1597">
          <cell r="B1597" t="str">
            <v>15.1.347</v>
          </cell>
          <cell r="D1597" t="str">
            <v>72.29.01.01</v>
          </cell>
          <cell r="E1597" t="str">
            <v>FRES.F.S/PN 150 C-A</v>
          </cell>
          <cell r="F1597" t="str">
            <v>h</v>
          </cell>
        </row>
        <row r="1598">
          <cell r="B1598" t="str">
            <v>15.1.348</v>
          </cell>
          <cell r="D1598" t="str">
            <v>72.29.01.02</v>
          </cell>
          <cell r="E1598" t="str">
            <v>FRES.F.S/PN 150 C-B</v>
          </cell>
          <cell r="F1598" t="str">
            <v>h</v>
          </cell>
        </row>
        <row r="1599">
          <cell r="B1599" t="str">
            <v>15.1.349</v>
          </cell>
          <cell r="D1599" t="str">
            <v>72.29.01.03</v>
          </cell>
          <cell r="E1599" t="str">
            <v xml:space="preserve">FRES.F.S/PN 150 C-C </v>
          </cell>
          <cell r="F1599" t="str">
            <v>h</v>
          </cell>
        </row>
        <row r="1600">
          <cell r="B1600" t="str">
            <v>15.1.350</v>
          </cell>
          <cell r="D1600" t="str">
            <v>72.29.01.04</v>
          </cell>
          <cell r="E1600" t="str">
            <v>FRES.F.S/PN 150 C-D</v>
          </cell>
          <cell r="F1600" t="str">
            <v>h</v>
          </cell>
        </row>
        <row r="1601">
          <cell r="B1601" t="str">
            <v>15.1.351</v>
          </cell>
          <cell r="D1601" t="str">
            <v>72.29.02.01</v>
          </cell>
          <cell r="E1601" t="str">
            <v>FRES.F.S/EST.403 C-A</v>
          </cell>
          <cell r="F1601" t="str">
            <v>h</v>
          </cell>
        </row>
        <row r="1602">
          <cell r="B1602" t="str">
            <v>15.1.352</v>
          </cell>
          <cell r="D1602" t="str">
            <v>72.29.02.02</v>
          </cell>
          <cell r="E1602" t="str">
            <v>FRES.F.S/EST.403 C-B</v>
          </cell>
          <cell r="F1602" t="str">
            <v>h</v>
          </cell>
        </row>
        <row r="1603">
          <cell r="B1603" t="str">
            <v>15.1.353</v>
          </cell>
          <cell r="D1603" t="str">
            <v>72.29.02.03</v>
          </cell>
          <cell r="E1603" t="str">
            <v>FRES.F.S/EST.403 C-C</v>
          </cell>
          <cell r="F1603" t="str">
            <v>h</v>
          </cell>
        </row>
        <row r="1604">
          <cell r="B1604" t="str">
            <v>15.1.354</v>
          </cell>
          <cell r="D1604" t="str">
            <v>72.29.02.04</v>
          </cell>
          <cell r="E1604" t="str">
            <v>FRES.F.S/EST.403 C-D</v>
          </cell>
          <cell r="F1604" t="str">
            <v>h</v>
          </cell>
        </row>
        <row r="1605">
          <cell r="B1605" t="str">
            <v>15.1.355</v>
          </cell>
          <cell r="D1605" t="str">
            <v>72.31.01.01</v>
          </cell>
          <cell r="E1605" t="str">
            <v>GRUP.GERAD.40KVA C-A</v>
          </cell>
          <cell r="F1605" t="str">
            <v>h</v>
          </cell>
        </row>
        <row r="1606">
          <cell r="B1606" t="str">
            <v>15.1.356</v>
          </cell>
          <cell r="D1606" t="str">
            <v>72.31.01.02</v>
          </cell>
          <cell r="E1606" t="str">
            <v>GRUP.GERAD.40KVA C-B</v>
          </cell>
          <cell r="F1606" t="str">
            <v>h</v>
          </cell>
        </row>
        <row r="1607">
          <cell r="B1607" t="str">
            <v>15.1.357</v>
          </cell>
          <cell r="D1607" t="str">
            <v>72.31.01.03</v>
          </cell>
          <cell r="E1607" t="str">
            <v>GRUP.GERAD.40KVA C-C</v>
          </cell>
          <cell r="F1607" t="str">
            <v>h</v>
          </cell>
        </row>
        <row r="1608">
          <cell r="B1608" t="str">
            <v>15.1.358</v>
          </cell>
          <cell r="D1608" t="str">
            <v>72.31.01.04</v>
          </cell>
          <cell r="E1608" t="str">
            <v>GRUP.GERAD.40 KVA C-D</v>
          </cell>
          <cell r="F1608" t="str">
            <v>h</v>
          </cell>
        </row>
        <row r="1609">
          <cell r="B1609" t="str">
            <v>15.1.359</v>
          </cell>
          <cell r="D1609" t="str">
            <v>72.31.02.01</v>
          </cell>
          <cell r="E1609" t="str">
            <v>GRUP.GERAD.55 KVA C-A</v>
          </cell>
          <cell r="F1609" t="str">
            <v>h</v>
          </cell>
        </row>
        <row r="1610">
          <cell r="B1610" t="str">
            <v>15.1.360</v>
          </cell>
          <cell r="D1610" t="str">
            <v>72.31.02.02</v>
          </cell>
          <cell r="E1610" t="str">
            <v>GRUP.GERAD.55 KVA C-B</v>
          </cell>
          <cell r="F1610" t="str">
            <v>h</v>
          </cell>
        </row>
        <row r="1611">
          <cell r="B1611" t="str">
            <v>15.1.361</v>
          </cell>
          <cell r="D1611" t="str">
            <v>72.31.02.03</v>
          </cell>
          <cell r="E1611" t="str">
            <v>GRUP.GERAD.55 KVA C-C</v>
          </cell>
          <cell r="F1611" t="str">
            <v>h</v>
          </cell>
        </row>
        <row r="1612">
          <cell r="B1612" t="str">
            <v>15.1.362</v>
          </cell>
          <cell r="D1612" t="str">
            <v>72.31.02.04</v>
          </cell>
          <cell r="E1612" t="str">
            <v>GRUP.GERAD.55 KVA C-D</v>
          </cell>
          <cell r="F1612" t="str">
            <v>h</v>
          </cell>
        </row>
        <row r="1613">
          <cell r="B1613" t="str">
            <v>15.1.363</v>
          </cell>
          <cell r="D1613" t="str">
            <v>72.31.03.01</v>
          </cell>
          <cell r="E1613" t="str">
            <v>GRUP.GERAD.83 KVA C-A</v>
          </cell>
          <cell r="F1613" t="str">
            <v>h</v>
          </cell>
        </row>
        <row r="1614">
          <cell r="B1614" t="str">
            <v>15.1.364</v>
          </cell>
          <cell r="D1614" t="str">
            <v>72.31.03.02</v>
          </cell>
          <cell r="E1614" t="str">
            <v>GRUP.GERAD.83 KVA C-B</v>
          </cell>
          <cell r="F1614" t="str">
            <v>h</v>
          </cell>
        </row>
        <row r="1615">
          <cell r="B1615" t="str">
            <v>15.1.365</v>
          </cell>
          <cell r="D1615" t="str">
            <v>72.31.03.03</v>
          </cell>
          <cell r="E1615" t="str">
            <v>GRUP.GERAD.83 KVA C-C</v>
          </cell>
          <cell r="F1615" t="str">
            <v>h</v>
          </cell>
        </row>
        <row r="1616">
          <cell r="B1616" t="str">
            <v>15.1.366</v>
          </cell>
          <cell r="D1616" t="str">
            <v>72.31.03.04</v>
          </cell>
          <cell r="E1616" t="str">
            <v>GRUP.GERAD.83 KVA C-D</v>
          </cell>
          <cell r="F1616" t="str">
            <v>h</v>
          </cell>
        </row>
        <row r="1617">
          <cell r="B1617" t="str">
            <v>15.1.367</v>
          </cell>
          <cell r="D1617" t="str">
            <v>72.31.04.01</v>
          </cell>
          <cell r="E1617" t="str">
            <v>G.GERADOR 115 KVA C-A</v>
          </cell>
          <cell r="F1617" t="str">
            <v>h</v>
          </cell>
        </row>
        <row r="1618">
          <cell r="B1618" t="str">
            <v>15.1.368</v>
          </cell>
          <cell r="D1618" t="str">
            <v>72.31.04.02</v>
          </cell>
          <cell r="E1618" t="str">
            <v>G.GERADOR 115 KVA C-B</v>
          </cell>
          <cell r="F1618" t="str">
            <v>h</v>
          </cell>
        </row>
        <row r="1619">
          <cell r="B1619" t="str">
            <v>15.1.369</v>
          </cell>
          <cell r="D1619" t="str">
            <v>72.31.04.03</v>
          </cell>
          <cell r="E1619" t="str">
            <v>G.GERADOR 115 KVA C-C</v>
          </cell>
          <cell r="F1619" t="str">
            <v>h</v>
          </cell>
        </row>
        <row r="1620">
          <cell r="B1620" t="str">
            <v>15.1.370</v>
          </cell>
          <cell r="D1620" t="str">
            <v>72.31.04.04</v>
          </cell>
          <cell r="E1620" t="str">
            <v>G.GERADOR 115 KVA C-D</v>
          </cell>
          <cell r="F1620" t="str">
            <v>h</v>
          </cell>
        </row>
        <row r="1621">
          <cell r="B1621" t="str">
            <v>15.1.371</v>
          </cell>
          <cell r="D1621" t="str">
            <v>72.31.05.01</v>
          </cell>
          <cell r="E1621" t="str">
            <v>G.GER.POR.3,5KVA C-A</v>
          </cell>
          <cell r="F1621" t="str">
            <v>h</v>
          </cell>
        </row>
        <row r="1622">
          <cell r="B1622" t="str">
            <v>15.1.372</v>
          </cell>
          <cell r="D1622" t="str">
            <v>72.31.05.02</v>
          </cell>
          <cell r="E1622" t="str">
            <v>G.GER.POR.3,5KVA C-B</v>
          </cell>
          <cell r="F1622" t="str">
            <v>h</v>
          </cell>
        </row>
        <row r="1623">
          <cell r="B1623" t="str">
            <v>15.1.373</v>
          </cell>
          <cell r="D1623" t="str">
            <v>72.31.05.03</v>
          </cell>
          <cell r="E1623" t="str">
            <v>G.GER.POR.3,5KVA C-C</v>
          </cell>
          <cell r="F1623" t="str">
            <v>h</v>
          </cell>
        </row>
        <row r="1624">
          <cell r="B1624" t="str">
            <v>15.1.374</v>
          </cell>
          <cell r="D1624" t="str">
            <v>72.31.05.04</v>
          </cell>
          <cell r="E1624" t="str">
            <v>G.GER.POR.3,5KVA C-D</v>
          </cell>
          <cell r="F1624" t="str">
            <v>h</v>
          </cell>
        </row>
        <row r="1625">
          <cell r="B1625" t="str">
            <v>15.1.375</v>
          </cell>
          <cell r="D1625" t="str">
            <v>72.31.06.01</v>
          </cell>
          <cell r="E1625" t="str">
            <v>G.GER.POR.7KVA C-A</v>
          </cell>
          <cell r="F1625" t="str">
            <v>h</v>
          </cell>
        </row>
        <row r="1626">
          <cell r="B1626" t="str">
            <v>15.1.376</v>
          </cell>
          <cell r="D1626" t="str">
            <v>72.31.06.02</v>
          </cell>
          <cell r="E1626" t="str">
            <v>G.GER.POR.7KVA C-B</v>
          </cell>
          <cell r="F1626" t="str">
            <v>h</v>
          </cell>
        </row>
        <row r="1627">
          <cell r="B1627" t="str">
            <v>15.1.377</v>
          </cell>
          <cell r="D1627" t="str">
            <v>72.31.06.03</v>
          </cell>
          <cell r="E1627" t="str">
            <v>G.GER.POR.7KVA C-C</v>
          </cell>
          <cell r="F1627" t="str">
            <v>h</v>
          </cell>
        </row>
        <row r="1628">
          <cell r="B1628" t="str">
            <v>15.1.378</v>
          </cell>
          <cell r="D1628" t="str">
            <v>72.31.06.04</v>
          </cell>
          <cell r="E1628" t="str">
            <v>G.GER.POR.7KVA C-D</v>
          </cell>
          <cell r="F1628" t="str">
            <v>h</v>
          </cell>
        </row>
        <row r="1629">
          <cell r="B1629" t="str">
            <v>15.1.379</v>
          </cell>
          <cell r="D1629" t="str">
            <v>72.32.01.01</v>
          </cell>
          <cell r="E1629" t="str">
            <v>GUIN.ELET.COL.30MC-A</v>
          </cell>
          <cell r="F1629" t="str">
            <v>h</v>
          </cell>
        </row>
        <row r="1630">
          <cell r="B1630" t="str">
            <v>15.1.380</v>
          </cell>
          <cell r="D1630" t="str">
            <v>72.32.01.02</v>
          </cell>
          <cell r="E1630" t="str">
            <v>GUIN.ELET.COL.30MC-B</v>
          </cell>
          <cell r="F1630" t="str">
            <v>h</v>
          </cell>
        </row>
        <row r="1631">
          <cell r="B1631" t="str">
            <v>15.1.381</v>
          </cell>
          <cell r="D1631" t="str">
            <v>72.32.01.03</v>
          </cell>
          <cell r="E1631" t="str">
            <v>GUIN.ELET.COL.30MC-C</v>
          </cell>
          <cell r="F1631" t="str">
            <v>h</v>
          </cell>
        </row>
        <row r="1632">
          <cell r="B1632" t="str">
            <v>15.1.382</v>
          </cell>
          <cell r="D1632" t="str">
            <v>72.32.01.04</v>
          </cell>
          <cell r="E1632" t="str">
            <v>GUIN.ELET.COL.30MC-D</v>
          </cell>
          <cell r="F1632" t="str">
            <v>h</v>
          </cell>
        </row>
        <row r="1633">
          <cell r="B1633" t="str">
            <v>15.1.383</v>
          </cell>
          <cell r="D1633" t="str">
            <v>72.32.02.01</v>
          </cell>
          <cell r="E1633" t="str">
            <v>GUIN.ELET.EL.30M C-A</v>
          </cell>
          <cell r="F1633" t="str">
            <v>h</v>
          </cell>
        </row>
        <row r="1634">
          <cell r="B1634" t="str">
            <v>15.1.384</v>
          </cell>
          <cell r="D1634" t="str">
            <v>72.32.02.02</v>
          </cell>
          <cell r="E1634" t="str">
            <v>GUIN.ELET.EL.30M C-B</v>
          </cell>
          <cell r="F1634" t="str">
            <v>h</v>
          </cell>
        </row>
        <row r="1635">
          <cell r="B1635" t="str">
            <v>15.1.385</v>
          </cell>
          <cell r="D1635" t="str">
            <v>72.32.02.03</v>
          </cell>
          <cell r="E1635" t="str">
            <v>GUIN.ELET.EL.30M C-C</v>
          </cell>
          <cell r="F1635" t="str">
            <v>h</v>
          </cell>
        </row>
        <row r="1636">
          <cell r="B1636" t="str">
            <v>15.1.386</v>
          </cell>
          <cell r="D1636" t="str">
            <v>72.32.02.04</v>
          </cell>
          <cell r="E1636" t="str">
            <v>GUIN.ELET.EL.30M C-D</v>
          </cell>
          <cell r="F1636" t="str">
            <v>h</v>
          </cell>
        </row>
        <row r="1637">
          <cell r="B1637" t="str">
            <v>15.1.387</v>
          </cell>
          <cell r="D1637" t="str">
            <v>72.33.01.01</v>
          </cell>
          <cell r="E1637" t="str">
            <v>GUIN.H.S/PN 20T C-A</v>
          </cell>
          <cell r="F1637" t="str">
            <v>h</v>
          </cell>
        </row>
        <row r="1638">
          <cell r="B1638" t="str">
            <v>15.1.388</v>
          </cell>
          <cell r="D1638" t="str">
            <v>72.33.01.02</v>
          </cell>
          <cell r="E1638" t="str">
            <v>GUIN.H.S/PN 20T C-B h</v>
          </cell>
          <cell r="F1638" t="str">
            <v>h</v>
          </cell>
        </row>
        <row r="1639">
          <cell r="B1639" t="str">
            <v>15.1.389</v>
          </cell>
          <cell r="D1639" t="str">
            <v>72.33.01.03</v>
          </cell>
          <cell r="E1639" t="str">
            <v>GUIN.H.S/PN 20T C-C</v>
          </cell>
          <cell r="F1639" t="str">
            <v>h</v>
          </cell>
        </row>
        <row r="1640">
          <cell r="B1640" t="str">
            <v>15.1.390</v>
          </cell>
          <cell r="D1640" t="str">
            <v>72.33.01.04</v>
          </cell>
          <cell r="E1640" t="str">
            <v>GUIN.H.S/PN 20T C-D</v>
          </cell>
          <cell r="F1640" t="str">
            <v>h</v>
          </cell>
        </row>
        <row r="1641">
          <cell r="B1641" t="str">
            <v>15.1.391</v>
          </cell>
          <cell r="D1641" t="str">
            <v>72.33.02.01</v>
          </cell>
          <cell r="E1641" t="str">
            <v>GUIN.H.S/PN27,2T C-A</v>
          </cell>
          <cell r="F1641" t="str">
            <v>h</v>
          </cell>
        </row>
        <row r="1642">
          <cell r="B1642" t="str">
            <v>15.1.392</v>
          </cell>
          <cell r="D1642" t="str">
            <v>72.33.02.02</v>
          </cell>
          <cell r="E1642" t="str">
            <v>GUIN.H.S/PN27,2T C-B</v>
          </cell>
          <cell r="F1642" t="str">
            <v>h</v>
          </cell>
        </row>
        <row r="1643">
          <cell r="B1643" t="str">
            <v>15.1.393</v>
          </cell>
          <cell r="D1643" t="str">
            <v>72.33.02.03</v>
          </cell>
          <cell r="E1643" t="str">
            <v>GUIN.H.S/PN27,2T C-C</v>
          </cell>
          <cell r="F1643" t="str">
            <v>h</v>
          </cell>
        </row>
        <row r="1644">
          <cell r="B1644" t="str">
            <v>15.1.394</v>
          </cell>
          <cell r="D1644" t="str">
            <v>72.33.02.04</v>
          </cell>
          <cell r="E1644" t="str">
            <v>GUIN.H.S/PN27,2T C-D</v>
          </cell>
          <cell r="F1644" t="str">
            <v>h</v>
          </cell>
        </row>
        <row r="1645">
          <cell r="B1645" t="str">
            <v>15.1.395</v>
          </cell>
          <cell r="D1645" t="str">
            <v>72.34.01.01</v>
          </cell>
          <cell r="E1645" t="str">
            <v>LAVA JATO 200L/H C-A</v>
          </cell>
          <cell r="F1645" t="str">
            <v>h</v>
          </cell>
        </row>
        <row r="1646">
          <cell r="B1646" t="str">
            <v>15.1.396</v>
          </cell>
          <cell r="D1646" t="str">
            <v>72.34.01.02</v>
          </cell>
          <cell r="E1646" t="str">
            <v xml:space="preserve">LAVA JATO 200L/H C-B </v>
          </cell>
          <cell r="F1646" t="str">
            <v>h</v>
          </cell>
        </row>
        <row r="1647">
          <cell r="B1647" t="str">
            <v>15.1.397</v>
          </cell>
          <cell r="D1647" t="str">
            <v>72.34.01.03</v>
          </cell>
          <cell r="E1647" t="str">
            <v>LAVA JATO 200L/H C-C</v>
          </cell>
          <cell r="F1647" t="str">
            <v>h</v>
          </cell>
        </row>
        <row r="1648">
          <cell r="B1648" t="str">
            <v>15.1.398</v>
          </cell>
          <cell r="D1648" t="str">
            <v>72.34.01.04</v>
          </cell>
          <cell r="E1648" t="str">
            <v>LAVA JATO 200L/H C-D</v>
          </cell>
          <cell r="F1648" t="str">
            <v>h</v>
          </cell>
        </row>
        <row r="1649">
          <cell r="B1649" t="str">
            <v>15.1.399</v>
          </cell>
          <cell r="D1649" t="str">
            <v>72.35.01.01</v>
          </cell>
          <cell r="E1649" t="str">
            <v>MAR.ROMP.PN.11,2 C-A</v>
          </cell>
          <cell r="F1649" t="str">
            <v>h</v>
          </cell>
        </row>
        <row r="1650">
          <cell r="B1650" t="str">
            <v>15.1.400</v>
          </cell>
          <cell r="D1650" t="str">
            <v>72.35.01.02</v>
          </cell>
          <cell r="E1650" t="str">
            <v>MAR.ROMP.PN.11,2 C-B</v>
          </cell>
          <cell r="F1650" t="str">
            <v>h</v>
          </cell>
        </row>
        <row r="1651">
          <cell r="B1651" t="str">
            <v>15.1.401</v>
          </cell>
          <cell r="D1651" t="str">
            <v>72.35.01.03</v>
          </cell>
          <cell r="E1651" t="str">
            <v>MAR.ROMP.PN.11,2 C-C</v>
          </cell>
          <cell r="F1651" t="str">
            <v>h</v>
          </cell>
        </row>
        <row r="1652">
          <cell r="B1652" t="str">
            <v>15.1.402</v>
          </cell>
          <cell r="D1652" t="str">
            <v>72.35.01.04</v>
          </cell>
          <cell r="E1652" t="str">
            <v>MAR.ROMP.PN.11,2 C-D</v>
          </cell>
          <cell r="F1652" t="str">
            <v>h</v>
          </cell>
        </row>
        <row r="1653">
          <cell r="B1653" t="str">
            <v>15.1.403</v>
          </cell>
          <cell r="D1653" t="str">
            <v xml:space="preserve">72.35.02.01 </v>
          </cell>
          <cell r="E1653" t="str">
            <v>MAR.ROMP.PN.35KG C-A</v>
          </cell>
          <cell r="F1653" t="str">
            <v>h</v>
          </cell>
        </row>
        <row r="1654">
          <cell r="B1654" t="str">
            <v>15.1.404</v>
          </cell>
          <cell r="D1654" t="str">
            <v xml:space="preserve">72.35.02.02 </v>
          </cell>
          <cell r="E1654" t="str">
            <v>MAR.ROMP.PN.35KG C-B</v>
          </cell>
          <cell r="F1654" t="str">
            <v>h</v>
          </cell>
        </row>
        <row r="1655">
          <cell r="B1655" t="str">
            <v>15.1.405</v>
          </cell>
          <cell r="D1655" t="str">
            <v>72.35.02.03</v>
          </cell>
          <cell r="E1655" t="str">
            <v>MAR.ROMP.PN.35KG C-C</v>
          </cell>
          <cell r="F1655" t="str">
            <v>h</v>
          </cell>
        </row>
        <row r="1656">
          <cell r="B1656" t="str">
            <v>15.1.406</v>
          </cell>
          <cell r="D1656" t="str">
            <v>72.35.02.04</v>
          </cell>
          <cell r="E1656" t="str">
            <v>MAR.ROMP.PN.35KG C-D</v>
          </cell>
          <cell r="F1656" t="str">
            <v>h</v>
          </cell>
        </row>
        <row r="1657">
          <cell r="B1657" t="str">
            <v>15.1.407</v>
          </cell>
          <cell r="D1657" t="str">
            <v>72.35.03.01</v>
          </cell>
          <cell r="E1657" t="str">
            <v>MAR.ROMP.PN.42KG C-A</v>
          </cell>
          <cell r="F1657" t="str">
            <v>h</v>
          </cell>
        </row>
        <row r="1658">
          <cell r="B1658" t="str">
            <v>15.1.408</v>
          </cell>
          <cell r="D1658" t="str">
            <v>72.35.03.02</v>
          </cell>
          <cell r="E1658" t="str">
            <v>MAR.ROMP.PN.42KG C-B</v>
          </cell>
          <cell r="F1658" t="str">
            <v>h</v>
          </cell>
        </row>
        <row r="1659">
          <cell r="B1659" t="str">
            <v>15.1.409</v>
          </cell>
          <cell r="D1659" t="str">
            <v>72.35.03.03</v>
          </cell>
          <cell r="E1659" t="str">
            <v>MAR.ROMP.PN.42KG C-C</v>
          </cell>
          <cell r="F1659" t="str">
            <v>h</v>
          </cell>
        </row>
        <row r="1660">
          <cell r="B1660" t="str">
            <v>15.1.410</v>
          </cell>
          <cell r="D1660" t="str">
            <v>72.35.03.04</v>
          </cell>
          <cell r="E1660" t="str">
            <v>MAR.ROMP.PN.42KG C-D</v>
          </cell>
          <cell r="F1660" t="str">
            <v>h</v>
          </cell>
        </row>
        <row r="1661">
          <cell r="B1661" t="str">
            <v>15.1.411</v>
          </cell>
          <cell r="D1661" t="str">
            <v xml:space="preserve">72.36.01.01 </v>
          </cell>
          <cell r="E1661" t="str">
            <v>ROMP.HIDR.ESC. C-A</v>
          </cell>
          <cell r="F1661" t="str">
            <v>h</v>
          </cell>
        </row>
        <row r="1662">
          <cell r="B1662" t="str">
            <v>15.1.412</v>
          </cell>
          <cell r="D1662" t="str">
            <v>72.36.01.02</v>
          </cell>
          <cell r="E1662" t="str">
            <v>ROMP.HIDR.ESC. C-B</v>
          </cell>
          <cell r="F1662" t="str">
            <v>h</v>
          </cell>
        </row>
        <row r="1663">
          <cell r="B1663" t="str">
            <v>15.1.413</v>
          </cell>
          <cell r="D1663" t="str">
            <v>72.36.01.03</v>
          </cell>
          <cell r="E1663" t="str">
            <v>ROMP.HIDR.ESC. C-C</v>
          </cell>
          <cell r="F1663" t="str">
            <v>h</v>
          </cell>
        </row>
        <row r="1664">
          <cell r="B1664" t="str">
            <v>15.1.414</v>
          </cell>
          <cell r="D1664" t="str">
            <v xml:space="preserve">72.36.01.04 </v>
          </cell>
          <cell r="E1664" t="str">
            <v>ROMP.HIDR.ESC. C-D</v>
          </cell>
          <cell r="F1664" t="str">
            <v>h</v>
          </cell>
        </row>
        <row r="1665">
          <cell r="B1665" t="str">
            <v>15.1.415</v>
          </cell>
          <cell r="D1665" t="str">
            <v>72.36.02.01</v>
          </cell>
          <cell r="E1665" t="str">
            <v>ROMP.HID.RETRO. C-A</v>
          </cell>
          <cell r="F1665" t="str">
            <v>h</v>
          </cell>
        </row>
        <row r="1666">
          <cell r="B1666" t="str">
            <v>15.1.416</v>
          </cell>
          <cell r="D1666" t="str">
            <v xml:space="preserve">72.36.02.02 </v>
          </cell>
          <cell r="E1666" t="str">
            <v>ROMP.HID.RETRO. C-B</v>
          </cell>
          <cell r="F1666" t="str">
            <v>h</v>
          </cell>
        </row>
        <row r="1667">
          <cell r="B1667" t="str">
            <v>15.1.417</v>
          </cell>
          <cell r="D1667" t="str">
            <v xml:space="preserve">72.36.02.03 </v>
          </cell>
          <cell r="E1667" t="str">
            <v>ROMP.HID.RETRO. C-C</v>
          </cell>
          <cell r="F1667" t="str">
            <v>h</v>
          </cell>
        </row>
        <row r="1668">
          <cell r="B1668" t="str">
            <v>15.1.418</v>
          </cell>
          <cell r="D1668" t="str">
            <v>72.36.02.04</v>
          </cell>
          <cell r="E1668" t="str">
            <v>ROMP.HID.RETRO. C-D</v>
          </cell>
          <cell r="F1668" t="str">
            <v>h</v>
          </cell>
        </row>
        <row r="1669">
          <cell r="B1669" t="str">
            <v>15.1.419</v>
          </cell>
          <cell r="D1669" t="str">
            <v>72.37.01.01</v>
          </cell>
          <cell r="E1669" t="str">
            <v>MOTONIV.RIPPER C-A</v>
          </cell>
          <cell r="F1669" t="str">
            <v>h</v>
          </cell>
        </row>
        <row r="1670">
          <cell r="B1670" t="str">
            <v>15.1.420</v>
          </cell>
          <cell r="D1670" t="str">
            <v>72.37.01.02</v>
          </cell>
          <cell r="E1670" t="str">
            <v>MOTONIV.RIPPER C-B</v>
          </cell>
          <cell r="F1670" t="str">
            <v>h</v>
          </cell>
        </row>
        <row r="1671">
          <cell r="B1671" t="str">
            <v>15.1.421</v>
          </cell>
          <cell r="D1671" t="str">
            <v>72.37.01.03</v>
          </cell>
          <cell r="E1671" t="str">
            <v>MOTONIV.RIPPER C-C</v>
          </cell>
          <cell r="F1671" t="str">
            <v>h</v>
          </cell>
        </row>
        <row r="1672">
          <cell r="B1672" t="str">
            <v>15.1.422</v>
          </cell>
          <cell r="D1672" t="str">
            <v>72.37.01.04</v>
          </cell>
          <cell r="E1672" t="str">
            <v>MOTONIV.RIPPER C-D</v>
          </cell>
          <cell r="F1672" t="str">
            <v>h</v>
          </cell>
        </row>
        <row r="1673">
          <cell r="B1673" t="str">
            <v>15.1.423</v>
          </cell>
          <cell r="D1673" t="str">
            <v xml:space="preserve">72.37.02.01 </v>
          </cell>
          <cell r="E1673" t="str">
            <v>MOTONIV.ESCARIF. C-A</v>
          </cell>
          <cell r="F1673" t="str">
            <v>h</v>
          </cell>
        </row>
        <row r="1674">
          <cell r="B1674" t="str">
            <v>15.1.424</v>
          </cell>
          <cell r="D1674" t="str">
            <v xml:space="preserve">72.37.02.02 </v>
          </cell>
          <cell r="E1674" t="str">
            <v>MOTONIV.ESCARIF. C-B</v>
          </cell>
          <cell r="F1674" t="str">
            <v>h</v>
          </cell>
        </row>
        <row r="1675">
          <cell r="B1675" t="str">
            <v>15.1.425</v>
          </cell>
          <cell r="D1675" t="str">
            <v xml:space="preserve">72.37.02.03 </v>
          </cell>
          <cell r="E1675" t="str">
            <v>MOTONIV.ESCARIF. C-C</v>
          </cell>
          <cell r="F1675" t="str">
            <v>h</v>
          </cell>
        </row>
        <row r="1676">
          <cell r="B1676" t="str">
            <v>15.1.426</v>
          </cell>
          <cell r="D1676" t="str">
            <v>72.37.02.04</v>
          </cell>
          <cell r="E1676" t="str">
            <v>MOTONIV.ESCARIF. C-D</v>
          </cell>
          <cell r="F1676" t="str">
            <v>h</v>
          </cell>
        </row>
        <row r="1677">
          <cell r="B1677" t="str">
            <v>15.1.427</v>
          </cell>
          <cell r="D1677" t="str">
            <v>72.38.01.01</v>
          </cell>
          <cell r="E1677" t="str">
            <v>MOTOSCRAPER 15M3 C-A</v>
          </cell>
          <cell r="F1677" t="str">
            <v>h</v>
          </cell>
        </row>
        <row r="1678">
          <cell r="B1678" t="str">
            <v>15.1.428</v>
          </cell>
          <cell r="D1678" t="str">
            <v>72.38.01.02</v>
          </cell>
          <cell r="E1678" t="str">
            <v>MOTOSCRAPER 15M3 C-B</v>
          </cell>
          <cell r="F1678" t="str">
            <v>h</v>
          </cell>
        </row>
        <row r="1679">
          <cell r="B1679" t="str">
            <v>15.1.429</v>
          </cell>
          <cell r="D1679" t="str">
            <v xml:space="preserve">72.38.01.03 </v>
          </cell>
          <cell r="E1679" t="str">
            <v>MOTOSCRAPER 15M3 C-C</v>
          </cell>
          <cell r="F1679" t="str">
            <v>h</v>
          </cell>
        </row>
        <row r="1680">
          <cell r="B1680" t="str">
            <v>15.1.430</v>
          </cell>
          <cell r="D1680" t="str">
            <v>72.38.01.04</v>
          </cell>
          <cell r="E1680" t="str">
            <v>MOTOSCRAPER 15M3 C-D</v>
          </cell>
          <cell r="F1680" t="str">
            <v>h</v>
          </cell>
        </row>
        <row r="1681">
          <cell r="B1681" t="str">
            <v>15.1.431</v>
          </cell>
          <cell r="D1681" t="str">
            <v xml:space="preserve">72.38.02.01 </v>
          </cell>
          <cell r="E1681" t="str">
            <v>MOTOSCRAPER 26M3 C-A</v>
          </cell>
          <cell r="F1681" t="str">
            <v>h</v>
          </cell>
        </row>
        <row r="1682">
          <cell r="B1682" t="str">
            <v>15.1.432</v>
          </cell>
          <cell r="D1682" t="str">
            <v xml:space="preserve">72.38.02.02 </v>
          </cell>
          <cell r="E1682" t="str">
            <v>MOTOSCRAPER 26M3 C-B</v>
          </cell>
          <cell r="F1682" t="str">
            <v>h</v>
          </cell>
        </row>
        <row r="1683">
          <cell r="B1683" t="str">
            <v>15.1.433</v>
          </cell>
          <cell r="D1683" t="str">
            <v xml:space="preserve">72.38.02.03 </v>
          </cell>
          <cell r="E1683" t="str">
            <v>MOTOSCRAPER 26M3 C-C</v>
          </cell>
          <cell r="F1683" t="str">
            <v>h</v>
          </cell>
        </row>
        <row r="1684">
          <cell r="B1684" t="str">
            <v>15.1.434</v>
          </cell>
          <cell r="D1684" t="str">
            <v xml:space="preserve">72.38.02.04 </v>
          </cell>
          <cell r="E1684" t="str">
            <v>MOTOSCRAPER 26M3 C-D</v>
          </cell>
          <cell r="F1684" t="str">
            <v>h</v>
          </cell>
        </row>
        <row r="1685">
          <cell r="B1685" t="str">
            <v>15.1.435</v>
          </cell>
          <cell r="D1685" t="str">
            <v xml:space="preserve">72.39.01.01 </v>
          </cell>
          <cell r="E1685" t="str">
            <v>MAQ.SOLDA ELETR. C-A</v>
          </cell>
          <cell r="F1685" t="str">
            <v>h</v>
          </cell>
        </row>
        <row r="1686">
          <cell r="B1686" t="str">
            <v>15.1.436</v>
          </cell>
          <cell r="D1686" t="str">
            <v xml:space="preserve">72.39.01.02 </v>
          </cell>
          <cell r="E1686" t="str">
            <v>MAQ.SOLDA ELETR. C-B</v>
          </cell>
          <cell r="F1686" t="str">
            <v>h</v>
          </cell>
        </row>
        <row r="1687">
          <cell r="B1687" t="str">
            <v>15.1.437</v>
          </cell>
          <cell r="D1687" t="str">
            <v>72.39.01.03</v>
          </cell>
          <cell r="E1687" t="str">
            <v>MAQ.SOLDA ELETR. C-C</v>
          </cell>
          <cell r="F1687" t="str">
            <v>h</v>
          </cell>
        </row>
        <row r="1688">
          <cell r="B1688" t="str">
            <v>15.1.438</v>
          </cell>
          <cell r="D1688" t="str">
            <v xml:space="preserve">72.39.01.04 </v>
          </cell>
          <cell r="E1688" t="str">
            <v>MAQ.SOLDA ELETR. C-D</v>
          </cell>
          <cell r="F1688" t="str">
            <v>h</v>
          </cell>
        </row>
        <row r="1689">
          <cell r="B1689" t="str">
            <v>15.1.439</v>
          </cell>
          <cell r="D1689" t="str">
            <v xml:space="preserve">72.39.02.01 </v>
          </cell>
          <cell r="E1689" t="str">
            <v>MAQ.SOLDA DIESEL C-A</v>
          </cell>
          <cell r="F1689" t="str">
            <v>h</v>
          </cell>
        </row>
        <row r="1690">
          <cell r="B1690" t="str">
            <v>15.1.440</v>
          </cell>
          <cell r="D1690" t="str">
            <v xml:space="preserve">72.39.02.02 </v>
          </cell>
          <cell r="E1690" t="str">
            <v>MAQ.SOLDA DIESEL C-B</v>
          </cell>
          <cell r="F1690" t="str">
            <v>h</v>
          </cell>
        </row>
        <row r="1691">
          <cell r="B1691" t="str">
            <v>15.1.441</v>
          </cell>
          <cell r="D1691" t="str">
            <v xml:space="preserve">72.39.02.03 </v>
          </cell>
          <cell r="E1691" t="str">
            <v>MAQ.SOLDA DIESEL C-C</v>
          </cell>
          <cell r="F1691" t="str">
            <v>h</v>
          </cell>
        </row>
        <row r="1692">
          <cell r="B1692" t="str">
            <v>15.1.442</v>
          </cell>
          <cell r="D1692" t="str">
            <v xml:space="preserve">72.39.02.04 </v>
          </cell>
          <cell r="E1692" t="str">
            <v>MAQ.SOLDA DIESEL C-D</v>
          </cell>
          <cell r="F1692" t="str">
            <v>h</v>
          </cell>
        </row>
        <row r="1693">
          <cell r="B1693" t="str">
            <v>15.1.443</v>
          </cell>
          <cell r="D1693" t="str">
            <v xml:space="preserve">72.39.03.01 </v>
          </cell>
          <cell r="E1693" t="str">
            <v>MACARICO CORTE C-A</v>
          </cell>
          <cell r="F1693" t="str">
            <v>h</v>
          </cell>
        </row>
        <row r="1694">
          <cell r="B1694" t="str">
            <v>15.1.444</v>
          </cell>
          <cell r="D1694" t="str">
            <v>72.39.03.02</v>
          </cell>
          <cell r="E1694" t="str">
            <v>MACARICO CORTE C-B</v>
          </cell>
          <cell r="F1694" t="str">
            <v>h</v>
          </cell>
        </row>
        <row r="1695">
          <cell r="B1695" t="str">
            <v>15.1.445</v>
          </cell>
          <cell r="D1695" t="str">
            <v xml:space="preserve">72.39.03.03 </v>
          </cell>
          <cell r="E1695" t="str">
            <v>MACARICO CORTE C-C</v>
          </cell>
          <cell r="F1695" t="str">
            <v>h</v>
          </cell>
        </row>
        <row r="1696">
          <cell r="B1696" t="str">
            <v>15.1.446</v>
          </cell>
          <cell r="D1696" t="str">
            <v>72.39.03.04</v>
          </cell>
          <cell r="E1696" t="str">
            <v>MACARICO CORTE C-D</v>
          </cell>
          <cell r="F1696" t="str">
            <v>h</v>
          </cell>
        </row>
        <row r="1697">
          <cell r="B1697" t="str">
            <v>15.1.447</v>
          </cell>
          <cell r="D1697" t="str">
            <v xml:space="preserve">72.40.01.01 </v>
          </cell>
          <cell r="E1697" t="str">
            <v>TEODOLITO C/TRIP.C-A</v>
          </cell>
          <cell r="F1697" t="str">
            <v>h</v>
          </cell>
        </row>
        <row r="1698">
          <cell r="B1698" t="str">
            <v>15.1.448</v>
          </cell>
          <cell r="D1698" t="str">
            <v xml:space="preserve">72.40.01.02 </v>
          </cell>
          <cell r="E1698" t="str">
            <v>TEODOLITO C/TRIP.C-B</v>
          </cell>
          <cell r="F1698" t="str">
            <v>h</v>
          </cell>
        </row>
        <row r="1699">
          <cell r="B1699" t="str">
            <v>15.1.449</v>
          </cell>
          <cell r="D1699" t="str">
            <v xml:space="preserve">72.40.01.03 </v>
          </cell>
          <cell r="E1699" t="str">
            <v>TEODOLITO C/TRIP.C-C</v>
          </cell>
          <cell r="F1699" t="str">
            <v>h</v>
          </cell>
        </row>
        <row r="1700">
          <cell r="B1700" t="str">
            <v>15.1.450</v>
          </cell>
          <cell r="D1700" t="str">
            <v xml:space="preserve">72.40.01.04 </v>
          </cell>
          <cell r="E1700" t="str">
            <v>TEODOLITO C/TRIP.C-D</v>
          </cell>
          <cell r="F1700" t="str">
            <v>h</v>
          </cell>
        </row>
        <row r="1701">
          <cell r="B1701" t="str">
            <v>15.1.451</v>
          </cell>
          <cell r="D1701" t="str">
            <v xml:space="preserve">72.40.02.01 </v>
          </cell>
          <cell r="E1701" t="str">
            <v xml:space="preserve">ESTACAO TOTAL C-A </v>
          </cell>
          <cell r="F1701" t="str">
            <v>h</v>
          </cell>
        </row>
        <row r="1702">
          <cell r="B1702" t="str">
            <v>15.1.452</v>
          </cell>
          <cell r="D1702" t="str">
            <v>72.40.02.02</v>
          </cell>
          <cell r="E1702" t="str">
            <v>ESTACAO TOTAL C-B</v>
          </cell>
          <cell r="F1702" t="str">
            <v>h</v>
          </cell>
        </row>
        <row r="1703">
          <cell r="B1703" t="str">
            <v>15.1.453</v>
          </cell>
          <cell r="D1703" t="str">
            <v xml:space="preserve">72.40.02.03 </v>
          </cell>
          <cell r="E1703" t="str">
            <v>ESTACAO TOTAL C-C</v>
          </cell>
          <cell r="F1703" t="str">
            <v>h</v>
          </cell>
        </row>
        <row r="1704">
          <cell r="B1704" t="str">
            <v>15.1.454</v>
          </cell>
          <cell r="D1704" t="str">
            <v xml:space="preserve">72.40.02.04 </v>
          </cell>
          <cell r="E1704" t="str">
            <v>ESTACAO TOTAL C-D</v>
          </cell>
          <cell r="F1704" t="str">
            <v>h</v>
          </cell>
        </row>
        <row r="1705">
          <cell r="B1705" t="str">
            <v>15.1.455</v>
          </cell>
          <cell r="D1705" t="str">
            <v xml:space="preserve">72.40.03.01 </v>
          </cell>
          <cell r="E1705" t="str">
            <v xml:space="preserve">NIVEL C/TRIPE C-A </v>
          </cell>
          <cell r="F1705" t="str">
            <v>h</v>
          </cell>
        </row>
        <row r="1706">
          <cell r="B1706" t="str">
            <v>15.1.456</v>
          </cell>
          <cell r="D1706" t="str">
            <v>72.40.03.02</v>
          </cell>
          <cell r="E1706" t="str">
            <v>NIVEL C/TRIPE C-B</v>
          </cell>
          <cell r="F1706" t="str">
            <v>h</v>
          </cell>
        </row>
        <row r="1707">
          <cell r="B1707" t="str">
            <v>15.1.457</v>
          </cell>
          <cell r="D1707" t="str">
            <v>72.40.03.03</v>
          </cell>
          <cell r="E1707" t="str">
            <v>NIVEL C/TRIPE C-C</v>
          </cell>
          <cell r="F1707" t="str">
            <v>h</v>
          </cell>
        </row>
        <row r="1708">
          <cell r="B1708" t="str">
            <v>15.1.458</v>
          </cell>
          <cell r="D1708" t="str">
            <v>72.40.03.04</v>
          </cell>
          <cell r="E1708" t="str">
            <v>NIVEL C/TRIPE C-D</v>
          </cell>
          <cell r="F1708" t="str">
            <v>h</v>
          </cell>
        </row>
        <row r="1709">
          <cell r="B1709" t="str">
            <v>15.1.459</v>
          </cell>
          <cell r="D1709" t="str">
            <v>72.41.01.01</v>
          </cell>
          <cell r="E1709" t="str">
            <v>PA CAR.S/PN1,8M3 C-A</v>
          </cell>
          <cell r="F1709" t="str">
            <v>h</v>
          </cell>
        </row>
        <row r="1710">
          <cell r="B1710" t="str">
            <v>15.1.460</v>
          </cell>
          <cell r="D1710" t="str">
            <v>72.41.01.02</v>
          </cell>
          <cell r="E1710" t="str">
            <v>PA CAR.S/PN1,8M3 C-B</v>
          </cell>
          <cell r="F1710" t="str">
            <v>h</v>
          </cell>
        </row>
        <row r="1711">
          <cell r="B1711" t="str">
            <v>15.1.461</v>
          </cell>
          <cell r="D1711" t="str">
            <v xml:space="preserve">72.41.01.03 </v>
          </cell>
          <cell r="E1711" t="str">
            <v>PA CAR.S/PN1,8M3 C-C</v>
          </cell>
          <cell r="F1711" t="str">
            <v>h</v>
          </cell>
        </row>
        <row r="1712">
          <cell r="B1712" t="str">
            <v>15.1.462</v>
          </cell>
          <cell r="D1712" t="str">
            <v>72.41.01.04</v>
          </cell>
          <cell r="E1712" t="str">
            <v>PA CAR.S/PN1,8M3 C-D</v>
          </cell>
          <cell r="F1712" t="str">
            <v>h</v>
          </cell>
        </row>
        <row r="1713">
          <cell r="B1713" t="str">
            <v>15.1.463</v>
          </cell>
          <cell r="D1713" t="str">
            <v>72.41.02.01</v>
          </cell>
          <cell r="E1713" t="str">
            <v>PA CAR.S/PN2,2M3 C-A</v>
          </cell>
          <cell r="F1713" t="str">
            <v>h</v>
          </cell>
        </row>
        <row r="1714">
          <cell r="B1714" t="str">
            <v>15.1.464</v>
          </cell>
          <cell r="D1714" t="str">
            <v>72.41.02.02</v>
          </cell>
          <cell r="E1714" t="str">
            <v>PA CAR.S/PN2,2M3 C-B</v>
          </cell>
          <cell r="F1714" t="str">
            <v>h</v>
          </cell>
        </row>
        <row r="1715">
          <cell r="B1715" t="str">
            <v>15.1.465</v>
          </cell>
          <cell r="D1715" t="str">
            <v xml:space="preserve">72.41.02.03 </v>
          </cell>
          <cell r="E1715" t="str">
            <v>PA CAR.S/PN2,2M3 C-C</v>
          </cell>
          <cell r="F1715" t="str">
            <v>h</v>
          </cell>
        </row>
        <row r="1716">
          <cell r="B1716" t="str">
            <v>15.1.466</v>
          </cell>
          <cell r="D1716" t="str">
            <v>72.41.02.04</v>
          </cell>
          <cell r="E1716" t="str">
            <v>PA CAR.S/PN2,2M3 C-D</v>
          </cell>
          <cell r="F1716" t="str">
            <v>h</v>
          </cell>
        </row>
        <row r="1717">
          <cell r="B1717" t="str">
            <v>15.1.467</v>
          </cell>
          <cell r="D1717" t="str">
            <v>72.41.03.01</v>
          </cell>
          <cell r="E1717" t="str">
            <v>PA CAR.S/PN3,6M3 C-A</v>
          </cell>
          <cell r="F1717" t="str">
            <v>h</v>
          </cell>
        </row>
        <row r="1718">
          <cell r="B1718" t="str">
            <v>15.1.468</v>
          </cell>
          <cell r="D1718" t="str">
            <v xml:space="preserve">72.41.03.02 </v>
          </cell>
          <cell r="E1718" t="str">
            <v>PA CAR.S/PN3,6M3 C-B</v>
          </cell>
          <cell r="F1718" t="str">
            <v>h</v>
          </cell>
        </row>
        <row r="1719">
          <cell r="B1719" t="str">
            <v>15.1.469</v>
          </cell>
          <cell r="D1719" t="str">
            <v>72.41.03.03</v>
          </cell>
          <cell r="E1719" t="str">
            <v>PA CAR.S/PN3,6M3 C-C</v>
          </cell>
          <cell r="F1719" t="str">
            <v>h</v>
          </cell>
        </row>
        <row r="1720">
          <cell r="B1720" t="str">
            <v>15.1.470</v>
          </cell>
          <cell r="D1720" t="str">
            <v>72.41.03.04</v>
          </cell>
          <cell r="E1720" t="str">
            <v>PA CAR.S/PN3,6M3 C-D</v>
          </cell>
          <cell r="F1720" t="str">
            <v>h</v>
          </cell>
        </row>
        <row r="1721">
          <cell r="B1721" t="str">
            <v>15.1.471</v>
          </cell>
          <cell r="D1721" t="str">
            <v>72.41.04.01</v>
          </cell>
          <cell r="E1721" t="str">
            <v>PA CAR.S/ES.1,85 C-A</v>
          </cell>
          <cell r="F1721" t="str">
            <v>h</v>
          </cell>
        </row>
        <row r="1722">
          <cell r="B1722" t="str">
            <v>15.1.472</v>
          </cell>
          <cell r="D1722" t="str">
            <v xml:space="preserve">72.41.04.02 </v>
          </cell>
          <cell r="E1722" t="str">
            <v>PA CAR.S/ES.1,85 C-B</v>
          </cell>
          <cell r="F1722" t="str">
            <v>h</v>
          </cell>
        </row>
        <row r="1723">
          <cell r="B1723" t="str">
            <v>15.1.473</v>
          </cell>
          <cell r="D1723" t="str">
            <v xml:space="preserve">72.41.04.03 </v>
          </cell>
          <cell r="E1723" t="str">
            <v>PA CAR.S/ES.1,85 C-C</v>
          </cell>
          <cell r="F1723" t="str">
            <v>h</v>
          </cell>
        </row>
        <row r="1724">
          <cell r="B1724" t="str">
            <v>15.1.474</v>
          </cell>
          <cell r="D1724" t="str">
            <v>72.41.04.04</v>
          </cell>
          <cell r="E1724" t="str">
            <v>PA CAR.S/ES.1,85 C-D</v>
          </cell>
          <cell r="F1724" t="str">
            <v>h</v>
          </cell>
        </row>
        <row r="1725">
          <cell r="B1725" t="str">
            <v>15.1.475</v>
          </cell>
          <cell r="D1725" t="str">
            <v>72.41.05.01</v>
          </cell>
          <cell r="E1725" t="str">
            <v xml:space="preserve">PA CAR.S/ES.2,3 C-A </v>
          </cell>
          <cell r="F1725" t="str">
            <v>h</v>
          </cell>
        </row>
        <row r="1726">
          <cell r="B1726" t="str">
            <v>15.1.476</v>
          </cell>
          <cell r="D1726" t="str">
            <v>72.41.05.02</v>
          </cell>
          <cell r="E1726" t="str">
            <v>PA CAR.S/ES.2,3 C-B</v>
          </cell>
          <cell r="F1726" t="str">
            <v>h</v>
          </cell>
        </row>
        <row r="1727">
          <cell r="B1727" t="str">
            <v>15.1.477</v>
          </cell>
          <cell r="D1727" t="str">
            <v>72.41.05.03</v>
          </cell>
          <cell r="E1727" t="str">
            <v>PA CAR.S/ES.2,3 C-C</v>
          </cell>
          <cell r="F1727" t="str">
            <v>h</v>
          </cell>
        </row>
        <row r="1728">
          <cell r="B1728" t="str">
            <v>15.1.478</v>
          </cell>
          <cell r="D1728" t="str">
            <v xml:space="preserve">72.41.05.04 </v>
          </cell>
          <cell r="E1728" t="str">
            <v>PA CAR.S/ES.2,3 C-D</v>
          </cell>
          <cell r="F1728" t="str">
            <v>h</v>
          </cell>
        </row>
        <row r="1729">
          <cell r="B1729" t="str">
            <v>15.1.479</v>
          </cell>
          <cell r="D1729" t="str">
            <v>72.42.01.01</v>
          </cell>
          <cell r="E1729" t="str">
            <v>PERF. MANUAL C-A</v>
          </cell>
          <cell r="F1729" t="str">
            <v>h</v>
          </cell>
        </row>
        <row r="1730">
          <cell r="B1730" t="str">
            <v>15.1.480</v>
          </cell>
          <cell r="D1730" t="str">
            <v xml:space="preserve">72.42.01.02 </v>
          </cell>
          <cell r="E1730" t="str">
            <v>PERF. MANUAL C-B</v>
          </cell>
          <cell r="F1730" t="str">
            <v>h</v>
          </cell>
        </row>
        <row r="1731">
          <cell r="B1731" t="str">
            <v>15.1.481</v>
          </cell>
          <cell r="D1731" t="str">
            <v xml:space="preserve">72.42.01.03 </v>
          </cell>
          <cell r="E1731" t="str">
            <v>PERF. MANUAL C-C</v>
          </cell>
          <cell r="F1731" t="str">
            <v>h</v>
          </cell>
        </row>
        <row r="1732">
          <cell r="B1732" t="str">
            <v>15.1.482</v>
          </cell>
          <cell r="D1732" t="str">
            <v xml:space="preserve">72.42.01.04 </v>
          </cell>
          <cell r="E1732" t="str">
            <v>PERF. MANUAL C-D</v>
          </cell>
          <cell r="F1732" t="str">
            <v>h</v>
          </cell>
        </row>
        <row r="1733">
          <cell r="B1733" t="str">
            <v>15.1.483</v>
          </cell>
          <cell r="D1733" t="str">
            <v xml:space="preserve">72.42.02.01 </v>
          </cell>
          <cell r="E1733" t="str">
            <v>PERF.S/EST. C-A</v>
          </cell>
          <cell r="F1733" t="str">
            <v>h</v>
          </cell>
        </row>
        <row r="1734">
          <cell r="B1734" t="str">
            <v>15.1.484</v>
          </cell>
          <cell r="D1734" t="str">
            <v xml:space="preserve">72.42.02.02 </v>
          </cell>
          <cell r="E1734" t="str">
            <v>PERF.S/EST. C-B</v>
          </cell>
          <cell r="F1734" t="str">
            <v>h</v>
          </cell>
        </row>
        <row r="1735">
          <cell r="B1735" t="str">
            <v>15.1.485</v>
          </cell>
          <cell r="D1735" t="str">
            <v>72.42.02.03</v>
          </cell>
          <cell r="E1735" t="str">
            <v>PERF.S/EST. C-C</v>
          </cell>
          <cell r="F1735" t="str">
            <v>h</v>
          </cell>
        </row>
        <row r="1736">
          <cell r="B1736" t="str">
            <v>15.1.486</v>
          </cell>
          <cell r="D1736" t="str">
            <v xml:space="preserve">72.42.02.04 </v>
          </cell>
          <cell r="E1736" t="str">
            <v>PERF.S/EST. C-D</v>
          </cell>
          <cell r="F1736" t="str">
            <v>h</v>
          </cell>
        </row>
        <row r="1737">
          <cell r="B1737" t="str">
            <v>15.1.487</v>
          </cell>
          <cell r="D1737" t="str">
            <v>72.42.03.01</v>
          </cell>
          <cell r="E1737" t="str">
            <v>PERF.JUMBO C-A</v>
          </cell>
          <cell r="F1737" t="str">
            <v>h</v>
          </cell>
        </row>
        <row r="1738">
          <cell r="B1738" t="str">
            <v>15.1.488</v>
          </cell>
          <cell r="D1738" t="str">
            <v>72.42.03.02</v>
          </cell>
          <cell r="E1738" t="str">
            <v>PERF.JUMBO C-B</v>
          </cell>
          <cell r="F1738" t="str">
            <v>h</v>
          </cell>
        </row>
        <row r="1739">
          <cell r="B1739" t="str">
            <v>15.1.489</v>
          </cell>
          <cell r="D1739" t="str">
            <v xml:space="preserve">72.42.03.03 </v>
          </cell>
          <cell r="E1739" t="str">
            <v>PERF.JUMBO C-C</v>
          </cell>
          <cell r="F1739" t="str">
            <v>h</v>
          </cell>
        </row>
        <row r="1740">
          <cell r="B1740" t="str">
            <v>15.1.490</v>
          </cell>
          <cell r="D1740" t="str">
            <v>72.42.03.04</v>
          </cell>
          <cell r="E1740" t="str">
            <v>PERF.JUMBO C-D</v>
          </cell>
          <cell r="F1740" t="str">
            <v>h</v>
          </cell>
        </row>
        <row r="1741">
          <cell r="B1741" t="str">
            <v>15.1.491</v>
          </cell>
          <cell r="D1741" t="str">
            <v xml:space="preserve">72.42.04.01 </v>
          </cell>
          <cell r="E1741" t="str">
            <v>SONDA ROTATIVA C-A</v>
          </cell>
          <cell r="F1741" t="str">
            <v>h</v>
          </cell>
        </row>
        <row r="1742">
          <cell r="B1742" t="str">
            <v>15.1.492</v>
          </cell>
          <cell r="D1742" t="str">
            <v xml:space="preserve">72.42.04.02 </v>
          </cell>
          <cell r="E1742" t="str">
            <v>SONDA ROTATIVA C-B</v>
          </cell>
          <cell r="F1742" t="str">
            <v>h</v>
          </cell>
        </row>
        <row r="1743">
          <cell r="B1743" t="str">
            <v>15.1.493</v>
          </cell>
          <cell r="D1743" t="str">
            <v>72.42.04.03</v>
          </cell>
          <cell r="E1743" t="str">
            <v>SONDA ROTATIVA C-C</v>
          </cell>
          <cell r="F1743" t="str">
            <v>h</v>
          </cell>
        </row>
        <row r="1744">
          <cell r="B1744" t="str">
            <v>15.1.494</v>
          </cell>
          <cell r="D1744" t="str">
            <v>72.42.04.04</v>
          </cell>
          <cell r="E1744" t="str">
            <v>SONDA ROTATIVA C-D</v>
          </cell>
          <cell r="F1744" t="str">
            <v>h</v>
          </cell>
        </row>
        <row r="1745">
          <cell r="B1745" t="str">
            <v>15.1.495</v>
          </cell>
          <cell r="D1745" t="str">
            <v xml:space="preserve">72.42.05.01 </v>
          </cell>
          <cell r="E1745" t="str">
            <v>PERF.CINZAL C-A</v>
          </cell>
          <cell r="F1745" t="str">
            <v>h</v>
          </cell>
        </row>
        <row r="1746">
          <cell r="B1746" t="str">
            <v>15.1.496</v>
          </cell>
          <cell r="D1746" t="str">
            <v>72.42.05.02</v>
          </cell>
          <cell r="E1746" t="str">
            <v>PERF.CINZAL C-B</v>
          </cell>
          <cell r="F1746" t="str">
            <v>h</v>
          </cell>
        </row>
        <row r="1747">
          <cell r="B1747" t="str">
            <v>15.1.497</v>
          </cell>
          <cell r="D1747" t="str">
            <v xml:space="preserve">72.42.05.03 </v>
          </cell>
          <cell r="E1747" t="str">
            <v>PERF.CINZAL C-C</v>
          </cell>
          <cell r="F1747" t="str">
            <v>h</v>
          </cell>
        </row>
        <row r="1748">
          <cell r="B1748" t="str">
            <v>15.1.498</v>
          </cell>
          <cell r="D1748" t="str">
            <v xml:space="preserve">72.42.05.04 </v>
          </cell>
          <cell r="E1748" t="str">
            <v>PERF.CINZAL C-D</v>
          </cell>
          <cell r="F1748" t="str">
            <v>h</v>
          </cell>
        </row>
        <row r="1749">
          <cell r="B1749" t="str">
            <v>15.1.499</v>
          </cell>
          <cell r="D1749" t="str">
            <v xml:space="preserve">72.43.01.01 </v>
          </cell>
          <cell r="E1749" t="str">
            <v>RETRO CARR.0,77M3C-A</v>
          </cell>
          <cell r="F1749" t="str">
            <v>h</v>
          </cell>
        </row>
        <row r="1750">
          <cell r="B1750" t="str">
            <v>15.1.500</v>
          </cell>
          <cell r="D1750" t="str">
            <v>72.43.01.02</v>
          </cell>
          <cell r="E1750" t="str">
            <v>RETRO CARR.0,77M3C-B</v>
          </cell>
          <cell r="F1750" t="str">
            <v>h</v>
          </cell>
        </row>
        <row r="1751">
          <cell r="B1751" t="str">
            <v>15.1.501</v>
          </cell>
          <cell r="D1751" t="str">
            <v xml:space="preserve">72.43.01.03 </v>
          </cell>
          <cell r="E1751" t="str">
            <v>RETRO CARR.0,77M3C-C</v>
          </cell>
          <cell r="F1751" t="str">
            <v>h</v>
          </cell>
        </row>
        <row r="1752">
          <cell r="B1752" t="str">
            <v>15.1.502</v>
          </cell>
          <cell r="D1752" t="str">
            <v>72.43.01.04</v>
          </cell>
          <cell r="E1752" t="str">
            <v>RETRO CARR.0,77M3C-D</v>
          </cell>
          <cell r="F1752" t="str">
            <v>h</v>
          </cell>
        </row>
        <row r="1753">
          <cell r="B1753" t="str">
            <v>15.1.503</v>
          </cell>
          <cell r="D1753" t="str">
            <v xml:space="preserve">72.43.02.01 </v>
          </cell>
          <cell r="E1753" t="str">
            <v>RETRO CARR.0,30M3C-A</v>
          </cell>
          <cell r="F1753" t="str">
            <v>h</v>
          </cell>
        </row>
        <row r="1754">
          <cell r="B1754" t="str">
            <v>15.1.504</v>
          </cell>
          <cell r="D1754" t="str">
            <v>72.43.02.02</v>
          </cell>
          <cell r="E1754" t="str">
            <v>RETRO CARR.0,30M3C-B</v>
          </cell>
          <cell r="F1754" t="str">
            <v>h</v>
          </cell>
        </row>
        <row r="1755">
          <cell r="B1755" t="str">
            <v>15.1.505</v>
          </cell>
          <cell r="D1755" t="str">
            <v>72.43.02.03</v>
          </cell>
          <cell r="E1755" t="str">
            <v>RETRO CARR.0,30M3C-C</v>
          </cell>
          <cell r="F1755" t="str">
            <v>h</v>
          </cell>
        </row>
        <row r="1756">
          <cell r="B1756" t="str">
            <v>15.1.506</v>
          </cell>
          <cell r="D1756" t="str">
            <v>72.43.02.04</v>
          </cell>
          <cell r="E1756" t="str">
            <v>RETRO CARR.0,30M3C-D</v>
          </cell>
          <cell r="F1756" t="str">
            <v>h</v>
          </cell>
        </row>
        <row r="1757">
          <cell r="B1757" t="str">
            <v>15.1.507</v>
          </cell>
          <cell r="D1757" t="str">
            <v>72.44.01.01</v>
          </cell>
          <cell r="E1757" t="str">
            <v>ROCAD.MAN.GAS. C-A</v>
          </cell>
          <cell r="F1757" t="str">
            <v>h</v>
          </cell>
        </row>
        <row r="1758">
          <cell r="B1758" t="str">
            <v>15.1.508</v>
          </cell>
          <cell r="D1758" t="str">
            <v>72.44.01.02</v>
          </cell>
          <cell r="E1758" t="str">
            <v>ROCAD.MAN.GAS. C-B</v>
          </cell>
          <cell r="F1758" t="str">
            <v>h</v>
          </cell>
        </row>
        <row r="1759">
          <cell r="B1759" t="str">
            <v>15.1.509</v>
          </cell>
          <cell r="D1759" t="str">
            <v>72.44.01.03</v>
          </cell>
          <cell r="E1759" t="str">
            <v>ROCAD.MAN.GAS. C-C</v>
          </cell>
          <cell r="F1759" t="str">
            <v>h</v>
          </cell>
        </row>
        <row r="1760">
          <cell r="B1760" t="str">
            <v>15.1.510</v>
          </cell>
          <cell r="D1760" t="str">
            <v>72.44.01.04</v>
          </cell>
          <cell r="E1760" t="str">
            <v>ROCAD.MAN.GAS. C-D</v>
          </cell>
          <cell r="F1760" t="str">
            <v>h</v>
          </cell>
        </row>
        <row r="1761">
          <cell r="B1761" t="str">
            <v>15.1.511</v>
          </cell>
          <cell r="D1761" t="str">
            <v>72.44.02.01</v>
          </cell>
          <cell r="E1761" t="str">
            <v>ROCAD.MAN.ELETR. C-A</v>
          </cell>
          <cell r="F1761" t="str">
            <v>h</v>
          </cell>
        </row>
        <row r="1762">
          <cell r="B1762" t="str">
            <v>15.1.512</v>
          </cell>
          <cell r="D1762" t="str">
            <v>72.44.02.02</v>
          </cell>
          <cell r="E1762" t="str">
            <v>ROCAD.MAN.ELETR. C-B</v>
          </cell>
          <cell r="F1762" t="str">
            <v>h</v>
          </cell>
        </row>
        <row r="1763">
          <cell r="B1763" t="str">
            <v>15.1.513</v>
          </cell>
          <cell r="D1763" t="str">
            <v>72.44.02.03</v>
          </cell>
          <cell r="E1763" t="str">
            <v>ROCAD.MAN.ELETR. C-C</v>
          </cell>
          <cell r="F1763" t="str">
            <v>h</v>
          </cell>
        </row>
        <row r="1764">
          <cell r="B1764" t="str">
            <v>15.1.514</v>
          </cell>
          <cell r="D1764" t="str">
            <v>72.44.02.04</v>
          </cell>
          <cell r="E1764" t="str">
            <v>ROCAD.MAN.ELETR. C-D</v>
          </cell>
          <cell r="F1764" t="str">
            <v>h</v>
          </cell>
        </row>
        <row r="1765">
          <cell r="B1765" t="str">
            <v>15.1.515</v>
          </cell>
          <cell r="D1765" t="str">
            <v>72.44.03.01</v>
          </cell>
          <cell r="E1765" t="str">
            <v>ROCAD. REBOC. C-A</v>
          </cell>
          <cell r="F1765" t="str">
            <v>h</v>
          </cell>
        </row>
        <row r="1766">
          <cell r="B1766" t="str">
            <v>15.1.516</v>
          </cell>
          <cell r="D1766" t="str">
            <v>72.44.03.02</v>
          </cell>
          <cell r="E1766" t="str">
            <v>ROCAD. REBOC. C-B</v>
          </cell>
          <cell r="F1766" t="str">
            <v>h</v>
          </cell>
        </row>
        <row r="1767">
          <cell r="B1767" t="str">
            <v>15.1.517</v>
          </cell>
          <cell r="D1767" t="str">
            <v>72.44.03.03</v>
          </cell>
          <cell r="E1767" t="str">
            <v>ROCAD. REBOC. C-C</v>
          </cell>
          <cell r="F1767" t="str">
            <v>h</v>
          </cell>
        </row>
        <row r="1768">
          <cell r="B1768" t="str">
            <v>15.1.518</v>
          </cell>
          <cell r="D1768" t="str">
            <v>72.44.03.04</v>
          </cell>
          <cell r="E1768" t="str">
            <v>ROCAD. REBOC. C-D</v>
          </cell>
          <cell r="F1768" t="str">
            <v>h</v>
          </cell>
        </row>
        <row r="1769">
          <cell r="B1769" t="str">
            <v>15.1.519</v>
          </cell>
          <cell r="D1769" t="str">
            <v>72.45.01.01</v>
          </cell>
          <cell r="E1769" t="str">
            <v>ROLO COMPACT.7T C-A</v>
          </cell>
          <cell r="F1769" t="str">
            <v>h</v>
          </cell>
        </row>
        <row r="1770">
          <cell r="B1770" t="str">
            <v>15.1.520</v>
          </cell>
          <cell r="D1770" t="str">
            <v>72.45.01.02</v>
          </cell>
          <cell r="E1770" t="str">
            <v>ROLO COMPACT.7T C-B</v>
          </cell>
          <cell r="F1770" t="str">
            <v>h</v>
          </cell>
        </row>
        <row r="1771">
          <cell r="B1771" t="str">
            <v>15.1.521</v>
          </cell>
          <cell r="D1771" t="str">
            <v>72.45.01.03</v>
          </cell>
          <cell r="E1771" t="str">
            <v xml:space="preserve">ROLO COMPACT.7T C-C </v>
          </cell>
          <cell r="F1771" t="str">
            <v>h</v>
          </cell>
        </row>
        <row r="1772">
          <cell r="B1772" t="str">
            <v>15.1.522</v>
          </cell>
          <cell r="D1772" t="str">
            <v>72.45.01.04</v>
          </cell>
          <cell r="E1772" t="str">
            <v>ROLO COMPACT.7T C-D</v>
          </cell>
          <cell r="F1772" t="str">
            <v>h</v>
          </cell>
        </row>
        <row r="1773">
          <cell r="B1773" t="str">
            <v>15.1.523</v>
          </cell>
          <cell r="D1773" t="str">
            <v>72.45.02.01</v>
          </cell>
          <cell r="E1773" t="str">
            <v>ROLO COMPACT.7,7T C-A</v>
          </cell>
          <cell r="F1773" t="str">
            <v>h</v>
          </cell>
        </row>
        <row r="1774">
          <cell r="B1774" t="str">
            <v>15.1.524</v>
          </cell>
          <cell r="D1774" t="str">
            <v>72.45.02.02</v>
          </cell>
          <cell r="E1774" t="str">
            <v>ROLO COMPACT.7,7T C-B</v>
          </cell>
          <cell r="F1774" t="str">
            <v>h</v>
          </cell>
        </row>
        <row r="1775">
          <cell r="B1775" t="str">
            <v>15.1.525</v>
          </cell>
          <cell r="D1775" t="str">
            <v>72.45.02.03</v>
          </cell>
          <cell r="E1775" t="str">
            <v xml:space="preserve">ROLO COMPACT.7,7T C-C </v>
          </cell>
          <cell r="F1775" t="str">
            <v>h</v>
          </cell>
        </row>
        <row r="1776">
          <cell r="B1776" t="str">
            <v>15.1.526</v>
          </cell>
          <cell r="D1776" t="str">
            <v>72.45.02.04</v>
          </cell>
          <cell r="E1776" t="str">
            <v>ROLO COMPACT.7,7T C-D</v>
          </cell>
          <cell r="F1776" t="str">
            <v>h</v>
          </cell>
        </row>
        <row r="1777">
          <cell r="B1777" t="str">
            <v>15.1.527</v>
          </cell>
          <cell r="D1777" t="str">
            <v>72.45.03.01</v>
          </cell>
          <cell r="E1777" t="str">
            <v>ROLO COMPACT.10T C-A</v>
          </cell>
          <cell r="F1777" t="str">
            <v>h</v>
          </cell>
        </row>
        <row r="1778">
          <cell r="B1778" t="str">
            <v>15.1.528</v>
          </cell>
          <cell r="D1778" t="str">
            <v>72.45.03.02</v>
          </cell>
          <cell r="E1778" t="str">
            <v>ROLO COMPACT.10T C-B</v>
          </cell>
          <cell r="F1778" t="str">
            <v>h</v>
          </cell>
        </row>
        <row r="1779">
          <cell r="B1779" t="str">
            <v>15.1.529</v>
          </cell>
          <cell r="D1779" t="str">
            <v>72.45.03.03</v>
          </cell>
          <cell r="E1779" t="str">
            <v>ROLO COMPACT.10T C-C</v>
          </cell>
          <cell r="F1779" t="str">
            <v>h</v>
          </cell>
        </row>
        <row r="1780">
          <cell r="B1780" t="str">
            <v>15.1.530</v>
          </cell>
          <cell r="D1780" t="str">
            <v>72.45.03.04</v>
          </cell>
          <cell r="E1780" t="str">
            <v>ROLO COMPACT.10T C-D</v>
          </cell>
          <cell r="F1780" t="str">
            <v>h</v>
          </cell>
        </row>
        <row r="1781">
          <cell r="B1781" t="str">
            <v>15.1.531</v>
          </cell>
          <cell r="D1781" t="str">
            <v>72.45.04.01</v>
          </cell>
          <cell r="E1781" t="str">
            <v>ROLO COMPAC.11,3T C-A</v>
          </cell>
          <cell r="F1781" t="str">
            <v>h</v>
          </cell>
        </row>
        <row r="1782">
          <cell r="B1782" t="str">
            <v>15.1.532</v>
          </cell>
          <cell r="D1782" t="str">
            <v>72.45.04.02</v>
          </cell>
          <cell r="E1782" t="str">
            <v>ROLO COMPAC.11,3T C-B</v>
          </cell>
          <cell r="F1782" t="str">
            <v>h</v>
          </cell>
        </row>
        <row r="1783">
          <cell r="B1783" t="str">
            <v>15.1.533</v>
          </cell>
          <cell r="D1783" t="str">
            <v>72.45.04.03</v>
          </cell>
          <cell r="E1783" t="str">
            <v>ROLO COMPAC.11,3T C-C</v>
          </cell>
          <cell r="F1783" t="str">
            <v>h</v>
          </cell>
        </row>
        <row r="1784">
          <cell r="B1784" t="str">
            <v>15.1.534</v>
          </cell>
          <cell r="D1784" t="str">
            <v>72.45.04.04</v>
          </cell>
          <cell r="E1784" t="str">
            <v>ROLO COMPAC.11,3T C-D</v>
          </cell>
          <cell r="F1784" t="str">
            <v>h</v>
          </cell>
        </row>
        <row r="1785">
          <cell r="B1785" t="str">
            <v>15.1.535</v>
          </cell>
          <cell r="D1785" t="str">
            <v>72.45.05.01</v>
          </cell>
          <cell r="E1785" t="str">
            <v>ROLO COMPAC.15,5T C-A</v>
          </cell>
          <cell r="F1785" t="str">
            <v>h</v>
          </cell>
        </row>
        <row r="1786">
          <cell r="B1786" t="str">
            <v>15.1.536</v>
          </cell>
          <cell r="D1786" t="str">
            <v>72.45.05.02</v>
          </cell>
          <cell r="E1786" t="str">
            <v>ROLO COMPAC.15,5T C-B</v>
          </cell>
          <cell r="F1786" t="str">
            <v>h</v>
          </cell>
        </row>
        <row r="1787">
          <cell r="B1787" t="str">
            <v>15.1.537</v>
          </cell>
          <cell r="D1787" t="str">
            <v>72.45.05.03</v>
          </cell>
          <cell r="E1787" t="str">
            <v>ROLO COMPAC.15,5T C-C</v>
          </cell>
          <cell r="F1787" t="str">
            <v>h</v>
          </cell>
        </row>
        <row r="1788">
          <cell r="B1788" t="str">
            <v>15.1.538</v>
          </cell>
          <cell r="D1788" t="str">
            <v>72.45.05.04</v>
          </cell>
          <cell r="E1788" t="str">
            <v>ROLO COMPAC.15,5T C-D</v>
          </cell>
          <cell r="F1788" t="str">
            <v>h</v>
          </cell>
        </row>
        <row r="1789">
          <cell r="B1789" t="str">
            <v>15.1.539</v>
          </cell>
          <cell r="D1789" t="str">
            <v>72.45.06.01</v>
          </cell>
          <cell r="E1789" t="str">
            <v>ROLO COMP.PE15,5T C-A</v>
          </cell>
          <cell r="F1789" t="str">
            <v>h</v>
          </cell>
        </row>
        <row r="1790">
          <cell r="B1790" t="str">
            <v>15.1.540</v>
          </cell>
          <cell r="D1790" t="str">
            <v>72.45.06.02</v>
          </cell>
          <cell r="E1790" t="str">
            <v>ROLO COMP.PE15,5T C-B</v>
          </cell>
          <cell r="F1790" t="str">
            <v>h</v>
          </cell>
        </row>
        <row r="1791">
          <cell r="B1791" t="str">
            <v>15.1.541</v>
          </cell>
          <cell r="D1791" t="str">
            <v>72.45.06.03</v>
          </cell>
          <cell r="E1791" t="str">
            <v>ROLO COMP.PE15,5T C-C</v>
          </cell>
          <cell r="F1791" t="str">
            <v>h</v>
          </cell>
        </row>
        <row r="1792">
          <cell r="B1792" t="str">
            <v>15.1.542</v>
          </cell>
          <cell r="D1792" t="str">
            <v>72.45.06.04</v>
          </cell>
          <cell r="E1792" t="str">
            <v>ROLO COMP.PE15,5T C-D</v>
          </cell>
          <cell r="F1792" t="str">
            <v>h</v>
          </cell>
        </row>
        <row r="1793">
          <cell r="B1793" t="str">
            <v>15.1.543</v>
          </cell>
          <cell r="D1793" t="str">
            <v>72.46.01.01</v>
          </cell>
          <cell r="E1793" t="str">
            <v>ROLO COMP.ASF.7,2 C-A</v>
          </cell>
          <cell r="F1793" t="str">
            <v>h</v>
          </cell>
        </row>
        <row r="1794">
          <cell r="B1794" t="str">
            <v>15.1.544</v>
          </cell>
          <cell r="D1794" t="str">
            <v>72.46.01.02</v>
          </cell>
          <cell r="E1794" t="str">
            <v>ROLO COMP.ASF.7,2 C-B</v>
          </cell>
          <cell r="F1794" t="str">
            <v>h</v>
          </cell>
        </row>
        <row r="1795">
          <cell r="B1795" t="str">
            <v>15.1.545</v>
          </cell>
          <cell r="D1795" t="str">
            <v>72.46.01.03</v>
          </cell>
          <cell r="E1795" t="str">
            <v>ROLO COMP.ASF.7,2 C-C</v>
          </cell>
          <cell r="F1795" t="str">
            <v>h</v>
          </cell>
        </row>
        <row r="1796">
          <cell r="B1796" t="str">
            <v>15.1.546</v>
          </cell>
          <cell r="D1796" t="str">
            <v>72.46.01.04</v>
          </cell>
          <cell r="E1796" t="str">
            <v>ROLO COMP.ASF.7,2 C-D</v>
          </cell>
          <cell r="F1796" t="str">
            <v>h</v>
          </cell>
        </row>
        <row r="1797">
          <cell r="B1797" t="str">
            <v>15.1.547</v>
          </cell>
          <cell r="D1797" t="str">
            <v>72.46.02.01</v>
          </cell>
          <cell r="E1797" t="str">
            <v>ROLO COM.ASF.10,2 C-A</v>
          </cell>
          <cell r="F1797" t="str">
            <v>h</v>
          </cell>
        </row>
        <row r="1798">
          <cell r="B1798" t="str">
            <v>15.1.548</v>
          </cell>
          <cell r="D1798" t="str">
            <v>72.46.02.02</v>
          </cell>
          <cell r="E1798" t="str">
            <v>ROLO COM.ASF.10,2 C-B</v>
          </cell>
          <cell r="F1798" t="str">
            <v>h</v>
          </cell>
        </row>
        <row r="1799">
          <cell r="B1799" t="str">
            <v>15.1.549</v>
          </cell>
          <cell r="D1799" t="str">
            <v>72.46.02.03</v>
          </cell>
          <cell r="E1799" t="str">
            <v>ROLO COM.ASF.10,2 C-C</v>
          </cell>
          <cell r="F1799" t="str">
            <v>h</v>
          </cell>
        </row>
        <row r="1800">
          <cell r="B1800" t="str">
            <v>15.1.550</v>
          </cell>
          <cell r="D1800" t="str">
            <v>72.46.02.04</v>
          </cell>
          <cell r="E1800" t="str">
            <v>ROLO COM.ASF.10,2 C-D</v>
          </cell>
          <cell r="F1800" t="str">
            <v>h</v>
          </cell>
        </row>
        <row r="1801">
          <cell r="B1801" t="str">
            <v>15.1.551</v>
          </cell>
          <cell r="D1801" t="str">
            <v>72.47.01.01</v>
          </cell>
          <cell r="E1801" t="str">
            <v>ROLO COM.TAN.2,3 C-A</v>
          </cell>
          <cell r="F1801" t="str">
            <v>h</v>
          </cell>
        </row>
        <row r="1802">
          <cell r="B1802" t="str">
            <v>15.1.552</v>
          </cell>
          <cell r="D1802" t="str">
            <v>72.47.01.02</v>
          </cell>
          <cell r="E1802" t="str">
            <v>ROLO COM.TAN.2,3 C-B</v>
          </cell>
          <cell r="F1802" t="str">
            <v>h</v>
          </cell>
        </row>
        <row r="1803">
          <cell r="B1803" t="str">
            <v>15.1.553</v>
          </cell>
          <cell r="D1803" t="str">
            <v>72.47.01.03</v>
          </cell>
          <cell r="E1803" t="str">
            <v>ROLO COM.TAN.2,3 C-C</v>
          </cell>
          <cell r="F1803" t="str">
            <v>h</v>
          </cell>
        </row>
        <row r="1804">
          <cell r="B1804" t="str">
            <v>15.1.554</v>
          </cell>
          <cell r="D1804" t="str">
            <v>72.47.01.04</v>
          </cell>
          <cell r="E1804" t="str">
            <v>ROLO COM.TAN.2,3 C-D</v>
          </cell>
          <cell r="F1804" t="str">
            <v>h</v>
          </cell>
        </row>
        <row r="1805">
          <cell r="B1805" t="str">
            <v>15.1.555</v>
          </cell>
          <cell r="D1805" t="str">
            <v>72.47.02.01</v>
          </cell>
          <cell r="E1805" t="str">
            <v>ROLO COMP.TAN.7T C-A</v>
          </cell>
          <cell r="F1805" t="str">
            <v>h</v>
          </cell>
        </row>
        <row r="1806">
          <cell r="B1806" t="str">
            <v>15.1.556</v>
          </cell>
          <cell r="D1806" t="str">
            <v>72.47.02.02</v>
          </cell>
          <cell r="E1806" t="str">
            <v>ROLO COMP.TAN.7T C-B</v>
          </cell>
          <cell r="F1806" t="str">
            <v>h</v>
          </cell>
        </row>
        <row r="1807">
          <cell r="B1807" t="str">
            <v>15.1.557</v>
          </cell>
          <cell r="D1807" t="str">
            <v>72.47.02.03</v>
          </cell>
          <cell r="E1807" t="str">
            <v>ROLO COMP.TAN.7T C-C</v>
          </cell>
          <cell r="F1807" t="str">
            <v>h</v>
          </cell>
        </row>
        <row r="1808">
          <cell r="B1808" t="str">
            <v>15.1.558</v>
          </cell>
          <cell r="D1808" t="str">
            <v>72.47.02.04</v>
          </cell>
          <cell r="E1808" t="str">
            <v>ROLO COMP.TAN.7T C-D</v>
          </cell>
          <cell r="F1808" t="str">
            <v>h</v>
          </cell>
        </row>
        <row r="1809">
          <cell r="B1809" t="str">
            <v>15.1.559</v>
          </cell>
          <cell r="D1809" t="str">
            <v>72.47.03.01</v>
          </cell>
          <cell r="E1809" t="str">
            <v>ROLO COMP.TAN.12T C-A</v>
          </cell>
          <cell r="F1809" t="str">
            <v>h</v>
          </cell>
        </row>
        <row r="1810">
          <cell r="B1810" t="str">
            <v>15.1.560</v>
          </cell>
          <cell r="D1810" t="str">
            <v>72.47.03.02</v>
          </cell>
          <cell r="E1810" t="str">
            <v>ROLO COMP.TAN.12T C-B</v>
          </cell>
          <cell r="F1810" t="str">
            <v>h</v>
          </cell>
        </row>
        <row r="1811">
          <cell r="B1811" t="str">
            <v>15.1.561</v>
          </cell>
          <cell r="D1811" t="str">
            <v>72.47.03.03</v>
          </cell>
          <cell r="E1811" t="str">
            <v>ROLO COMP.TAN.12T C-C</v>
          </cell>
          <cell r="F1811" t="str">
            <v>h</v>
          </cell>
        </row>
        <row r="1812">
          <cell r="B1812" t="str">
            <v>15.1.562</v>
          </cell>
          <cell r="D1812" t="str">
            <v>72.47.03.04</v>
          </cell>
          <cell r="E1812" t="str">
            <v>ROLO COMP.TAN.12T C-D</v>
          </cell>
          <cell r="F1812" t="str">
            <v>h</v>
          </cell>
        </row>
        <row r="1813">
          <cell r="B1813" t="str">
            <v>15.1.563</v>
          </cell>
          <cell r="D1813" t="str">
            <v>72.48.01.01</v>
          </cell>
          <cell r="E1813" t="str">
            <v>ROLO COM.P.A.12,5 C-A</v>
          </cell>
          <cell r="F1813" t="str">
            <v>h</v>
          </cell>
        </row>
        <row r="1814">
          <cell r="B1814" t="str">
            <v>15.1.564</v>
          </cell>
          <cell r="D1814" t="str">
            <v>72.48.01.02</v>
          </cell>
          <cell r="E1814" t="str">
            <v>ROLO COM.P.A.12,5 C-B</v>
          </cell>
          <cell r="F1814" t="str">
            <v>h</v>
          </cell>
        </row>
        <row r="1815">
          <cell r="B1815" t="str">
            <v>15.1.565</v>
          </cell>
          <cell r="D1815" t="str">
            <v>72.48.01.03</v>
          </cell>
          <cell r="E1815" t="str">
            <v>ROLO COM.P.A.12,5 C-C</v>
          </cell>
          <cell r="F1815" t="str">
            <v>h</v>
          </cell>
        </row>
        <row r="1816">
          <cell r="B1816" t="str">
            <v>15.1.566</v>
          </cell>
          <cell r="D1816" t="str">
            <v>72.48.01.04</v>
          </cell>
          <cell r="E1816" t="str">
            <v>ROLO COM.P.A.12,5 C-D</v>
          </cell>
          <cell r="F1816" t="str">
            <v>h</v>
          </cell>
        </row>
        <row r="1817">
          <cell r="B1817" t="str">
            <v>15.1.567</v>
          </cell>
          <cell r="D1817" t="str">
            <v>72.48.02.01</v>
          </cell>
          <cell r="E1817" t="str">
            <v>ROLO COM.P.A.27T C-A</v>
          </cell>
          <cell r="F1817" t="str">
            <v>h</v>
          </cell>
        </row>
        <row r="1818">
          <cell r="B1818" t="str">
            <v>15.1.568</v>
          </cell>
          <cell r="D1818" t="str">
            <v>72.48.02.02</v>
          </cell>
          <cell r="E1818" t="str">
            <v>ROLO COM.P.A.27T C-B</v>
          </cell>
          <cell r="F1818" t="str">
            <v>h</v>
          </cell>
        </row>
        <row r="1819">
          <cell r="B1819" t="str">
            <v>15.1.569</v>
          </cell>
          <cell r="D1819" t="str">
            <v>72.48.02.03</v>
          </cell>
          <cell r="E1819" t="str">
            <v>ROLO COM.P.A.27T C-C</v>
          </cell>
          <cell r="F1819" t="str">
            <v>h</v>
          </cell>
        </row>
        <row r="1820">
          <cell r="B1820" t="str">
            <v>15.1.570</v>
          </cell>
          <cell r="D1820" t="str">
            <v>72.48.02.04</v>
          </cell>
          <cell r="E1820" t="str">
            <v>ROLO COM.P.A.27T C-D</v>
          </cell>
          <cell r="F1820" t="str">
            <v>h</v>
          </cell>
        </row>
        <row r="1821">
          <cell r="B1821" t="str">
            <v>15.1.571</v>
          </cell>
          <cell r="D1821" t="str">
            <v>72.49.01.01</v>
          </cell>
          <cell r="E1821" t="str">
            <v>TRAT.AGR.3,7TON C-A</v>
          </cell>
          <cell r="F1821" t="str">
            <v>h</v>
          </cell>
        </row>
        <row r="1822">
          <cell r="B1822" t="str">
            <v>15.1.572</v>
          </cell>
          <cell r="D1822" t="str">
            <v>72.49.01.02</v>
          </cell>
          <cell r="E1822" t="str">
            <v>TRAT.AGR.3,7TON C-B</v>
          </cell>
          <cell r="F1822" t="str">
            <v>h</v>
          </cell>
        </row>
        <row r="1823">
          <cell r="B1823" t="str">
            <v>15.1.573</v>
          </cell>
          <cell r="D1823" t="str">
            <v>72.49.01.03</v>
          </cell>
          <cell r="E1823" t="str">
            <v>TRAT.AGR.3,7TON C-C</v>
          </cell>
          <cell r="F1823" t="str">
            <v>h</v>
          </cell>
        </row>
        <row r="1824">
          <cell r="B1824" t="str">
            <v>15.1.574</v>
          </cell>
          <cell r="D1824" t="str">
            <v>72.49.01.04</v>
          </cell>
          <cell r="E1824" t="str">
            <v>TRAT.AGR.3,7TON C-D</v>
          </cell>
          <cell r="F1824" t="str">
            <v>h</v>
          </cell>
        </row>
        <row r="1825">
          <cell r="B1825" t="str">
            <v>15.1.575</v>
          </cell>
          <cell r="D1825" t="str">
            <v>72.49.02.01</v>
          </cell>
          <cell r="E1825" t="str">
            <v>TRAT.AGR.5TON C-A</v>
          </cell>
          <cell r="F1825" t="str">
            <v>h</v>
          </cell>
        </row>
        <row r="1826">
          <cell r="B1826" t="str">
            <v>15.1.576</v>
          </cell>
          <cell r="D1826" t="str">
            <v>72.49.02.02</v>
          </cell>
          <cell r="E1826" t="str">
            <v>TRAT.AGR.5TON C-B</v>
          </cell>
          <cell r="F1826" t="str">
            <v>h</v>
          </cell>
        </row>
        <row r="1827">
          <cell r="B1827" t="str">
            <v>15.1.577</v>
          </cell>
          <cell r="D1827" t="str">
            <v>72.49.02.03</v>
          </cell>
          <cell r="E1827" t="str">
            <v>TRAT.AGR.5TON C-C</v>
          </cell>
          <cell r="F1827" t="str">
            <v>h</v>
          </cell>
        </row>
        <row r="1828">
          <cell r="B1828" t="str">
            <v>15.1.578</v>
          </cell>
          <cell r="D1828" t="str">
            <v>72.49.02.04</v>
          </cell>
          <cell r="E1828" t="str">
            <v>TRAT.AGR.5TON C-D</v>
          </cell>
          <cell r="F1828" t="str">
            <v>h</v>
          </cell>
        </row>
        <row r="1829">
          <cell r="B1829" t="str">
            <v>15.1.579</v>
          </cell>
          <cell r="D1829" t="str">
            <v>72.49.03.01</v>
          </cell>
          <cell r="E1829" t="str">
            <v>MICRO TRAT.2,2T C-A</v>
          </cell>
          <cell r="F1829" t="str">
            <v>h</v>
          </cell>
        </row>
        <row r="1830">
          <cell r="B1830" t="str">
            <v>15.1.580</v>
          </cell>
          <cell r="D1830" t="str">
            <v>72.49.03.02</v>
          </cell>
          <cell r="E1830" t="str">
            <v>MICRO TRAT.2,2T C-B</v>
          </cell>
          <cell r="F1830" t="str">
            <v>h</v>
          </cell>
        </row>
        <row r="1831">
          <cell r="B1831" t="str">
            <v>15.1.581</v>
          </cell>
          <cell r="D1831" t="str">
            <v>72.49.03.03</v>
          </cell>
          <cell r="E1831" t="str">
            <v>MICRO TRAT.2,2T C-C</v>
          </cell>
          <cell r="F1831" t="str">
            <v>h</v>
          </cell>
        </row>
        <row r="1832">
          <cell r="B1832" t="str">
            <v>15.1.582</v>
          </cell>
          <cell r="D1832" t="str">
            <v>72.49.03.04</v>
          </cell>
          <cell r="E1832" t="str">
            <v>MICRO TRAT.2,2T C-D</v>
          </cell>
          <cell r="F1832" t="str">
            <v>h</v>
          </cell>
        </row>
        <row r="1833">
          <cell r="B1833" t="str">
            <v>15.1.583</v>
          </cell>
          <cell r="D1833" t="str">
            <v>72.49.04.01</v>
          </cell>
          <cell r="E1833" t="str">
            <v>TRAT.TRIT.VEG.5T C-A</v>
          </cell>
          <cell r="F1833" t="str">
            <v>h</v>
          </cell>
        </row>
        <row r="1834">
          <cell r="B1834" t="str">
            <v>15.1.584</v>
          </cell>
          <cell r="D1834" t="str">
            <v>72.49.04.02</v>
          </cell>
          <cell r="E1834" t="str">
            <v>TRAT.TRIT.VEG.5T C-B</v>
          </cell>
          <cell r="F1834" t="str">
            <v>h</v>
          </cell>
        </row>
        <row r="1835">
          <cell r="B1835" t="str">
            <v>15.1.585</v>
          </cell>
          <cell r="D1835" t="str">
            <v>72.49.04.03</v>
          </cell>
          <cell r="E1835" t="str">
            <v>TRAT.TRIT.VEG.5T C-C</v>
          </cell>
          <cell r="F1835" t="str">
            <v>h</v>
          </cell>
        </row>
        <row r="1836">
          <cell r="B1836" t="str">
            <v>15.1.586</v>
          </cell>
          <cell r="D1836" t="str">
            <v>72.49.04.04</v>
          </cell>
          <cell r="E1836" t="str">
            <v>TRAT.TRIT.VEG.5T C-D</v>
          </cell>
          <cell r="F1836" t="str">
            <v>h</v>
          </cell>
        </row>
        <row r="1837">
          <cell r="B1837" t="str">
            <v>15.1.587</v>
          </cell>
          <cell r="D1837" t="str">
            <v>72.49.05.01</v>
          </cell>
          <cell r="E1837" t="str">
            <v>TRAT.AGR.PULV.5T C-A</v>
          </cell>
          <cell r="F1837" t="str">
            <v>h</v>
          </cell>
        </row>
        <row r="1838">
          <cell r="B1838" t="str">
            <v>15.1.588</v>
          </cell>
          <cell r="D1838" t="str">
            <v>72.49.05.02</v>
          </cell>
          <cell r="E1838" t="str">
            <v>TRAT.AGR.PULV.5T C-B</v>
          </cell>
          <cell r="F1838" t="str">
            <v>h</v>
          </cell>
        </row>
        <row r="1839">
          <cell r="B1839" t="str">
            <v>15.1.589</v>
          </cell>
          <cell r="D1839" t="str">
            <v>72.49.05.03</v>
          </cell>
          <cell r="E1839" t="str">
            <v>TRAT.AGR.PULV.5T C-C</v>
          </cell>
          <cell r="F1839" t="str">
            <v>h</v>
          </cell>
        </row>
        <row r="1840">
          <cell r="B1840" t="str">
            <v>15.1.590</v>
          </cell>
          <cell r="D1840" t="str">
            <v>72.49.05.04</v>
          </cell>
          <cell r="E1840" t="str">
            <v>TRAT.AGR.PULV.5T C-D</v>
          </cell>
          <cell r="F1840" t="str">
            <v>h</v>
          </cell>
        </row>
        <row r="1841">
          <cell r="B1841" t="str">
            <v>15.1.591</v>
          </cell>
          <cell r="D1841" t="str">
            <v>72.50.01.01</v>
          </cell>
          <cell r="E1841" t="str">
            <v>TRAT.EST.L.1,93M3 C-A</v>
          </cell>
          <cell r="F1841" t="str">
            <v>h</v>
          </cell>
        </row>
        <row r="1842">
          <cell r="B1842" t="str">
            <v>15.1.592</v>
          </cell>
          <cell r="D1842" t="str">
            <v>72.50.01.02</v>
          </cell>
          <cell r="E1842" t="str">
            <v>TRAT.EST.L.1,93M3 C-B</v>
          </cell>
          <cell r="F1842" t="str">
            <v>h</v>
          </cell>
        </row>
        <row r="1843">
          <cell r="B1843" t="str">
            <v>15.1.593</v>
          </cell>
          <cell r="D1843" t="str">
            <v>72.50.01.03</v>
          </cell>
          <cell r="E1843" t="str">
            <v>TRAT.EST.L.1,93M3 C-C</v>
          </cell>
          <cell r="F1843" t="str">
            <v>h</v>
          </cell>
        </row>
        <row r="1844">
          <cell r="B1844" t="str">
            <v>15.1.594</v>
          </cell>
          <cell r="D1844" t="str">
            <v>72.50.01.04</v>
          </cell>
          <cell r="E1844" t="str">
            <v>TRAT.EST.L.1,93M3 C-D</v>
          </cell>
          <cell r="F1844" t="str">
            <v>h</v>
          </cell>
        </row>
        <row r="1845">
          <cell r="B1845" t="str">
            <v>15.1.595</v>
          </cell>
          <cell r="D1845" t="str">
            <v>72.50.02.01</v>
          </cell>
          <cell r="E1845" t="str">
            <v>TRAT.EST.L.3,18M3 C-A</v>
          </cell>
          <cell r="F1845" t="str">
            <v>h</v>
          </cell>
        </row>
        <row r="1846">
          <cell r="B1846" t="str">
            <v>15.1.596</v>
          </cell>
          <cell r="D1846" t="str">
            <v>72.50.02.02</v>
          </cell>
          <cell r="E1846" t="str">
            <v>TRAT.EST.L.3,18M3 C-B</v>
          </cell>
          <cell r="F1846" t="str">
            <v>h</v>
          </cell>
        </row>
        <row r="1847">
          <cell r="B1847" t="str">
            <v>15.1.597</v>
          </cell>
          <cell r="D1847" t="str">
            <v>72.50.02.03</v>
          </cell>
          <cell r="E1847" t="str">
            <v>TRAT.EST.L.3,18M3 C-C</v>
          </cell>
          <cell r="F1847" t="str">
            <v>h</v>
          </cell>
        </row>
        <row r="1848">
          <cell r="B1848" t="str">
            <v>15.1.598</v>
          </cell>
          <cell r="D1848" t="str">
            <v>72.50.02.04</v>
          </cell>
          <cell r="E1848" t="str">
            <v>TRAT.EST.L.3,18M3 C-D</v>
          </cell>
          <cell r="F1848" t="str">
            <v>h</v>
          </cell>
        </row>
        <row r="1849">
          <cell r="B1849" t="str">
            <v>15.1.599</v>
          </cell>
          <cell r="D1849" t="str">
            <v>72.50.03.01</v>
          </cell>
          <cell r="E1849" t="str">
            <v>TRAT.EST.L.2,28M3 C-A</v>
          </cell>
          <cell r="F1849" t="str">
            <v>h</v>
          </cell>
        </row>
        <row r="1850">
          <cell r="B1850" t="str">
            <v>15.1.600</v>
          </cell>
          <cell r="D1850" t="str">
            <v>72.50.03.02</v>
          </cell>
          <cell r="E1850" t="str">
            <v>TRAT.EST.L.2,28M3 C-B</v>
          </cell>
          <cell r="F1850" t="str">
            <v>h</v>
          </cell>
        </row>
        <row r="1851">
          <cell r="B1851" t="str">
            <v>15.1.601</v>
          </cell>
          <cell r="D1851" t="str">
            <v>72.50.03.03</v>
          </cell>
          <cell r="E1851" t="str">
            <v>TRAT.EST.L.2,28M3 C-C</v>
          </cell>
          <cell r="F1851" t="str">
            <v>h</v>
          </cell>
        </row>
        <row r="1852">
          <cell r="B1852" t="str">
            <v>15.1.602</v>
          </cell>
          <cell r="D1852" t="str">
            <v>72.50.03.04</v>
          </cell>
          <cell r="E1852" t="str">
            <v>TRAT.EST.L.2,28M3 C-D</v>
          </cell>
          <cell r="F1852" t="str">
            <v>h</v>
          </cell>
        </row>
        <row r="1853">
          <cell r="B1853" t="str">
            <v>15.1.603</v>
          </cell>
          <cell r="D1853" t="str">
            <v>72.50.04.01</v>
          </cell>
          <cell r="E1853" t="str">
            <v xml:space="preserve">TRAT.EST.R.1,93M3 C-A </v>
          </cell>
          <cell r="F1853" t="str">
            <v>h</v>
          </cell>
        </row>
        <row r="1854">
          <cell r="B1854" t="str">
            <v>15.1.604</v>
          </cell>
          <cell r="D1854" t="str">
            <v xml:space="preserve">72.50.04.02 </v>
          </cell>
          <cell r="E1854" t="str">
            <v xml:space="preserve">TRAT.EST.R.1,93M3 C-B </v>
          </cell>
          <cell r="F1854" t="str">
            <v>h</v>
          </cell>
        </row>
        <row r="1855">
          <cell r="B1855" t="str">
            <v>15.1.605</v>
          </cell>
          <cell r="D1855" t="str">
            <v>72.50.04.03</v>
          </cell>
          <cell r="E1855" t="str">
            <v xml:space="preserve">TRAT.EST.R.1,93M3 C-C </v>
          </cell>
          <cell r="F1855" t="str">
            <v>h</v>
          </cell>
        </row>
        <row r="1856">
          <cell r="B1856" t="str">
            <v>15.1.606</v>
          </cell>
          <cell r="D1856" t="str">
            <v>72.50.04.04</v>
          </cell>
          <cell r="E1856" t="str">
            <v xml:space="preserve">TRAT.EST.R.1,93M3 C-D </v>
          </cell>
          <cell r="F1856" t="str">
            <v>h</v>
          </cell>
        </row>
        <row r="1857">
          <cell r="B1857" t="str">
            <v>15.1.607</v>
          </cell>
          <cell r="D1857" t="str">
            <v>72.50.05.01</v>
          </cell>
          <cell r="E1857" t="str">
            <v xml:space="preserve">TRAT.EST.R.2,28M3 C-A </v>
          </cell>
          <cell r="F1857" t="str">
            <v>h</v>
          </cell>
        </row>
        <row r="1858">
          <cell r="B1858" t="str">
            <v>15.1.608</v>
          </cell>
          <cell r="D1858" t="str">
            <v>72.50.05.02</v>
          </cell>
          <cell r="E1858" t="str">
            <v>TRAT.EST.R..2,28M3 C-B</v>
          </cell>
          <cell r="F1858" t="str">
            <v>h</v>
          </cell>
        </row>
        <row r="1859">
          <cell r="B1859" t="str">
            <v>15.1.609</v>
          </cell>
          <cell r="D1859" t="str">
            <v>72.50.05.03</v>
          </cell>
          <cell r="E1859" t="str">
            <v xml:space="preserve">TRAT.EST.R.2,28M3 C-C </v>
          </cell>
          <cell r="F1859" t="str">
            <v>h</v>
          </cell>
        </row>
        <row r="1860">
          <cell r="B1860" t="str">
            <v>15.1.610</v>
          </cell>
          <cell r="D1860" t="str">
            <v>72.50.05.04</v>
          </cell>
          <cell r="E1860" t="str">
            <v xml:space="preserve">TRAT.EST.R.2,28M3 C-D </v>
          </cell>
          <cell r="F1860" t="str">
            <v>h</v>
          </cell>
        </row>
        <row r="1861">
          <cell r="B1861" t="str">
            <v>15.1.611</v>
          </cell>
          <cell r="D1861" t="str">
            <v>72.50.06.01</v>
          </cell>
          <cell r="E1861" t="str">
            <v>TRAT.EST.R.3,18M3 C-A</v>
          </cell>
          <cell r="F1861" t="str">
            <v>h</v>
          </cell>
        </row>
        <row r="1862">
          <cell r="B1862" t="str">
            <v>15.1.612</v>
          </cell>
          <cell r="D1862" t="str">
            <v>72.50.06.02</v>
          </cell>
          <cell r="E1862" t="str">
            <v>TRAT.EST.R.3,18M3 C-B</v>
          </cell>
          <cell r="F1862" t="str">
            <v>h</v>
          </cell>
        </row>
        <row r="1863">
          <cell r="B1863" t="str">
            <v>15.1.613</v>
          </cell>
          <cell r="D1863" t="str">
            <v>72.50.06.03</v>
          </cell>
          <cell r="E1863" t="str">
            <v>TRAT.EST.R.3,18M3 C-C</v>
          </cell>
          <cell r="F1863" t="str">
            <v>h</v>
          </cell>
        </row>
        <row r="1864">
          <cell r="B1864" t="str">
            <v>15.1.614</v>
          </cell>
          <cell r="D1864" t="str">
            <v xml:space="preserve">72.50.06.04 </v>
          </cell>
          <cell r="E1864" t="str">
            <v xml:space="preserve">TRAT.EST.R.3,18M3 C-D </v>
          </cell>
          <cell r="F1864" t="str">
            <v>h</v>
          </cell>
        </row>
        <row r="1865">
          <cell r="B1865" t="str">
            <v>15.1.615</v>
          </cell>
          <cell r="D1865" t="str">
            <v xml:space="preserve">72.52.01.01 </v>
          </cell>
          <cell r="E1865" t="str">
            <v>US.CONC.200M3/H C-A</v>
          </cell>
          <cell r="F1865" t="str">
            <v>h</v>
          </cell>
        </row>
        <row r="1866">
          <cell r="B1866" t="str">
            <v>15.1.616</v>
          </cell>
          <cell r="D1866" t="str">
            <v>72.52.01.02</v>
          </cell>
          <cell r="E1866" t="str">
            <v>US.CONC.200M3/H C-B</v>
          </cell>
          <cell r="F1866" t="str">
            <v>h</v>
          </cell>
        </row>
        <row r="1867">
          <cell r="B1867" t="str">
            <v>15.1.617</v>
          </cell>
          <cell r="D1867" t="str">
            <v xml:space="preserve">72.52.01.03 </v>
          </cell>
          <cell r="E1867" t="str">
            <v>US.CONC.200M3/H C-C</v>
          </cell>
          <cell r="F1867" t="str">
            <v>h</v>
          </cell>
        </row>
        <row r="1868">
          <cell r="B1868" t="str">
            <v>15.1.618</v>
          </cell>
          <cell r="D1868" t="str">
            <v>72.52.01.04</v>
          </cell>
          <cell r="E1868" t="str">
            <v>US.CONC.200M3/H C-D</v>
          </cell>
          <cell r="F1868" t="str">
            <v>h</v>
          </cell>
        </row>
        <row r="1869">
          <cell r="B1869" t="str">
            <v>15.1.619</v>
          </cell>
          <cell r="D1869" t="str">
            <v>72.52.02.01</v>
          </cell>
          <cell r="E1869" t="str">
            <v>US.CONC.40M3/H C-A</v>
          </cell>
          <cell r="F1869" t="str">
            <v>h</v>
          </cell>
        </row>
        <row r="1870">
          <cell r="B1870" t="str">
            <v>15.1.620</v>
          </cell>
          <cell r="D1870" t="str">
            <v>72.52.02.02</v>
          </cell>
          <cell r="E1870" t="str">
            <v>US.CONC.40M3/H C-B</v>
          </cell>
          <cell r="F1870" t="str">
            <v>h</v>
          </cell>
        </row>
        <row r="1871">
          <cell r="B1871" t="str">
            <v>15.1.621</v>
          </cell>
          <cell r="D1871" t="str">
            <v>72.52.02.03</v>
          </cell>
          <cell r="E1871" t="str">
            <v>US.CONC.40M3/H C-C</v>
          </cell>
          <cell r="F1871" t="str">
            <v>h</v>
          </cell>
        </row>
        <row r="1872">
          <cell r="B1872" t="str">
            <v>15.1.622</v>
          </cell>
          <cell r="D1872" t="str">
            <v>72.52.02.04</v>
          </cell>
          <cell r="E1872" t="str">
            <v>US.CONC.40M3/H C-D</v>
          </cell>
          <cell r="F1872" t="str">
            <v>h</v>
          </cell>
        </row>
        <row r="1873">
          <cell r="B1873" t="str">
            <v>15.1.623</v>
          </cell>
          <cell r="D1873" t="str">
            <v>72.52.03.01</v>
          </cell>
          <cell r="E1873" t="str">
            <v>US.GRAV.Q.80T/H C-A</v>
          </cell>
          <cell r="F1873" t="str">
            <v>h</v>
          </cell>
        </row>
        <row r="1874">
          <cell r="B1874" t="str">
            <v>15.1.624</v>
          </cell>
          <cell r="D1874" t="str">
            <v>72.52.03.02</v>
          </cell>
          <cell r="E1874" t="str">
            <v>US.GRAV.Q.80T/H C-B</v>
          </cell>
          <cell r="F1874" t="str">
            <v>h</v>
          </cell>
        </row>
        <row r="1875">
          <cell r="B1875" t="str">
            <v>15.1.625</v>
          </cell>
          <cell r="D1875" t="str">
            <v xml:space="preserve">72.52.03.03 </v>
          </cell>
          <cell r="E1875" t="str">
            <v>US.GRAV.Q.80T/H C-C</v>
          </cell>
          <cell r="F1875" t="str">
            <v>h</v>
          </cell>
        </row>
        <row r="1876">
          <cell r="B1876" t="str">
            <v>15.1.626</v>
          </cell>
          <cell r="D1876" t="str">
            <v>72.52.03.04</v>
          </cell>
          <cell r="E1876" t="str">
            <v>US.GRAV.Q.80T/H C-D</v>
          </cell>
          <cell r="F1876" t="str">
            <v>h</v>
          </cell>
        </row>
        <row r="1877">
          <cell r="B1877" t="str">
            <v>15.1.627</v>
          </cell>
          <cell r="D1877" t="str">
            <v xml:space="preserve">72.52.04.01 </v>
          </cell>
          <cell r="E1877" t="str">
            <v>US.ASF.FR.150T/H C-A</v>
          </cell>
          <cell r="F1877" t="str">
            <v>h</v>
          </cell>
        </row>
        <row r="1878">
          <cell r="B1878" t="str">
            <v>15.1.628</v>
          </cell>
          <cell r="D1878" t="str">
            <v xml:space="preserve">72.52.04.02 </v>
          </cell>
          <cell r="E1878" t="str">
            <v>US.ASF.FR.150T/H C-B</v>
          </cell>
          <cell r="F1878" t="str">
            <v>h</v>
          </cell>
        </row>
        <row r="1879">
          <cell r="B1879" t="str">
            <v>15.1.629</v>
          </cell>
          <cell r="D1879" t="str">
            <v xml:space="preserve">72.52.04.03 </v>
          </cell>
          <cell r="E1879" t="str">
            <v>US.ASF.FR.150T/H C-C</v>
          </cell>
          <cell r="F1879" t="str">
            <v>h</v>
          </cell>
        </row>
        <row r="1880">
          <cell r="B1880" t="str">
            <v>15.1.630</v>
          </cell>
          <cell r="D1880" t="str">
            <v>72.52.04.04</v>
          </cell>
          <cell r="E1880" t="str">
            <v>US.ASF.FR.150T/H C-D</v>
          </cell>
          <cell r="F1880" t="str">
            <v>h</v>
          </cell>
        </row>
        <row r="1881">
          <cell r="B1881" t="str">
            <v>15.1.631</v>
          </cell>
          <cell r="D1881" t="str">
            <v xml:space="preserve">72.52.05.01 </v>
          </cell>
          <cell r="E1881" t="str">
            <v xml:space="preserve">US.SOLOS 400T/H C-A </v>
          </cell>
          <cell r="F1881" t="str">
            <v>h</v>
          </cell>
        </row>
        <row r="1882">
          <cell r="B1882" t="str">
            <v>15.1.632</v>
          </cell>
          <cell r="D1882" t="str">
            <v xml:space="preserve">72.52.05.02 </v>
          </cell>
          <cell r="E1882" t="str">
            <v>US.SOLOS 400T/H C-B</v>
          </cell>
          <cell r="F1882" t="str">
            <v>h</v>
          </cell>
        </row>
        <row r="1883">
          <cell r="B1883" t="str">
            <v>15.1.633</v>
          </cell>
          <cell r="D1883" t="str">
            <v>72.52.05.03</v>
          </cell>
          <cell r="E1883" t="str">
            <v xml:space="preserve">US.SOLOS 400T/H C-C </v>
          </cell>
          <cell r="F1883" t="str">
            <v>h</v>
          </cell>
        </row>
        <row r="1884">
          <cell r="B1884" t="str">
            <v>15.1.634</v>
          </cell>
          <cell r="D1884" t="str">
            <v xml:space="preserve">72.52.05.04 </v>
          </cell>
          <cell r="E1884" t="str">
            <v>US.SOLOS 400T/H C-D</v>
          </cell>
          <cell r="F1884" t="str">
            <v>h</v>
          </cell>
        </row>
        <row r="1885">
          <cell r="B1885" t="str">
            <v>15.1.635</v>
          </cell>
          <cell r="D1885" t="str">
            <v xml:space="preserve">72.53.01.01 </v>
          </cell>
          <cell r="E1885" t="str">
            <v>VIBR.IMER.ELETR.C-A</v>
          </cell>
          <cell r="F1885" t="str">
            <v>h</v>
          </cell>
        </row>
        <row r="1886">
          <cell r="B1886" t="str">
            <v>15.1.636</v>
          </cell>
          <cell r="D1886" t="str">
            <v xml:space="preserve">72.53.01.02 </v>
          </cell>
          <cell r="E1886" t="str">
            <v>VIBR.IMER.ELETR.C-B</v>
          </cell>
          <cell r="F1886" t="str">
            <v>h</v>
          </cell>
        </row>
        <row r="1887">
          <cell r="B1887" t="str">
            <v>15.1.637</v>
          </cell>
          <cell r="D1887" t="str">
            <v>72.53.01.03</v>
          </cell>
          <cell r="E1887" t="str">
            <v>VIBR.IMER.ELETR.C-C</v>
          </cell>
          <cell r="F1887" t="str">
            <v>h</v>
          </cell>
        </row>
        <row r="1888">
          <cell r="B1888" t="str">
            <v>15.1.638</v>
          </cell>
          <cell r="D1888" t="str">
            <v xml:space="preserve">72.53.01.04 </v>
          </cell>
          <cell r="E1888" t="str">
            <v>VIBR.IMER.ELETR.C-D</v>
          </cell>
          <cell r="F1888" t="str">
            <v>h</v>
          </cell>
        </row>
        <row r="1889">
          <cell r="B1889" t="str">
            <v>15.1.639</v>
          </cell>
          <cell r="D1889" t="str">
            <v xml:space="preserve">72.53.02.01 </v>
          </cell>
          <cell r="E1889" t="str">
            <v>VIBR.IMER.GAS. C-A</v>
          </cell>
          <cell r="F1889" t="str">
            <v>h</v>
          </cell>
        </row>
        <row r="1890">
          <cell r="B1890" t="str">
            <v>15.1.640</v>
          </cell>
          <cell r="D1890" t="str">
            <v>72.53.02.02</v>
          </cell>
          <cell r="E1890" t="str">
            <v>VIBR.IMER.GAS. C-B</v>
          </cell>
          <cell r="F1890" t="str">
            <v>h</v>
          </cell>
        </row>
        <row r="1891">
          <cell r="B1891" t="str">
            <v>15.1.641</v>
          </cell>
          <cell r="D1891" t="str">
            <v xml:space="preserve">72.53.02.03 </v>
          </cell>
          <cell r="E1891" t="str">
            <v xml:space="preserve">VIBR.IMER.GAS. C-C </v>
          </cell>
          <cell r="F1891" t="str">
            <v>h</v>
          </cell>
        </row>
        <row r="1892">
          <cell r="B1892" t="str">
            <v>15.1.642</v>
          </cell>
          <cell r="D1892" t="str">
            <v xml:space="preserve">72.53.02.04 </v>
          </cell>
          <cell r="E1892" t="str">
            <v>VIBR.IMER.GAS. C-D</v>
          </cell>
          <cell r="F1892" t="str">
            <v>h</v>
          </cell>
        </row>
        <row r="1893">
          <cell r="B1893" t="str">
            <v>15.1.643</v>
          </cell>
          <cell r="D1893" t="str">
            <v>72.54.01.01</v>
          </cell>
          <cell r="E1893" t="str">
            <v>VIB.AC.AS.400T/H C-A</v>
          </cell>
          <cell r="F1893" t="str">
            <v>h</v>
          </cell>
        </row>
        <row r="1894">
          <cell r="B1894" t="str">
            <v>15.1.644</v>
          </cell>
          <cell r="D1894" t="str">
            <v>72.54.01.02</v>
          </cell>
          <cell r="E1894" t="str">
            <v>VIB.AC.AS.400T/H C-B</v>
          </cell>
          <cell r="F1894" t="str">
            <v>h</v>
          </cell>
        </row>
        <row r="1895">
          <cell r="B1895" t="str">
            <v>15.1.645</v>
          </cell>
          <cell r="D1895" t="str">
            <v xml:space="preserve">72.54.01.03 </v>
          </cell>
          <cell r="E1895" t="str">
            <v>VIB.AC.AS.400T/H C-C</v>
          </cell>
          <cell r="F1895" t="str">
            <v>h</v>
          </cell>
        </row>
        <row r="1896">
          <cell r="B1896" t="str">
            <v>15.1.646</v>
          </cell>
          <cell r="D1896" t="str">
            <v>72.54.01.04</v>
          </cell>
          <cell r="E1896" t="str">
            <v>VIB.AC.AS.400T/H C-D</v>
          </cell>
          <cell r="F1896" t="str">
            <v>h</v>
          </cell>
        </row>
        <row r="1897">
          <cell r="B1897" t="str">
            <v>15.1.647</v>
          </cell>
          <cell r="D1897" t="str">
            <v>72.54.02.01</v>
          </cell>
          <cell r="E1897" t="str">
            <v>VIB.AC.AS.2838T/H C-A</v>
          </cell>
          <cell r="F1897" t="str">
            <v>h</v>
          </cell>
        </row>
        <row r="1898">
          <cell r="B1898" t="str">
            <v>15.1.648</v>
          </cell>
          <cell r="D1898" t="str">
            <v>72.54.02.02</v>
          </cell>
          <cell r="E1898" t="str">
            <v>VIB.AC.AS.2838T/H C-B</v>
          </cell>
          <cell r="F1898" t="str">
            <v>h</v>
          </cell>
        </row>
        <row r="1899">
          <cell r="B1899" t="str">
            <v>15.1.649</v>
          </cell>
          <cell r="D1899" t="str">
            <v xml:space="preserve">72.54.02.03 </v>
          </cell>
          <cell r="E1899" t="str">
            <v>VIB.AC.AS.2838T/H C-C</v>
          </cell>
          <cell r="F1899" t="str">
            <v>h</v>
          </cell>
        </row>
        <row r="1900">
          <cell r="B1900" t="str">
            <v>15.1.650</v>
          </cell>
          <cell r="D1900" t="str">
            <v xml:space="preserve">72.54.02.04 </v>
          </cell>
          <cell r="E1900" t="str">
            <v>VIB.AC.AS.2838T/H C-D</v>
          </cell>
          <cell r="F1900" t="str">
            <v>h</v>
          </cell>
        </row>
        <row r="1901">
          <cell r="B1901" t="str">
            <v>15.1.651</v>
          </cell>
          <cell r="D1901" t="str">
            <v xml:space="preserve">72.54.03.01 </v>
          </cell>
          <cell r="E1901" t="str">
            <v>VIB.AC.AS.500T/H C-A</v>
          </cell>
          <cell r="F1901" t="str">
            <v>h</v>
          </cell>
        </row>
        <row r="1902">
          <cell r="B1902" t="str">
            <v>15.1.652</v>
          </cell>
          <cell r="D1902" t="str">
            <v>72.54.03.02</v>
          </cell>
          <cell r="E1902" t="str">
            <v xml:space="preserve">VIB.AC.AS.500T/H C-B </v>
          </cell>
          <cell r="F1902" t="str">
            <v>h</v>
          </cell>
        </row>
        <row r="1903">
          <cell r="B1903" t="str">
            <v>15.1.653</v>
          </cell>
          <cell r="D1903" t="str">
            <v>72.54.03.03</v>
          </cell>
          <cell r="E1903" t="str">
            <v xml:space="preserve">VIB.AC.AS.500T/H C-C </v>
          </cell>
          <cell r="F1903" t="str">
            <v>h</v>
          </cell>
        </row>
        <row r="1904">
          <cell r="B1904" t="str">
            <v>15.1.654</v>
          </cell>
          <cell r="D1904" t="str">
            <v>72.54.03.04</v>
          </cell>
          <cell r="E1904" t="str">
            <v xml:space="preserve">VIB.AC.AS.500T/H C-D </v>
          </cell>
          <cell r="F1904" t="str">
            <v>h</v>
          </cell>
        </row>
        <row r="1905">
          <cell r="B1905" t="str">
            <v>15.1.655</v>
          </cell>
          <cell r="D1905" t="str">
            <v>72.54.04.01</v>
          </cell>
          <cell r="E1905" t="str">
            <v xml:space="preserve">VIB.AC.AS.14,7T/H C-A </v>
          </cell>
          <cell r="F1905" t="str">
            <v>h</v>
          </cell>
        </row>
        <row r="1906">
          <cell r="B1906" t="str">
            <v>15.1.656</v>
          </cell>
          <cell r="D1906" t="str">
            <v>72.54.04.02</v>
          </cell>
          <cell r="E1906" t="str">
            <v xml:space="preserve">VIB.AC.AS.14,7T/H C-B </v>
          </cell>
          <cell r="F1906" t="str">
            <v>h</v>
          </cell>
        </row>
        <row r="1907">
          <cell r="B1907" t="str">
            <v>15.1.657</v>
          </cell>
          <cell r="D1907" t="str">
            <v>72.54.04.03</v>
          </cell>
          <cell r="E1907" t="str">
            <v>VIB.AC.AS.14,7T/H C-C</v>
          </cell>
          <cell r="F1907" t="str">
            <v>h</v>
          </cell>
        </row>
        <row r="1908">
          <cell r="B1908" t="str">
            <v>15.1.658</v>
          </cell>
          <cell r="D1908" t="str">
            <v>72.54.04.04</v>
          </cell>
          <cell r="E1908" t="str">
            <v>VIB.AC.AS.14,7T/H C-D</v>
          </cell>
          <cell r="F1908" t="str">
            <v>h</v>
          </cell>
        </row>
        <row r="1909">
          <cell r="B1909" t="str">
            <v>15.1.659</v>
          </cell>
          <cell r="D1909" t="str">
            <v>72.55.01.01</v>
          </cell>
          <cell r="E1909" t="str">
            <v>V.AC.CONC.200M3/H C-A</v>
          </cell>
          <cell r="F1909" t="str">
            <v>h</v>
          </cell>
        </row>
        <row r="1910">
          <cell r="B1910" t="str">
            <v>15.1.660</v>
          </cell>
          <cell r="D1910" t="str">
            <v>72.55.01.02</v>
          </cell>
          <cell r="E1910" t="str">
            <v>V.AC.CONC.200M3/H C-B</v>
          </cell>
          <cell r="F1910" t="str">
            <v>h</v>
          </cell>
        </row>
        <row r="1911">
          <cell r="B1911" t="str">
            <v>15.1.661</v>
          </cell>
          <cell r="D1911" t="str">
            <v>72.55.01.03</v>
          </cell>
          <cell r="E1911" t="str">
            <v xml:space="preserve">V.AC.CONC.200M3/H C-C </v>
          </cell>
          <cell r="F1911" t="str">
            <v>h</v>
          </cell>
        </row>
        <row r="1912">
          <cell r="B1912" t="str">
            <v>15.1.662</v>
          </cell>
          <cell r="D1912" t="str">
            <v>72.55.01.04</v>
          </cell>
          <cell r="E1912" t="str">
            <v xml:space="preserve">V.AC.CONC.200M3/H C-D </v>
          </cell>
          <cell r="F1912" t="str">
            <v>h</v>
          </cell>
        </row>
        <row r="1913">
          <cell r="B1913" t="str">
            <v>15.1.663</v>
          </cell>
          <cell r="D1913" t="str">
            <v>72.56.01.01</v>
          </cell>
          <cell r="E1913" t="str">
            <v xml:space="preserve">SERRA PAV.8HP C-A </v>
          </cell>
          <cell r="F1913" t="str">
            <v>h</v>
          </cell>
        </row>
        <row r="1914">
          <cell r="B1914" t="str">
            <v>15.1.664</v>
          </cell>
          <cell r="D1914" t="str">
            <v>72.56.01.02</v>
          </cell>
          <cell r="E1914" t="str">
            <v>SERRA PAV.8HP C-B</v>
          </cell>
          <cell r="F1914" t="str">
            <v>h</v>
          </cell>
        </row>
        <row r="1915">
          <cell r="B1915" t="str">
            <v>15.1.665</v>
          </cell>
          <cell r="D1915" t="str">
            <v>72.56.01.03</v>
          </cell>
          <cell r="E1915" t="str">
            <v>SERRA PAV.8HP C-C</v>
          </cell>
          <cell r="F1915" t="str">
            <v>h</v>
          </cell>
        </row>
        <row r="1916">
          <cell r="B1916" t="str">
            <v>15.1.666</v>
          </cell>
          <cell r="D1916" t="str">
            <v>72.56.01.04</v>
          </cell>
          <cell r="E1916" t="str">
            <v xml:space="preserve">SERRA PAV.8HP C-D </v>
          </cell>
          <cell r="F1916" t="str">
            <v>h</v>
          </cell>
        </row>
        <row r="1917">
          <cell r="B1917" t="str">
            <v>15.1.667</v>
          </cell>
          <cell r="D1917" t="str">
            <v>72.56.03.01</v>
          </cell>
          <cell r="E1917" t="str">
            <v xml:space="preserve">SERRA PAV.9HP C-A </v>
          </cell>
          <cell r="F1917" t="str">
            <v>h</v>
          </cell>
        </row>
        <row r="1918">
          <cell r="B1918" t="str">
            <v>15.1.668</v>
          </cell>
          <cell r="D1918" t="str">
            <v>72.56.03.02</v>
          </cell>
          <cell r="E1918" t="str">
            <v>SERRA PAV.9HP C-B</v>
          </cell>
          <cell r="F1918" t="str">
            <v>h</v>
          </cell>
        </row>
        <row r="1919">
          <cell r="B1919" t="str">
            <v>15.1.669</v>
          </cell>
          <cell r="D1919" t="str">
            <v>72.56.03.03</v>
          </cell>
          <cell r="E1919" t="str">
            <v>SERRA PAV.9HP C-C</v>
          </cell>
          <cell r="F1919" t="str">
            <v>h</v>
          </cell>
        </row>
        <row r="1920">
          <cell r="B1920" t="str">
            <v>15.1.670</v>
          </cell>
          <cell r="D1920" t="str">
            <v>72.56.03.04</v>
          </cell>
          <cell r="E1920" t="str">
            <v xml:space="preserve">SERRA PAV.9HP C-D </v>
          </cell>
          <cell r="F1920" t="str">
            <v>h</v>
          </cell>
        </row>
        <row r="1921">
          <cell r="B1921" t="str">
            <v>15.1.671</v>
          </cell>
          <cell r="D1921" t="str">
            <v>72.57.01.01</v>
          </cell>
          <cell r="E1921" t="str">
            <v>SELADORA A FRIO C-A</v>
          </cell>
          <cell r="F1921" t="str">
            <v>h</v>
          </cell>
        </row>
        <row r="1922">
          <cell r="B1922" t="str">
            <v>15.1.672</v>
          </cell>
          <cell r="D1922" t="str">
            <v>72.57.01.02</v>
          </cell>
          <cell r="E1922" t="str">
            <v>SELADORA A FRIO C-B</v>
          </cell>
          <cell r="F1922" t="str">
            <v>h</v>
          </cell>
        </row>
        <row r="1923">
          <cell r="B1923" t="str">
            <v>15.1.673</v>
          </cell>
          <cell r="D1923" t="str">
            <v>72.57.01.03</v>
          </cell>
          <cell r="E1923" t="str">
            <v>SELADORA A FRIO C-C</v>
          </cell>
          <cell r="F1923" t="str">
            <v>h</v>
          </cell>
        </row>
        <row r="1924">
          <cell r="B1924" t="str">
            <v>15.1.674</v>
          </cell>
          <cell r="D1924" t="str">
            <v>72.57.01.04</v>
          </cell>
          <cell r="E1924" t="str">
            <v>SELADORA A FRIO C-D</v>
          </cell>
          <cell r="F1924" t="str">
            <v>h</v>
          </cell>
        </row>
        <row r="1925">
          <cell r="B1925" t="str">
            <v>15.1.675</v>
          </cell>
          <cell r="D1925" t="str">
            <v>72.58.01.01</v>
          </cell>
          <cell r="E1925" t="str">
            <v>UNID.APLIC.EXTR. C-A</v>
          </cell>
          <cell r="F1925" t="str">
            <v>h</v>
          </cell>
        </row>
        <row r="1926">
          <cell r="B1926" t="str">
            <v>15.1.676</v>
          </cell>
          <cell r="D1926" t="str">
            <v>72.58.01.02</v>
          </cell>
          <cell r="E1926" t="str">
            <v>UNID.APLIC.EXTR. C-B</v>
          </cell>
          <cell r="F1926" t="str">
            <v>h</v>
          </cell>
        </row>
        <row r="1927">
          <cell r="B1927" t="str">
            <v>15.1.677</v>
          </cell>
          <cell r="D1927" t="str">
            <v>72.58.01.03</v>
          </cell>
          <cell r="E1927" t="str">
            <v>UNID.APLIC.EXTR. C-C</v>
          </cell>
          <cell r="F1927" t="str">
            <v>h</v>
          </cell>
        </row>
        <row r="1928">
          <cell r="B1928" t="str">
            <v>15.1.678</v>
          </cell>
          <cell r="D1928" t="str">
            <v>72.58.01.04</v>
          </cell>
          <cell r="E1928" t="str">
            <v>UNID.APLIC.EXTR. C-D</v>
          </cell>
          <cell r="F1928" t="str">
            <v>h</v>
          </cell>
        </row>
        <row r="1929">
          <cell r="B1929" t="str">
            <v>15.1.679</v>
          </cell>
          <cell r="D1929" t="str">
            <v>72.58.02.01</v>
          </cell>
          <cell r="E1929" t="str">
            <v xml:space="preserve">UNI.APLI.TINT.EL.C-A </v>
          </cell>
          <cell r="F1929" t="str">
            <v>h</v>
          </cell>
        </row>
        <row r="1930">
          <cell r="B1930" t="str">
            <v>15.1.680</v>
          </cell>
          <cell r="D1930" t="str">
            <v>72.58.02.02</v>
          </cell>
          <cell r="E1930" t="str">
            <v>UNI.APLI.TINT.EL.C-B</v>
          </cell>
          <cell r="F1930" t="str">
            <v>h</v>
          </cell>
        </row>
        <row r="1931">
          <cell r="B1931" t="str">
            <v>15.1.681</v>
          </cell>
          <cell r="D1931" t="str">
            <v>72.58.02.03</v>
          </cell>
          <cell r="E1931" t="str">
            <v xml:space="preserve">UNI.APLI.TINT.EL.C-C </v>
          </cell>
          <cell r="F1931" t="str">
            <v>h</v>
          </cell>
        </row>
        <row r="1932">
          <cell r="B1932" t="str">
            <v>15.1.682</v>
          </cell>
          <cell r="D1932" t="str">
            <v>72.58.02.04</v>
          </cell>
          <cell r="E1932" t="str">
            <v>UNI.APLI.TINT.EL.C-D</v>
          </cell>
          <cell r="F1932" t="str">
            <v>h</v>
          </cell>
        </row>
        <row r="1933">
          <cell r="B1933" t="str">
            <v>15.1.683</v>
          </cell>
          <cell r="D1933" t="str">
            <v>72.58.03.01</v>
          </cell>
          <cell r="E1933" t="str">
            <v>UNIDADE FUSORA C-A</v>
          </cell>
          <cell r="F1933" t="str">
            <v>h</v>
          </cell>
        </row>
        <row r="1934">
          <cell r="B1934" t="str">
            <v>15.1.684</v>
          </cell>
          <cell r="D1934" t="str">
            <v>72.58.03.02</v>
          </cell>
          <cell r="E1934" t="str">
            <v xml:space="preserve">UNIDADE FUSORA C-B </v>
          </cell>
          <cell r="F1934" t="str">
            <v>h</v>
          </cell>
        </row>
        <row r="1935">
          <cell r="B1935" t="str">
            <v>15.1.685</v>
          </cell>
          <cell r="D1935" t="str">
            <v>72.58.03.03</v>
          </cell>
          <cell r="E1935" t="str">
            <v>UNIDADE FUSORA C-C</v>
          </cell>
          <cell r="F1935" t="str">
            <v>h</v>
          </cell>
        </row>
        <row r="1936">
          <cell r="B1936" t="str">
            <v>15.1.686</v>
          </cell>
          <cell r="D1936" t="str">
            <v>72.58.03.04</v>
          </cell>
          <cell r="E1936" t="str">
            <v xml:space="preserve">UNIDADE FUSORA C-D </v>
          </cell>
          <cell r="F1936" t="str">
            <v>h</v>
          </cell>
        </row>
        <row r="1937">
          <cell r="B1937" t="str">
            <v>15.1.687</v>
          </cell>
          <cell r="D1937" t="str">
            <v>72.58.04.01</v>
          </cell>
          <cell r="E1937" t="str">
            <v>UN.APL.HOT-SPRAY C-A</v>
          </cell>
          <cell r="F1937" t="str">
            <v>h</v>
          </cell>
        </row>
        <row r="1938">
          <cell r="B1938" t="str">
            <v>15.1.688</v>
          </cell>
          <cell r="D1938" t="str">
            <v>72.58.04.02</v>
          </cell>
          <cell r="E1938" t="str">
            <v xml:space="preserve">UN.APL.HOT-SPRAY C-B </v>
          </cell>
          <cell r="F1938" t="str">
            <v>h</v>
          </cell>
        </row>
        <row r="1939">
          <cell r="B1939" t="str">
            <v>15.1.689</v>
          </cell>
          <cell r="D1939" t="str">
            <v>72.58.04.03</v>
          </cell>
          <cell r="E1939" t="str">
            <v>UN.APL.HOT-SPRAY C-C</v>
          </cell>
          <cell r="F1939" t="str">
            <v>h</v>
          </cell>
        </row>
        <row r="1940">
          <cell r="B1940" t="str">
            <v>15.1.690</v>
          </cell>
          <cell r="D1940" t="str">
            <v>72.58.04.04</v>
          </cell>
          <cell r="E1940" t="str">
            <v>UN.APL.HOT-SPRAY C-D</v>
          </cell>
          <cell r="F1940" t="str">
            <v>h</v>
          </cell>
        </row>
        <row r="1941">
          <cell r="B1941" t="str">
            <v>15.1.691</v>
          </cell>
          <cell r="D1941" t="str">
            <v>72.58.05.01</v>
          </cell>
          <cell r="E1941" t="str">
            <v>UN.APL.HOFFMAN C-A</v>
          </cell>
          <cell r="F1941" t="str">
            <v>h</v>
          </cell>
        </row>
        <row r="1942">
          <cell r="B1942" t="str">
            <v>15.1.692</v>
          </cell>
          <cell r="D1942" t="str">
            <v>72.58.05.02</v>
          </cell>
          <cell r="E1942" t="str">
            <v>UN.APL.HOFFMAN C-B</v>
          </cell>
          <cell r="F1942" t="str">
            <v>h</v>
          </cell>
        </row>
        <row r="1943">
          <cell r="B1943" t="str">
            <v>15.1.693</v>
          </cell>
          <cell r="D1943" t="str">
            <v>72.58.05.03</v>
          </cell>
          <cell r="E1943" t="str">
            <v>UN.APL.HOFFMAN C-C</v>
          </cell>
          <cell r="F1943" t="str">
            <v>h</v>
          </cell>
        </row>
        <row r="1944">
          <cell r="B1944" t="str">
            <v>15.1.694</v>
          </cell>
          <cell r="D1944" t="str">
            <v>72.58.05.04</v>
          </cell>
          <cell r="E1944" t="str">
            <v>UN.APL.HOFFMAN C-D</v>
          </cell>
          <cell r="F1944" t="str">
            <v>h</v>
          </cell>
        </row>
        <row r="1945">
          <cell r="B1945" t="str">
            <v>15.1.695</v>
          </cell>
          <cell r="D1945" t="str">
            <v>72.59.01.01</v>
          </cell>
          <cell r="E1945" t="str">
            <v>SILO EST.CIM.30T C-A</v>
          </cell>
          <cell r="F1945" t="str">
            <v>h</v>
          </cell>
        </row>
        <row r="1946">
          <cell r="B1946" t="str">
            <v>15.1.696</v>
          </cell>
          <cell r="D1946" t="str">
            <v>72.59.01.02</v>
          </cell>
          <cell r="E1946" t="str">
            <v>SILO EST.CIM.30T C-B</v>
          </cell>
          <cell r="F1946" t="str">
            <v>h</v>
          </cell>
        </row>
        <row r="1947">
          <cell r="B1947" t="str">
            <v>15.1.697</v>
          </cell>
          <cell r="D1947" t="str">
            <v>72.59.01.03</v>
          </cell>
          <cell r="E1947" t="str">
            <v>SILO EST.CIM.30T C-C</v>
          </cell>
          <cell r="F1947" t="str">
            <v>h</v>
          </cell>
        </row>
        <row r="1948">
          <cell r="B1948" t="str">
            <v>15.1.698</v>
          </cell>
          <cell r="D1948" t="str">
            <v>72.59.01.04</v>
          </cell>
          <cell r="E1948" t="str">
            <v>SILO EST.CIM.30T C-D</v>
          </cell>
          <cell r="F1948" t="str">
            <v>h</v>
          </cell>
        </row>
        <row r="1949">
          <cell r="B1949" t="str">
            <v>15.1.699</v>
          </cell>
          <cell r="D1949" t="str">
            <v>72.59.02.01</v>
          </cell>
          <cell r="E1949" t="str">
            <v>SILO EST.ASF.35T C-A</v>
          </cell>
          <cell r="F1949" t="str">
            <v>h</v>
          </cell>
        </row>
        <row r="1950">
          <cell r="B1950" t="str">
            <v>15.1.700</v>
          </cell>
          <cell r="D1950" t="str">
            <v>72.59.02.02</v>
          </cell>
          <cell r="E1950" t="str">
            <v xml:space="preserve">SILO EST.ASF.35T C-B </v>
          </cell>
          <cell r="F1950" t="str">
            <v>h</v>
          </cell>
        </row>
        <row r="1951">
          <cell r="B1951" t="str">
            <v>15.1.701</v>
          </cell>
          <cell r="D1951" t="str">
            <v>72.59.02.03</v>
          </cell>
          <cell r="E1951" t="str">
            <v xml:space="preserve">SILO EST.ASF.35T C-C </v>
          </cell>
          <cell r="F1951" t="str">
            <v>h</v>
          </cell>
        </row>
        <row r="1952">
          <cell r="B1952" t="str">
            <v>15.1.702</v>
          </cell>
          <cell r="D1952" t="str">
            <v>72.59.02.04</v>
          </cell>
          <cell r="E1952" t="str">
            <v xml:space="preserve">SILO EST.ASF.35T C-D </v>
          </cell>
          <cell r="F1952" t="str">
            <v>h</v>
          </cell>
        </row>
        <row r="1953">
          <cell r="B1953" t="str">
            <v>15.1.703</v>
          </cell>
          <cell r="D1953" t="str">
            <v>72.61.01.01</v>
          </cell>
          <cell r="E1953" t="str">
            <v xml:space="preserve">VAS.MEC.REBOC. C-A </v>
          </cell>
          <cell r="F1953" t="str">
            <v>h</v>
          </cell>
        </row>
        <row r="1954">
          <cell r="B1954" t="str">
            <v>15.1.704</v>
          </cell>
          <cell r="D1954" t="str">
            <v>72.61.01.02</v>
          </cell>
          <cell r="E1954" t="str">
            <v>VAS.MEC.REBOC. C-B</v>
          </cell>
          <cell r="F1954" t="str">
            <v>h</v>
          </cell>
        </row>
        <row r="1955">
          <cell r="B1955" t="str">
            <v>15.1.705</v>
          </cell>
          <cell r="D1955" t="str">
            <v>72.61.01.03</v>
          </cell>
          <cell r="E1955" t="str">
            <v>VAS.MEC.REBOC. C-C</v>
          </cell>
          <cell r="F1955" t="str">
            <v>h</v>
          </cell>
        </row>
        <row r="1956">
          <cell r="B1956" t="str">
            <v>15.1.706</v>
          </cell>
          <cell r="D1956" t="str">
            <v>72.61.01.04</v>
          </cell>
          <cell r="E1956" t="str">
            <v xml:space="preserve">VAS.MEC.REBOC. C-D </v>
          </cell>
          <cell r="F1956" t="str">
            <v>h</v>
          </cell>
        </row>
        <row r="1957">
          <cell r="B1957" t="str">
            <v>15.1.707</v>
          </cell>
          <cell r="D1957" t="str">
            <v>72.63.01.01</v>
          </cell>
          <cell r="E1957" t="str">
            <v xml:space="preserve">MAQUINA DE JATO C-A </v>
          </cell>
          <cell r="F1957" t="str">
            <v>h</v>
          </cell>
        </row>
        <row r="1958">
          <cell r="B1958" t="str">
            <v>15.1.708</v>
          </cell>
          <cell r="D1958" t="str">
            <v>72.63.01.02</v>
          </cell>
          <cell r="E1958" t="str">
            <v xml:space="preserve">MAQUINA DE JATO C-B </v>
          </cell>
          <cell r="F1958" t="str">
            <v>h</v>
          </cell>
        </row>
        <row r="1959">
          <cell r="B1959" t="str">
            <v>15.1.709</v>
          </cell>
          <cell r="D1959" t="str">
            <v>72.63.01.03</v>
          </cell>
          <cell r="E1959" t="str">
            <v>MAQUINA DE JATO C-C</v>
          </cell>
          <cell r="F1959" t="str">
            <v>h</v>
          </cell>
        </row>
        <row r="1960">
          <cell r="B1960" t="str">
            <v>15.1.710</v>
          </cell>
          <cell r="D1960" t="str">
            <v>72.63.01.04</v>
          </cell>
          <cell r="E1960" t="str">
            <v>MAQUINA DE JATO C-D</v>
          </cell>
          <cell r="F1960" t="str">
            <v>h</v>
          </cell>
        </row>
      </sheetData>
      <sheetData sheetId="6"/>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 val="relatório"/>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ÇO PROJETO"/>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 val="RELATÓRIO"/>
      <sheetName val="_TRANSPORTE MAN"/>
      <sheetName val="Customizing"/>
      <sheetName val="Digitação de Propostas"/>
      <sheetName val="SLX_ACESSORIES"/>
      <sheetName val="SLX_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PRIM."/>
      <sheetName val="PROD.REBRIT."/>
      <sheetName val="SAÍDA MASSA"/>
      <sheetName val="SAÍDA BRITADOS"/>
      <sheetName val="RESUMO INDUSTRIAL"/>
      <sheetName val="Posição Física "/>
      <sheetName val="Eficiência"/>
      <sheetName val="SAÍDA MASSA -BR 476"/>
      <sheetName val="SAÍDA BRITADOS -  BR-476"/>
      <sheetName val="PROD_PRIM_"/>
      <sheetName val="PROD_REBRIT_"/>
      <sheetName val="Custo do CM-30"/>
      <sheetName val="Planejamento"/>
      <sheetName val="Vínculos (Não Mexer)"/>
      <sheetName val="Vínculos"/>
      <sheetName val="SAÍDA_BRITADOS"/>
      <sheetName val="SAÍDA_MASSA"/>
      <sheetName val="PROD_PRIM_1"/>
      <sheetName val="RESUMO_INDUSTRIAL"/>
      <sheetName val="PROD_REBRIT_1"/>
      <sheetName val="Posição_Física_"/>
      <sheetName val="SAÍDA_MASSA_-BR_476"/>
      <sheetName val="SAÍDA_BRITADOS_-__BR-476"/>
      <sheetName val="Custo_do_CM-30"/>
      <sheetName val="Vínculos_(Não_Mexer)"/>
      <sheetName val="PROD_PRIM_2"/>
      <sheetName val="PROD_REBRIT_2"/>
      <sheetName val="SAÍDA_MASSA1"/>
      <sheetName val="SAÍDA_BRITADOS1"/>
      <sheetName val="RESUMO_INDUSTRIAL1"/>
      <sheetName val="Posição_Física_1"/>
      <sheetName val="SAÍDA_MASSA_-BR_4761"/>
      <sheetName val="SAÍDA_BRITADOS_-__BR-4761"/>
      <sheetName val="Custo_do_CM-301"/>
      <sheetName val="Vínculos_(Não_Mexer)1"/>
      <sheetName val="CORR MBUF MAN"/>
      <sheetName val="CORR MBUQ MAN"/>
      <sheetName val="CORR MBUQ REC"/>
      <sheetName val="CORR MBUF REC"/>
      <sheetName val="REMENDO MBUF MAN "/>
      <sheetName val="REMENDO MBUF REC"/>
      <sheetName val="TAPA BUR MBUF REC "/>
      <sheetName val="RECOMP. MAN MBUQ"/>
      <sheetName val="RECOMP. REC MBUQ OK"/>
      <sheetName val="REMENDO MBUQ REC"/>
      <sheetName val="TAPA BUR MBUQ REC"/>
      <sheetName val="INVENTÁRIO"/>
      <sheetName val="TABELA TV-CASTELLAR"/>
      <sheetName val="61M-CBMI"/>
      <sheetName val="SERVIÇOS MAT BET"/>
      <sheetName val="CUSTO INDIRETO"/>
      <sheetName val="PRODUCAO"/>
      <sheetName val="Orçamentária"/>
      <sheetName val="Conversão"/>
      <sheetName val="PRO-08"/>
      <sheetName val="Página 15"/>
      <sheetName val="PROP ELAB GANH"/>
      <sheetName val="PARETOS"/>
      <sheetName val="DESEMP AN"/>
      <sheetName val="SERVIÇOS"/>
      <sheetName val="eaigesen"/>
      <sheetName val="Orçamento"/>
      <sheetName val="Página 16"/>
      <sheetName val="PROJETO"/>
      <sheetName val="RESUMO_AUT1"/>
      <sheetName val="p a t o 99 b"/>
      <sheetName val="A"/>
      <sheetName val="CR LOTE 02"/>
      <sheetName val="relatório"/>
      <sheetName val="market"/>
      <sheetName val="medição"/>
      <sheetName val="Cadastro Medição"/>
      <sheetName val="Geral"/>
      <sheetName val="aux"/>
      <sheetName val="Ativos"/>
      <sheetName val="DER janeiro98"/>
    </sheetNames>
    <sheetDataSet>
      <sheetData sheetId="0" refreshError="1">
        <row r="1">
          <cell r="A1" t="str">
            <v>CONSTRUTORA CATARINENSE DE RODOVIAS  LTDA</v>
          </cell>
        </row>
        <row r="8">
          <cell r="A8">
            <v>1</v>
          </cell>
          <cell r="B8">
            <v>774.19354838709683</v>
          </cell>
          <cell r="C8">
            <v>774.19354838709683</v>
          </cell>
          <cell r="D8">
            <v>59</v>
          </cell>
          <cell r="E8">
            <v>12.5</v>
          </cell>
          <cell r="F8">
            <v>0.5</v>
          </cell>
          <cell r="G8">
            <v>160</v>
          </cell>
          <cell r="H8">
            <v>160</v>
          </cell>
          <cell r="I8">
            <v>0</v>
          </cell>
          <cell r="J8">
            <v>0</v>
          </cell>
        </row>
        <row r="9">
          <cell r="A9">
            <v>2</v>
          </cell>
          <cell r="B9">
            <v>774.19354838709683</v>
          </cell>
          <cell r="C9">
            <v>1548.3870967741937</v>
          </cell>
          <cell r="D9">
            <v>65</v>
          </cell>
          <cell r="E9">
            <v>12</v>
          </cell>
          <cell r="F9">
            <v>1</v>
          </cell>
          <cell r="G9">
            <v>200</v>
          </cell>
          <cell r="H9">
            <v>360</v>
          </cell>
          <cell r="I9">
            <v>1300</v>
          </cell>
          <cell r="J9">
            <v>1300</v>
          </cell>
        </row>
        <row r="10">
          <cell r="A10">
            <v>3</v>
          </cell>
          <cell r="B10">
            <v>774.19354838709683</v>
          </cell>
          <cell r="C10">
            <v>2322.5806451612907</v>
          </cell>
          <cell r="D10">
            <v>50</v>
          </cell>
          <cell r="E10">
            <v>8.34</v>
          </cell>
          <cell r="F10">
            <v>2.66</v>
          </cell>
          <cell r="G10">
            <v>1020</v>
          </cell>
          <cell r="H10">
            <v>360</v>
          </cell>
          <cell r="I10">
            <v>1000</v>
          </cell>
          <cell r="J10">
            <v>2300</v>
          </cell>
        </row>
        <row r="11">
          <cell r="A11">
            <v>4</v>
          </cell>
          <cell r="B11">
            <v>774.19354838709683</v>
          </cell>
          <cell r="C11">
            <v>3096.7741935483873</v>
          </cell>
          <cell r="D11">
            <v>58</v>
          </cell>
          <cell r="E11">
            <v>11.5</v>
          </cell>
          <cell r="F11">
            <v>1.5</v>
          </cell>
          <cell r="G11">
            <v>160</v>
          </cell>
          <cell r="H11">
            <v>520</v>
          </cell>
          <cell r="I11">
            <v>1160</v>
          </cell>
          <cell r="J11">
            <v>3460</v>
          </cell>
        </row>
        <row r="12">
          <cell r="A12">
            <v>5</v>
          </cell>
          <cell r="B12">
            <v>774.19354838709683</v>
          </cell>
          <cell r="C12">
            <v>3870.9677419354839</v>
          </cell>
          <cell r="D12">
            <v>44</v>
          </cell>
          <cell r="E12">
            <v>10</v>
          </cell>
          <cell r="F12">
            <v>1</v>
          </cell>
          <cell r="G12">
            <v>880</v>
          </cell>
          <cell r="H12">
            <v>520</v>
          </cell>
          <cell r="I12">
            <v>880</v>
          </cell>
          <cell r="J12">
            <v>4340</v>
          </cell>
        </row>
        <row r="13">
          <cell r="A13">
            <v>6</v>
          </cell>
          <cell r="B13">
            <v>774.19354838709683</v>
          </cell>
          <cell r="C13">
            <v>4645.1612903225805</v>
          </cell>
          <cell r="D13">
            <v>49</v>
          </cell>
          <cell r="E13">
            <v>9.5</v>
          </cell>
          <cell r="F13">
            <v>1.5</v>
          </cell>
          <cell r="G13">
            <v>60</v>
          </cell>
          <cell r="H13">
            <v>580</v>
          </cell>
          <cell r="I13">
            <v>980</v>
          </cell>
          <cell r="J13">
            <v>5320</v>
          </cell>
        </row>
        <row r="14">
          <cell r="A14">
            <v>7</v>
          </cell>
          <cell r="B14">
            <v>774.19354838709683</v>
          </cell>
          <cell r="C14">
            <v>5419.3548387096771</v>
          </cell>
          <cell r="D14">
            <v>56</v>
          </cell>
          <cell r="E14">
            <v>12.5</v>
          </cell>
          <cell r="F14">
            <v>0.5</v>
          </cell>
          <cell r="G14">
            <v>760</v>
          </cell>
          <cell r="H14">
            <v>580</v>
          </cell>
          <cell r="I14">
            <v>1120</v>
          </cell>
          <cell r="J14">
            <v>6440</v>
          </cell>
        </row>
        <row r="15">
          <cell r="A15">
            <v>8</v>
          </cell>
          <cell r="B15">
            <v>774.19354838709683</v>
          </cell>
          <cell r="C15">
            <v>6193.5483870967737</v>
          </cell>
          <cell r="D15">
            <v>27</v>
          </cell>
          <cell r="E15">
            <v>6</v>
          </cell>
          <cell r="F15">
            <v>5</v>
          </cell>
          <cell r="G15">
            <v>940</v>
          </cell>
          <cell r="H15">
            <v>580</v>
          </cell>
          <cell r="I15">
            <v>540</v>
          </cell>
          <cell r="J15">
            <v>6980</v>
          </cell>
        </row>
        <row r="16">
          <cell r="A16">
            <v>9</v>
          </cell>
          <cell r="B16">
            <v>774.19354838709683</v>
          </cell>
          <cell r="C16">
            <v>6967.7419354838703</v>
          </cell>
          <cell r="D16">
            <v>59</v>
          </cell>
          <cell r="E16">
            <v>12.67</v>
          </cell>
          <cell r="F16">
            <v>0.33</v>
          </cell>
          <cell r="G16">
            <v>860</v>
          </cell>
          <cell r="H16">
            <v>580</v>
          </cell>
          <cell r="I16">
            <v>1180</v>
          </cell>
          <cell r="J16">
            <v>8160</v>
          </cell>
        </row>
        <row r="17">
          <cell r="A17">
            <v>10</v>
          </cell>
          <cell r="B17">
            <v>774.19354838709683</v>
          </cell>
          <cell r="C17">
            <v>7741.9354838709669</v>
          </cell>
          <cell r="D17">
            <v>60</v>
          </cell>
          <cell r="E17">
            <v>12.5</v>
          </cell>
          <cell r="F17">
            <v>0.5</v>
          </cell>
          <cell r="G17">
            <v>500</v>
          </cell>
          <cell r="H17">
            <v>580</v>
          </cell>
          <cell r="I17">
            <v>1200</v>
          </cell>
          <cell r="J17">
            <v>9360</v>
          </cell>
        </row>
        <row r="18">
          <cell r="A18">
            <v>11</v>
          </cell>
          <cell r="B18">
            <v>774.19354838709683</v>
          </cell>
          <cell r="C18">
            <v>8516.1290322580644</v>
          </cell>
          <cell r="D18">
            <v>63</v>
          </cell>
          <cell r="E18">
            <v>12.33</v>
          </cell>
          <cell r="F18">
            <v>0.67</v>
          </cell>
          <cell r="G18">
            <v>200</v>
          </cell>
          <cell r="H18">
            <v>780</v>
          </cell>
          <cell r="I18">
            <v>1260</v>
          </cell>
          <cell r="J18">
            <v>10620</v>
          </cell>
        </row>
        <row r="19">
          <cell r="A19">
            <v>12</v>
          </cell>
          <cell r="B19">
            <v>774.19354838709683</v>
          </cell>
          <cell r="C19">
            <v>9290.322580645161</v>
          </cell>
          <cell r="D19">
            <v>46</v>
          </cell>
          <cell r="E19">
            <v>10</v>
          </cell>
          <cell r="F19">
            <v>0.5</v>
          </cell>
          <cell r="G19">
            <v>200</v>
          </cell>
          <cell r="H19">
            <v>980</v>
          </cell>
          <cell r="I19">
            <v>920</v>
          </cell>
          <cell r="J19">
            <v>11540</v>
          </cell>
        </row>
        <row r="20">
          <cell r="A20">
            <v>13</v>
          </cell>
          <cell r="B20">
            <v>774.19354838709683</v>
          </cell>
          <cell r="C20">
            <v>10064.516129032258</v>
          </cell>
          <cell r="D20">
            <v>55</v>
          </cell>
          <cell r="E20">
            <v>11.5</v>
          </cell>
          <cell r="F20">
            <v>1.5</v>
          </cell>
          <cell r="G20">
            <v>160</v>
          </cell>
          <cell r="H20">
            <v>1140</v>
          </cell>
          <cell r="I20">
            <v>1100</v>
          </cell>
          <cell r="J20">
            <v>12640</v>
          </cell>
        </row>
        <row r="21">
          <cell r="A21">
            <v>14</v>
          </cell>
          <cell r="B21">
            <v>774.19354838709683</v>
          </cell>
          <cell r="C21">
            <v>10838.709677419354</v>
          </cell>
          <cell r="D21">
            <v>47</v>
          </cell>
          <cell r="E21">
            <v>10</v>
          </cell>
          <cell r="F21">
            <v>3</v>
          </cell>
          <cell r="G21">
            <v>160</v>
          </cell>
          <cell r="H21">
            <v>1300</v>
          </cell>
          <cell r="I21">
            <v>940</v>
          </cell>
          <cell r="J21">
            <v>13580</v>
          </cell>
        </row>
        <row r="22">
          <cell r="A22">
            <v>15</v>
          </cell>
          <cell r="B22">
            <v>774.19354838709683</v>
          </cell>
          <cell r="C22">
            <v>11612.903225806451</v>
          </cell>
          <cell r="D22">
            <v>47</v>
          </cell>
          <cell r="E22">
            <v>10.5</v>
          </cell>
          <cell r="F22">
            <v>0.5</v>
          </cell>
          <cell r="G22">
            <v>140</v>
          </cell>
          <cell r="H22">
            <v>1440</v>
          </cell>
          <cell r="I22">
            <v>940</v>
          </cell>
          <cell r="J22">
            <v>14520</v>
          </cell>
        </row>
        <row r="23">
          <cell r="A23">
            <v>16</v>
          </cell>
          <cell r="B23">
            <v>774.19354838709683</v>
          </cell>
          <cell r="C23">
            <v>12387.096774193547</v>
          </cell>
          <cell r="D23">
            <v>43</v>
          </cell>
          <cell r="E23">
            <v>8.17</v>
          </cell>
          <cell r="F23">
            <v>4.83</v>
          </cell>
          <cell r="G23">
            <v>800</v>
          </cell>
          <cell r="H23">
            <v>1440</v>
          </cell>
          <cell r="I23">
            <v>860</v>
          </cell>
          <cell r="J23">
            <v>15380</v>
          </cell>
        </row>
        <row r="24">
          <cell r="A24">
            <v>17</v>
          </cell>
          <cell r="B24">
            <v>774.19354838709683</v>
          </cell>
          <cell r="C24">
            <v>13161.290322580644</v>
          </cell>
          <cell r="D24">
            <v>58</v>
          </cell>
          <cell r="E24">
            <v>12.5</v>
          </cell>
          <cell r="F24">
            <v>0.5</v>
          </cell>
          <cell r="G24">
            <v>0</v>
          </cell>
          <cell r="H24">
            <v>1440</v>
          </cell>
          <cell r="I24">
            <v>1160</v>
          </cell>
          <cell r="J24">
            <v>16540</v>
          </cell>
        </row>
        <row r="25">
          <cell r="A25">
            <v>18</v>
          </cell>
          <cell r="B25">
            <v>774.19354838709683</v>
          </cell>
          <cell r="C25">
            <v>13935.483870967741</v>
          </cell>
          <cell r="D25">
            <v>52</v>
          </cell>
          <cell r="E25">
            <v>12.17</v>
          </cell>
          <cell r="F25">
            <v>0.83</v>
          </cell>
          <cell r="G25">
            <v>40</v>
          </cell>
          <cell r="H25">
            <v>1480</v>
          </cell>
          <cell r="I25">
            <v>1040</v>
          </cell>
          <cell r="J25">
            <v>17580</v>
          </cell>
        </row>
        <row r="26">
          <cell r="A26">
            <v>19</v>
          </cell>
          <cell r="B26">
            <v>774.19354838709683</v>
          </cell>
          <cell r="C26">
            <v>14709.677419354837</v>
          </cell>
          <cell r="D26">
            <v>9</v>
          </cell>
          <cell r="E26">
            <v>2.67</v>
          </cell>
          <cell r="F26">
            <v>8.33</v>
          </cell>
          <cell r="G26">
            <v>160</v>
          </cell>
          <cell r="H26">
            <v>1640</v>
          </cell>
          <cell r="I26">
            <v>180</v>
          </cell>
          <cell r="J26">
            <v>17760</v>
          </cell>
        </row>
        <row r="27">
          <cell r="A27">
            <v>20</v>
          </cell>
          <cell r="B27">
            <v>774.19354838709683</v>
          </cell>
          <cell r="C27">
            <v>15483.870967741934</v>
          </cell>
          <cell r="D27">
            <v>58</v>
          </cell>
          <cell r="E27">
            <v>12.5</v>
          </cell>
          <cell r="F27">
            <v>0.5</v>
          </cell>
          <cell r="G27">
            <v>280</v>
          </cell>
          <cell r="H27">
            <v>1920</v>
          </cell>
          <cell r="I27">
            <v>1160</v>
          </cell>
          <cell r="J27">
            <v>18920</v>
          </cell>
        </row>
        <row r="28">
          <cell r="A28">
            <v>21</v>
          </cell>
          <cell r="B28">
            <v>774.19354838709683</v>
          </cell>
          <cell r="C28">
            <v>16258.06451612903</v>
          </cell>
          <cell r="D28">
            <v>60</v>
          </cell>
          <cell r="E28">
            <v>13</v>
          </cell>
          <cell r="F28">
            <v>2</v>
          </cell>
          <cell r="G28">
            <v>160</v>
          </cell>
          <cell r="H28">
            <v>2080</v>
          </cell>
          <cell r="I28">
            <v>1200</v>
          </cell>
          <cell r="J28">
            <v>20120</v>
          </cell>
        </row>
        <row r="29">
          <cell r="A29">
            <v>22</v>
          </cell>
          <cell r="B29">
            <v>774.19354838709683</v>
          </cell>
          <cell r="C29">
            <v>17032.258064516129</v>
          </cell>
          <cell r="D29">
            <v>60</v>
          </cell>
          <cell r="E29">
            <v>13</v>
          </cell>
          <cell r="F29">
            <v>2.33</v>
          </cell>
          <cell r="G29">
            <v>260</v>
          </cell>
          <cell r="H29">
            <v>2340</v>
          </cell>
          <cell r="I29">
            <v>1200</v>
          </cell>
          <cell r="J29">
            <v>21320</v>
          </cell>
        </row>
        <row r="30">
          <cell r="A30">
            <v>23</v>
          </cell>
          <cell r="B30">
            <v>774.19354838709683</v>
          </cell>
          <cell r="C30">
            <v>17806.451612903227</v>
          </cell>
          <cell r="D30">
            <v>58</v>
          </cell>
          <cell r="E30">
            <v>12.33</v>
          </cell>
          <cell r="F30">
            <v>0.67</v>
          </cell>
          <cell r="G30">
            <v>160</v>
          </cell>
          <cell r="H30">
            <v>2500</v>
          </cell>
          <cell r="I30">
            <v>1160</v>
          </cell>
          <cell r="J30">
            <v>22480</v>
          </cell>
        </row>
        <row r="31">
          <cell r="A31">
            <v>24</v>
          </cell>
          <cell r="B31">
            <v>774.19354838709683</v>
          </cell>
          <cell r="C31">
            <v>18580.645161290326</v>
          </cell>
          <cell r="D31">
            <v>56</v>
          </cell>
          <cell r="E31">
            <v>13</v>
          </cell>
          <cell r="F31">
            <v>0.5</v>
          </cell>
          <cell r="G31">
            <v>40</v>
          </cell>
          <cell r="H31">
            <v>2540</v>
          </cell>
          <cell r="I31">
            <v>1120</v>
          </cell>
          <cell r="J31">
            <v>23600</v>
          </cell>
        </row>
        <row r="32">
          <cell r="A32">
            <v>25</v>
          </cell>
          <cell r="B32">
            <v>774.19354838709683</v>
          </cell>
          <cell r="C32">
            <v>19354.838709677424</v>
          </cell>
          <cell r="D32">
            <v>42</v>
          </cell>
          <cell r="E32">
            <v>12.33</v>
          </cell>
          <cell r="F32">
            <v>0.67</v>
          </cell>
          <cell r="G32">
            <v>860</v>
          </cell>
          <cell r="H32">
            <v>2540</v>
          </cell>
          <cell r="I32">
            <v>840</v>
          </cell>
          <cell r="J32">
            <v>24440</v>
          </cell>
        </row>
        <row r="33">
          <cell r="A33">
            <v>26</v>
          </cell>
          <cell r="B33">
            <v>774.19354838709683</v>
          </cell>
          <cell r="C33">
            <v>20129.032258064522</v>
          </cell>
          <cell r="D33">
            <v>39</v>
          </cell>
          <cell r="E33">
            <v>10</v>
          </cell>
          <cell r="F33">
            <v>0.5</v>
          </cell>
          <cell r="G33">
            <v>1180</v>
          </cell>
          <cell r="H33">
            <v>2540</v>
          </cell>
          <cell r="I33">
            <v>780</v>
          </cell>
          <cell r="J33">
            <v>25220</v>
          </cell>
        </row>
        <row r="34">
          <cell r="A34">
            <v>27</v>
          </cell>
          <cell r="B34">
            <v>774.19354838709683</v>
          </cell>
          <cell r="C34">
            <v>20903.225806451621</v>
          </cell>
          <cell r="D34">
            <v>48</v>
          </cell>
          <cell r="E34">
            <v>13</v>
          </cell>
          <cell r="F34">
            <v>12.83</v>
          </cell>
          <cell r="G34">
            <v>0</v>
          </cell>
          <cell r="H34">
            <v>2540</v>
          </cell>
          <cell r="I34">
            <v>960</v>
          </cell>
          <cell r="J34">
            <v>26180</v>
          </cell>
        </row>
        <row r="35">
          <cell r="A35">
            <v>28</v>
          </cell>
          <cell r="B35">
            <v>774.19354838709683</v>
          </cell>
          <cell r="C35">
            <v>21677.419354838719</v>
          </cell>
          <cell r="D35">
            <v>57</v>
          </cell>
          <cell r="E35">
            <v>13</v>
          </cell>
          <cell r="F35">
            <v>1</v>
          </cell>
          <cell r="G35">
            <v>920</v>
          </cell>
          <cell r="H35">
            <v>2540</v>
          </cell>
          <cell r="I35">
            <v>1140</v>
          </cell>
          <cell r="J35">
            <v>27320</v>
          </cell>
        </row>
        <row r="36">
          <cell r="A36">
            <v>29</v>
          </cell>
          <cell r="B36">
            <v>774.19354838709683</v>
          </cell>
          <cell r="C36">
            <v>22451.612903225818</v>
          </cell>
          <cell r="D36">
            <v>43</v>
          </cell>
          <cell r="E36">
            <v>9.75</v>
          </cell>
          <cell r="F36">
            <v>3.25</v>
          </cell>
          <cell r="G36">
            <v>920</v>
          </cell>
          <cell r="H36">
            <v>2540</v>
          </cell>
          <cell r="I36">
            <v>860</v>
          </cell>
          <cell r="J36">
            <v>28180</v>
          </cell>
        </row>
        <row r="37">
          <cell r="A37">
            <v>30</v>
          </cell>
          <cell r="B37">
            <v>774.19354838709683</v>
          </cell>
          <cell r="C37">
            <v>23225.806451612916</v>
          </cell>
          <cell r="D37">
            <v>57</v>
          </cell>
          <cell r="E37">
            <v>13</v>
          </cell>
          <cell r="F37">
            <v>2.77</v>
          </cell>
          <cell r="G37">
            <v>900</v>
          </cell>
          <cell r="H37">
            <v>2540</v>
          </cell>
          <cell r="I37">
            <v>1140</v>
          </cell>
          <cell r="J37">
            <v>29320</v>
          </cell>
        </row>
        <row r="38">
          <cell r="A38">
            <v>31</v>
          </cell>
          <cell r="B38">
            <v>774.19354838709683</v>
          </cell>
          <cell r="C38">
            <v>24000.000000000015</v>
          </cell>
          <cell r="D38">
            <v>62</v>
          </cell>
          <cell r="E38">
            <v>12.5</v>
          </cell>
          <cell r="F38">
            <v>0.5</v>
          </cell>
          <cell r="G38">
            <v>100</v>
          </cell>
          <cell r="H38">
            <v>2640</v>
          </cell>
          <cell r="I38">
            <v>1240</v>
          </cell>
          <cell r="J38">
            <v>30560</v>
          </cell>
        </row>
      </sheetData>
      <sheetData sheetId="1" refreshError="1"/>
      <sheetData sheetId="2" refreshError="1"/>
      <sheetData sheetId="3" refreshError="1"/>
      <sheetData sheetId="4" refreshError="1"/>
      <sheetData sheetId="5">
        <row r="8">
          <cell r="A8">
            <v>1</v>
          </cell>
        </row>
      </sheetData>
      <sheetData sheetId="6">
        <row r="7">
          <cell r="A7">
            <v>1</v>
          </cell>
        </row>
      </sheetData>
      <sheetData sheetId="7">
        <row r="7">
          <cell r="A7">
            <v>1</v>
          </cell>
        </row>
      </sheetData>
      <sheetData sheetId="8">
        <row r="7">
          <cell r="A7">
            <v>1</v>
          </cell>
        </row>
      </sheetData>
      <sheetData sheetId="9" refreshError="1"/>
      <sheetData sheetId="10" refreshError="1"/>
      <sheetData sheetId="11" refreshError="1"/>
      <sheetData sheetId="12" refreshError="1"/>
      <sheetData sheetId="13" refreshError="1"/>
      <sheetData sheetId="14" refreshError="1"/>
      <sheetData sheetId="15"/>
      <sheetData sheetId="16"/>
      <sheetData sheetId="17">
        <row r="8">
          <cell r="A8">
            <v>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CBUQ E CAP-50-70 CAPA RECAP"/>
      <sheetName val="PINTURA DE LIGAÇÃO RECAP"/>
      <sheetName val="TSS E RR-2C CICLO"/>
      <sheetName val="CBUQ E CAP-50-70 CAPA PISTA"/>
      <sheetName val="PINTURA DE LIGAÇÃO PISTA"/>
      <sheetName val="IMPRIMAÇÃO  E CM-30 PISTA"/>
      <sheetName val="SUB-BASE"/>
      <sheetName val="BASE"/>
      <sheetName val="REGULARIZAÇÃO DO SUBLEITO"/>
      <sheetName val="CONCRETO"/>
      <sheetName val="DESMAT. DEST. LIMP. AREA"/>
      <sheetName val="Orçamento"/>
      <sheetName val="DRENAGEM"/>
      <sheetName val="Administração - Pessoal"/>
      <sheetName val="INST. MOB."/>
      <sheetName val="Transporte Terra"/>
      <sheetName val="Transporte CICLOVIA"/>
      <sheetName val="Transporte RECAP"/>
      <sheetName val="Transporte PISTA"/>
      <sheetName val="QD QUANTIDADE CAD"/>
      <sheetName val="1.6"/>
      <sheetName val="Mat Asf"/>
      <sheetName val="Parâmetros"/>
      <sheetName val="relatório-1ª med."/>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LTIPLICADORES BÁSICOS"/>
      <sheetName val="INSUMOS BÁSICOS"/>
      <sheetName val="QUADRO 08 - PLANILHAS PREÇO (2)"/>
      <sheetName val="INSUMOS - EQUIPAMENTOS"/>
      <sheetName val="CRONOGRAMA FÍSICO I"/>
      <sheetName val="QUADRO 04 - PLANILHAS PREÇOS"/>
      <sheetName val="COMPOSIÇÃO BDI"/>
      <sheetName val="LEIS SOCIAIS"/>
      <sheetName val="QUADRO 11 - C. H. PESSOAL"/>
      <sheetName val="quadro 06 - equipamentos dner"/>
      <sheetName val="Indice de Reajuste"/>
    </sheetNames>
    <sheetDataSet>
      <sheetData sheetId="0"/>
      <sheetData sheetId="1" refreshError="1">
        <row r="66">
          <cell r="E66">
            <v>1.42</v>
          </cell>
        </row>
        <row r="67">
          <cell r="E67">
            <v>0.65100000000000002</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
      <sheetName val="Pista"/>
      <sheetName val="REPAROS LOCAL."/>
      <sheetName val="Acostamento"/>
      <sheetName val="C_U"/>
      <sheetName val="COMPOS1"/>
      <sheetName val="Plan1"/>
      <sheetName val="geral"/>
      <sheetName val="SERVIÇOS"/>
      <sheetName val="MARSHALL"/>
      <sheetName val="Compactação  manual"/>
      <sheetName val="Reaterro e compactação"/>
      <sheetName val="Escavação mecanica e reaterro"/>
      <sheetName val="Valeta VPC 01"/>
      <sheetName val="Valeta VPA 01"/>
      <sheetName val="Dreno DPS 01"/>
      <sheetName val="Dreno DPS 02"/>
      <sheetName val="Dreno DPS 07"/>
      <sheetName val="Dreno DPS 08"/>
      <sheetName val="Boca saída dreno BSD 01"/>
      <sheetName val="Boca saída dreno BSD 02"/>
      <sheetName val="Sarjeta STC 02"/>
      <sheetName val="Sarjeta SCT 03"/>
      <sheetName val="Sarjeta SCC 01"/>
      <sheetName val="Meio fio MFC 01"/>
      <sheetName val="Meio fio MFC 03"/>
      <sheetName val="Meio fio MFC 05"/>
      <sheetName val="Cx. coletora CCS 01"/>
      <sheetName val="Cx. coletora CCS 02"/>
      <sheetName val="Cx. coletora CCS03"/>
      <sheetName val="Cx. coletora CCS06"/>
      <sheetName val="Cx. coletora CCS 07"/>
      <sheetName val="Cx. coletora CCS 10"/>
      <sheetName val="Cx. coletora CCT 02"/>
      <sheetName val="Cx. coletora CCT 03"/>
      <sheetName val="Descida dágua DAR 03"/>
      <sheetName val="Descida dágua DAD 02"/>
      <sheetName val="Descida dágua DAD 06"/>
      <sheetName val="Descida dágua DAD 14"/>
      <sheetName val="Descida dágua DAD 16"/>
      <sheetName val="Entrada dágua EDA 01"/>
      <sheetName val="Entrada dágua EDA 02"/>
      <sheetName val="Dissipador DEB 01"/>
      <sheetName val="Dissipador DEB 03"/>
      <sheetName val="Dissipador DEB 07"/>
      <sheetName val="Dissipador DEB 08"/>
      <sheetName val="BLS 02"/>
      <sheetName val="BLD 02"/>
      <sheetName val="CLP 16"/>
      <sheetName val="PVI 03"/>
      <sheetName val="chamine CPV01"/>
      <sheetName val="Transposição sarjeta"/>
      <sheetName val="Enrocamento pedra jogada"/>
      <sheetName val="Alvenaria pedra argam"/>
      <sheetName val="restauração"/>
      <sheetName val="Demolição concreto simples"/>
      <sheetName val="Alvenaria tijolo"/>
      <sheetName val="AUXILIAR Dentes BDTC 1,00m "/>
      <sheetName val="AUXILIAR Dentes BDTC 1,20m "/>
      <sheetName val="AUXILIAR Dentes BSTC 0,60m"/>
      <sheetName val="AUXILIAR Dentes BSTC 0,80m "/>
      <sheetName val="AUXILIAR Dentes BSTC 1,00m "/>
      <sheetName val="AUXILIAR Dentes BSTC 1,20m  "/>
      <sheetName val="Usinagem CBUQ"/>
      <sheetName val="Forma comum"/>
      <sheetName val="Forma compensada resinada"/>
      <sheetName val="AUXILIAR Concreto magro"/>
      <sheetName val="AUXILIAR Concreto 10 MPa"/>
      <sheetName val="AUXILIAR Concreto 12 MPa"/>
      <sheetName val="AUXILIAR Concreto 15 MPa"/>
      <sheetName val="Concr. estr. 18 MPa Convencio"/>
      <sheetName val="AUXILIAR Concreto 22 MPa"/>
      <sheetName val="AUXILIAR Concreto 18 MPa"/>
      <sheetName val="AUXILIAR Ciclópico 12 MPa"/>
      <sheetName val="AUXILIAR Argamassa 1-3"/>
      <sheetName val="AUXILIAR Argamassa 1-4"/>
      <sheetName val="Fabricação balizador"/>
      <sheetName val="Concreto 18 MPa (mourão)"/>
      <sheetName val="Mourão esticador cerca"/>
      <sheetName val="Mourão suporte cerca"/>
      <sheetName val="AUXILIAR tubo perfurado"/>
      <sheetName val="AUXILIAR tubo poroso"/>
      <sheetName val="AUXILIAR tubo d=30cm"/>
      <sheetName val="AUXILIAR tubo d=60cm "/>
      <sheetName val="AUXILIAR tubo d=80cm"/>
      <sheetName val="AUXILIAR tubo d=1,0m "/>
      <sheetName val="AUXILIAR tubo d=1,20m"/>
      <sheetName val="Confecção Placa sinalização"/>
      <sheetName val="Confecção suporte placa sinal"/>
      <sheetName val="AUXILIAR lastro brita"/>
      <sheetName val="Parâmetros"/>
      <sheetName val="TPU-MARÇO_2002"/>
      <sheetName val="RESUMO_AUT1"/>
      <sheetName val="IDENTIFICAÇÃO"/>
      <sheetName val="Prod. Diária"/>
      <sheetName val="Resumo"/>
      <sheetName val="PATO"/>
      <sheetName val="MATERIAL"/>
      <sheetName val="Atual"/>
      <sheetName val="INVENTÁRIO"/>
      <sheetName val="Calendário da Família"/>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_betum_BTM (2)"/>
      <sheetName val="Plan1"/>
      <sheetName val="Comparativa Preços Unitários"/>
      <sheetName val="Capa"/>
      <sheetName val="CAPA INVENTÁRIO"/>
      <sheetName val="Inventário"/>
      <sheetName val="DMT Serviços"/>
      <sheetName val="DMT Materiais"/>
      <sheetName val="PLANILHA DE QUANTIDADES"/>
      <sheetName val="PLANILHA DE QUANT CONS."/>
      <sheetName val="PLANILHA DE CUSTOS"/>
      <sheetName val="Planilha de Custo"/>
      <sheetName val="Porcentagem"/>
      <sheetName val="Pato "/>
      <sheetName val="QUADRO DE TRANSPORTES"/>
      <sheetName val="Quantitativos"/>
      <sheetName val="Prévia ABC"/>
      <sheetName val="CURVA ABC "/>
      <sheetName val="CURVA ABC"/>
      <sheetName val="ABC Sv"/>
      <sheetName val="Cronograma"/>
      <sheetName val="mobilização"/>
      <sheetName val="prancha"/>
      <sheetName val="layout"/>
      <sheetName val="CANTEIRO"/>
      <sheetName val="Defensa"/>
      <sheetName val="trans_betum_CGB"/>
      <sheetName val="veic100"/>
      <sheetName val="Tapa Buraco"/>
      <sheetName val="Reparo Localizado"/>
      <sheetName val="MBUF"/>
      <sheetName val="MBUQ"/>
      <sheetName val="Correção"/>
      <sheetName val="Sel Trinca"/>
      <sheetName val="pint_lig"/>
      <sheetName val="imprimação"/>
      <sheetName val="Rem Prof - Dem Man"/>
      <sheetName val="Micro"/>
      <sheetName val="ANP "/>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_mec_fx_dm_"/>
      <sheetName val="RESUMO"/>
      <sheetName val="RELATÓRIO"/>
    </sheetNames>
    <sheetDataSet>
      <sheetData sheetId="0"/>
      <sheetData sheetId="1" refreshError="1"/>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nteiro"/>
      <sheetName val="AVS"/>
      <sheetName val="Ctr. (3)"/>
      <sheetName val="DMT"/>
      <sheetName val="Equipamentos"/>
      <sheetName val="Materiais"/>
      <sheetName val="Mão de Obra"/>
      <sheetName val="Diversos"/>
      <sheetName val="Trechos"/>
      <sheetName val="Vínculo (2)"/>
      <sheetName val="COLAR (2)"/>
      <sheetName val="Ctr. (2)"/>
      <sheetName val="Reciclagem de Base 1"/>
      <sheetName val="Reciclagem de Base 2"/>
      <sheetName val="CBUQ pol"/>
      <sheetName val="CBUQ Massa Fina"/>
      <sheetName val="Lama Grossa"/>
      <sheetName val="TSSp"/>
      <sheetName val="TSD"/>
      <sheetName val="Remoção CBUQ"/>
      <sheetName val="Selagem de trinca"/>
      <sheetName val="Micro Rev. 2 Cam."/>
      <sheetName val="AAUQ"/>
      <sheetName val="DCD 02 "/>
      <sheetName val="RBAM"/>
      <sheetName val="Base Solo Estab."/>
      <sheetName val="DPS 01"/>
      <sheetName val="Esc mat 1ª cat 600 a 800"/>
      <sheetName val="Compact 100% PN"/>
      <sheetName val="STC 03"/>
      <sheetName val="EDA 01"/>
      <sheetName val="Gabião"/>
      <sheetName val="Hidrossemeadura"/>
      <sheetName val="BSD 03"/>
      <sheetName val="DSS 03"/>
      <sheetName val="BSD 01"/>
      <sheetName val="Reciclagem de Base com BRITA"/>
      <sheetName val="TSS"/>
      <sheetName val="RBSM"/>
      <sheetName val="RBAM(FS)"/>
      <sheetName val="Fresagem Cont."/>
      <sheetName val="Vínculo"/>
      <sheetName val="COLAR"/>
      <sheetName val="Ctr."/>
      <sheetName val="Base"/>
      <sheetName val="SINALIZ. 01"/>
      <sheetName val="SINALIZ VERT"/>
      <sheetName val="Desmat 0,15"/>
      <sheetName val="Sub-base"/>
      <sheetName val="Reajustamento"/>
      <sheetName val="Plan1"/>
      <sheetName val="Plan2"/>
      <sheetName val="Plan3"/>
      <sheetName val="RESUMO-DVOP_JBS"/>
      <sheetName val="resumo"/>
      <sheetName val="REAJU"/>
      <sheetName val="Rel-15ª med."/>
      <sheetName val="1.6"/>
      <sheetName val="consultoria"/>
    </sheetNames>
    <sheetDataSet>
      <sheetData sheetId="0">
        <row r="2">
          <cell r="T2" t="str">
            <v>T</v>
          </cell>
        </row>
      </sheetData>
      <sheetData sheetId="1"/>
      <sheetData sheetId="2"/>
      <sheetData sheetId="3"/>
      <sheetData sheetId="4"/>
      <sheetData sheetId="5"/>
      <sheetData sheetId="6"/>
      <sheetData sheetId="7"/>
      <sheetData sheetId="8"/>
      <sheetData sheetId="9">
        <row r="8">
          <cell r="Y8">
            <v>108.2</v>
          </cell>
        </row>
        <row r="13">
          <cell r="Y13">
            <v>165.7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Auxiliar"/>
      <sheetName val="COMPOSIÇÃO A"/>
      <sheetName val="P A T O 99 B"/>
      <sheetName val="Trans 99 C"/>
      <sheetName val="Preços 99 D"/>
      <sheetName val="Cronograma 99 E"/>
      <sheetName val="Pesquisa"/>
      <sheetName val="Diagrama 476"/>
      <sheetName val="Custo do RR-2C"/>
      <sheetName val="Custo do TSD"/>
      <sheetName val="Custo do CM-30"/>
      <sheetName val="Cadastro Traços e Obras"/>
      <sheetName val="Contrato"/>
      <sheetName val="Resumo"/>
      <sheetName val="Pato PRRTN - BR476"/>
      <sheetName val="COMPOSIÇÃO_A"/>
      <sheetName val="P_A_T_O_99_B"/>
      <sheetName val="Trans_99_C"/>
      <sheetName val="Preços_99_D"/>
      <sheetName val="Cronograma_99_E"/>
      <sheetName val="Diagrama_476"/>
      <sheetName val="Custo_do_RR-2C"/>
      <sheetName val="Custo_do_TSD"/>
      <sheetName val="Custo_do_CM-30"/>
      <sheetName val="Cadastro_Traços_e_Obras"/>
      <sheetName val="Pato_PRRTN_-_BR476"/>
      <sheetName val="Cadastro"/>
      <sheetName val="jun"/>
      <sheetName val="Custo da Imprimação"/>
      <sheetName val="Custo da Pintura de Ligação"/>
      <sheetName val="COMPOS1"/>
      <sheetName val="QuQuant"/>
      <sheetName val="DMT modelo"/>
      <sheetName val="RELATÓRIO"/>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ção Extenso"/>
      <sheetName val="Quadro Resumo"/>
      <sheetName val="Quadro Dem orç"/>
      <sheetName val="Cronograma FisicoeFinac"/>
      <sheetName val="Cronograma2"/>
      <sheetName val="Pesquisa Mercado"/>
      <sheetName val="Res. dos Materias - Atividade"/>
      <sheetName val="Custo Mão-de-Obra"/>
      <sheetName val="Custo horário de Equip"/>
      <sheetName val="PE-Qd 25 Curva ABC"/>
      <sheetName val="Quadro PE-Qd 24"/>
      <sheetName val="Mob_Desmob"/>
      <sheetName val="Manutençao_Canteiro"/>
      <sheetName val="Acessórios Edific."/>
      <sheetName val="Custo canteiro"/>
      <sheetName val="Canteiro"/>
      <sheetName val="PESQUISA DE MERCADO"/>
      <sheetName val="USINA DE ASFALTO"/>
      <sheetName val="Marco Ident Obra"/>
      <sheetName val="Desmat 0,15"/>
      <sheetName val="Desmat 0,15 a 0,30"/>
      <sheetName val="Desmat &gt;0,30"/>
      <sheetName val="DMT 50m"/>
      <sheetName val="DMT 50a200CARREG"/>
      <sheetName val="DMT 50a200M"/>
      <sheetName val="DMT 200a400CARREG"/>
      <sheetName val="DMT 200a400M"/>
      <sheetName val="Desmat &gt; 0,30 (2)"/>
      <sheetName val="DMT 50"/>
      <sheetName val="DMT 50a200E"/>
      <sheetName val="DMT 50E"/>
      <sheetName val="DMT 50a200E."/>
      <sheetName val="DMT 50a200carr. 2cat"/>
      <sheetName val="DMT 200a400E"/>
      <sheetName val="DMT 400a600E"/>
      <sheetName val="DMT 600a800E"/>
      <sheetName val="DMT 200a400 2cat"/>
      <sheetName val="DMT 400a600E."/>
      <sheetName val="DMT 400a600carr. 2cat"/>
      <sheetName val="DMT 600a800E."/>
      <sheetName val="DMT 800a1000E"/>
      <sheetName val="DMT 400a600CARREG"/>
      <sheetName val="DMT 600a800CARREG"/>
      <sheetName val="DMT 800a1000CARREG"/>
      <sheetName val="Escav. e carga mat. emprest"/>
      <sheetName val="DMT 1000a1200CARREG"/>
      <sheetName val="DMT 1400a1600CARREG"/>
      <sheetName val="DMT 1600a1800CARREG"/>
      <sheetName val="DMT 1800a2000CARREG"/>
      <sheetName val="DMT 2000a3000CARREG"/>
      <sheetName val="DMT 3000a5000CARREG"/>
      <sheetName val="SOLOS MOLES 200a400"/>
      <sheetName val="DMT 1000a1200E"/>
      <sheetName val="DMT 1200a1400E"/>
      <sheetName val="DMT 1400a1600E"/>
      <sheetName val="DMT 1400 a 1600E"/>
      <sheetName val="DMT 5000 a 10000E"/>
      <sheetName val="DMT 10000 a 15000E"/>
      <sheetName val="DMT 15000 a 20000E"/>
      <sheetName val="DMT &gt; 20000E"/>
      <sheetName val="Aterro95%"/>
      <sheetName val="DMT 1600 a 1800E "/>
      <sheetName val="DMT 1800 a 2000E"/>
      <sheetName val="DMT 2000 a 3000E"/>
      <sheetName val="MAT 3 DMT 1000 a 1200E (2)"/>
      <sheetName val="DMT 50a200E 2 CAT"/>
      <sheetName val="DMT 200a400E 2 CAT"/>
      <sheetName val="DMT 400a600E 2 CAT"/>
      <sheetName val="DMT 200 a 400 3 CAT"/>
      <sheetName val="DMT 400 a 600 3 CAT"/>
      <sheetName val="DMT 3000 a 5000E"/>
      <sheetName val="DMT 400 a 600E 2ªcat"/>
      <sheetName val="Aterro100%"/>
      <sheetName val="Aterro de rocha"/>
      <sheetName val="Reforço subleito"/>
      <sheetName val="Regula (2)"/>
      <sheetName val="Aterro100%INTERM"/>
      <sheetName val="Transp. N.PAV. Terraplagem"/>
      <sheetName val="Aterro95%(1)"/>
      <sheetName val="Compac Mat Bota-fora"/>
      <sheetName val="Regula"/>
      <sheetName val="Sub-base (2)"/>
      <sheetName val="Sub-base"/>
      <sheetName val="Recomp cam base"/>
      <sheetName val="Recomp Base"/>
      <sheetName val="Base (2)"/>
      <sheetName val="Base"/>
      <sheetName val="Concreto Cimento portland"/>
      <sheetName val="Base brita graduada"/>
      <sheetName val="Base Solo cimento"/>
      <sheetName val="Base solo brita"/>
      <sheetName val="Reciclagem"/>
      <sheetName val="Base Solo Melh. Cim."/>
      <sheetName val="Imprimação"/>
      <sheetName val="Pintura de Ligação"/>
      <sheetName val="TSS c emulsão"/>
      <sheetName val="Pintura de ligação."/>
      <sheetName val="TSD c emulsão"/>
      <sheetName val="TSD c banho diluido"/>
      <sheetName val="CBUQ_Capa"/>
      <sheetName val="FOG"/>
      <sheetName val="CBUQ_Binder (2)"/>
      <sheetName val="CBUQ_Binder"/>
      <sheetName val="TSS c banho diluido BC"/>
      <sheetName val="CBUQ - CAPA ROLAMENTO"/>
      <sheetName val="Aquisição CM-30"/>
      <sheetName val="Aquisição RR-2C"/>
      <sheetName val="Aquisição RR-1C"/>
      <sheetName val="Aquisição CAP 50-70"/>
      <sheetName val="Transp_Frio CM-30"/>
      <sheetName val="Transp_Frio RR-2C"/>
      <sheetName val="Transp. Local mat. betum"/>
      <sheetName val="Transp. Pav. Casc."/>
      <sheetName val="Transp. Comercial (Rest)"/>
      <sheetName val="Esc mec reat e comp"/>
      <sheetName val="Esc vala mat 3ª cat"/>
      <sheetName val="Transp_Frio RR-1C."/>
      <sheetName val="Transp_Quente CAP 50-70"/>
      <sheetName val="Transp. local N.Pav. "/>
      <sheetName val="Transp. Com. N.Pav.(Const)"/>
      <sheetName val="Transp. Com. Pav. (Const)"/>
      <sheetName val="Remoção mec Rev Bet."/>
      <sheetName val="Remoção mec Cam. Granul."/>
      <sheetName val="Fresagem continua"/>
      <sheetName val="Escav. Manual 1ª cat"/>
      <sheetName val="VPC 04"/>
      <sheetName val="VPA 04"/>
      <sheetName val="Transp. Com. Pav.(Const)"/>
      <sheetName val="Transp. loc N.Pav. brita p TSD"/>
      <sheetName val="VPC 04D"/>
      <sheetName val="Transp. loc N.Pav. Mistura CBUQ"/>
      <sheetName val="STC 01."/>
      <sheetName val="STC 04."/>
      <sheetName val="SZC 01"/>
      <sheetName val="STC 02D"/>
      <sheetName val="VPA 04D"/>
      <sheetName val="Dreno DPS 08_"/>
      <sheetName val="BSD 02"/>
      <sheetName val="Dreno DSS 03"/>
      <sheetName val="BSD 03"/>
      <sheetName val="STC 01"/>
      <sheetName val="STC 04"/>
      <sheetName val="STC 08"/>
      <sheetName val="SCC 03"/>
      <sheetName val="SCC 04"/>
      <sheetName val="MFC 01"/>
      <sheetName val="MFC 05"/>
      <sheetName val="CCS 01"/>
      <sheetName val="CCS 04"/>
      <sheetName val="CCS 10"/>
      <sheetName val="CCS 12"/>
      <sheetName val="CCS 16"/>
      <sheetName val="CCS 21"/>
      <sheetName val="CCS 02"/>
      <sheetName val="STC 04D"/>
      <sheetName val="MFC 01D"/>
      <sheetName val="VPC 04."/>
      <sheetName val="DPS 07"/>
      <sheetName val="BSD 02."/>
      <sheetName val="MFC 03"/>
      <sheetName val="MFC 05D"/>
      <sheetName val="CCS 01(D)"/>
      <sheetName val="MFC 05."/>
      <sheetName val="DES 03."/>
      <sheetName val="DAR 02"/>
      <sheetName val="CCS 016"/>
      <sheetName val="CCS 019"/>
      <sheetName val="CCS 020"/>
      <sheetName val="DAR 03"/>
      <sheetName val="DAD 02"/>
      <sheetName val="DCD 02"/>
      <sheetName val="DAD 07."/>
      <sheetName val="EDA 01"/>
      <sheetName val="EDA 02"/>
      <sheetName val="DES 03"/>
      <sheetName val="EDA 02D"/>
      <sheetName val="DES 02D"/>
      <sheetName val="DEB 01"/>
      <sheetName val="DEB 02"/>
      <sheetName val="DEB 03"/>
      <sheetName val="DEB 04"/>
      <sheetName val="DEB 05"/>
      <sheetName val="BLD 02"/>
      <sheetName val="CLP 11"/>
      <sheetName val="CLP 04"/>
      <sheetName val="CLP 19"/>
      <sheetName val="PVI 04"/>
      <sheetName val="PVI 05"/>
      <sheetName val="PVI 10"/>
      <sheetName val="PVI 02"/>
      <sheetName val="CPV 01"/>
      <sheetName val="PVI 07"/>
      <sheetName val="Arranc e Rem meio_fio"/>
      <sheetName val="Tubul 40"/>
      <sheetName val="Tubul 60"/>
      <sheetName val="Tubul 80"/>
      <sheetName val="Demolição simples"/>
      <sheetName val="TCC 01"/>
      <sheetName val="DEB 02."/>
      <sheetName val="DES 02"/>
      <sheetName val="DES 03D"/>
      <sheetName val="DEB 06"/>
      <sheetName val="BLS 01"/>
      <sheetName val="CLP 07"/>
      <sheetName val="BLS 02"/>
      <sheetName val="BLS 03"/>
      <sheetName val="BLS 04"/>
      <sheetName val="BLD 01"/>
      <sheetName val="BLD 03"/>
      <sheetName val="BLD 04"/>
      <sheetName val="PVI 01"/>
      <sheetName val="PVI 02."/>
      <sheetName val="PVI 03"/>
      <sheetName val="PVI04"/>
      <sheetName val="PVI05"/>
      <sheetName val="CPV 01."/>
      <sheetName val="CPV 02"/>
      <sheetName val="CPV 03"/>
      <sheetName val="CPV 04"/>
      <sheetName val="CPV 05"/>
      <sheetName val="CPV 06"/>
      <sheetName val="CPV 07"/>
      <sheetName val="TUB. DRE. URB. D=0,40"/>
      <sheetName val="TUB. DRE. URB. D=0,60"/>
      <sheetName val="TUB. DRE. URB. D=0,80"/>
      <sheetName val="TUB. DRE. URB. D=1,00"/>
      <sheetName val="TUB. DRE. URB. D=1,20"/>
      <sheetName val="CLP 01"/>
      <sheetName val="Transp. Comercial Drenagem NP"/>
      <sheetName val="Transp. Comercial Drenagem P"/>
      <sheetName val="Transp. Local Drenagem NP"/>
      <sheetName val="Transp. Local Drenagem P"/>
      <sheetName val="Transp. Com. Dren. Carr. NP"/>
      <sheetName val="Transp. Local Dren. Carr. NP"/>
      <sheetName val="Transp. Com. Dren. Carr. P"/>
      <sheetName val="Escav. mec. 1ª cat"/>
      <sheetName val="Reaterro e compac"/>
      <sheetName val="BSTC 0,60m"/>
      <sheetName val="BSTC 0,80m"/>
      <sheetName val="BSTC 0,60m CA 1"/>
      <sheetName val="BSTC 0,80m CA 1"/>
      <sheetName val="BSTC 0,80m  CA 2"/>
      <sheetName val="BSTC 0,80m CA 4"/>
      <sheetName val="BDTC 1,50m"/>
      <sheetName val="BDTC 1,00m"/>
      <sheetName val="BDTC 1,20m"/>
      <sheetName val="BTTC 1,00m"/>
      <sheetName val="BTTC 1,50m"/>
      <sheetName val="BTTC 1,20m"/>
      <sheetName val="Boca BSTC 0,60m"/>
      <sheetName val="Boca BSTC 0,80m"/>
      <sheetName val="BSTC 1,00m CA 2"/>
      <sheetName val="BSTC 1,00m CA 4"/>
      <sheetName val="BSTC 0,80m CA1"/>
      <sheetName val="BSTC 1,00m CA1"/>
      <sheetName val="BSTC 1,00m CA2"/>
      <sheetName val="BSTC 1,00m CA3"/>
      <sheetName val="BSTC 1,00m CA4"/>
      <sheetName val="BSTC 1,20mCA1"/>
      <sheetName val="BSTC 1,50mCA1"/>
      <sheetName val="BSTC 1,50mCA3"/>
      <sheetName val="BSTC 1,50mCA4"/>
      <sheetName val="BDTC 1,20mCA1"/>
      <sheetName val="Boca BSTC 0,60mN"/>
      <sheetName val="Boca BSTC 0,80mN (2)"/>
      <sheetName val="BDTC 1,20mCA2"/>
      <sheetName val="BDTC 1,50mCA1"/>
      <sheetName val="BDTC 1,50mCA2"/>
      <sheetName val="BTTC 1,20mCA1"/>
      <sheetName val="Boca BSTC 0,80m."/>
      <sheetName val="Boca BSTC 1,00m"/>
      <sheetName val="Boca BSTC 1,00m (15º)"/>
      <sheetName val="Boca BDTC 1,50m"/>
      <sheetName val="Tubul 120"/>
      <sheetName val="Remoção disp_concr"/>
      <sheetName val="BSTC 1,20m"/>
      <sheetName val="Boca BDTC 1,00m"/>
      <sheetName val="CORPO BDCC 1,50 x 1,50"/>
      <sheetName val="CORPO BTCC 1,50 x 2,00"/>
      <sheetName val="CORPO BTCC 2,00 x 2,00"/>
      <sheetName val="Boca BTTC 1,50m"/>
      <sheetName val="CORPO BSCC 2,50 x 2,50_(5m) "/>
      <sheetName val="BOCA BTCC 1,50 x 2,00"/>
      <sheetName val="Boca BSTC 1,50m"/>
      <sheetName val="Boca BSTC 1,20m"/>
      <sheetName val="Boca BDTC 1,20m"/>
      <sheetName val="Boca BTTC 1,00m"/>
      <sheetName val="Boca BTTC 1,20m"/>
      <sheetName val="Boca BSTC 1,00m E15"/>
      <sheetName val="Boca BSTC 1,00m E30"/>
      <sheetName val="Boca BSTC 1,00m E45"/>
      <sheetName val="Boca BSTC 1,00m esc30"/>
      <sheetName val="Boca BSTC 1,00m esc45"/>
      <sheetName val="Boca BSTC 1,20mD"/>
      <sheetName val="Boca BSTC 1,50m."/>
      <sheetName val="Boca BSTC 1,50m ESC 30"/>
      <sheetName val="Boca BDTC 1,00me30"/>
      <sheetName val="CORPO BSCC 1,50 x 1,50_2,5a5,0"/>
      <sheetName val="CORPO BSCC 1,50 x 1,50_5a7,5"/>
      <sheetName val="CORPO BSCC 2,00 x 2,00_1,0a2,5m"/>
      <sheetName val="Boca BDTC 1,20md."/>
      <sheetName val="Boca BDTC 1,20m ESC 15"/>
      <sheetName val="Boca BDTC 1,50mD"/>
      <sheetName val="Boca BDTC 1,50mESC 15"/>
      <sheetName val="Boca BDTC 1,50mESC 30"/>
      <sheetName val="Boca BDTC 1,50mESC 45"/>
      <sheetName val="Boca BTTC 1,20md"/>
      <sheetName val="Boca BTTC 1,20mESC 45"/>
      <sheetName val="CORPO BSCC 1,50 x 1,50_0,0a1,0"/>
      <sheetName val="CORPO BSCC 1,50 x 1,50_1,0a2,5"/>
      <sheetName val="CORPO BSCC 1,50 x 1,50_2,5a5,0."/>
      <sheetName val="CORPO BSCC 2,0 x 2,0_5a7"/>
      <sheetName val="CORPO BSCC 2,0 x 2,0_7,5a10"/>
      <sheetName val="CORPO BSCC 2,5 x 2,5_5,0a7,5"/>
      <sheetName val="CORPO BDCC 2,5 x 2,5_0,0a1,0"/>
      <sheetName val="CORPO BDCC 2,5 x 2,5_2,5a5,0"/>
      <sheetName val="CORPO BDCC 2,5 x 2,5_10,0a12,5"/>
      <sheetName val="CORPO BDCC 3,0 x 3,0_10,0a12,5"/>
      <sheetName val="CORPO BTCC 2,50 x 2,50_7,5a10,0"/>
      <sheetName val="CORPO BDCC 3,00 x 3,00_2,5a5,0"/>
      <sheetName val="CORPO BTCC 3,00 x 3,00_1,0a2,5"/>
      <sheetName val="BOCA BSCC 1,50 x 1,50 N"/>
      <sheetName val="BOCA BSCC 1,50 x 1,50N"/>
      <sheetName val="CORPO BSCC 2,50 x 2,50"/>
      <sheetName val="TUNNEL LINER 1,80"/>
      <sheetName val="TUNNEL LINER 2,40"/>
      <sheetName val="SCC 05"/>
      <sheetName val="SCC 06"/>
      <sheetName val="STC 06"/>
      <sheetName val="VPC 02"/>
      <sheetName val="Pass sobre canal"/>
      <sheetName val="Lombada"/>
      <sheetName val="DES 01"/>
      <sheetName val="CORPO BSCC 3,00 x 3,00"/>
      <sheetName val="CORPO BSCC 1,65 x 2,65"/>
      <sheetName val="CORPO BSCC 1,50 x 1,50 (10M)"/>
      <sheetName val="CORPO BSCC 3,00 x 3,00 (10M)"/>
      <sheetName val="CORPO BDCC 2,50 x 2,50"/>
      <sheetName val="CORPO BDCC 2,00 x 2,00"/>
      <sheetName val="CORPO BDCC 2,50 x 2,50 (7,50M)"/>
      <sheetName val="CORPO BTCC 3,00 x 3,00_(5m)"/>
      <sheetName val="BOCA BSCC 1,50 x 1,50"/>
      <sheetName val="BOCA BSCC 3,00 x 3,00"/>
      <sheetName val="BOCA BDCC 2,50 x 2,50"/>
      <sheetName val="BOCA BTCC 3,00 x 3,00"/>
      <sheetName val="Rem. bueiro exist."/>
      <sheetName val="Desobstrução bueiro"/>
      <sheetName val="Remoção de Cerca"/>
      <sheetName val="Cerca"/>
      <sheetName val="CTC 01"/>
      <sheetName val="BSTC 1,50m"/>
      <sheetName val="Defensa_simples"/>
      <sheetName val="Defensa_Dupla"/>
      <sheetName val="Ancor simples"/>
      <sheetName val="Ancor dupla"/>
      <sheetName val="Sonorizador"/>
      <sheetName val="Calçadas"/>
      <sheetName val="Ench Cant Cent"/>
      <sheetName val="Poste"/>
      <sheetName val="MURRO ARIMO"/>
      <sheetName val="CORPO ARMCO"/>
      <sheetName val="BOCA ARMCO"/>
      <sheetName val="Barreira Dupla"/>
      <sheetName val="Postes"/>
      <sheetName val="Postes (2)"/>
      <sheetName val="Postes (3)"/>
      <sheetName val="Pintura faixa 3 anos"/>
      <sheetName val="BOCA BSCC 2,00 x 2,00 e15D"/>
      <sheetName val="BOCA BSCC 2,00 x 2,00 E30"/>
      <sheetName val="BOCA BSCC 2,00 x 2,00 E45"/>
      <sheetName val="BOCA BSCC 2,50 x 2,50 Normal"/>
      <sheetName val="BOCA BDCC 3,00 x 3,00 e15"/>
      <sheetName val="BOCA BTCC 2,50 x 2,50 normal"/>
      <sheetName val="BOCA BTCC 2,50 x 2,50 e15"/>
      <sheetName val="BOCA BDCC 3,00 x 3,00 N."/>
      <sheetName val="BOCA BSCC 1,50 x 1,50N ESC 45"/>
      <sheetName val="BOCA BTCC 3,00 x 300n"/>
      <sheetName val="BOCA BTCC 3,00 x 300 esc 30"/>
      <sheetName val="CSS 03"/>
      <sheetName val="CSS 04"/>
      <sheetName val="TCC 01."/>
      <sheetName val="Transp. Com. N.Pav.(Const) (2)"/>
      <sheetName val="Transp. Com. Pav.(Const) (2)"/>
      <sheetName val="Transp. loc N.Pav. "/>
      <sheetName val="Transp. Com. Dren. Carr. NP (2"/>
      <sheetName val="Transp. Local Dren. Carr. N (2"/>
      <sheetName val="Transp. Com. Dren. Carr. P (2)"/>
      <sheetName val="Rem  de bueiros exist"/>
      <sheetName val="Transp. Local N.Pav. p remoção"/>
      <sheetName val="Recomp. Total Cerca"/>
      <sheetName val="Cerca arame far cMourão"/>
      <sheetName val="Remover Cerca"/>
      <sheetName val="Tacha reflet."/>
      <sheetName val="Tacha Refl. mono"/>
      <sheetName val="Pintura faixa 2 anos"/>
      <sheetName val="Pintura zebrado e seta"/>
      <sheetName val="Tacha Refl. bidirecional"/>
      <sheetName val="Tachão Refletivo"/>
      <sheetName val="Enleivamento"/>
      <sheetName val="Placa sinaliz."/>
      <sheetName val="Defensa"/>
      <sheetName val="Ancoragem"/>
      <sheetName val="Hidrossemeadura"/>
      <sheetName val="Grama em Muda"/>
      <sheetName val="Plantio de arv"/>
      <sheetName val="VPC 01"/>
      <sheetName val="Reconf_Mecan"/>
      <sheetName val="CAP-30_45"/>
      <sheetName val="CAP-65_90"/>
      <sheetName val="Rev vegetal leivas"/>
      <sheetName val="Enleivamento."/>
      <sheetName val="Revestimento vegetal com Grama"/>
      <sheetName val="Plantio Arbusto"/>
      <sheetName val="RR-1C"/>
      <sheetName val="Transp_Frio RR-1C"/>
      <sheetName val="Transp_Quente"/>
      <sheetName val="Transp. local N_Pav"/>
      <sheetName val="Transp. local pav"/>
      <sheetName val="Transp. local pav (2)"/>
      <sheetName val="Transp. local carroc. guind."/>
      <sheetName val="Transp. Com_Carr_N_Pav"/>
      <sheetName val="Transp. Com_Carr_Pav"/>
      <sheetName val="Transp. Com N.Pav."/>
      <sheetName val="Transp. Com. Pav"/>
      <sheetName val="Transp. Local-Carroc_N.Pav."/>
      <sheetName val="Transp. Local-Carroc_Pav"/>
      <sheetName val="Cerca arame far cMourão (2)"/>
      <sheetName val="Prot pass. Fauna"/>
      <sheetName val="Revestimento de grama"/>
      <sheetName val="Regularização faixa de dominio"/>
      <sheetName val="Proteção e Passagem de Fauna"/>
      <sheetName val="Pintura faixa 1 ANO"/>
      <sheetName val="Pintura setas zebrados - 1 ANO"/>
      <sheetName val="Tacha reflet. (2)"/>
      <sheetName val="Tachão Refl. mono"/>
      <sheetName val="Veículo"/>
      <sheetName val="Usinagem CBUQ."/>
      <sheetName val="Areia Comercial"/>
      <sheetName val="Brita"/>
      <sheetName val="Brita Comercial"/>
      <sheetName val="Pedra-de-mão"/>
      <sheetName val="Usinagem Brita Grad."/>
      <sheetName val="Usinagem Solo Cimento"/>
      <sheetName val="Usinagem Solo Brita"/>
      <sheetName val="Usinagem Solo melh. cim"/>
      <sheetName val="Usinagem CBUQ"/>
      <sheetName val="Usinagem BINDER"/>
      <sheetName val="Alv tijolos"/>
      <sheetName val="Alv Pedra Argam"/>
      <sheetName val="Limp cam veg em jazida"/>
      <sheetName val="Expurgo de jazida"/>
      <sheetName val="Esc. de jazida"/>
      <sheetName val="Conf.TuboD=0,2"/>
      <sheetName val="Conf.TuboD=0,8 CA1"/>
      <sheetName val="Conf.TuboD=1,0 CA1"/>
      <sheetName val="Conf.TuboD=1,0 CA2"/>
      <sheetName val="Conf.TuboD=1,0 CA3"/>
      <sheetName val="Dente BSTC 120"/>
      <sheetName val="Dente BDTC 120"/>
      <sheetName val="Dente BDTC 150"/>
      <sheetName val="Dente BSTC 60"/>
      <sheetName val="Dente BSTC 80"/>
      <sheetName val="Dente BSTC 80D"/>
      <sheetName val="Conf.TuboD=1,0 CA4"/>
      <sheetName val="Conf.TuboD=1,2 CA1"/>
      <sheetName val="Conf.TuboD=1,2 CA2"/>
      <sheetName val="Conf.TuboD=1,5 CA1"/>
      <sheetName val="Conf.TuboD=1,5 CA2"/>
      <sheetName val="Conf.TuboD=1,5 CA3"/>
      <sheetName val="Conf.TuboD=1,5 CA4"/>
      <sheetName val="Dente BSTC 80."/>
      <sheetName val="Dente BSTC 100"/>
      <sheetName val="Dente BDTC 100"/>
      <sheetName val="Dente BTTC 100"/>
      <sheetName val="Dente BTTC 120"/>
      <sheetName val="Dente BTTC 150"/>
      <sheetName val="Dente BSTC 120D"/>
      <sheetName val="Dente BSTC 150."/>
      <sheetName val="Dente BDTC 120."/>
      <sheetName val="Dente BDTC 120D"/>
      <sheetName val="Dente BTTC 120D"/>
      <sheetName val="Dente BDTC 150."/>
      <sheetName val="Dente BTTC 120."/>
      <sheetName val="Aço CA25"/>
      <sheetName val="Dente BSTC 150"/>
      <sheetName val="Aço CA25 (2)"/>
      <sheetName val="Aço CA50"/>
      <sheetName val="Aço CA50 (2)"/>
      <sheetName val="Aço CA60"/>
      <sheetName val="Aço CA60 (2)"/>
      <sheetName val="Fôrma comum mad"/>
      <sheetName val="Fôrma comp res"/>
      <sheetName val="Brita Produzida"/>
      <sheetName val="Rocha para britagem"/>
      <sheetName val="Peças Desgaste Britador"/>
      <sheetName val="Solo Local Arg"/>
      <sheetName val="Peças Desgaste Britador (2)"/>
      <sheetName val="Lastro Brita"/>
      <sheetName val="Concreto magro"/>
      <sheetName val="Concreto magro AC"/>
      <sheetName val="Concreto 10MPa"/>
      <sheetName val="Concreto 11MPa"/>
      <sheetName val="Concreto 12MPa"/>
      <sheetName val="Concreto 15MPa"/>
      <sheetName val="Concreto estr 15MPa"/>
      <sheetName val="Concreto 18MPa (2)"/>
      <sheetName val="Concreto 18MPa"/>
      <sheetName val="Concreto 25MPa"/>
      <sheetName val="Concreto Cimento Portl"/>
      <sheetName val="Concreto 30MPa"/>
      <sheetName val="Escor bueiros cel"/>
      <sheetName val="Concreto Ciclópico 12MPa"/>
      <sheetName val="Concreto Ciclópico 15MPaD"/>
      <sheetName val="Concreto Ciclópico 15MPa"/>
      <sheetName val="Concreto 18MPa_(Tubos)"/>
      <sheetName val="Argamassa 13"/>
      <sheetName val="Argamassa 14"/>
      <sheetName val="Confecção Tubo D=20cm"/>
      <sheetName val="Confecção Tubo D=40cm"/>
      <sheetName val="Confecção Tubo D=0,60m"/>
      <sheetName val="Confecção Tubo D=0,80m"/>
      <sheetName val="Confecção Tubo D=1,00m"/>
      <sheetName val="Confecção Tubo D=1,50m"/>
      <sheetName val="Confecção Placa Sinal."/>
      <sheetName val="Confecção Suporte trav."/>
      <sheetName val="Guia mad. 7cm"/>
      <sheetName val="Guia mad. 10cm"/>
      <sheetName val="Guia mad. 10cm(2)"/>
      <sheetName val="Escav Manual 1a cat"/>
      <sheetName val="Escav Man de Vala"/>
      <sheetName val="Escav Mec"/>
      <sheetName val="Solo local"/>
      <sheetName val="Escav Manual Vala 1a cat"/>
      <sheetName val="Compac Man"/>
      <sheetName val="Transp_RR-2C"/>
      <sheetName val="Fossa Séptica"/>
      <sheetName val="Ligação provisória"/>
      <sheetName val="lIGAÇAO_AGUA"/>
      <sheetName val="Obt grama"/>
      <sheetName val="Concreto 18MPa mourões"/>
      <sheetName val="Fabr mourão 11"/>
      <sheetName val="Fabr mourão 15"/>
      <sheetName val="macro"/>
      <sheetName val="Transp. Mat. exced DMT &gt;5km"/>
      <sheetName val="STC 03"/>
      <sheetName val="DEB 02D"/>
      <sheetName val="DEB 04 D"/>
      <sheetName val="DEB 10"/>
      <sheetName val="DEB 12D"/>
      <sheetName val="DAD 07"/>
      <sheetName val="DAD 13)"/>
      <sheetName val="DAD 17"/>
      <sheetName val="BSTC 1,20m (2)"/>
      <sheetName val="BDTC 1,20mD"/>
      <sheetName val="BDTC 1,50mD"/>
      <sheetName val="BTTC 1,20mD"/>
      <sheetName val="Boca BSTC 0,80m E15"/>
      <sheetName val="Boca BSTC D=1,20m"/>
      <sheetName val="Boca BSTC 1,20m E30D"/>
      <sheetName val="Boca BDTC D=1,20m"/>
      <sheetName val="Boca BDTC 1,20m E30D"/>
      <sheetName val="Boca BDTC 1,20m E45"/>
      <sheetName val="Boca BTTC D=1,20m"/>
      <sheetName val="Boca BTTC 1,20m E15"/>
      <sheetName val="Boca BTTC 1,20m E30D"/>
      <sheetName val="Boca BTTC 1,20m E45"/>
      <sheetName val="Boca BDTC 1,50m E15"/>
      <sheetName val="CORPO BSCC 3,00 x 3,00_1a2,5"/>
      <sheetName val="CORPO BSCC 2,50 x 2,50_1a2,5"/>
      <sheetName val="CORPO BSCC 2,50 x 2,50_2,5a5,0D"/>
      <sheetName val="BOCA BSCC 2,50 x 2,50 E15"/>
      <sheetName val="BOCA BSCC 2,50 x 2,50 E30"/>
      <sheetName val="BOCA BSCC 2,50 x 2,50 E45"/>
      <sheetName val="BOCA BSCC 3,00 x 3,00 E15"/>
      <sheetName val="CORPO BDCC 2,00 x 2,00_0,0a 1,0"/>
      <sheetName val="CORPO BDCC 3,00 x 3,00_1,0a2,5"/>
      <sheetName val="CORPO BDCC 3,00 x 3,00_2,0a5,0"/>
      <sheetName val="BOCA BDCC 3,00 x 3,00 N"/>
      <sheetName val="BOCA BDCC 3,00 x 3,00 e30"/>
      <sheetName val="CORPO BTCC 1,50 x 1,50_0a1,00m"/>
      <sheetName val="CORPO BTCC 1,50 x 1,50_1a2,5"/>
      <sheetName val="CORPO BTCC 1,50 x 1,50_2,5a5"/>
      <sheetName val="BOCA BTCC 1,50 x 1,50"/>
      <sheetName val="BOCA BTCC 1,50 x 1,50 E15"/>
      <sheetName val="BOCA BTCC 1,50 x 1,50 E30"/>
      <sheetName val="BOCA BTCC 1,50 x 1,50 e45D"/>
      <sheetName val="BOCA BTCC 1,50 x 1,50 E45"/>
      <sheetName val="CORPO BTCC 2,50 x 2,50_1a2,5m"/>
      <sheetName val="CORPO BTCC 3,0 x 3,0_5a7"/>
      <sheetName val="BOCA BTCC 3,00 x 3,00 N"/>
      <sheetName val="BOCA BTCC 3,00 x 3,00 E30 (2)"/>
      <sheetName val="Cerca arame far"/>
      <sheetName val="Reloc Postes"/>
      <sheetName val="Cone"/>
      <sheetName val="Barreira"/>
      <sheetName val="Enleivamento1"/>
      <sheetName val="compos1"/>
    </sheetNames>
    <sheetDataSet>
      <sheetData sheetId="0" refreshError="1"/>
      <sheetData sheetId="1" refreshError="1"/>
      <sheetData sheetId="2" refreshError="1"/>
      <sheetData sheetId="3" refreshError="1"/>
      <sheetData sheetId="4" refreshError="1"/>
      <sheetData sheetId="5" refreshError="1"/>
      <sheetData sheetId="6">
        <row r="4">
          <cell r="C4" t="str">
            <v>1 A 00 001 05</v>
          </cell>
          <cell r="D4" t="str">
            <v>- Transp. local c/ basc. 10m3 rodov. não pav (const)</v>
          </cell>
          <cell r="E4" t="str">
            <v>tkm</v>
          </cell>
          <cell r="F4">
            <v>0.8</v>
          </cell>
        </row>
        <row r="5">
          <cell r="C5" t="str">
            <v>1 A 00 001 06</v>
          </cell>
          <cell r="D5" t="str">
            <v>- Transp. local c/ basc. 10m3 rodov. não pav (consv)</v>
          </cell>
          <cell r="E5" t="str">
            <v>tkm</v>
          </cell>
          <cell r="F5">
            <v>0.96</v>
          </cell>
        </row>
        <row r="6">
          <cell r="C6" t="str">
            <v>1 A 00 001 07</v>
          </cell>
          <cell r="D6" t="str">
            <v>- Transp. local c/ basc. 10m3 rodov. não pav (restr)</v>
          </cell>
          <cell r="E6" t="str">
            <v>tkm</v>
          </cell>
          <cell r="F6">
            <v>0.93</v>
          </cell>
        </row>
        <row r="7">
          <cell r="C7" t="str">
            <v>1 A 00 001 08</v>
          </cell>
          <cell r="D7" t="str">
            <v>- Transporte local c/ basc. p/ rocha rodov. não pav.</v>
          </cell>
          <cell r="E7" t="str">
            <v>tkm</v>
          </cell>
          <cell r="F7">
            <v>1.1100000000000001</v>
          </cell>
        </row>
        <row r="8">
          <cell r="C8" t="str">
            <v>1 A 00 001 40</v>
          </cell>
          <cell r="D8" t="str">
            <v>- Transp. local c/ carroceria 15 t rodov. não pav.</v>
          </cell>
          <cell r="E8" t="str">
            <v>tkm</v>
          </cell>
          <cell r="F8">
            <v>1.04</v>
          </cell>
        </row>
        <row r="9">
          <cell r="C9" t="str">
            <v>1 A 00 001 41</v>
          </cell>
          <cell r="D9" t="str">
            <v>- Transporte local c/ carroceria 4t rodov. não pav.</v>
          </cell>
          <cell r="E9" t="str">
            <v>tkm</v>
          </cell>
          <cell r="F9">
            <v>1.23</v>
          </cell>
        </row>
        <row r="10">
          <cell r="C10" t="str">
            <v>1 A 00 001 50</v>
          </cell>
          <cell r="D10" t="str">
            <v>- Transporte local c/ betoneira rodov. não pav.</v>
          </cell>
          <cell r="E10" t="str">
            <v>tkm</v>
          </cell>
          <cell r="F10">
            <v>1.18</v>
          </cell>
        </row>
        <row r="11">
          <cell r="C11" t="str">
            <v>1 A 00 001 60</v>
          </cell>
          <cell r="D11" t="str">
            <v>- Transp. local c/ carroc. c/ guind. rodov. não pav.</v>
          </cell>
          <cell r="E11" t="str">
            <v>tkm</v>
          </cell>
          <cell r="F11">
            <v>0.95</v>
          </cell>
        </row>
        <row r="12">
          <cell r="C12" t="str">
            <v>1 A 00 001 90</v>
          </cell>
          <cell r="D12" t="str">
            <v>- Transporte comercial c/ carroc. rodov. não pav.</v>
          </cell>
          <cell r="E12" t="str">
            <v>tkm</v>
          </cell>
          <cell r="F12">
            <v>0.62</v>
          </cell>
        </row>
        <row r="13">
          <cell r="C13" t="str">
            <v>1 A 00 001 91</v>
          </cell>
          <cell r="D13" t="str">
            <v>- Transporte comercial c/ basc. 10m3 rod. não pav.</v>
          </cell>
          <cell r="E13" t="str">
            <v>tkm</v>
          </cell>
          <cell r="F13">
            <v>0.63</v>
          </cell>
        </row>
        <row r="14">
          <cell r="C14" t="str">
            <v>1 A 00 002 00</v>
          </cell>
          <cell r="D14" t="str">
            <v>- Transporte local c/ basc. 5m3 rodov. pav.</v>
          </cell>
          <cell r="E14" t="str">
            <v>tkm</v>
          </cell>
          <cell r="F14">
            <v>0.56000000000000005</v>
          </cell>
        </row>
        <row r="15">
          <cell r="C15" t="str">
            <v>1 A 00 002 03</v>
          </cell>
          <cell r="D15" t="str">
            <v>- Transp. local material para remendos</v>
          </cell>
          <cell r="E15" t="str">
            <v>tkm</v>
          </cell>
          <cell r="F15">
            <v>1.45</v>
          </cell>
        </row>
        <row r="16">
          <cell r="C16" t="str">
            <v>1 A 00 002 04</v>
          </cell>
          <cell r="D16" t="str">
            <v>- Transporte Local CBUQ c/ caçamba térmica</v>
          </cell>
          <cell r="E16" t="str">
            <v>tkm</v>
          </cell>
          <cell r="F16">
            <v>1.0900000000000001</v>
          </cell>
        </row>
        <row r="17">
          <cell r="C17" t="str">
            <v>1 A 00 002 05</v>
          </cell>
          <cell r="D17" t="str">
            <v>- Transp. local c/ basc. 10m3 rodov. pav. (const)</v>
          </cell>
          <cell r="E17" t="str">
            <v>tkm</v>
          </cell>
          <cell r="F17">
            <v>0.62</v>
          </cell>
        </row>
        <row r="18">
          <cell r="C18" t="str">
            <v>1 A 00 002 06</v>
          </cell>
          <cell r="D18" t="str">
            <v>- Transp. local c/ basc. 10m3 rodov. pav. (consv)</v>
          </cell>
          <cell r="E18" t="str">
            <v>tkm</v>
          </cell>
          <cell r="F18">
            <v>0.72</v>
          </cell>
        </row>
        <row r="19">
          <cell r="C19" t="str">
            <v>1 A 00 002 07</v>
          </cell>
          <cell r="D19" t="str">
            <v>- Transp. local c/ basc. 10m3 rodov. pav. (restr)</v>
          </cell>
          <cell r="E19" t="str">
            <v>tkm</v>
          </cell>
          <cell r="F19">
            <v>0.7</v>
          </cell>
        </row>
        <row r="20">
          <cell r="C20" t="str">
            <v>1 A 00 002 08</v>
          </cell>
          <cell r="D20" t="str">
            <v>- Transporte local c/ basc. p/ rocha rodov. pav.</v>
          </cell>
          <cell r="E20" t="str">
            <v>tkm</v>
          </cell>
          <cell r="F20">
            <v>0.83</v>
          </cell>
        </row>
        <row r="21">
          <cell r="C21" t="str">
            <v>1 A 00 002 40</v>
          </cell>
          <cell r="D21" t="str">
            <v>- Transporte local c/ carroceria 15 t rodov. pav.</v>
          </cell>
          <cell r="E21" t="str">
            <v>tkm</v>
          </cell>
          <cell r="F21">
            <v>0.78</v>
          </cell>
        </row>
        <row r="22">
          <cell r="C22" t="str">
            <v>1 A 00 002 41</v>
          </cell>
          <cell r="D22" t="str">
            <v>- Transporte local c/ carroceria 4t rodov. pav.</v>
          </cell>
          <cell r="E22" t="str">
            <v>tkm</v>
          </cell>
          <cell r="F22">
            <v>0.96</v>
          </cell>
        </row>
        <row r="23">
          <cell r="C23" t="str">
            <v>1 A 00 002 50</v>
          </cell>
          <cell r="D23" t="str">
            <v>- Transporte local c/ betoneira rodov. pav.</v>
          </cell>
          <cell r="E23" t="str">
            <v>tkm</v>
          </cell>
          <cell r="F23">
            <v>0.88</v>
          </cell>
        </row>
        <row r="24">
          <cell r="C24" t="str">
            <v>1 A 00 002 60</v>
          </cell>
          <cell r="D24" t="str">
            <v>- Transp. local c/ carroceria c/ guind. rodov. pav.</v>
          </cell>
          <cell r="E24" t="str">
            <v>tkm</v>
          </cell>
          <cell r="F24">
            <v>0.85</v>
          </cell>
        </row>
        <row r="25">
          <cell r="C25" t="str">
            <v>1 A 00 002 90</v>
          </cell>
          <cell r="D25" t="str">
            <v>- Transporte comercial c/ carroceria rodov. pav.</v>
          </cell>
          <cell r="E25" t="str">
            <v>tkm</v>
          </cell>
          <cell r="F25">
            <v>0.41</v>
          </cell>
        </row>
        <row r="26">
          <cell r="C26" t="str">
            <v>1 A 00 002 91</v>
          </cell>
          <cell r="D26" t="str">
            <v>- Transporte comercial c/ basc. 10m3 rod. pav.</v>
          </cell>
          <cell r="E26" t="str">
            <v>tkm</v>
          </cell>
          <cell r="F26">
            <v>0.42</v>
          </cell>
        </row>
        <row r="27">
          <cell r="C27" t="str">
            <v>1 A 00 102 00</v>
          </cell>
          <cell r="D27" t="str">
            <v>- Transporte local de material betuminoso</v>
          </cell>
          <cell r="E27" t="str">
            <v>tkm</v>
          </cell>
          <cell r="F27">
            <v>1.49</v>
          </cell>
        </row>
        <row r="28">
          <cell r="C28" t="str">
            <v>1 A 00 112 90</v>
          </cell>
          <cell r="D28" t="str">
            <v>- Transporte comercial material betuminoso a quente</v>
          </cell>
          <cell r="E28" t="str">
            <v>tkm</v>
          </cell>
          <cell r="F28">
            <v>0</v>
          </cell>
        </row>
        <row r="29">
          <cell r="C29" t="str">
            <v>1 A 00 112 91</v>
          </cell>
          <cell r="D29" t="str">
            <v>- Transporte comercial material betuminoso a frio</v>
          </cell>
          <cell r="E29" t="str">
            <v>tkm</v>
          </cell>
          <cell r="F29">
            <v>0</v>
          </cell>
        </row>
        <row r="30">
          <cell r="C30" t="str">
            <v>1 A 00 201 70</v>
          </cell>
          <cell r="D30" t="str">
            <v>- Transp. local água c/ cam. tanque rodov. não pav.</v>
          </cell>
          <cell r="E30" t="str">
            <v>tkm</v>
          </cell>
          <cell r="F30">
            <v>1.18</v>
          </cell>
        </row>
        <row r="31">
          <cell r="C31" t="str">
            <v>1 A 00 202 70</v>
          </cell>
          <cell r="D31" t="str">
            <v>- Transp. local de água c/ cam. tanque rodov. pav.</v>
          </cell>
          <cell r="E31" t="str">
            <v>tkm</v>
          </cell>
          <cell r="F31">
            <v>0.88</v>
          </cell>
        </row>
        <row r="32">
          <cell r="C32" t="str">
            <v>1 A 00 301 00</v>
          </cell>
          <cell r="D32" t="str">
            <v>- Fornecimento de Aço CA-25</v>
          </cell>
          <cell r="E32" t="str">
            <v>kg</v>
          </cell>
          <cell r="F32">
            <v>3.51</v>
          </cell>
        </row>
        <row r="33">
          <cell r="C33" t="str">
            <v>1 A 00 302 00</v>
          </cell>
          <cell r="D33" t="str">
            <v>- Fornecimento de Aço CA-50</v>
          </cell>
          <cell r="E33" t="str">
            <v>kg</v>
          </cell>
          <cell r="F33">
            <v>3.3</v>
          </cell>
        </row>
        <row r="34">
          <cell r="C34" t="str">
            <v>1 A 00 303 00</v>
          </cell>
          <cell r="D34" t="str">
            <v>- Fornecimento de Aço CA-60</v>
          </cell>
          <cell r="E34" t="str">
            <v>kg</v>
          </cell>
          <cell r="F34">
            <v>3.5</v>
          </cell>
        </row>
        <row r="35">
          <cell r="C35" t="str">
            <v>1 A 00 716 00</v>
          </cell>
          <cell r="D35" t="str">
            <v>-  Areia comercial</v>
          </cell>
          <cell r="E35" t="str">
            <v>m3</v>
          </cell>
          <cell r="F35">
            <v>65</v>
          </cell>
        </row>
        <row r="36">
          <cell r="C36" t="str">
            <v>1 A 00 717 00</v>
          </cell>
          <cell r="D36" t="str">
            <v>- Brita Comercial</v>
          </cell>
          <cell r="E36" t="str">
            <v>m3</v>
          </cell>
          <cell r="F36">
            <v>81.86</v>
          </cell>
        </row>
        <row r="37">
          <cell r="C37" t="str">
            <v>1 A 00 901 01</v>
          </cell>
          <cell r="D37" t="str">
            <v>- Alvenaria de pedra argamassada</v>
          </cell>
          <cell r="E37" t="str">
            <v>m3</v>
          </cell>
          <cell r="F37">
            <v>178.62</v>
          </cell>
        </row>
        <row r="38">
          <cell r="C38" t="str">
            <v>1 A 00 901 51</v>
          </cell>
          <cell r="D38" t="str">
            <v>- Alvenaria de pedra argamassada AC/PC</v>
          </cell>
          <cell r="E38" t="str">
            <v>m3</v>
          </cell>
          <cell r="F38">
            <v>244.95</v>
          </cell>
        </row>
        <row r="39">
          <cell r="C39" t="str">
            <v>1 A 00 902 01</v>
          </cell>
          <cell r="D39" t="str">
            <v>- Alvenaria de tijolos</v>
          </cell>
          <cell r="E39" t="str">
            <v>m2</v>
          </cell>
          <cell r="F39">
            <v>60.29</v>
          </cell>
        </row>
        <row r="40">
          <cell r="C40" t="str">
            <v>1 A 00 902 51</v>
          </cell>
          <cell r="D40" t="str">
            <v>- Alvenaria de tijolos AC</v>
          </cell>
          <cell r="E40" t="str">
            <v>m2</v>
          </cell>
          <cell r="F40">
            <v>62.64</v>
          </cell>
        </row>
        <row r="41">
          <cell r="C41" t="str">
            <v>1 A 00 903 01</v>
          </cell>
          <cell r="D41" t="str">
            <v>- Dentes para bueiros duplos D=1,00 m</v>
          </cell>
          <cell r="E41" t="str">
            <v>und</v>
          </cell>
          <cell r="F41">
            <v>130.46</v>
          </cell>
        </row>
        <row r="42">
          <cell r="C42" t="str">
            <v>1 A 00 903 51</v>
          </cell>
          <cell r="D42" t="str">
            <v>- Dentes para bueiros duplos D=1,00 m AC/BC/PC</v>
          </cell>
          <cell r="E42" t="str">
            <v>und</v>
          </cell>
          <cell r="F42">
            <v>163.4</v>
          </cell>
        </row>
        <row r="43">
          <cell r="C43" t="str">
            <v>1 A 00 904 01</v>
          </cell>
          <cell r="D43" t="str">
            <v>- Dentes para bueiros duplos D=1,20 m</v>
          </cell>
          <cell r="E43" t="str">
            <v>und</v>
          </cell>
          <cell r="F43">
            <v>146.57</v>
          </cell>
        </row>
        <row r="44">
          <cell r="C44" t="str">
            <v>1 A 00 904 51</v>
          </cell>
          <cell r="D44" t="str">
            <v>- Dentes para bueiros duplos D=1,20 m AC/BC/PC</v>
          </cell>
          <cell r="E44" t="str">
            <v>und</v>
          </cell>
          <cell r="F44">
            <v>183.26</v>
          </cell>
        </row>
        <row r="45">
          <cell r="C45" t="str">
            <v>1 A 00 905 01</v>
          </cell>
          <cell r="D45" t="str">
            <v>- Dentes para bueiros duplos D=1,50 m</v>
          </cell>
          <cell r="E45" t="str">
            <v>und</v>
          </cell>
          <cell r="F45">
            <v>182.81</v>
          </cell>
        </row>
        <row r="46">
          <cell r="C46" t="str">
            <v>1 A 00 905 51</v>
          </cell>
          <cell r="D46" t="str">
            <v>- Dentes para bueiros duplos D=1,50 m AC/BC/PC</v>
          </cell>
          <cell r="E46" t="str">
            <v>und</v>
          </cell>
          <cell r="F46">
            <v>226.63</v>
          </cell>
        </row>
        <row r="47">
          <cell r="C47" t="str">
            <v>1 A 00 906 01</v>
          </cell>
          <cell r="D47" t="str">
            <v>- Dentes para bueiros simples D=0,60 m</v>
          </cell>
          <cell r="E47" t="str">
            <v>und</v>
          </cell>
          <cell r="F47">
            <v>44.28</v>
          </cell>
        </row>
        <row r="48">
          <cell r="C48" t="str">
            <v>1 A 00 906 51</v>
          </cell>
          <cell r="D48" t="str">
            <v>- Dentes para bueiros simples D=0,60 m AC/BC/PC</v>
          </cell>
          <cell r="E48" t="str">
            <v>und</v>
          </cell>
          <cell r="F48">
            <v>55.28</v>
          </cell>
        </row>
        <row r="49">
          <cell r="C49" t="str">
            <v>1 A 00 907 01</v>
          </cell>
          <cell r="D49" t="str">
            <v>- Dentes para bueiros simples D=0,80 m</v>
          </cell>
          <cell r="E49" t="str">
            <v>und</v>
          </cell>
          <cell r="F49">
            <v>54.76</v>
          </cell>
        </row>
        <row r="50">
          <cell r="C50" t="str">
            <v>1 A 00 907 51</v>
          </cell>
          <cell r="D50" t="str">
            <v>- Dentes para bueiros simples D=0,80 m AC/BC/PC</v>
          </cell>
          <cell r="E50" t="str">
            <v>und</v>
          </cell>
          <cell r="F50">
            <v>68.02</v>
          </cell>
        </row>
        <row r="51">
          <cell r="C51" t="str">
            <v>1 A 00 908 01</v>
          </cell>
          <cell r="D51" t="str">
            <v>- Dentes para bueiros simples D=1,00 m</v>
          </cell>
          <cell r="E51" t="str">
            <v>und</v>
          </cell>
          <cell r="F51">
            <v>65.13</v>
          </cell>
        </row>
        <row r="52">
          <cell r="C52" t="str">
            <v>1 A 00 908 51</v>
          </cell>
          <cell r="D52" t="str">
            <v>- Dentes para bueiros simples D=1,00 m AC/BC/PC</v>
          </cell>
          <cell r="E52" t="str">
            <v>und</v>
          </cell>
          <cell r="F52">
            <v>81.03</v>
          </cell>
        </row>
        <row r="53">
          <cell r="C53" t="str">
            <v>1 A 00 909 01</v>
          </cell>
          <cell r="D53" t="str">
            <v>- Dentes para bueiros simples D=1,20 m</v>
          </cell>
          <cell r="E53" t="str">
            <v>und</v>
          </cell>
          <cell r="F53">
            <v>73.39</v>
          </cell>
        </row>
        <row r="54">
          <cell r="C54" t="str">
            <v>1 A 00 909 51</v>
          </cell>
          <cell r="D54" t="str">
            <v>- Dentes para bueiros simples D=1,20 m AC/BC/PC</v>
          </cell>
          <cell r="E54" t="str">
            <v>und</v>
          </cell>
          <cell r="F54">
            <v>91.77</v>
          </cell>
        </row>
        <row r="55">
          <cell r="C55" t="str">
            <v>1 A 00 910 01</v>
          </cell>
          <cell r="D55" t="str">
            <v>- Dentes para bueiros simples D=1,50 m</v>
          </cell>
          <cell r="E55" t="str">
            <v>und</v>
          </cell>
          <cell r="F55">
            <v>94.62</v>
          </cell>
        </row>
        <row r="56">
          <cell r="C56" t="str">
            <v>1 A 00 910 51</v>
          </cell>
          <cell r="D56" t="str">
            <v>- Dentes para bueiros simples D=1,50 m AC/BC/PC</v>
          </cell>
          <cell r="E56" t="str">
            <v>und</v>
          </cell>
          <cell r="F56">
            <v>116.52</v>
          </cell>
        </row>
        <row r="57">
          <cell r="C57" t="str">
            <v>1 A 00 911 01</v>
          </cell>
          <cell r="D57" t="str">
            <v>- Dentes para bueiros triplos D=1,00 m</v>
          </cell>
          <cell r="E57" t="str">
            <v>und</v>
          </cell>
          <cell r="F57">
            <v>190.31</v>
          </cell>
        </row>
        <row r="58">
          <cell r="C58" t="str">
            <v>1 A 00 911 51</v>
          </cell>
          <cell r="D58" t="str">
            <v>- Dentes para bueiros triplos D=1,00 m AC/BC/PC</v>
          </cell>
          <cell r="E58" t="str">
            <v>und</v>
          </cell>
          <cell r="F58">
            <v>239.67</v>
          </cell>
        </row>
        <row r="59">
          <cell r="C59" t="str">
            <v>1 A 00 912 01</v>
          </cell>
          <cell r="D59" t="str">
            <v>- Dentes para bueiros triplos D=1,20 m</v>
          </cell>
          <cell r="E59" t="str">
            <v>und</v>
          </cell>
          <cell r="F59">
            <v>219.95</v>
          </cell>
        </row>
        <row r="60">
          <cell r="C60" t="str">
            <v>1 A 00 912 51</v>
          </cell>
          <cell r="D60" t="str">
            <v>-  Dentes para bueiros triplos D=1,20 m AC/BC/PC</v>
          </cell>
          <cell r="E60" t="str">
            <v>und</v>
          </cell>
          <cell r="F60">
            <v>275.02999999999997</v>
          </cell>
        </row>
        <row r="61">
          <cell r="C61" t="str">
            <v>1 A 00 913 01</v>
          </cell>
          <cell r="D61" t="str">
            <v>- Dentes para bueiros triplos D=1,50 m</v>
          </cell>
          <cell r="E61" t="str">
            <v>und</v>
          </cell>
          <cell r="F61">
            <v>270.01</v>
          </cell>
        </row>
        <row r="62">
          <cell r="C62" t="str">
            <v>1 A 00 913 51</v>
          </cell>
          <cell r="D62" t="str">
            <v>- Dentes para bueiros triplos D=1,50 m AC/BC/PC</v>
          </cell>
          <cell r="E62" t="str">
            <v>und</v>
          </cell>
          <cell r="F62">
            <v>337.88</v>
          </cell>
        </row>
        <row r="63">
          <cell r="C63" t="str">
            <v>1 A 00 963 00</v>
          </cell>
          <cell r="D63" t="str">
            <v>- Peças de Desgaste do Britador 80m3/h</v>
          </cell>
          <cell r="E63" t="str">
            <v>cjh</v>
          </cell>
          <cell r="F63">
            <v>159.52000000000001</v>
          </cell>
        </row>
        <row r="64">
          <cell r="C64" t="str">
            <v>1 A 00 964 00</v>
          </cell>
          <cell r="D64" t="str">
            <v>- Peças de desgaste britador prod. de rachão</v>
          </cell>
          <cell r="E64" t="str">
            <v>cjh</v>
          </cell>
          <cell r="F64">
            <v>68.87</v>
          </cell>
        </row>
        <row r="65">
          <cell r="C65" t="str">
            <v>1 A 00 999 06</v>
          </cell>
          <cell r="D65" t="str">
            <v>- Solo local / selo de argila apiloado</v>
          </cell>
          <cell r="E65" t="str">
            <v>m3</v>
          </cell>
          <cell r="F65">
            <v>18.940000000000001</v>
          </cell>
        </row>
        <row r="66">
          <cell r="C66" t="str">
            <v>1 A 01 100 01</v>
          </cell>
          <cell r="D66" t="str">
            <v>- Limpeza camada vegetal em jazida (const e restr.)</v>
          </cell>
          <cell r="E66" t="str">
            <v>m2</v>
          </cell>
          <cell r="F66">
            <v>0.45</v>
          </cell>
        </row>
        <row r="67">
          <cell r="C67" t="str">
            <v>1 A 01 100 02</v>
          </cell>
          <cell r="D67" t="str">
            <v>- Limpeza de camada vegetal em jazida (consv)</v>
          </cell>
          <cell r="E67" t="str">
            <v>m2</v>
          </cell>
          <cell r="F67">
            <v>0.89</v>
          </cell>
        </row>
        <row r="68">
          <cell r="C68" t="str">
            <v>1 A 01 105 01</v>
          </cell>
          <cell r="D68" t="str">
            <v>- Expurgo de jazida (const e restr)</v>
          </cell>
          <cell r="E68" t="str">
            <v>m3</v>
          </cell>
          <cell r="F68">
            <v>2.36</v>
          </cell>
        </row>
        <row r="69">
          <cell r="C69" t="str">
            <v>1 A 01 105 02</v>
          </cell>
          <cell r="D69" t="str">
            <v>- Expurgo de jazida (consv)</v>
          </cell>
          <cell r="E69" t="str">
            <v>m3</v>
          </cell>
          <cell r="F69">
            <v>4.8099999999999996</v>
          </cell>
        </row>
        <row r="70">
          <cell r="C70" t="str">
            <v>1 A 01 111 00</v>
          </cell>
          <cell r="D70" t="str">
            <v>- Material de base (conserv)</v>
          </cell>
          <cell r="E70" t="str">
            <v>m3</v>
          </cell>
          <cell r="F70">
            <v>0</v>
          </cell>
        </row>
        <row r="71">
          <cell r="C71" t="str">
            <v>1 A 01 111 01</v>
          </cell>
          <cell r="D71" t="str">
            <v>- Esc. e carga material de jazida (consv)</v>
          </cell>
          <cell r="E71" t="str">
            <v>m3</v>
          </cell>
          <cell r="F71">
            <v>8.1</v>
          </cell>
        </row>
        <row r="72">
          <cell r="C72" t="str">
            <v>1 A 01 120 01</v>
          </cell>
          <cell r="D72" t="str">
            <v>- Escav. e carga de mater. de jazida(const e restr)</v>
          </cell>
          <cell r="E72" t="str">
            <v>m3</v>
          </cell>
          <cell r="F72">
            <v>3.65</v>
          </cell>
        </row>
        <row r="73">
          <cell r="C73" t="str">
            <v>1 A 01 150 01</v>
          </cell>
          <cell r="D73" t="str">
            <v>- Rocha p/ britagem c/ perfur. sobre esteira</v>
          </cell>
          <cell r="E73" t="str">
            <v>m3</v>
          </cell>
          <cell r="F73">
            <v>26.7</v>
          </cell>
        </row>
        <row r="74">
          <cell r="C74" t="str">
            <v>1 A 01 150 02</v>
          </cell>
          <cell r="D74" t="str">
            <v>- Rocha p/ britagem com perfuratriz manual</v>
          </cell>
          <cell r="E74" t="str">
            <v>m3</v>
          </cell>
          <cell r="F74">
            <v>28.23</v>
          </cell>
        </row>
        <row r="75">
          <cell r="C75" t="str">
            <v>1 A 01 155 01</v>
          </cell>
          <cell r="D75" t="str">
            <v>- Rachão ou pedra-de-mão produzidos-(const e rest)</v>
          </cell>
          <cell r="E75" t="str">
            <v>m3</v>
          </cell>
          <cell r="F75">
            <v>25.23</v>
          </cell>
        </row>
        <row r="76">
          <cell r="C76" t="str">
            <v>1 A 01 155 51</v>
          </cell>
          <cell r="D76" t="str">
            <v>- Rachão ou pedra-de-mão comercial (cont e rest)/ PC</v>
          </cell>
          <cell r="E76" t="str">
            <v>m3</v>
          </cell>
          <cell r="F76">
            <v>80.5</v>
          </cell>
        </row>
        <row r="77">
          <cell r="C77" t="str">
            <v>1 A 01 170 01</v>
          </cell>
          <cell r="D77" t="str">
            <v>- Areia extraída com escavadeira hidráulica</v>
          </cell>
          <cell r="E77" t="str">
            <v>m3</v>
          </cell>
          <cell r="F77">
            <v>7.42</v>
          </cell>
        </row>
        <row r="78">
          <cell r="C78" t="str">
            <v>1 A 01 170 02</v>
          </cell>
          <cell r="D78" t="str">
            <v>- Areia extraída com trator e carregadeira</v>
          </cell>
          <cell r="E78" t="str">
            <v>m3</v>
          </cell>
          <cell r="F78">
            <v>5.4</v>
          </cell>
        </row>
        <row r="79">
          <cell r="C79" t="str">
            <v>1 A 01 170 03</v>
          </cell>
          <cell r="D79" t="str">
            <v>- Areia extraída com draga de sucção (tipo bomba)</v>
          </cell>
          <cell r="E79" t="str">
            <v>m3</v>
          </cell>
          <cell r="F79">
            <v>28.82</v>
          </cell>
        </row>
        <row r="80">
          <cell r="C80" t="str">
            <v>1 A 01 200 01</v>
          </cell>
          <cell r="D80" t="str">
            <v>- Brita produzida em central de britagem de 80 m3/h</v>
          </cell>
          <cell r="E80" t="str">
            <v>m3</v>
          </cell>
          <cell r="F80">
            <v>32.76</v>
          </cell>
        </row>
        <row r="81">
          <cell r="C81" t="str">
            <v>1 A 01 200 04</v>
          </cell>
          <cell r="D81" t="str">
            <v>- Pedra de mão produzida manualmente (consv)</v>
          </cell>
          <cell r="E81" t="str">
            <v>m3</v>
          </cell>
          <cell r="F81">
            <v>48.61</v>
          </cell>
        </row>
        <row r="82">
          <cell r="C82" t="str">
            <v>1 A 01 390 02</v>
          </cell>
          <cell r="D82" t="str">
            <v>- Usinagem de CBUQ (capa de rolamento)</v>
          </cell>
          <cell r="E82" t="str">
            <v>t</v>
          </cell>
          <cell r="F82">
            <v>49.36</v>
          </cell>
        </row>
        <row r="83">
          <cell r="C83" t="str">
            <v>1 A 01 390 03</v>
          </cell>
          <cell r="D83" t="str">
            <v>- Usinagem de CBUQ (binder)</v>
          </cell>
          <cell r="E83" t="str">
            <v>t</v>
          </cell>
          <cell r="F83">
            <v>42.64</v>
          </cell>
        </row>
        <row r="84">
          <cell r="C84" t="str">
            <v>1 A 01 390 22</v>
          </cell>
          <cell r="D84" t="str">
            <v>- Usinagem de CBUQ c/ cal hidr. (capa de rolamento)</v>
          </cell>
          <cell r="E84" t="str">
            <v>t</v>
          </cell>
          <cell r="F84">
            <v>54.06</v>
          </cell>
        </row>
        <row r="85">
          <cell r="C85" t="str">
            <v>1 A 01 390 52</v>
          </cell>
          <cell r="D85" t="str">
            <v>- Usinagem de CBUQ (capa de rolamento) AC/BC</v>
          </cell>
          <cell r="E85" t="str">
            <v>t</v>
          </cell>
          <cell r="F85">
            <v>79.83</v>
          </cell>
        </row>
        <row r="86">
          <cell r="C86" t="str">
            <v>1 A 01 390 53</v>
          </cell>
          <cell r="D86" t="str">
            <v>- Usinagem de CBUQ (binder) AC/BC</v>
          </cell>
          <cell r="E86" t="str">
            <v>t</v>
          </cell>
          <cell r="F86">
            <v>76.010000000000005</v>
          </cell>
        </row>
        <row r="87">
          <cell r="C87" t="str">
            <v>1 A 01 390 72</v>
          </cell>
          <cell r="D87" t="str">
            <v>- Usinagem de CBUQ (capa de rolam.) AC/BC c cal hidr</v>
          </cell>
          <cell r="E87" t="str">
            <v>t</v>
          </cell>
          <cell r="F87">
            <v>85.05</v>
          </cell>
        </row>
        <row r="88">
          <cell r="C88" t="str">
            <v>1 A 01 391 02</v>
          </cell>
          <cell r="D88" t="str">
            <v>- Usinagem de areia-asfalto</v>
          </cell>
          <cell r="E88" t="str">
            <v>t</v>
          </cell>
          <cell r="F88">
            <v>51.21</v>
          </cell>
        </row>
        <row r="89">
          <cell r="C89" t="str">
            <v>1 A 01 391 52</v>
          </cell>
          <cell r="D89" t="str">
            <v>- Usinagem de areia-asfalto AC</v>
          </cell>
          <cell r="E89" t="str">
            <v>t</v>
          </cell>
          <cell r="F89">
            <v>96.56</v>
          </cell>
        </row>
        <row r="90">
          <cell r="C90" t="str">
            <v>1 A 01 395 01</v>
          </cell>
          <cell r="D90" t="str">
            <v>- Usinagem de brita graduada</v>
          </cell>
          <cell r="E90" t="str">
            <v>m3</v>
          </cell>
          <cell r="F90">
            <v>56.75</v>
          </cell>
        </row>
        <row r="91">
          <cell r="C91" t="str">
            <v>1 A 01 395 02</v>
          </cell>
          <cell r="D91" t="str">
            <v>- Usinagem de solo-brita</v>
          </cell>
          <cell r="E91" t="str">
            <v>m3</v>
          </cell>
          <cell r="F91">
            <v>29.5</v>
          </cell>
        </row>
        <row r="92">
          <cell r="C92" t="str">
            <v>1 A 01 395 03</v>
          </cell>
          <cell r="D92" t="str">
            <v>- Usinagem de agregados p/ micro-revestimento</v>
          </cell>
          <cell r="E92" t="str">
            <v>m3</v>
          </cell>
          <cell r="F92">
            <v>35.67</v>
          </cell>
        </row>
        <row r="93">
          <cell r="C93" t="str">
            <v>1 A 01 395 51</v>
          </cell>
          <cell r="D93" t="str">
            <v>- Usinagem de brita graduada BC</v>
          </cell>
          <cell r="E93" t="str">
            <v>m3</v>
          </cell>
          <cell r="F93">
            <v>135.30000000000001</v>
          </cell>
        </row>
        <row r="94">
          <cell r="C94" t="str">
            <v>1 A 01 395 52</v>
          </cell>
          <cell r="D94" t="str">
            <v>- Usinagem de solo-brita BC</v>
          </cell>
          <cell r="E94" t="str">
            <v>m3</v>
          </cell>
          <cell r="F94">
            <v>60.92</v>
          </cell>
        </row>
        <row r="95">
          <cell r="C95" t="str">
            <v>1 A 01 395 53</v>
          </cell>
          <cell r="D95" t="str">
            <v>- Usinagem de agregados p/ micro-revestimento BC</v>
          </cell>
          <cell r="E95" t="str">
            <v>m3</v>
          </cell>
          <cell r="F95">
            <v>84.77</v>
          </cell>
        </row>
        <row r="96">
          <cell r="C96" t="str">
            <v>1 A 01 396 01</v>
          </cell>
          <cell r="D96" t="str">
            <v>- Usinagem de solo-cimento</v>
          </cell>
          <cell r="E96" t="str">
            <v>m3</v>
          </cell>
          <cell r="F96">
            <v>86.38</v>
          </cell>
        </row>
        <row r="97">
          <cell r="C97" t="str">
            <v>1 A 01 396 02</v>
          </cell>
          <cell r="D97" t="str">
            <v>- Usinagem de solo melhorado com cimento.</v>
          </cell>
          <cell r="E97" t="str">
            <v>m3</v>
          </cell>
          <cell r="F97">
            <v>47.53</v>
          </cell>
        </row>
        <row r="98">
          <cell r="C98" t="str">
            <v>1 A 01 397 02</v>
          </cell>
          <cell r="D98" t="str">
            <v>- Usinagem de P.M.F.</v>
          </cell>
          <cell r="E98" t="str">
            <v>m3</v>
          </cell>
          <cell r="F98">
            <v>55.64</v>
          </cell>
        </row>
        <row r="99">
          <cell r="C99" t="str">
            <v>1 A 01 397 52</v>
          </cell>
          <cell r="D99" t="str">
            <v>- Usinagem de P.M.F. AC/BC</v>
          </cell>
          <cell r="E99" t="str">
            <v>m3</v>
          </cell>
          <cell r="F99">
            <v>128.84</v>
          </cell>
        </row>
        <row r="100">
          <cell r="C100" t="str">
            <v>1 A 01 398 02</v>
          </cell>
          <cell r="D100" t="str">
            <v>- Usinagem de CBUQ p/ reciclagem em usina fixa.</v>
          </cell>
          <cell r="E100" t="str">
            <v>t</v>
          </cell>
          <cell r="F100">
            <v>36.61</v>
          </cell>
        </row>
        <row r="101">
          <cell r="C101" t="str">
            <v>1 A 01 398 52</v>
          </cell>
          <cell r="D101" t="str">
            <v>- Usinagem de CBUQ p/ reciclagem em usina fixa BC</v>
          </cell>
          <cell r="E101" t="str">
            <v>t</v>
          </cell>
          <cell r="F101">
            <v>52.61</v>
          </cell>
        </row>
        <row r="102">
          <cell r="C102" t="str">
            <v>1 A 01 401 01</v>
          </cell>
          <cell r="D102" t="str">
            <v>- Forma comum de madeira</v>
          </cell>
          <cell r="E102" t="str">
            <v>m2</v>
          </cell>
          <cell r="F102">
            <v>70.069999999999993</v>
          </cell>
        </row>
        <row r="103">
          <cell r="C103" t="str">
            <v>1 A 01 402 01</v>
          </cell>
          <cell r="D103" t="str">
            <v>- Forma de placa compensada resinada</v>
          </cell>
          <cell r="E103" t="str">
            <v>m2</v>
          </cell>
          <cell r="F103">
            <v>47.07</v>
          </cell>
        </row>
        <row r="104">
          <cell r="C104" t="str">
            <v>1 A 01 403 01</v>
          </cell>
          <cell r="D104" t="str">
            <v>- Forma de placa compensada plastificada</v>
          </cell>
          <cell r="E104" t="str">
            <v>m2</v>
          </cell>
          <cell r="F104">
            <v>51.19</v>
          </cell>
        </row>
        <row r="105">
          <cell r="C105" t="str">
            <v>1 A 01 404 01</v>
          </cell>
          <cell r="D105" t="str">
            <v>- Forma para tubulão</v>
          </cell>
          <cell r="E105" t="str">
            <v>m2</v>
          </cell>
          <cell r="F105">
            <v>29.31</v>
          </cell>
        </row>
        <row r="106">
          <cell r="C106" t="str">
            <v>1 A 01 405 01</v>
          </cell>
          <cell r="D106" t="str">
            <v>- Andaime de madeira</v>
          </cell>
          <cell r="E106" t="str">
            <v>m3</v>
          </cell>
          <cell r="F106">
            <v>24.2</v>
          </cell>
        </row>
        <row r="107">
          <cell r="C107" t="str">
            <v>1 A 01 407 01</v>
          </cell>
          <cell r="D107" t="str">
            <v>- Confecção e lançam. de concreto magro em betoneira</v>
          </cell>
          <cell r="E107" t="str">
            <v>m3</v>
          </cell>
          <cell r="F107">
            <v>211.11</v>
          </cell>
        </row>
        <row r="108">
          <cell r="C108" t="str">
            <v>1 A 01 407 51</v>
          </cell>
          <cell r="D108" t="str">
            <v>- Conf.e lanç. de concreto magro em betoneira AC/BC</v>
          </cell>
          <cell r="E108" t="str">
            <v>m3</v>
          </cell>
          <cell r="F108">
            <v>288.33</v>
          </cell>
        </row>
        <row r="109">
          <cell r="C109" t="str">
            <v>1 A 01 410 01</v>
          </cell>
          <cell r="D109" t="str">
            <v>- Concreto fck=10MPa contr raz uso geral conf e lanç</v>
          </cell>
          <cell r="E109" t="str">
            <v>m3</v>
          </cell>
          <cell r="F109">
            <v>260.58999999999997</v>
          </cell>
        </row>
        <row r="110">
          <cell r="C110" t="str">
            <v>1 A 01 410 51</v>
          </cell>
          <cell r="D110" t="str">
            <v>-  Concr.fck=10MPa c.raz uso ger conf/lanç AC/BC</v>
          </cell>
          <cell r="E110" t="str">
            <v>m3</v>
          </cell>
          <cell r="F110">
            <v>331.93</v>
          </cell>
        </row>
        <row r="111">
          <cell r="C111" t="str">
            <v>1 A 01 412 01</v>
          </cell>
          <cell r="D111" t="str">
            <v>- Concreto fck=15MPa contr raz uso geral conf e lanç</v>
          </cell>
          <cell r="E111" t="str">
            <v>m3</v>
          </cell>
          <cell r="F111">
            <v>260.61</v>
          </cell>
        </row>
        <row r="112">
          <cell r="C112" t="str">
            <v>1 A 01 412 51</v>
          </cell>
          <cell r="D112" t="str">
            <v>-  Concr.fck=15MPa c.raz uso ger conf/lanç AC/BC</v>
          </cell>
          <cell r="E112" t="str">
            <v>m3</v>
          </cell>
          <cell r="F112">
            <v>332.11</v>
          </cell>
        </row>
        <row r="113">
          <cell r="C113" t="str">
            <v>1 A 01 415 01</v>
          </cell>
          <cell r="D113" t="str">
            <v>- Concr estr fck=15MPa contr raz uso ger conf e lanç</v>
          </cell>
          <cell r="E113" t="str">
            <v>m3</v>
          </cell>
          <cell r="F113">
            <v>260.61</v>
          </cell>
        </row>
        <row r="114">
          <cell r="C114" t="str">
            <v>1 A 01 415 51</v>
          </cell>
          <cell r="D114" t="str">
            <v>-  Concr estr fck=15MPa c.raz uso ger conf/lanç AC/BC</v>
          </cell>
          <cell r="E114" t="str">
            <v>m3</v>
          </cell>
          <cell r="F114">
            <v>332.11</v>
          </cell>
        </row>
        <row r="115">
          <cell r="C115" t="str">
            <v>1 A 01 418 01</v>
          </cell>
          <cell r="D115" t="str">
            <v>- Concr estr fck=18MPa contr raz uso ger conf e lanç</v>
          </cell>
          <cell r="E115" t="str">
            <v>m3</v>
          </cell>
          <cell r="F115">
            <v>261.39999999999998</v>
          </cell>
        </row>
        <row r="116">
          <cell r="C116" t="str">
            <v>1 A 01 418 51</v>
          </cell>
          <cell r="D116" t="str">
            <v>- Concr.estr fck=18MPa c.raz uso ger conf/lanç AC/BC</v>
          </cell>
          <cell r="E116" t="str">
            <v>m3</v>
          </cell>
          <cell r="F116">
            <v>336.16</v>
          </cell>
        </row>
        <row r="117">
          <cell r="C117" t="str">
            <v>1 A 01 422 01</v>
          </cell>
          <cell r="D117" t="str">
            <v>- Concr estr fck=25MPa contr raz uso ger conf e lanç</v>
          </cell>
          <cell r="E117" t="str">
            <v>m3</v>
          </cell>
          <cell r="F117">
            <v>275.94</v>
          </cell>
        </row>
        <row r="118">
          <cell r="C118" t="str">
            <v>1 A 01 422 51</v>
          </cell>
          <cell r="D118" t="str">
            <v>- Concr.estr.fck=25MPa c.raz uso ger conf/lanç AC/BC</v>
          </cell>
          <cell r="E118" t="str">
            <v>m3</v>
          </cell>
          <cell r="F118">
            <v>349.47</v>
          </cell>
        </row>
        <row r="119">
          <cell r="C119" t="str">
            <v>1 A 01 423 00</v>
          </cell>
          <cell r="D119" t="str">
            <v>- Concreto fck=18MPa para pré-moldados (tubos)</v>
          </cell>
          <cell r="E119" t="str">
            <v>m3</v>
          </cell>
          <cell r="F119">
            <v>260.74</v>
          </cell>
        </row>
        <row r="120">
          <cell r="C120" t="str">
            <v>1 A 01 423 50</v>
          </cell>
          <cell r="D120" t="str">
            <v>-  Concr.fck=18MPa para pré-moldados (tubos) AC/BC</v>
          </cell>
          <cell r="E120" t="str">
            <v>m3</v>
          </cell>
          <cell r="F120">
            <v>332.19</v>
          </cell>
        </row>
        <row r="121">
          <cell r="C121" t="str">
            <v>1 A 01 424 00</v>
          </cell>
          <cell r="D121" t="str">
            <v>- Concreto poroso para pré-moldados (tubos)</v>
          </cell>
          <cell r="E121" t="str">
            <v>m3</v>
          </cell>
          <cell r="F121">
            <v>283.97000000000003</v>
          </cell>
        </row>
        <row r="122">
          <cell r="C122" t="str">
            <v>1 A 01 424 50</v>
          </cell>
          <cell r="D122" t="str">
            <v>- Concreto poroso para pré-moldados (tubos) AC/BC</v>
          </cell>
          <cell r="E122" t="str">
            <v>m3</v>
          </cell>
          <cell r="F122">
            <v>356.31</v>
          </cell>
        </row>
        <row r="123">
          <cell r="C123" t="str">
            <v>1 A 01 450 01</v>
          </cell>
          <cell r="D123" t="str">
            <v>- Escoramento de bueiros celulares</v>
          </cell>
          <cell r="E123" t="str">
            <v>m3</v>
          </cell>
          <cell r="F123">
            <v>51.67</v>
          </cell>
        </row>
        <row r="124">
          <cell r="C124" t="str">
            <v>1 A 01 512 10</v>
          </cell>
          <cell r="D124" t="str">
            <v>- Concreto ciclópico fck=15 MPa</v>
          </cell>
          <cell r="E124" t="str">
            <v>m3</v>
          </cell>
          <cell r="F124">
            <v>204.85</v>
          </cell>
        </row>
        <row r="125">
          <cell r="C125" t="str">
            <v>1 A 01 512 60</v>
          </cell>
          <cell r="D125" t="str">
            <v>-  Concreto ciclópico fck=15 MPa AC/BC/PC</v>
          </cell>
          <cell r="E125" t="str">
            <v>m3</v>
          </cell>
          <cell r="F125">
            <v>273.97000000000003</v>
          </cell>
        </row>
        <row r="126">
          <cell r="C126" t="str">
            <v>1 A 01 515 10</v>
          </cell>
          <cell r="D126" t="str">
            <v>- Concreto ciclópico fck=15 MPa</v>
          </cell>
          <cell r="E126" t="str">
            <v>m3</v>
          </cell>
          <cell r="F126">
            <v>204.85</v>
          </cell>
        </row>
        <row r="127">
          <cell r="C127" t="str">
            <v>1 A 01 515 60</v>
          </cell>
          <cell r="D127" t="str">
            <v>-  Concreto ciclópico fck=15 MPa AC/BC/PC</v>
          </cell>
          <cell r="E127" t="str">
            <v>m3</v>
          </cell>
          <cell r="F127">
            <v>273.97000000000003</v>
          </cell>
        </row>
        <row r="128">
          <cell r="C128" t="str">
            <v>1 A 01 580 01</v>
          </cell>
          <cell r="D128" t="str">
            <v>- Fornecimento, preparo e colocação formas aço CA 60</v>
          </cell>
          <cell r="E128" t="str">
            <v>kg</v>
          </cell>
          <cell r="F128">
            <v>7.22</v>
          </cell>
        </row>
        <row r="129">
          <cell r="C129" t="str">
            <v>1 A 01 580 02</v>
          </cell>
          <cell r="D129" t="str">
            <v>- Fornecimento, preparo e colocação formas aço CA 50</v>
          </cell>
          <cell r="E129" t="str">
            <v>kg</v>
          </cell>
          <cell r="F129">
            <v>6.99</v>
          </cell>
        </row>
        <row r="130">
          <cell r="C130" t="str">
            <v>1 A 01 580 03</v>
          </cell>
          <cell r="D130" t="str">
            <v>- Fornecimento, preparo e colocação formas aço CA 25</v>
          </cell>
          <cell r="E130" t="str">
            <v>kg</v>
          </cell>
          <cell r="F130">
            <v>7.22</v>
          </cell>
        </row>
        <row r="131">
          <cell r="C131" t="str">
            <v>1 A 01 603 01</v>
          </cell>
          <cell r="D131" t="str">
            <v>- Argamassa cimento-areia 1:3</v>
          </cell>
          <cell r="E131" t="str">
            <v>m3</v>
          </cell>
          <cell r="F131">
            <v>306.25</v>
          </cell>
        </row>
        <row r="132">
          <cell r="C132" t="str">
            <v>1 A 01 603 51</v>
          </cell>
          <cell r="D132" t="str">
            <v>- Argamassa cimento-areia 1:3 AC</v>
          </cell>
          <cell r="E132" t="str">
            <v>m3</v>
          </cell>
          <cell r="F132">
            <v>375.36</v>
          </cell>
        </row>
        <row r="133">
          <cell r="C133" t="str">
            <v>1 A 01 604 01</v>
          </cell>
          <cell r="D133" t="str">
            <v>- Argamassa cimento-areia 1:4</v>
          </cell>
          <cell r="E133" t="str">
            <v>m3</v>
          </cell>
          <cell r="F133">
            <v>253.84</v>
          </cell>
        </row>
        <row r="134">
          <cell r="C134" t="str">
            <v>1 A 01 604 51</v>
          </cell>
          <cell r="D134" t="str">
            <v>- Argamassa cimento-areia 1:4 AC</v>
          </cell>
          <cell r="E134" t="str">
            <v>m3</v>
          </cell>
          <cell r="F134">
            <v>324.10000000000002</v>
          </cell>
        </row>
        <row r="135">
          <cell r="C135" t="str">
            <v>1 A 01 606 01</v>
          </cell>
          <cell r="D135" t="str">
            <v>- Argamassa cimento-areia 1:6</v>
          </cell>
          <cell r="E135" t="str">
            <v>m3</v>
          </cell>
          <cell r="F135">
            <v>212.08</v>
          </cell>
        </row>
        <row r="136">
          <cell r="C136" t="str">
            <v>1 A 01 606 51</v>
          </cell>
          <cell r="D136" t="str">
            <v>- Argamassa cimento-areia 1:6 AC</v>
          </cell>
          <cell r="E136" t="str">
            <v>m3</v>
          </cell>
          <cell r="F136">
            <v>287.67</v>
          </cell>
        </row>
        <row r="137">
          <cell r="C137" t="str">
            <v>1 A 01 620 01</v>
          </cell>
          <cell r="D137" t="str">
            <v>- Argamassa cimento-solo 1:10</v>
          </cell>
          <cell r="E137" t="str">
            <v>m3</v>
          </cell>
          <cell r="F137">
            <v>146.19999999999999</v>
          </cell>
        </row>
        <row r="138">
          <cell r="C138" t="str">
            <v>1 A 01 653 00</v>
          </cell>
          <cell r="D138" t="str">
            <v>- Usinagem para sub-base de concreto rolado</v>
          </cell>
          <cell r="E138" t="str">
            <v>m3</v>
          </cell>
          <cell r="F138">
            <v>98.47</v>
          </cell>
        </row>
        <row r="139">
          <cell r="C139" t="str">
            <v>1 A 01 653 50</v>
          </cell>
          <cell r="D139" t="str">
            <v>- Usinagem p/ sub-base de concreto rolado AC/BC</v>
          </cell>
          <cell r="E139" t="str">
            <v>m3</v>
          </cell>
          <cell r="F139">
            <v>173.1</v>
          </cell>
        </row>
        <row r="140">
          <cell r="C140" t="str">
            <v>1 A 01 654 00</v>
          </cell>
          <cell r="D140" t="str">
            <v>- Usinagem p/ sub-base de concr. de cimento portland</v>
          </cell>
          <cell r="E140" t="str">
            <v>m3</v>
          </cell>
          <cell r="F140">
            <v>140.35</v>
          </cell>
        </row>
        <row r="141">
          <cell r="C141" t="str">
            <v>1 A 01 654 50</v>
          </cell>
          <cell r="D141" t="str">
            <v>- Usinagem p/sub-base de concr.cimento portl. AC/BC</v>
          </cell>
          <cell r="E141" t="str">
            <v>m3</v>
          </cell>
          <cell r="F141">
            <v>214.98</v>
          </cell>
        </row>
        <row r="142">
          <cell r="C142" t="str">
            <v>1 A 01 656 00</v>
          </cell>
          <cell r="D142" t="str">
            <v>- Usinagem p/ conc. de cim. portland c/ forma desliz</v>
          </cell>
          <cell r="E142" t="str">
            <v>m3</v>
          </cell>
          <cell r="F142">
            <v>173.59</v>
          </cell>
        </row>
        <row r="143">
          <cell r="C143" t="str">
            <v>1 A 01 656 01</v>
          </cell>
          <cell r="D143" t="str">
            <v>- Usinagem de conc. c/ cim. portland p/ pav. rígido</v>
          </cell>
          <cell r="E143" t="str">
            <v>m3</v>
          </cell>
          <cell r="F143">
            <v>198.73</v>
          </cell>
        </row>
        <row r="144">
          <cell r="C144" t="str">
            <v>1 A 01 656 50</v>
          </cell>
          <cell r="D144" t="str">
            <v>- Usinagem p/ conc.cim.portl.c/ forma desliz AC/BC</v>
          </cell>
          <cell r="E144" t="str">
            <v>m3</v>
          </cell>
          <cell r="F144">
            <v>248.1</v>
          </cell>
        </row>
        <row r="145">
          <cell r="C145" t="str">
            <v>1 A 01 656 51</v>
          </cell>
          <cell r="D145" t="str">
            <v>- Usinagem de conc. c/ cim. port.p/ pav.rígido AC/BC</v>
          </cell>
          <cell r="E145" t="str">
            <v>m3</v>
          </cell>
          <cell r="F145">
            <v>271.2</v>
          </cell>
        </row>
        <row r="146">
          <cell r="C146" t="str">
            <v>1 A 01 657 00</v>
          </cell>
          <cell r="D146" t="str">
            <v>- Usinagem p/ conc.cim. portland c/ equip. peq. por.</v>
          </cell>
          <cell r="E146" t="str">
            <v>m3</v>
          </cell>
          <cell r="F146">
            <v>261.77</v>
          </cell>
        </row>
        <row r="147">
          <cell r="C147" t="str">
            <v>1 A 01 657 50</v>
          </cell>
          <cell r="D147" t="str">
            <v>- Usinagem p/conc.cim. portl.c/ equip.peq.por.AC/BC</v>
          </cell>
          <cell r="E147" t="str">
            <v>m3</v>
          </cell>
          <cell r="F147">
            <v>334.28</v>
          </cell>
        </row>
        <row r="148">
          <cell r="C148" t="str">
            <v>1 A 01 700 00</v>
          </cell>
          <cell r="D148" t="str">
            <v>- Fabricação de peças pré mold. de conc. p/ pavim.</v>
          </cell>
          <cell r="E148" t="str">
            <v>m3</v>
          </cell>
          <cell r="F148">
            <v>289.5</v>
          </cell>
        </row>
        <row r="149">
          <cell r="C149" t="str">
            <v>1 A 01 700 50</v>
          </cell>
          <cell r="D149" t="str">
            <v>- Fabric.de peças pré mold.de conc. p/pavim.AC/BC</v>
          </cell>
          <cell r="E149" t="str">
            <v>m3</v>
          </cell>
          <cell r="F149">
            <v>360.05</v>
          </cell>
        </row>
        <row r="150">
          <cell r="C150" t="str">
            <v>1 A 01 720 00</v>
          </cell>
          <cell r="D150" t="str">
            <v>- Concreto fck=18MPa p/ pré-moldados (guarda-corpo)</v>
          </cell>
          <cell r="E150" t="str">
            <v>m3</v>
          </cell>
          <cell r="F150">
            <v>262.45999999999998</v>
          </cell>
        </row>
        <row r="151">
          <cell r="C151" t="str">
            <v>1 A 01 720 01</v>
          </cell>
          <cell r="D151" t="str">
            <v>- Guarda-corpo tipo GM, moldado no local</v>
          </cell>
          <cell r="E151" t="str">
            <v>m</v>
          </cell>
          <cell r="F151">
            <v>255.58</v>
          </cell>
        </row>
        <row r="152">
          <cell r="C152" t="str">
            <v>1 A 01 720 02</v>
          </cell>
          <cell r="D152" t="str">
            <v>- Fabricação de Guarda-corpo</v>
          </cell>
          <cell r="E152" t="str">
            <v>m</v>
          </cell>
          <cell r="F152">
            <v>44.01</v>
          </cell>
        </row>
        <row r="153">
          <cell r="C153" t="str">
            <v>1 A 01 720 50</v>
          </cell>
          <cell r="D153" t="str">
            <v>- Concr.fck = 18 mPa p/pré-mold.(guarda-corpo)AC/BC</v>
          </cell>
          <cell r="E153" t="str">
            <v>m3</v>
          </cell>
          <cell r="F153">
            <v>337.22</v>
          </cell>
        </row>
        <row r="154">
          <cell r="C154" t="str">
            <v>1 A 01 720 51</v>
          </cell>
          <cell r="D154" t="str">
            <v>- Guarda-corpo tipo GM, moldado no local AC/BC</v>
          </cell>
          <cell r="E154" t="str">
            <v>m</v>
          </cell>
          <cell r="F154">
            <v>272.92</v>
          </cell>
        </row>
        <row r="155">
          <cell r="C155" t="str">
            <v>1 A 01 720 52</v>
          </cell>
          <cell r="D155" t="str">
            <v>- Fabricação de guarda - corpo AC/BC</v>
          </cell>
          <cell r="E155" t="str">
            <v>m</v>
          </cell>
          <cell r="F155">
            <v>47.07</v>
          </cell>
        </row>
        <row r="156">
          <cell r="C156" t="str">
            <v>1 A 01 725 01</v>
          </cell>
          <cell r="D156" t="str">
            <v>- Fabricação de balizador de concreto</v>
          </cell>
          <cell r="E156" t="str">
            <v>un</v>
          </cell>
          <cell r="F156">
            <v>15.41</v>
          </cell>
        </row>
        <row r="157">
          <cell r="C157" t="str">
            <v>1 A 01 725 51</v>
          </cell>
          <cell r="D157" t="str">
            <v>- Fabricação de balizador de concreto AC/BC</v>
          </cell>
          <cell r="E157" t="str">
            <v>un</v>
          </cell>
          <cell r="F157">
            <v>16.2</v>
          </cell>
        </row>
        <row r="158">
          <cell r="C158" t="str">
            <v>1 A 01 730 00</v>
          </cell>
          <cell r="D158" t="str">
            <v>- Concreto fck=18MPa p/ pré moldados (mourões)</v>
          </cell>
          <cell r="E158" t="str">
            <v>m3</v>
          </cell>
          <cell r="F158">
            <v>210.51</v>
          </cell>
        </row>
        <row r="159">
          <cell r="C159" t="str">
            <v>1 A 01 730 01</v>
          </cell>
          <cell r="D159" t="str">
            <v>- Fabr. mourão de concr. esticador seção quad. 15cm</v>
          </cell>
          <cell r="E159" t="str">
            <v>un</v>
          </cell>
          <cell r="F159">
            <v>36.590000000000003</v>
          </cell>
        </row>
        <row r="160">
          <cell r="C160" t="str">
            <v>1 A 01 730 02</v>
          </cell>
          <cell r="D160" t="str">
            <v>- Fabr. mourão de concr esticador seção triang. 15cm</v>
          </cell>
          <cell r="E160" t="str">
            <v>un</v>
          </cell>
          <cell r="F160">
            <v>24.77</v>
          </cell>
        </row>
        <row r="161">
          <cell r="C161" t="str">
            <v>1 A 01 730 50</v>
          </cell>
          <cell r="D161" t="str">
            <v>- Concreto fck=18MPa p/pré moldados (mourões) AC/BC</v>
          </cell>
          <cell r="E161" t="str">
            <v>m3</v>
          </cell>
          <cell r="F161">
            <v>285.26</v>
          </cell>
        </row>
        <row r="162">
          <cell r="C162" t="str">
            <v>1 A 01 730 51</v>
          </cell>
          <cell r="D162" t="str">
            <v>- Fabric.Mourão concr.estic.seção quadr.15cm AC/BC</v>
          </cell>
          <cell r="E162" t="str">
            <v>un</v>
          </cell>
          <cell r="F162">
            <v>40.29</v>
          </cell>
        </row>
        <row r="163">
          <cell r="C163" t="str">
            <v>1 A 01 730 52</v>
          </cell>
          <cell r="D163" t="str">
            <v>- Fabric.Mourão concr.estic.seção triang.15cm AC/BC</v>
          </cell>
          <cell r="E163" t="str">
            <v>un</v>
          </cell>
          <cell r="F163">
            <v>26.63</v>
          </cell>
        </row>
        <row r="164">
          <cell r="C164" t="str">
            <v>1 A 01 735 01</v>
          </cell>
          <cell r="D164" t="str">
            <v>- Fabr. mourão de concreto suporte seção quad. 11cm</v>
          </cell>
          <cell r="E164" t="str">
            <v>un</v>
          </cell>
          <cell r="F164">
            <v>27.27</v>
          </cell>
        </row>
        <row r="165">
          <cell r="C165" t="str">
            <v>1 A 01 735 02</v>
          </cell>
          <cell r="D165" t="str">
            <v>- Fabr. mourão de concr. suporte seção triang. 11cm</v>
          </cell>
          <cell r="E165" t="str">
            <v>un</v>
          </cell>
          <cell r="F165">
            <v>19.02</v>
          </cell>
        </row>
        <row r="166">
          <cell r="C166" t="str">
            <v>1 A 01 735 51</v>
          </cell>
          <cell r="D166" t="str">
            <v>- Fabric.Mourão concr.suporte seção quadr.11cm AC/BC</v>
          </cell>
          <cell r="E166" t="str">
            <v>un</v>
          </cell>
          <cell r="F166">
            <v>29.17</v>
          </cell>
        </row>
        <row r="167">
          <cell r="C167" t="str">
            <v>1 A 01 735 52</v>
          </cell>
          <cell r="D167" t="str">
            <v>- Fabric.Mourão concr.suporte sec.triang.11cm AC/BC</v>
          </cell>
          <cell r="E167" t="str">
            <v>un</v>
          </cell>
          <cell r="F167">
            <v>19.97</v>
          </cell>
        </row>
        <row r="168">
          <cell r="C168" t="str">
            <v>1 A 01 739 01</v>
          </cell>
          <cell r="D168" t="str">
            <v>- Confecção de tubos de concreto D=0,20m</v>
          </cell>
          <cell r="E168" t="str">
            <v>m</v>
          </cell>
          <cell r="F168">
            <v>16.940000000000001</v>
          </cell>
        </row>
        <row r="169">
          <cell r="C169" t="str">
            <v>1 A 01 739 51</v>
          </cell>
          <cell r="D169" t="str">
            <v>- Confecção de tubos de concreto D=0,20m AC/BC</v>
          </cell>
          <cell r="E169" t="str">
            <v>m</v>
          </cell>
          <cell r="F169">
            <v>19.190000000000001</v>
          </cell>
        </row>
        <row r="170">
          <cell r="C170" t="str">
            <v>1 A 01 740 01</v>
          </cell>
          <cell r="D170" t="str">
            <v>- Confecção de tubos de concreto perfurado D=0,20m</v>
          </cell>
          <cell r="E170" t="str">
            <v>m</v>
          </cell>
          <cell r="F170">
            <v>17.48</v>
          </cell>
        </row>
        <row r="171">
          <cell r="C171" t="str">
            <v>1 A 01 740 51</v>
          </cell>
          <cell r="D171" t="str">
            <v>- Confecção tubos concr.perfurado D=0,20m AC/BC</v>
          </cell>
          <cell r="E171" t="str">
            <v>m</v>
          </cell>
          <cell r="F171">
            <v>19.63</v>
          </cell>
        </row>
        <row r="172">
          <cell r="C172" t="str">
            <v>1 A 01 741 01</v>
          </cell>
          <cell r="D172" t="str">
            <v>- Confecção de tubos de concreto poroso D=0,20m</v>
          </cell>
          <cell r="E172" t="str">
            <v>m</v>
          </cell>
          <cell r="F172">
            <v>17.64</v>
          </cell>
        </row>
        <row r="173">
          <cell r="C173" t="str">
            <v>1 A 01 741 51</v>
          </cell>
          <cell r="D173" t="str">
            <v>- Confecção de tubos de concr.poroso D=0,20m AC/BC</v>
          </cell>
          <cell r="E173" t="str">
            <v>m</v>
          </cell>
          <cell r="F173">
            <v>19.82</v>
          </cell>
        </row>
        <row r="174">
          <cell r="C174" t="str">
            <v>1 A 01 745 01</v>
          </cell>
          <cell r="D174" t="str">
            <v>- Confecção de tubos de concreto D=0,30m</v>
          </cell>
          <cell r="E174" t="str">
            <v>m</v>
          </cell>
          <cell r="F174">
            <v>26.27</v>
          </cell>
        </row>
        <row r="175">
          <cell r="C175" t="str">
            <v>1 A 01 745 51</v>
          </cell>
          <cell r="D175" t="str">
            <v>- Confecção de tubos de concreto D=0,30m AC/BC</v>
          </cell>
          <cell r="E175" t="str">
            <v>m</v>
          </cell>
          <cell r="F175">
            <v>30.38</v>
          </cell>
        </row>
        <row r="176">
          <cell r="C176" t="str">
            <v>1 A 01 746 01</v>
          </cell>
          <cell r="D176" t="str">
            <v>- Confecção de tubos de concreto perfurado D=0,30m</v>
          </cell>
          <cell r="E176" t="str">
            <v>m</v>
          </cell>
          <cell r="F176">
            <v>26.81</v>
          </cell>
        </row>
        <row r="177">
          <cell r="C177" t="str">
            <v>1 A 01 746 51</v>
          </cell>
          <cell r="D177" t="str">
            <v>- Confecção de tubos concr.perfurado D=0,30m AC/BC</v>
          </cell>
          <cell r="E177" t="str">
            <v>m</v>
          </cell>
          <cell r="F177">
            <v>30.92</v>
          </cell>
        </row>
        <row r="178">
          <cell r="C178" t="str">
            <v>1 A 01 747 01</v>
          </cell>
          <cell r="D178" t="str">
            <v>- Confecção de tubos de concreto poroso D=0,30m</v>
          </cell>
          <cell r="E178" t="str">
            <v>m</v>
          </cell>
          <cell r="F178">
            <v>27.54</v>
          </cell>
        </row>
        <row r="179">
          <cell r="C179" t="str">
            <v>1 A 01 747 51</v>
          </cell>
          <cell r="D179" t="str">
            <v>- Confecção de tubos concr.poroso D=0,30m AC/BC</v>
          </cell>
          <cell r="E179" t="str">
            <v>m</v>
          </cell>
          <cell r="F179">
            <v>31.52</v>
          </cell>
        </row>
        <row r="180">
          <cell r="C180" t="str">
            <v>1 A 01 751 01</v>
          </cell>
          <cell r="D180" t="str">
            <v>- Confecção de tubos de concreto D=0,40m</v>
          </cell>
          <cell r="E180" t="str">
            <v>m</v>
          </cell>
          <cell r="F180">
            <v>38.14</v>
          </cell>
        </row>
        <row r="181">
          <cell r="C181" t="str">
            <v>1 A 01 751 51</v>
          </cell>
          <cell r="D181" t="str">
            <v>- Confecção de tubos de concreto D=0,40m AC/BC</v>
          </cell>
          <cell r="E181" t="str">
            <v>m</v>
          </cell>
          <cell r="F181">
            <v>44.62</v>
          </cell>
        </row>
        <row r="182">
          <cell r="C182" t="str">
            <v>1 A 01 752 01</v>
          </cell>
          <cell r="D182" t="str">
            <v>- Confecção de tubos de concreto perfurado D=0,40m</v>
          </cell>
          <cell r="E182" t="str">
            <v>m</v>
          </cell>
          <cell r="F182">
            <v>38.68</v>
          </cell>
        </row>
        <row r="183">
          <cell r="C183" t="str">
            <v>1 A 01 752 51</v>
          </cell>
          <cell r="D183" t="str">
            <v>- Confecção de tubos concr.perfurado D=0,40m AC/BC</v>
          </cell>
          <cell r="E183" t="str">
            <v>m</v>
          </cell>
          <cell r="F183">
            <v>45.16</v>
          </cell>
        </row>
        <row r="184">
          <cell r="C184" t="str">
            <v>1 A 01 753 01</v>
          </cell>
          <cell r="D184" t="str">
            <v>- Confecção de tubos de concreto poroso D=0,40m</v>
          </cell>
          <cell r="E184" t="str">
            <v>m</v>
          </cell>
          <cell r="F184">
            <v>40.15</v>
          </cell>
        </row>
        <row r="185">
          <cell r="C185" t="str">
            <v>1 A 01 753 51</v>
          </cell>
          <cell r="D185" t="str">
            <v>- Confecção de tubos concr.poroso D=0,40m AC/BC</v>
          </cell>
          <cell r="E185" t="str">
            <v>m</v>
          </cell>
          <cell r="F185">
            <v>46.42</v>
          </cell>
        </row>
        <row r="186">
          <cell r="C186" t="str">
            <v>1 A 01 755 01</v>
          </cell>
          <cell r="D186" t="str">
            <v>- Confecção de tubos de concreto armado D=0,60m CA-4</v>
          </cell>
          <cell r="E186" t="str">
            <v>m</v>
          </cell>
          <cell r="F186">
            <v>159.41</v>
          </cell>
        </row>
        <row r="187">
          <cell r="C187" t="str">
            <v>1 A 01 755 51</v>
          </cell>
          <cell r="D187" t="str">
            <v>- Confecção de tubos concr.armado D=0,60m CA-4 AC/BC</v>
          </cell>
          <cell r="E187" t="str">
            <v>m</v>
          </cell>
          <cell r="F187">
            <v>172.18</v>
          </cell>
        </row>
        <row r="188">
          <cell r="C188" t="str">
            <v>1 A 01 760 01</v>
          </cell>
          <cell r="D188" t="str">
            <v>- Confecção de tubos de concreto armado D=0,80m CA-4</v>
          </cell>
          <cell r="E188" t="str">
            <v>m</v>
          </cell>
          <cell r="F188">
            <v>239.25</v>
          </cell>
        </row>
        <row r="189">
          <cell r="C189" t="str">
            <v>1 A 01 760 51</v>
          </cell>
          <cell r="D189" t="str">
            <v>- Confecção de tubos concr.armado D=0,80m CA-4 AC/BC</v>
          </cell>
          <cell r="E189" t="str">
            <v>m</v>
          </cell>
          <cell r="F189">
            <v>260.38</v>
          </cell>
        </row>
        <row r="190">
          <cell r="C190" t="str">
            <v>1 A 01 765 01</v>
          </cell>
          <cell r="D190" t="str">
            <v>- Confecção de tubos de concreto armado D=1,00m CA-4</v>
          </cell>
          <cell r="E190" t="str">
            <v>m</v>
          </cell>
          <cell r="F190">
            <v>359.75</v>
          </cell>
        </row>
        <row r="191">
          <cell r="C191" t="str">
            <v>1 A 01 765 51</v>
          </cell>
          <cell r="D191" t="str">
            <v>- Confecção de tubos concr.armado D=1,00m CA-4 AC/BC</v>
          </cell>
          <cell r="E191" t="str">
            <v>m</v>
          </cell>
          <cell r="F191">
            <v>391.31</v>
          </cell>
        </row>
        <row r="192">
          <cell r="C192" t="str">
            <v>1 A 01 770 01</v>
          </cell>
          <cell r="D192" t="str">
            <v>- Confecção de tubos de concreto armado D=1,20m CA-4</v>
          </cell>
          <cell r="E192" t="str">
            <v>m</v>
          </cell>
          <cell r="F192">
            <v>505.98</v>
          </cell>
        </row>
        <row r="193">
          <cell r="C193" t="str">
            <v>1 A 01 770 51</v>
          </cell>
          <cell r="D193" t="str">
            <v>- Confecção de tubos concr.armado D=1,20m CA-4 AC/BC</v>
          </cell>
          <cell r="E193" t="str">
            <v>m</v>
          </cell>
          <cell r="F193">
            <v>546.59</v>
          </cell>
        </row>
        <row r="194">
          <cell r="C194" t="str">
            <v>1 A 01 775 01</v>
          </cell>
          <cell r="D194" t="str">
            <v>- Confecção de tubos de concreto armado D=1,50m CA-4</v>
          </cell>
          <cell r="E194" t="str">
            <v>m</v>
          </cell>
          <cell r="F194">
            <v>801.55</v>
          </cell>
        </row>
        <row r="195">
          <cell r="C195" t="str">
            <v>1 A 01 775 51</v>
          </cell>
          <cell r="D195" t="str">
            <v>- Confecção de tubos concr.armado D=1,50m CA-4 AC/BC</v>
          </cell>
          <cell r="E195" t="str">
            <v>m</v>
          </cell>
          <cell r="F195">
            <v>855.47</v>
          </cell>
        </row>
        <row r="196">
          <cell r="C196" t="str">
            <v>1 A 01 780 01</v>
          </cell>
          <cell r="D196" t="str">
            <v>- Obtenção de grama para replantio</v>
          </cell>
          <cell r="E196" t="str">
            <v>m2</v>
          </cell>
          <cell r="F196">
            <v>1.61</v>
          </cell>
        </row>
        <row r="197">
          <cell r="C197" t="str">
            <v>1 A 01 790 01</v>
          </cell>
          <cell r="D197" t="str">
            <v>- Guia de madeira - 2,5 x 7,0 cm</v>
          </cell>
          <cell r="E197" t="str">
            <v>m</v>
          </cell>
          <cell r="F197">
            <v>8.1</v>
          </cell>
        </row>
        <row r="198">
          <cell r="C198" t="str">
            <v>1 A 01 790 02</v>
          </cell>
          <cell r="D198" t="str">
            <v>- Guia de madeira - 2,5 x 10,0 cm</v>
          </cell>
          <cell r="E198" t="str">
            <v>m</v>
          </cell>
          <cell r="F198">
            <v>3.69</v>
          </cell>
        </row>
        <row r="199">
          <cell r="C199" t="str">
            <v>1 A 01 800 01</v>
          </cell>
          <cell r="D199" t="str">
            <v>- Recuperação de chapa para placa de sinalização</v>
          </cell>
          <cell r="E199" t="str">
            <v>m2</v>
          </cell>
          <cell r="F199">
            <v>33.119999999999997</v>
          </cell>
        </row>
        <row r="200">
          <cell r="C200" t="str">
            <v>1 A 01 810 01</v>
          </cell>
          <cell r="D200" t="str">
            <v>- Calha metálica semi-circular D=0,40 m</v>
          </cell>
          <cell r="E200" t="str">
            <v>m</v>
          </cell>
          <cell r="F200">
            <v>196.05</v>
          </cell>
        </row>
        <row r="201">
          <cell r="C201" t="str">
            <v>1 A 01 850 01</v>
          </cell>
          <cell r="D201" t="str">
            <v>- Confecção de placa de sinalização semi-refletiva</v>
          </cell>
          <cell r="E201" t="str">
            <v>m2</v>
          </cell>
          <cell r="F201">
            <v>152.81</v>
          </cell>
        </row>
        <row r="202">
          <cell r="C202" t="str">
            <v>1 A 01 860 01</v>
          </cell>
          <cell r="D202" t="str">
            <v>- Confecção de placa de sinalização tot. refletiva</v>
          </cell>
          <cell r="E202" t="str">
            <v>m2</v>
          </cell>
          <cell r="F202">
            <v>246.8</v>
          </cell>
        </row>
        <row r="203">
          <cell r="C203" t="str">
            <v>1 A 01 870 01</v>
          </cell>
          <cell r="D203" t="str">
            <v>- Confecção de suporte e travessa p/ placa de sinal.</v>
          </cell>
          <cell r="E203" t="str">
            <v>un</v>
          </cell>
          <cell r="F203">
            <v>64.709999999999994</v>
          </cell>
        </row>
        <row r="204">
          <cell r="C204" t="str">
            <v>1 A 01 890 01</v>
          </cell>
          <cell r="D204" t="str">
            <v>- Escavação manual em material de 1a categoria</v>
          </cell>
          <cell r="E204" t="str">
            <v>m3</v>
          </cell>
          <cell r="F204">
            <v>35.14</v>
          </cell>
        </row>
        <row r="205">
          <cell r="C205" t="str">
            <v>1 A 01 891 01</v>
          </cell>
          <cell r="D205" t="str">
            <v>- Escavação manual de vala em material de 1a cat.</v>
          </cell>
          <cell r="E205" t="str">
            <v>m3</v>
          </cell>
          <cell r="F205">
            <v>40.56</v>
          </cell>
        </row>
        <row r="206">
          <cell r="C206" t="str">
            <v>1 A 01 892 01</v>
          </cell>
          <cell r="D206" t="str">
            <v>- Escavação mecânica de vala em material de 1a cat.</v>
          </cell>
          <cell r="E206" t="str">
            <v>m3</v>
          </cell>
          <cell r="F206">
            <v>5.53</v>
          </cell>
        </row>
        <row r="207">
          <cell r="C207" t="str">
            <v>1 A 01 893 01</v>
          </cell>
          <cell r="D207" t="str">
            <v>- Compactação manual</v>
          </cell>
          <cell r="E207" t="str">
            <v>m3</v>
          </cell>
          <cell r="F207">
            <v>11.65</v>
          </cell>
        </row>
        <row r="208">
          <cell r="C208" t="str">
            <v>1 A 01 893 02</v>
          </cell>
          <cell r="D208" t="str">
            <v>- Reaterro e compactação</v>
          </cell>
          <cell r="E208" t="str">
            <v>m3</v>
          </cell>
          <cell r="F208">
            <v>24.24</v>
          </cell>
        </row>
        <row r="209">
          <cell r="C209" t="str">
            <v>1 A 01 894 01</v>
          </cell>
          <cell r="D209" t="str">
            <v>- Lastro de brita</v>
          </cell>
          <cell r="E209" t="str">
            <v>m3</v>
          </cell>
          <cell r="F209">
            <v>47.83</v>
          </cell>
        </row>
        <row r="210">
          <cell r="C210" t="str">
            <v>1 A 01 894 51</v>
          </cell>
          <cell r="D210" t="str">
            <v>- Lastro de brita BC</v>
          </cell>
          <cell r="E210" t="str">
            <v>m3</v>
          </cell>
          <cell r="F210">
            <v>106.74</v>
          </cell>
        </row>
        <row r="211">
          <cell r="C211" t="str">
            <v>1 A 02 702 00</v>
          </cell>
          <cell r="D211" t="str">
            <v>- Limpeza e enchim. junta pav. concr.(const e rest)</v>
          </cell>
          <cell r="E211" t="str">
            <v>m</v>
          </cell>
          <cell r="F211">
            <v>3.7</v>
          </cell>
        </row>
        <row r="212">
          <cell r="C212" t="str">
            <v>1 A 99 001 00</v>
          </cell>
          <cell r="D212" t="str">
            <v>- Mistura areia-asfalto usinada a frio</v>
          </cell>
          <cell r="E212" t="str">
            <v>m3</v>
          </cell>
          <cell r="F212">
            <v>0</v>
          </cell>
        </row>
        <row r="213">
          <cell r="C213" t="str">
            <v>1 A 99 002 00</v>
          </cell>
          <cell r="D213" t="str">
            <v>- Mistura areia-asfalto usinada a quente</v>
          </cell>
          <cell r="E213" t="str">
            <v>m3</v>
          </cell>
          <cell r="F213">
            <v>0</v>
          </cell>
        </row>
        <row r="214">
          <cell r="C214" t="str">
            <v>1 A 99 003 00</v>
          </cell>
          <cell r="D214" t="str">
            <v>- Mistura betuminosa usinada a frio</v>
          </cell>
          <cell r="E214" t="str">
            <v>m3</v>
          </cell>
          <cell r="F214">
            <v>0</v>
          </cell>
        </row>
        <row r="215">
          <cell r="C215" t="str">
            <v>1 A 99 004 00</v>
          </cell>
          <cell r="D215" t="str">
            <v>- Mistura betuminosa usinada a quente</v>
          </cell>
          <cell r="E215" t="str">
            <v>m3</v>
          </cell>
          <cell r="F215">
            <v>0</v>
          </cell>
        </row>
        <row r="216">
          <cell r="C216" t="str">
            <v>1 A 99 005 00</v>
          </cell>
          <cell r="D216" t="str">
            <v>- Mistura betuminosa</v>
          </cell>
          <cell r="E216" t="str">
            <v>m3</v>
          </cell>
          <cell r="F216">
            <v>0</v>
          </cell>
        </row>
        <row r="217">
          <cell r="C217" t="str">
            <v>AM01</v>
          </cell>
          <cell r="D217" t="str">
            <v>Aço D=4,2 mm CA 25</v>
          </cell>
          <cell r="E217" t="str">
            <v>kg</v>
          </cell>
          <cell r="F217">
            <v>3.6</v>
          </cell>
        </row>
        <row r="218">
          <cell r="C218" t="str">
            <v>AM02</v>
          </cell>
          <cell r="D218" t="str">
            <v>Aço D=6,3 mm CA 25</v>
          </cell>
          <cell r="E218" t="str">
            <v>kg</v>
          </cell>
          <cell r="F218">
            <v>3.46</v>
          </cell>
        </row>
        <row r="219">
          <cell r="C219" t="str">
            <v>AM03</v>
          </cell>
          <cell r="D219" t="str">
            <v>Aço D=10 mm CA 25</v>
          </cell>
          <cell r="E219" t="str">
            <v>kg</v>
          </cell>
          <cell r="F219">
            <v>3.46</v>
          </cell>
        </row>
        <row r="220">
          <cell r="C220" t="str">
            <v>AM04</v>
          </cell>
          <cell r="D220" t="str">
            <v>Aço D=6,3 mm CA 50</v>
          </cell>
          <cell r="E220" t="str">
            <v>kg</v>
          </cell>
          <cell r="F220">
            <v>3.13</v>
          </cell>
        </row>
        <row r="221">
          <cell r="C221" t="str">
            <v>AM05</v>
          </cell>
          <cell r="D221" t="str">
            <v>Aço D=10 mm CA 50</v>
          </cell>
          <cell r="E221" t="str">
            <v>kg</v>
          </cell>
          <cell r="F221">
            <v>3.47</v>
          </cell>
        </row>
        <row r="222">
          <cell r="C222" t="str">
            <v>AM06</v>
          </cell>
          <cell r="D222" t="str">
            <v>Aço D=4,2 mm CA 60</v>
          </cell>
          <cell r="E222" t="str">
            <v>kg</v>
          </cell>
          <cell r="F222">
            <v>3.31</v>
          </cell>
        </row>
        <row r="223">
          <cell r="C223" t="str">
            <v>AM07</v>
          </cell>
          <cell r="D223" t="str">
            <v>Aço D=5,0 mm CA 60</v>
          </cell>
          <cell r="E223" t="str">
            <v>kg</v>
          </cell>
          <cell r="F223">
            <v>3.61</v>
          </cell>
        </row>
        <row r="224">
          <cell r="C224" t="str">
            <v>AM08</v>
          </cell>
          <cell r="D224" t="str">
            <v>Aço D=6,0 mm CA 60</v>
          </cell>
          <cell r="E224" t="str">
            <v>kg</v>
          </cell>
          <cell r="F224">
            <v>3.59</v>
          </cell>
        </row>
        <row r="225">
          <cell r="C225" t="str">
            <v>AM09</v>
          </cell>
          <cell r="D225" t="str">
            <v>Mandíbula móvel p/ britador 6240C</v>
          </cell>
          <cell r="E225" t="str">
            <v>un</v>
          </cell>
          <cell r="F225">
            <v>38.846899999999998</v>
          </cell>
        </row>
        <row r="226">
          <cell r="C226" t="str">
            <v>AM10</v>
          </cell>
          <cell r="D226" t="str">
            <v>Mandíbula fixa p/ britador 6240C</v>
          </cell>
          <cell r="E226" t="str">
            <v>un</v>
          </cell>
          <cell r="F226">
            <v>60.659199999999998</v>
          </cell>
        </row>
        <row r="227">
          <cell r="C227" t="str">
            <v>AM11</v>
          </cell>
          <cell r="D227" t="str">
            <v>Revestimento móvel p/ britador 60TS</v>
          </cell>
          <cell r="E227" t="str">
            <v>un</v>
          </cell>
          <cell r="F227">
            <v>10.003399999999999</v>
          </cell>
        </row>
        <row r="228">
          <cell r="C228" t="str">
            <v>AM12</v>
          </cell>
          <cell r="D228" t="str">
            <v>Revestimento fixo p/ britador 60TS</v>
          </cell>
          <cell r="E228" t="str">
            <v>un</v>
          </cell>
          <cell r="F228">
            <v>6.7404000000000002</v>
          </cell>
        </row>
        <row r="229">
          <cell r="C229" t="str">
            <v>AM13</v>
          </cell>
          <cell r="D229" t="str">
            <v>Aço CA 50 D=12,5mm (1/2")</v>
          </cell>
          <cell r="E229" t="str">
            <v>kg</v>
          </cell>
          <cell r="F229">
            <v>3.41</v>
          </cell>
        </row>
        <row r="230">
          <cell r="C230" t="str">
            <v>AM25</v>
          </cell>
          <cell r="D230" t="str">
            <v>Mandíbula móvel C96 Standart</v>
          </cell>
          <cell r="E230" t="str">
            <v>un</v>
          </cell>
          <cell r="F230">
            <v>41.225000000000001</v>
          </cell>
        </row>
        <row r="231">
          <cell r="C231" t="str">
            <v>AM26</v>
          </cell>
          <cell r="D231" t="str">
            <v>Mandíbula fixa C96 Standart</v>
          </cell>
          <cell r="E231" t="str">
            <v>un</v>
          </cell>
          <cell r="F231">
            <v>27.6402</v>
          </cell>
        </row>
        <row r="232">
          <cell r="C232" t="str">
            <v>AM27</v>
          </cell>
          <cell r="D232" t="str">
            <v>Manta HP200</v>
          </cell>
          <cell r="E232" t="str">
            <v>un</v>
          </cell>
          <cell r="F232">
            <v>29.0062</v>
          </cell>
        </row>
        <row r="233">
          <cell r="C233" t="str">
            <v>AM28</v>
          </cell>
          <cell r="D233" t="str">
            <v>Revestimento bojo STD HP200</v>
          </cell>
          <cell r="E233" t="str">
            <v>un</v>
          </cell>
          <cell r="F233">
            <v>24.6022</v>
          </cell>
        </row>
        <row r="234">
          <cell r="C234" t="str">
            <v>AM29</v>
          </cell>
          <cell r="D234" t="str">
            <v>Cunha lateral superior C96</v>
          </cell>
          <cell r="E234" t="str">
            <v>un</v>
          </cell>
          <cell r="F234">
            <v>20.709800000000001</v>
          </cell>
        </row>
        <row r="235">
          <cell r="C235" t="str">
            <v>AM30</v>
          </cell>
          <cell r="D235" t="str">
            <v>Cunha lateral inferior C96</v>
          </cell>
          <cell r="E235" t="str">
            <v>un</v>
          </cell>
          <cell r="F235">
            <v>16.333400000000001</v>
          </cell>
        </row>
        <row r="236">
          <cell r="C236" t="str">
            <v>AM35</v>
          </cell>
          <cell r="D236" t="str">
            <v>Brita 1</v>
          </cell>
          <cell r="E236" t="str">
            <v>m3</v>
          </cell>
          <cell r="F236">
            <v>83.27</v>
          </cell>
        </row>
        <row r="237">
          <cell r="C237" t="str">
            <v>AM36</v>
          </cell>
          <cell r="D237" t="str">
            <v>Brita 2</v>
          </cell>
          <cell r="E237" t="str">
            <v>m3</v>
          </cell>
          <cell r="F237">
            <v>81.42</v>
          </cell>
        </row>
        <row r="238">
          <cell r="C238" t="str">
            <v>AM37</v>
          </cell>
          <cell r="D238" t="str">
            <v>Brita 3</v>
          </cell>
          <cell r="E238" t="str">
            <v>m3</v>
          </cell>
          <cell r="F238">
            <v>80.89</v>
          </cell>
        </row>
        <row r="239">
          <cell r="C239" t="str">
            <v>F801</v>
          </cell>
          <cell r="D239" t="str">
            <v>Bomba hidráulica alta pressão MAC</v>
          </cell>
          <cell r="E239" t="str">
            <v>dia</v>
          </cell>
          <cell r="F239">
            <v>6.875</v>
          </cell>
        </row>
        <row r="240">
          <cell r="C240" t="str">
            <v>F802</v>
          </cell>
          <cell r="D240" t="str">
            <v>Bomba eletr p/ injeção de nata MAC</v>
          </cell>
          <cell r="E240" t="str">
            <v>dia</v>
          </cell>
          <cell r="F240">
            <v>12.625</v>
          </cell>
        </row>
        <row r="241">
          <cell r="C241" t="str">
            <v>F803</v>
          </cell>
          <cell r="D241" t="str">
            <v>Macaco p/ protensão MAC 7</v>
          </cell>
          <cell r="E241" t="str">
            <v>dia</v>
          </cell>
          <cell r="F241">
            <v>6.875</v>
          </cell>
        </row>
        <row r="242">
          <cell r="C242" t="str">
            <v>F804</v>
          </cell>
          <cell r="D242" t="str">
            <v>Macaco p/ protensão MAC 12</v>
          </cell>
          <cell r="E242" t="str">
            <v>dia</v>
          </cell>
          <cell r="F242">
            <v>10</v>
          </cell>
        </row>
        <row r="243">
          <cell r="C243" t="str">
            <v>F805</v>
          </cell>
          <cell r="D243" t="str">
            <v>Macaco p/ protensão MAC 4</v>
          </cell>
          <cell r="E243" t="str">
            <v>dia</v>
          </cell>
          <cell r="F243">
            <v>5</v>
          </cell>
        </row>
        <row r="244">
          <cell r="C244" t="str">
            <v>F807</v>
          </cell>
          <cell r="D244" t="str">
            <v>Bomba hidr. alta pressão STUP</v>
          </cell>
          <cell r="E244" t="str">
            <v>dia</v>
          </cell>
          <cell r="F244">
            <v>58.125</v>
          </cell>
        </row>
        <row r="245">
          <cell r="C245" t="str">
            <v>F808</v>
          </cell>
          <cell r="D245" t="str">
            <v>Bomba eletr. injeção de nata STUP</v>
          </cell>
          <cell r="E245" t="str">
            <v>dia</v>
          </cell>
          <cell r="F245">
            <v>60.125</v>
          </cell>
        </row>
        <row r="246">
          <cell r="C246" t="str">
            <v>F809</v>
          </cell>
          <cell r="D246" t="str">
            <v>Macaco p/ protensão STUP</v>
          </cell>
          <cell r="E246" t="str">
            <v>dia</v>
          </cell>
          <cell r="F246">
            <v>57.375</v>
          </cell>
        </row>
        <row r="247">
          <cell r="C247" t="str">
            <v>F810</v>
          </cell>
          <cell r="D247" t="str">
            <v>Macaco p/ protensão STUP</v>
          </cell>
          <cell r="E247" t="str">
            <v>dia</v>
          </cell>
          <cell r="F247">
            <v>66.125</v>
          </cell>
        </row>
        <row r="248">
          <cell r="C248" t="str">
            <v>F811</v>
          </cell>
          <cell r="D248" t="str">
            <v>Macaco p/ protensão STUP</v>
          </cell>
          <cell r="E248" t="str">
            <v>dia</v>
          </cell>
          <cell r="F248">
            <v>62.75</v>
          </cell>
        </row>
        <row r="249">
          <cell r="C249" t="str">
            <v>F812</v>
          </cell>
          <cell r="D249" t="str">
            <v>Macaco p/ protensão STUP</v>
          </cell>
          <cell r="E249" t="str">
            <v>dia</v>
          </cell>
          <cell r="F249">
            <v>55.375</v>
          </cell>
        </row>
        <row r="250">
          <cell r="C250" t="str">
            <v>F813</v>
          </cell>
          <cell r="D250" t="str">
            <v>Macaco p/ prot. de tirante D=32mm</v>
          </cell>
          <cell r="E250" t="str">
            <v>dia</v>
          </cell>
          <cell r="F250">
            <v>25</v>
          </cell>
        </row>
        <row r="251">
          <cell r="C251" t="str">
            <v>F814</v>
          </cell>
          <cell r="D251" t="str">
            <v>Injeção de nata de cimento</v>
          </cell>
          <cell r="E251" t="str">
            <v>m</v>
          </cell>
          <cell r="F251">
            <v>13.37</v>
          </cell>
        </row>
        <row r="252">
          <cell r="C252" t="str">
            <v>F943</v>
          </cell>
          <cell r="D252" t="str">
            <v>Terra Armada - moldes metálicos</v>
          </cell>
          <cell r="E252" t="str">
            <v>cj</v>
          </cell>
          <cell r="F252">
            <v>0</v>
          </cell>
        </row>
        <row r="253">
          <cell r="C253" t="str">
            <v>M001</v>
          </cell>
          <cell r="D253" t="str">
            <v>Gasolina</v>
          </cell>
          <cell r="E253" t="str">
            <v>l</v>
          </cell>
          <cell r="F253">
            <v>3.17</v>
          </cell>
        </row>
        <row r="254">
          <cell r="C254" t="str">
            <v>M002</v>
          </cell>
          <cell r="D254" t="str">
            <v>Óleo diesel</v>
          </cell>
          <cell r="E254" t="str">
            <v>l</v>
          </cell>
          <cell r="F254">
            <v>2.97</v>
          </cell>
        </row>
        <row r="255">
          <cell r="C255" t="str">
            <v>M003</v>
          </cell>
          <cell r="D255" t="str">
            <v>Óleo combustível 1A</v>
          </cell>
          <cell r="E255" t="str">
            <v>l</v>
          </cell>
          <cell r="F255">
            <v>2.1</v>
          </cell>
        </row>
        <row r="256">
          <cell r="C256" t="str">
            <v>M004</v>
          </cell>
          <cell r="D256" t="str">
            <v>Álcool</v>
          </cell>
          <cell r="E256" t="str">
            <v>l</v>
          </cell>
          <cell r="F256">
            <v>2.23</v>
          </cell>
        </row>
        <row r="257">
          <cell r="C257" t="str">
            <v>M005</v>
          </cell>
          <cell r="D257" t="str">
            <v>Energia elétrica</v>
          </cell>
          <cell r="E257" t="str">
            <v>kwh</v>
          </cell>
          <cell r="F257">
            <v>0.67</v>
          </cell>
        </row>
        <row r="258">
          <cell r="C258" t="str">
            <v>M101</v>
          </cell>
          <cell r="D258" t="str">
            <v>Cimento asfáltico CAP 50/70</v>
          </cell>
          <cell r="E258" t="str">
            <v>t</v>
          </cell>
          <cell r="F258">
            <v>0</v>
          </cell>
        </row>
        <row r="259">
          <cell r="C259" t="str">
            <v>M102</v>
          </cell>
          <cell r="D259" t="str">
            <v>Cimento asfáltico CAP 30/45</v>
          </cell>
          <cell r="E259" t="str">
            <v>t</v>
          </cell>
          <cell r="F259">
            <v>0</v>
          </cell>
        </row>
        <row r="260">
          <cell r="C260" t="str">
            <v>M103</v>
          </cell>
          <cell r="D260" t="str">
            <v>Asfalto diluído CM-30</v>
          </cell>
          <cell r="E260" t="str">
            <v>t</v>
          </cell>
          <cell r="F260">
            <v>0</v>
          </cell>
        </row>
        <row r="261">
          <cell r="C261" t="str">
            <v>M104</v>
          </cell>
          <cell r="D261" t="str">
            <v>Emulsão asfáltica RR-1C</v>
          </cell>
          <cell r="E261" t="str">
            <v>t</v>
          </cell>
          <cell r="F261">
            <v>0</v>
          </cell>
        </row>
        <row r="262">
          <cell r="C262" t="str">
            <v>M105</v>
          </cell>
          <cell r="D262" t="str">
            <v>Emulsão asfáltica RR-2C</v>
          </cell>
          <cell r="E262" t="str">
            <v>t</v>
          </cell>
          <cell r="F262">
            <v>0</v>
          </cell>
        </row>
        <row r="263">
          <cell r="C263" t="str">
            <v>M107</v>
          </cell>
          <cell r="D263" t="str">
            <v>Emulsão asfáltica RM-1C</v>
          </cell>
          <cell r="E263" t="str">
            <v>t</v>
          </cell>
          <cell r="F263">
            <v>0</v>
          </cell>
        </row>
        <row r="264">
          <cell r="C264" t="str">
            <v>M108</v>
          </cell>
          <cell r="D264" t="str">
            <v>Emulsão asfáltica RM1C c/ polímero</v>
          </cell>
          <cell r="E264" t="str">
            <v>t</v>
          </cell>
          <cell r="F264">
            <v>0</v>
          </cell>
        </row>
        <row r="265">
          <cell r="C265" t="str">
            <v>M109</v>
          </cell>
          <cell r="D265" t="str">
            <v>Emulsão asfáltica RL-1C</v>
          </cell>
          <cell r="E265" t="str">
            <v>t</v>
          </cell>
          <cell r="F265">
            <v>0</v>
          </cell>
        </row>
        <row r="266">
          <cell r="C266" t="str">
            <v>M110</v>
          </cell>
          <cell r="D266" t="str">
            <v>Emulsão polim. p/ micro-rev. a frio</v>
          </cell>
          <cell r="E266" t="str">
            <v>t</v>
          </cell>
          <cell r="F266">
            <v>0</v>
          </cell>
        </row>
        <row r="267">
          <cell r="C267" t="str">
            <v>M115</v>
          </cell>
          <cell r="D267" t="str">
            <v>Adiflex</v>
          </cell>
          <cell r="E267" t="str">
            <v>t</v>
          </cell>
          <cell r="F267">
            <v>0</v>
          </cell>
        </row>
        <row r="268">
          <cell r="C268" t="str">
            <v>M116</v>
          </cell>
          <cell r="D268" t="str">
            <v>Adisol</v>
          </cell>
          <cell r="E268" t="str">
            <v>t</v>
          </cell>
          <cell r="F268">
            <v>0</v>
          </cell>
        </row>
        <row r="269">
          <cell r="C269" t="str">
            <v>M118</v>
          </cell>
          <cell r="D269" t="str">
            <v>Cap 50/70 - asfalto borracha</v>
          </cell>
          <cell r="E269" t="str">
            <v>t</v>
          </cell>
          <cell r="F269">
            <v>0</v>
          </cell>
        </row>
        <row r="270">
          <cell r="C270" t="str">
            <v>M201</v>
          </cell>
          <cell r="D270" t="str">
            <v>Cimento portland CP II-32(a granel)</v>
          </cell>
          <cell r="E270" t="str">
            <v>kg</v>
          </cell>
          <cell r="F270">
            <v>0.35</v>
          </cell>
        </row>
        <row r="271">
          <cell r="C271" t="str">
            <v>M202</v>
          </cell>
          <cell r="D271" t="str">
            <v>Cimento portland CP II-32</v>
          </cell>
          <cell r="E271" t="str">
            <v>sc</v>
          </cell>
          <cell r="F271">
            <v>0.438</v>
          </cell>
        </row>
        <row r="272">
          <cell r="C272" t="str">
            <v>M203</v>
          </cell>
          <cell r="D272" t="str">
            <v>Tubo de concr armado D=0,60m PA-1</v>
          </cell>
          <cell r="E272" t="str">
            <v>m</v>
          </cell>
          <cell r="F272">
            <v>99.47</v>
          </cell>
        </row>
        <row r="273">
          <cell r="C273" t="str">
            <v>M204</v>
          </cell>
          <cell r="D273" t="str">
            <v>Tubo de concr armado D=0,80m PA-1</v>
          </cell>
          <cell r="E273" t="str">
            <v>m</v>
          </cell>
          <cell r="F273">
            <v>219.42</v>
          </cell>
        </row>
        <row r="274">
          <cell r="C274" t="str">
            <v>M205</v>
          </cell>
          <cell r="D274" t="str">
            <v>Tubo de concr armado D=1,00m PA-1</v>
          </cell>
          <cell r="E274" t="str">
            <v>m</v>
          </cell>
          <cell r="F274">
            <v>351.2</v>
          </cell>
        </row>
        <row r="275">
          <cell r="C275" t="str">
            <v>M206</v>
          </cell>
          <cell r="D275" t="str">
            <v>Tubo de concr armado D=1,20m PA-1</v>
          </cell>
          <cell r="E275" t="str">
            <v>m</v>
          </cell>
          <cell r="F275">
            <v>502.01</v>
          </cell>
        </row>
        <row r="276">
          <cell r="C276" t="str">
            <v>M207</v>
          </cell>
          <cell r="D276" t="str">
            <v>Tubo de concr armado D=1,50m PA-1</v>
          </cell>
          <cell r="E276" t="str">
            <v>m</v>
          </cell>
          <cell r="F276">
            <v>780.39</v>
          </cell>
        </row>
        <row r="277">
          <cell r="C277" t="str">
            <v>M208</v>
          </cell>
          <cell r="D277" t="str">
            <v>Tubo de concr armado D=0,60m PA-2</v>
          </cell>
          <cell r="E277" t="str">
            <v>m</v>
          </cell>
          <cell r="F277">
            <v>158.63</v>
          </cell>
        </row>
        <row r="278">
          <cell r="C278" t="str">
            <v>M209</v>
          </cell>
          <cell r="D278" t="str">
            <v>Tubo de concr armado D=0,80m PA-2</v>
          </cell>
          <cell r="E278" t="str">
            <v>m</v>
          </cell>
          <cell r="F278">
            <v>293.06</v>
          </cell>
        </row>
        <row r="279">
          <cell r="C279" t="str">
            <v>M210</v>
          </cell>
          <cell r="D279" t="str">
            <v>Tubo de concr armado D=1,00m PA-2</v>
          </cell>
          <cell r="E279" t="str">
            <v>m</v>
          </cell>
          <cell r="F279">
            <v>405.82</v>
          </cell>
        </row>
        <row r="280">
          <cell r="C280" t="str">
            <v>M211</v>
          </cell>
          <cell r="D280" t="str">
            <v>Tubo de concr armado D=1,20m PA-2</v>
          </cell>
          <cell r="E280" t="str">
            <v>m</v>
          </cell>
          <cell r="F280">
            <v>526.84</v>
          </cell>
        </row>
        <row r="281">
          <cell r="C281" t="str">
            <v>M212</v>
          </cell>
          <cell r="D281" t="str">
            <v>Tubo de concr armado D=1,50m PA-2</v>
          </cell>
          <cell r="E281" t="str">
            <v>m</v>
          </cell>
          <cell r="F281">
            <v>848.84</v>
          </cell>
        </row>
        <row r="282">
          <cell r="C282" t="str">
            <v>M213</v>
          </cell>
          <cell r="D282" t="str">
            <v>Tubo de concr armado D=0,60m PA-3</v>
          </cell>
          <cell r="E282" t="str">
            <v>m</v>
          </cell>
          <cell r="F282">
            <v>185.4</v>
          </cell>
        </row>
        <row r="283">
          <cell r="C283" t="str">
            <v>M214</v>
          </cell>
          <cell r="D283" t="str">
            <v>Tubo de concr armado D=0,80m PA-3</v>
          </cell>
          <cell r="E283" t="str">
            <v>m</v>
          </cell>
          <cell r="F283">
            <v>308.88</v>
          </cell>
        </row>
        <row r="284">
          <cell r="C284" t="str">
            <v>M215</v>
          </cell>
          <cell r="D284" t="str">
            <v>Tubo de concr armado D=1,00m PA-3</v>
          </cell>
          <cell r="E284" t="str">
            <v>m</v>
          </cell>
          <cell r="F284">
            <v>411.46</v>
          </cell>
        </row>
        <row r="285">
          <cell r="C285" t="str">
            <v>M216</v>
          </cell>
          <cell r="D285" t="str">
            <v>Tubo de concr armado D=1,20m PA-3</v>
          </cell>
          <cell r="E285" t="str">
            <v>m</v>
          </cell>
          <cell r="F285">
            <v>626.16</v>
          </cell>
        </row>
        <row r="286">
          <cell r="C286" t="str">
            <v>M217</v>
          </cell>
          <cell r="D286" t="str">
            <v>Tubo de concr armado D=1,50m PA-3</v>
          </cell>
          <cell r="E286" t="str">
            <v>m</v>
          </cell>
          <cell r="F286">
            <v>930.07</v>
          </cell>
        </row>
        <row r="287">
          <cell r="C287" t="str">
            <v>M218</v>
          </cell>
          <cell r="D287" t="str">
            <v>Tubo de concr armado D=0,60m PA-4</v>
          </cell>
          <cell r="E287" t="str">
            <v>m</v>
          </cell>
          <cell r="F287">
            <v>243.2</v>
          </cell>
        </row>
        <row r="288">
          <cell r="C288" t="str">
            <v>M219</v>
          </cell>
          <cell r="D288" t="str">
            <v>Tubo de concr armado D=0,80m PA-4</v>
          </cell>
          <cell r="E288" t="str">
            <v>m</v>
          </cell>
          <cell r="F288">
            <v>353.17</v>
          </cell>
        </row>
        <row r="289">
          <cell r="C289" t="str">
            <v>M220</v>
          </cell>
          <cell r="D289" t="str">
            <v>Tubo de concr armado D=1,00m PA-4</v>
          </cell>
          <cell r="E289" t="str">
            <v>m</v>
          </cell>
          <cell r="F289">
            <v>491.47</v>
          </cell>
        </row>
        <row r="290">
          <cell r="C290" t="str">
            <v>M221</v>
          </cell>
          <cell r="D290" t="str">
            <v>Tubo de concr armado D=1,20m PA-4</v>
          </cell>
          <cell r="E290" t="str">
            <v>m</v>
          </cell>
          <cell r="F290">
            <v>680.68</v>
          </cell>
        </row>
        <row r="291">
          <cell r="C291" t="str">
            <v>M222</v>
          </cell>
          <cell r="D291" t="str">
            <v>Tubo de concr armado D=1,50m PA-4</v>
          </cell>
          <cell r="E291" t="str">
            <v>m</v>
          </cell>
          <cell r="F291">
            <v>992.11</v>
          </cell>
        </row>
        <row r="292">
          <cell r="C292" t="str">
            <v>M307</v>
          </cell>
          <cell r="D292" t="str">
            <v>Cordoalha CP-190 RB D=12,7mm</v>
          </cell>
          <cell r="E292" t="str">
            <v>kg</v>
          </cell>
          <cell r="F292">
            <v>6.89</v>
          </cell>
        </row>
        <row r="293">
          <cell r="C293" t="str">
            <v>M319</v>
          </cell>
          <cell r="D293" t="str">
            <v>Arame recozido nº. 18</v>
          </cell>
          <cell r="E293" t="str">
            <v>kg</v>
          </cell>
          <cell r="F293">
            <v>7.65</v>
          </cell>
        </row>
        <row r="294">
          <cell r="C294" t="str">
            <v>M320</v>
          </cell>
          <cell r="D294" t="str">
            <v>Pregos de ferro 18x30</v>
          </cell>
          <cell r="E294" t="str">
            <v>kg</v>
          </cell>
          <cell r="F294">
            <v>7.48</v>
          </cell>
        </row>
        <row r="295">
          <cell r="C295" t="str">
            <v>M321</v>
          </cell>
          <cell r="D295" t="str">
            <v>Arame farpado nº. 16 galv. simples</v>
          </cell>
          <cell r="E295" t="str">
            <v>rl</v>
          </cell>
          <cell r="F295">
            <v>0.54810000000000003</v>
          </cell>
        </row>
        <row r="296">
          <cell r="C296" t="str">
            <v>M322</v>
          </cell>
          <cell r="D296" t="str">
            <v>Grampo para cerca galvanizado 1 x 9</v>
          </cell>
          <cell r="E296" t="str">
            <v>kg</v>
          </cell>
          <cell r="F296">
            <v>6.27</v>
          </cell>
        </row>
        <row r="297">
          <cell r="C297" t="str">
            <v>M324</v>
          </cell>
          <cell r="D297" t="str">
            <v>Pórtico metálico (15 a 17m de vão)</v>
          </cell>
          <cell r="E297" t="str">
            <v>un</v>
          </cell>
          <cell r="F297">
            <v>31088.21</v>
          </cell>
        </row>
        <row r="298">
          <cell r="C298" t="str">
            <v>M325</v>
          </cell>
          <cell r="D298" t="str">
            <v>Trilho metálico TR-37 (usado)</v>
          </cell>
          <cell r="E298" t="str">
            <v>kg</v>
          </cell>
          <cell r="F298">
            <v>3.05</v>
          </cell>
        </row>
        <row r="299">
          <cell r="C299" t="str">
            <v>M326</v>
          </cell>
          <cell r="D299" t="str">
            <v>Série de brocas S-12 D=22 mm</v>
          </cell>
          <cell r="E299" t="str">
            <v>un</v>
          </cell>
          <cell r="F299">
            <v>546.37</v>
          </cell>
        </row>
        <row r="300">
          <cell r="C300" t="str">
            <v>M328</v>
          </cell>
          <cell r="D300" t="str">
            <v>Luva de emenda D=32mm</v>
          </cell>
          <cell r="E300" t="str">
            <v>un</v>
          </cell>
          <cell r="F300">
            <v>82.85</v>
          </cell>
        </row>
        <row r="301">
          <cell r="C301" t="str">
            <v>M330</v>
          </cell>
          <cell r="D301" t="str">
            <v>Calha met. semicircular D=40 cm</v>
          </cell>
          <cell r="E301" t="str">
            <v>m</v>
          </cell>
          <cell r="F301">
            <v>180.04</v>
          </cell>
        </row>
        <row r="302">
          <cell r="C302" t="str">
            <v>M331</v>
          </cell>
          <cell r="D302" t="str">
            <v>Paraf. fixação calha met. (1/2"x1")</v>
          </cell>
          <cell r="E302" t="str">
            <v>un</v>
          </cell>
          <cell r="F302">
            <v>2.5299999999999998</v>
          </cell>
        </row>
        <row r="303">
          <cell r="C303" t="str">
            <v>M332</v>
          </cell>
          <cell r="D303" t="str">
            <v>Parafuso 1/2" x 3" com porca,</v>
          </cell>
          <cell r="E303" t="str">
            <v>kg</v>
          </cell>
          <cell r="F303">
            <v>12.07</v>
          </cell>
        </row>
        <row r="304">
          <cell r="C304" t="str">
            <v>M334</v>
          </cell>
          <cell r="D304" t="str">
            <v>Paraf. zinc. c/ fenda 1 1/2"x3/16"</v>
          </cell>
          <cell r="E304" t="str">
            <v>un</v>
          </cell>
          <cell r="F304">
            <v>0.1</v>
          </cell>
        </row>
        <row r="305">
          <cell r="C305" t="str">
            <v>M335</v>
          </cell>
          <cell r="D305" t="str">
            <v>Paraf. zincado francês 4" x 5/16"</v>
          </cell>
          <cell r="E305" t="str">
            <v>un</v>
          </cell>
          <cell r="F305">
            <v>0.79</v>
          </cell>
        </row>
        <row r="306">
          <cell r="C306" t="str">
            <v>M338</v>
          </cell>
          <cell r="D306" t="str">
            <v>Tubo de ferro galvanizado D=3/4"</v>
          </cell>
          <cell r="E306" t="str">
            <v>pç</v>
          </cell>
          <cell r="F306">
            <v>12.8133</v>
          </cell>
        </row>
        <row r="307">
          <cell r="C307" t="str">
            <v>M339</v>
          </cell>
          <cell r="D307" t="str">
            <v>Cantoneira ferro 2 1/2"x2 1/2"x3/8"</v>
          </cell>
          <cell r="E307" t="str">
            <v>kg</v>
          </cell>
          <cell r="F307">
            <v>4.55</v>
          </cell>
        </row>
        <row r="308">
          <cell r="C308" t="str">
            <v>M340</v>
          </cell>
          <cell r="D308" t="str">
            <v>Tampão de ferro fundido</v>
          </cell>
          <cell r="E308" t="str">
            <v>un</v>
          </cell>
          <cell r="F308">
            <v>421.17</v>
          </cell>
        </row>
        <row r="309">
          <cell r="C309" t="str">
            <v>M341</v>
          </cell>
          <cell r="D309" t="str">
            <v>Defensa met. maleável simples</v>
          </cell>
          <cell r="E309" t="str">
            <v>mod</v>
          </cell>
          <cell r="F309">
            <v>1407.98</v>
          </cell>
        </row>
        <row r="310">
          <cell r="C310" t="str">
            <v>M342</v>
          </cell>
          <cell r="D310" t="str">
            <v>Defensa met. maleável dupla</v>
          </cell>
          <cell r="E310" t="str">
            <v>mod</v>
          </cell>
          <cell r="F310">
            <v>1755.56</v>
          </cell>
        </row>
        <row r="311">
          <cell r="C311" t="str">
            <v>M343</v>
          </cell>
          <cell r="D311" t="str">
            <v>Defensa met. semi-maleável simples</v>
          </cell>
          <cell r="E311" t="str">
            <v>mod</v>
          </cell>
          <cell r="F311">
            <v>919.34</v>
          </cell>
        </row>
        <row r="312">
          <cell r="C312" t="str">
            <v>M344</v>
          </cell>
          <cell r="D312" t="str">
            <v>Defensa met. semi-maleável dupla</v>
          </cell>
          <cell r="E312" t="str">
            <v>mod</v>
          </cell>
          <cell r="F312">
            <v>1511.25</v>
          </cell>
        </row>
        <row r="313">
          <cell r="C313" t="str">
            <v>M345</v>
          </cell>
          <cell r="D313" t="str">
            <v>Chapa de aço n. 28 fina galvanizada</v>
          </cell>
          <cell r="E313" t="str">
            <v>kg</v>
          </cell>
          <cell r="F313">
            <v>5.74</v>
          </cell>
        </row>
        <row r="314">
          <cell r="C314" t="str">
            <v>M346</v>
          </cell>
          <cell r="D314" t="str">
            <v>Chapa de aço n. 16 (tratada)</v>
          </cell>
          <cell r="E314" t="str">
            <v>m2</v>
          </cell>
          <cell r="F314">
            <v>72.010000000000005</v>
          </cell>
        </row>
        <row r="315">
          <cell r="C315" t="str">
            <v>M347</v>
          </cell>
          <cell r="D315" t="str">
            <v>Dente p/ fresadora W-1000 L</v>
          </cell>
          <cell r="E315" t="str">
            <v>un</v>
          </cell>
          <cell r="F315">
            <v>22.41</v>
          </cell>
        </row>
        <row r="316">
          <cell r="C316" t="str">
            <v>M348</v>
          </cell>
          <cell r="D316" t="str">
            <v>Porta dente p/ fresadora W-1000 L</v>
          </cell>
          <cell r="E316" t="str">
            <v>un</v>
          </cell>
          <cell r="F316">
            <v>227.6</v>
          </cell>
        </row>
        <row r="317">
          <cell r="C317" t="str">
            <v>M349</v>
          </cell>
          <cell r="D317" t="str">
            <v>Dente p/ fresadora W-1900</v>
          </cell>
          <cell r="E317" t="str">
            <v>un</v>
          </cell>
          <cell r="F317">
            <v>24.3</v>
          </cell>
        </row>
        <row r="318">
          <cell r="C318" t="str">
            <v>M350</v>
          </cell>
          <cell r="D318" t="str">
            <v>Porta dente p/ fresadora W-1900</v>
          </cell>
          <cell r="E318" t="str">
            <v>un</v>
          </cell>
          <cell r="F318">
            <v>226.03</v>
          </cell>
        </row>
        <row r="319">
          <cell r="C319" t="str">
            <v>M351</v>
          </cell>
          <cell r="D319" t="str">
            <v>Estrut. (tunnel liner) D=1,6m galv.</v>
          </cell>
          <cell r="E319" t="str">
            <v>m</v>
          </cell>
          <cell r="F319">
            <v>1931.79</v>
          </cell>
        </row>
        <row r="320">
          <cell r="C320" t="str">
            <v>M352</v>
          </cell>
          <cell r="D320" t="str">
            <v>Estrut. (tunnel liner) D=2,0m galv.</v>
          </cell>
          <cell r="E320" t="str">
            <v>m</v>
          </cell>
          <cell r="F320">
            <v>2689.63</v>
          </cell>
        </row>
        <row r="321">
          <cell r="C321" t="str">
            <v>M353</v>
          </cell>
          <cell r="D321" t="str">
            <v>Estrut. (tunnel liner) D=1,6m epoxy</v>
          </cell>
          <cell r="E321" t="str">
            <v>m</v>
          </cell>
          <cell r="F321">
            <v>1931.79</v>
          </cell>
        </row>
        <row r="322">
          <cell r="C322" t="str">
            <v>M354</v>
          </cell>
          <cell r="D322" t="str">
            <v>Estrut, (tunnel liner) D=2,0m epoxy</v>
          </cell>
          <cell r="E322" t="str">
            <v>m</v>
          </cell>
          <cell r="F322">
            <v>2798.13</v>
          </cell>
        </row>
        <row r="323">
          <cell r="C323" t="str">
            <v>M355</v>
          </cell>
          <cell r="D323" t="str">
            <v>Chapa mult. D=1,60 m rev. galv.</v>
          </cell>
          <cell r="E323" t="str">
            <v>m</v>
          </cell>
          <cell r="F323">
            <v>1117.52</v>
          </cell>
        </row>
        <row r="324">
          <cell r="C324" t="str">
            <v>M356</v>
          </cell>
          <cell r="D324" t="str">
            <v>Chapa mult. D=2,00 m rev. galv.</v>
          </cell>
          <cell r="E324" t="str">
            <v>m</v>
          </cell>
          <cell r="F324">
            <v>1612.29</v>
          </cell>
        </row>
        <row r="325">
          <cell r="C325" t="str">
            <v>M357</v>
          </cell>
          <cell r="D325" t="str">
            <v>Chapa mult. D=1,60 m rev. epoxy</v>
          </cell>
          <cell r="E325" t="str">
            <v>m</v>
          </cell>
          <cell r="F325">
            <v>1220.47</v>
          </cell>
        </row>
        <row r="326">
          <cell r="C326" t="str">
            <v>M358</v>
          </cell>
          <cell r="D326" t="str">
            <v>Chapa mult. D=2,00 m rev. epoxy</v>
          </cell>
          <cell r="E326" t="str">
            <v>m</v>
          </cell>
          <cell r="F326">
            <v>1616.55</v>
          </cell>
        </row>
        <row r="327">
          <cell r="C327" t="str">
            <v>M359</v>
          </cell>
          <cell r="D327" t="str">
            <v>Perfil " I " W 254mm X 37,80 kg/m</v>
          </cell>
          <cell r="E327" t="str">
            <v>kg</v>
          </cell>
          <cell r="F327">
            <v>4.37</v>
          </cell>
        </row>
        <row r="328">
          <cell r="C328" t="str">
            <v>M360</v>
          </cell>
          <cell r="D328" t="str">
            <v>Bueiro chapa múlt. D=3,05m E=2,70mm</v>
          </cell>
          <cell r="E328" t="str">
            <v>m</v>
          </cell>
          <cell r="F328">
            <v>4461.34</v>
          </cell>
        </row>
        <row r="329">
          <cell r="C329" t="str">
            <v>M361</v>
          </cell>
          <cell r="D329" t="str">
            <v>Estrut.(tunnel liner) D=1,2m galv.</v>
          </cell>
          <cell r="E329" t="str">
            <v>m</v>
          </cell>
          <cell r="F329">
            <v>1437.59</v>
          </cell>
        </row>
        <row r="330">
          <cell r="C330" t="str">
            <v>M362</v>
          </cell>
          <cell r="D330" t="str">
            <v>Estrut. (tunnel liner) D=1,2m epoxy</v>
          </cell>
          <cell r="E330" t="str">
            <v>m</v>
          </cell>
          <cell r="F330">
            <v>1437.59</v>
          </cell>
        </row>
        <row r="331">
          <cell r="C331" t="str">
            <v>M363</v>
          </cell>
          <cell r="D331" t="str">
            <v>Bloco de desgaste p/ recicladoras</v>
          </cell>
          <cell r="E331" t="str">
            <v>un</v>
          </cell>
          <cell r="F331">
            <v>1892.43</v>
          </cell>
        </row>
        <row r="332">
          <cell r="C332" t="str">
            <v>M364</v>
          </cell>
          <cell r="D332" t="str">
            <v>Porta dentes p/recicladoras</v>
          </cell>
          <cell r="E332" t="str">
            <v>un</v>
          </cell>
          <cell r="F332">
            <v>300.02</v>
          </cell>
        </row>
        <row r="333">
          <cell r="C333" t="str">
            <v>M365</v>
          </cell>
          <cell r="D333" t="str">
            <v>Dente de corte (W6/22) p/ reciclad.</v>
          </cell>
          <cell r="E333" t="str">
            <v>un</v>
          </cell>
          <cell r="F333">
            <v>24.48</v>
          </cell>
        </row>
        <row r="334">
          <cell r="C334" t="str">
            <v>M366</v>
          </cell>
          <cell r="D334" t="str">
            <v>Dente de Corte (W7/22) p/ reciclad.</v>
          </cell>
          <cell r="E334" t="str">
            <v>un</v>
          </cell>
          <cell r="F334">
            <v>26.36</v>
          </cell>
        </row>
        <row r="335">
          <cell r="C335" t="str">
            <v>M370</v>
          </cell>
          <cell r="D335" t="str">
            <v>Bainha metálica diam. int.=45mm MAC</v>
          </cell>
          <cell r="E335" t="str">
            <v>m</v>
          </cell>
          <cell r="F335">
            <v>23.08</v>
          </cell>
        </row>
        <row r="336">
          <cell r="C336" t="str">
            <v>M371</v>
          </cell>
          <cell r="D336" t="str">
            <v>Bainha metálica diam. int.=60mm MAC</v>
          </cell>
          <cell r="E336" t="str">
            <v>m</v>
          </cell>
          <cell r="F336">
            <v>33.79</v>
          </cell>
        </row>
        <row r="337">
          <cell r="C337" t="str">
            <v>M372</v>
          </cell>
          <cell r="D337" t="str">
            <v>Bainha metálica diam. int.=55mm MAC</v>
          </cell>
          <cell r="E337" t="str">
            <v>m</v>
          </cell>
          <cell r="F337">
            <v>32.03</v>
          </cell>
        </row>
        <row r="338">
          <cell r="C338" t="str">
            <v>M373</v>
          </cell>
          <cell r="D338" t="str">
            <v>Bainha metálica diam. int.=70mm MAC</v>
          </cell>
          <cell r="E338" t="str">
            <v>m</v>
          </cell>
          <cell r="F338">
            <v>39.19</v>
          </cell>
        </row>
        <row r="339">
          <cell r="C339" t="str">
            <v>M374</v>
          </cell>
          <cell r="D339" t="str">
            <v>Ancoragem p/ cabo 4V D=1/2" MAC</v>
          </cell>
          <cell r="E339" t="str">
            <v>cj</v>
          </cell>
          <cell r="F339">
            <v>476.56</v>
          </cell>
        </row>
        <row r="340">
          <cell r="C340" t="str">
            <v>M375</v>
          </cell>
          <cell r="D340" t="str">
            <v>Ancoragem p/ cabo 6V D=1/2" MAC</v>
          </cell>
          <cell r="E340" t="str">
            <v>cj</v>
          </cell>
          <cell r="F340">
            <v>545.41999999999996</v>
          </cell>
        </row>
        <row r="341">
          <cell r="C341" t="str">
            <v>M376</v>
          </cell>
          <cell r="D341" t="str">
            <v>Ancoragem p/ cabo 7V D=1/2" MAC</v>
          </cell>
          <cell r="E341" t="str">
            <v>cj</v>
          </cell>
          <cell r="F341">
            <v>793.66</v>
          </cell>
        </row>
        <row r="342">
          <cell r="C342" t="str">
            <v>M377</v>
          </cell>
          <cell r="D342" t="str">
            <v>Ancoragem p/ cabo 12V D=1/2" MAC</v>
          </cell>
          <cell r="E342" t="str">
            <v>cj</v>
          </cell>
          <cell r="F342">
            <v>1202.7</v>
          </cell>
        </row>
        <row r="343">
          <cell r="C343" t="str">
            <v>M378</v>
          </cell>
          <cell r="D343" t="str">
            <v>Apoio do porta dente frezad. W 200</v>
          </cell>
          <cell r="E343" t="str">
            <v>un</v>
          </cell>
          <cell r="F343">
            <v>954.17</v>
          </cell>
        </row>
        <row r="344">
          <cell r="C344" t="str">
            <v>M380</v>
          </cell>
          <cell r="D344" t="str">
            <v>Bainha metálica D=45mm STUP</v>
          </cell>
          <cell r="E344" t="str">
            <v>m</v>
          </cell>
          <cell r="F344">
            <v>24.19</v>
          </cell>
        </row>
        <row r="345">
          <cell r="C345" t="str">
            <v>M381</v>
          </cell>
          <cell r="D345" t="str">
            <v>Bainha metálica D=60mm STUP</v>
          </cell>
          <cell r="E345" t="str">
            <v>m</v>
          </cell>
          <cell r="F345">
            <v>31.09</v>
          </cell>
        </row>
        <row r="346">
          <cell r="C346" t="str">
            <v>M382</v>
          </cell>
          <cell r="D346" t="str">
            <v>Bainha metálica D=55mm STUP</v>
          </cell>
          <cell r="E346" t="str">
            <v>m</v>
          </cell>
          <cell r="F346">
            <v>28.76</v>
          </cell>
        </row>
        <row r="347">
          <cell r="C347" t="str">
            <v>M383</v>
          </cell>
          <cell r="D347" t="str">
            <v>Bainha metálica D=70mm STUP</v>
          </cell>
          <cell r="E347" t="str">
            <v>m</v>
          </cell>
          <cell r="F347">
            <v>37.17</v>
          </cell>
        </row>
        <row r="348">
          <cell r="C348" t="str">
            <v>M384</v>
          </cell>
          <cell r="D348" t="str">
            <v>Ancoragem p/ cabo 4V D=1/2" STUP</v>
          </cell>
          <cell r="E348" t="str">
            <v>cj</v>
          </cell>
          <cell r="F348">
            <v>410.89</v>
          </cell>
        </row>
        <row r="349">
          <cell r="C349" t="str">
            <v>M385</v>
          </cell>
          <cell r="D349" t="str">
            <v>Ancoragem p/ cabo 6V D=1/2" STUP</v>
          </cell>
          <cell r="E349" t="str">
            <v>cj</v>
          </cell>
          <cell r="F349">
            <v>483.92</v>
          </cell>
        </row>
        <row r="350">
          <cell r="C350" t="str">
            <v>M386</v>
          </cell>
          <cell r="D350" t="str">
            <v>Ancoragem p/ cabo 7V D=1/2" STUP</v>
          </cell>
          <cell r="E350" t="str">
            <v>cj</v>
          </cell>
          <cell r="F350">
            <v>679.9</v>
          </cell>
        </row>
        <row r="351">
          <cell r="C351" t="str">
            <v>M387</v>
          </cell>
          <cell r="D351" t="str">
            <v>Ancoragem p/ cabo 12V D=1/2" STUP</v>
          </cell>
          <cell r="E351" t="str">
            <v>cj</v>
          </cell>
          <cell r="F351">
            <v>994.59</v>
          </cell>
        </row>
        <row r="352">
          <cell r="C352" t="str">
            <v>M390</v>
          </cell>
          <cell r="D352" t="str">
            <v>Porca de ancoragem D=32mm</v>
          </cell>
          <cell r="E352" t="str">
            <v>un</v>
          </cell>
          <cell r="F352">
            <v>33.25</v>
          </cell>
        </row>
        <row r="353">
          <cell r="C353" t="str">
            <v>M391</v>
          </cell>
          <cell r="D353" t="str">
            <v>Contra porca h=35mm D=32mm</v>
          </cell>
          <cell r="E353" t="str">
            <v>un</v>
          </cell>
          <cell r="F353">
            <v>30.61</v>
          </cell>
        </row>
        <row r="354">
          <cell r="C354" t="str">
            <v>M392</v>
          </cell>
          <cell r="D354" t="str">
            <v>Aço ST 85/105 D=32mm</v>
          </cell>
          <cell r="E354" t="str">
            <v>m</v>
          </cell>
          <cell r="F354">
            <v>65.47</v>
          </cell>
        </row>
        <row r="355">
          <cell r="C355" t="str">
            <v>M393</v>
          </cell>
          <cell r="D355" t="str">
            <v>Placa de ancoragem - 200x200x38mm</v>
          </cell>
          <cell r="E355" t="str">
            <v>un</v>
          </cell>
          <cell r="F355">
            <v>108.36</v>
          </cell>
        </row>
        <row r="356">
          <cell r="C356" t="str">
            <v>M394</v>
          </cell>
          <cell r="D356" t="str">
            <v>Bainha metálica D=40mm</v>
          </cell>
          <cell r="E356" t="str">
            <v>m</v>
          </cell>
          <cell r="F356">
            <v>20.46</v>
          </cell>
        </row>
        <row r="357">
          <cell r="C357" t="str">
            <v>M401</v>
          </cell>
          <cell r="D357" t="str">
            <v>Pontaletes D=15 cm (tronco p/ esc.)</v>
          </cell>
          <cell r="E357" t="str">
            <v>m</v>
          </cell>
          <cell r="F357">
            <v>6.49</v>
          </cell>
        </row>
        <row r="358">
          <cell r="C358" t="str">
            <v>M402</v>
          </cell>
          <cell r="D358" t="str">
            <v>Pontaletes D=20 cm (tronco p/ esc.)</v>
          </cell>
          <cell r="E358" t="str">
            <v>m</v>
          </cell>
          <cell r="F358">
            <v>11.16</v>
          </cell>
        </row>
        <row r="359">
          <cell r="C359" t="str">
            <v>M403</v>
          </cell>
          <cell r="D359" t="str">
            <v>Mourão madeira H=2,10 m D=0,10 m</v>
          </cell>
          <cell r="E359" t="str">
            <v>un</v>
          </cell>
          <cell r="F359">
            <v>11.67</v>
          </cell>
        </row>
        <row r="360">
          <cell r="C360" t="str">
            <v>M404</v>
          </cell>
          <cell r="D360" t="str">
            <v>Mourão madeira H=2,20 m D=0,15 m</v>
          </cell>
          <cell r="E360" t="str">
            <v>un</v>
          </cell>
          <cell r="F360">
            <v>40.39</v>
          </cell>
        </row>
        <row r="361">
          <cell r="C361" t="str">
            <v>M406</v>
          </cell>
          <cell r="D361" t="str">
            <v>Caibros de 7,5 cm x 7,5 cm</v>
          </cell>
          <cell r="E361" t="str">
            <v>m</v>
          </cell>
          <cell r="F361">
            <v>13.88</v>
          </cell>
        </row>
        <row r="362">
          <cell r="C362" t="str">
            <v>M407</v>
          </cell>
          <cell r="D362" t="str">
            <v>Tábua de 1ª 2,5 cm x 15,0 cm</v>
          </cell>
          <cell r="E362" t="str">
            <v>m</v>
          </cell>
          <cell r="F362">
            <v>15.12</v>
          </cell>
        </row>
        <row r="363">
          <cell r="C363" t="str">
            <v>M408</v>
          </cell>
          <cell r="D363" t="str">
            <v>Tábua de 3ª 2,5 cm x 30,0 cm</v>
          </cell>
          <cell r="E363" t="str">
            <v>m</v>
          </cell>
          <cell r="F363">
            <v>9.15</v>
          </cell>
        </row>
        <row r="364">
          <cell r="C364" t="str">
            <v>M410</v>
          </cell>
          <cell r="D364" t="str">
            <v>Compensado resinado de 17 mm</v>
          </cell>
          <cell r="E364" t="str">
            <v>un</v>
          </cell>
          <cell r="F364">
            <v>20.276900000000001</v>
          </cell>
        </row>
        <row r="365">
          <cell r="C365" t="str">
            <v>M411</v>
          </cell>
          <cell r="D365" t="str">
            <v>Compensado plastificado de 17 mm</v>
          </cell>
          <cell r="E365" t="str">
            <v>un</v>
          </cell>
          <cell r="F365">
            <v>30.922599999999999</v>
          </cell>
        </row>
        <row r="366">
          <cell r="C366" t="str">
            <v>M412</v>
          </cell>
          <cell r="D366" t="str">
            <v>Gastalho 10 x 2,0 cm</v>
          </cell>
          <cell r="E366" t="str">
            <v>m</v>
          </cell>
          <cell r="F366">
            <v>2.31</v>
          </cell>
        </row>
        <row r="367">
          <cell r="C367" t="str">
            <v>M413</v>
          </cell>
          <cell r="D367" t="str">
            <v>Gastalho 10 x 2,5 cm</v>
          </cell>
          <cell r="E367" t="str">
            <v>m</v>
          </cell>
          <cell r="F367">
            <v>3.04</v>
          </cell>
        </row>
        <row r="368">
          <cell r="C368" t="str">
            <v>M414</v>
          </cell>
          <cell r="D368" t="str">
            <v>Pranchão 7,5 x 30,0 cm</v>
          </cell>
          <cell r="E368" t="str">
            <v>m</v>
          </cell>
          <cell r="F368">
            <v>45</v>
          </cell>
        </row>
        <row r="369">
          <cell r="C369" t="str">
            <v>M415</v>
          </cell>
          <cell r="D369" t="str">
            <v>Tábua 2,5 x 22,5 cm</v>
          </cell>
          <cell r="E369" t="str">
            <v>m</v>
          </cell>
          <cell r="F369">
            <v>5.72</v>
          </cell>
        </row>
        <row r="370">
          <cell r="C370" t="str">
            <v>M417</v>
          </cell>
          <cell r="D370" t="str">
            <v>Suporte Ecol. sinaliz. quadrado 8cm</v>
          </cell>
          <cell r="E370" t="str">
            <v>m</v>
          </cell>
          <cell r="F370">
            <v>29.09</v>
          </cell>
        </row>
        <row r="371">
          <cell r="C371" t="str">
            <v>M418</v>
          </cell>
          <cell r="D371" t="str">
            <v>Suporte Ecol. sinaliz. D=6,5cm</v>
          </cell>
          <cell r="E371" t="str">
            <v>m</v>
          </cell>
          <cell r="F371">
            <v>25.62</v>
          </cell>
        </row>
        <row r="372">
          <cell r="C372" t="str">
            <v>M501</v>
          </cell>
          <cell r="D372" t="str">
            <v>Dinamite a 60% (gelatina especial)</v>
          </cell>
          <cell r="E372" t="str">
            <v>kg</v>
          </cell>
          <cell r="F372">
            <v>6.9</v>
          </cell>
        </row>
        <row r="373">
          <cell r="C373" t="str">
            <v>M503</v>
          </cell>
          <cell r="D373" t="str">
            <v>Espoleta comum n. 8</v>
          </cell>
          <cell r="E373" t="str">
            <v>un</v>
          </cell>
          <cell r="F373">
            <v>2.3199999999999998</v>
          </cell>
        </row>
        <row r="374">
          <cell r="C374" t="str">
            <v>M505</v>
          </cell>
          <cell r="D374" t="str">
            <v>Cordel detonante NP 10</v>
          </cell>
          <cell r="E374" t="str">
            <v>m</v>
          </cell>
          <cell r="F374">
            <v>1.18</v>
          </cell>
        </row>
        <row r="375">
          <cell r="C375" t="str">
            <v>M507</v>
          </cell>
          <cell r="D375" t="str">
            <v>Retardador de cordel</v>
          </cell>
          <cell r="E375" t="str">
            <v>un</v>
          </cell>
          <cell r="F375">
            <v>17.12</v>
          </cell>
        </row>
        <row r="376">
          <cell r="C376" t="str">
            <v>M508</v>
          </cell>
          <cell r="D376" t="str">
            <v>Estopim</v>
          </cell>
          <cell r="E376" t="str">
            <v>m</v>
          </cell>
          <cell r="F376">
            <v>2.09</v>
          </cell>
        </row>
        <row r="377">
          <cell r="C377" t="str">
            <v>M601</v>
          </cell>
          <cell r="D377" t="str">
            <v>Tinta refletiva acrílica</v>
          </cell>
          <cell r="E377" t="str">
            <v>ba</v>
          </cell>
          <cell r="F377">
            <v>27.6967</v>
          </cell>
        </row>
        <row r="378">
          <cell r="C378" t="str">
            <v>M602</v>
          </cell>
          <cell r="D378" t="str">
            <v>Adubo NPK (4.14.8)</v>
          </cell>
          <cell r="E378" t="str">
            <v>kg</v>
          </cell>
          <cell r="F378">
            <v>1.28</v>
          </cell>
        </row>
        <row r="379">
          <cell r="C379" t="str">
            <v>M603</v>
          </cell>
          <cell r="D379" t="str">
            <v>Inseticida</v>
          </cell>
          <cell r="E379" t="str">
            <v>l</v>
          </cell>
          <cell r="F379">
            <v>37.82</v>
          </cell>
        </row>
        <row r="380">
          <cell r="C380" t="str">
            <v>M604</v>
          </cell>
          <cell r="D380" t="str">
            <v>Aditivo plastiment BV-40</v>
          </cell>
          <cell r="E380" t="str">
            <v>tam</v>
          </cell>
          <cell r="F380">
            <v>4.3819999999999997</v>
          </cell>
        </row>
        <row r="381">
          <cell r="C381" t="str">
            <v>M605</v>
          </cell>
          <cell r="D381" t="str">
            <v>Cola para tubo PVC</v>
          </cell>
          <cell r="E381" t="str">
            <v>tb</v>
          </cell>
          <cell r="F381">
            <v>4.65E-2</v>
          </cell>
        </row>
        <row r="382">
          <cell r="C382" t="str">
            <v>M606</v>
          </cell>
          <cell r="D382" t="str">
            <v>Tinta anti-corrosiva</v>
          </cell>
          <cell r="E382" t="str">
            <v>ba</v>
          </cell>
          <cell r="F382">
            <v>19.828900000000001</v>
          </cell>
        </row>
        <row r="383">
          <cell r="C383" t="str">
            <v>M607</v>
          </cell>
          <cell r="D383" t="str">
            <v>Óleo de linhaça</v>
          </cell>
          <cell r="E383" t="str">
            <v>tam</v>
          </cell>
          <cell r="F383">
            <v>10.065300000000001</v>
          </cell>
        </row>
        <row r="384">
          <cell r="C384" t="str">
            <v>M608</v>
          </cell>
          <cell r="D384" t="str">
            <v>Detergente</v>
          </cell>
          <cell r="E384" t="str">
            <v>ba</v>
          </cell>
          <cell r="F384">
            <v>2.5377999999999998</v>
          </cell>
        </row>
        <row r="385">
          <cell r="C385" t="str">
            <v>M609</v>
          </cell>
          <cell r="D385" t="str">
            <v>Tinta esmalte sintético semi-fosco</v>
          </cell>
          <cell r="E385" t="str">
            <v>ba</v>
          </cell>
          <cell r="F385">
            <v>16.0778</v>
          </cell>
        </row>
        <row r="386">
          <cell r="C386" t="str">
            <v>M611</v>
          </cell>
          <cell r="D386" t="str">
            <v>Redutor tipo 2002 prim. qualidade</v>
          </cell>
          <cell r="E386" t="str">
            <v>ba</v>
          </cell>
          <cell r="F386">
            <v>6.16</v>
          </cell>
        </row>
        <row r="387">
          <cell r="C387" t="str">
            <v>M612</v>
          </cell>
          <cell r="D387" t="str">
            <v>Lixa para ferro n. 100</v>
          </cell>
          <cell r="E387" t="str">
            <v>un</v>
          </cell>
          <cell r="F387">
            <v>1.42</v>
          </cell>
        </row>
        <row r="388">
          <cell r="C388" t="str">
            <v>M614</v>
          </cell>
          <cell r="D388" t="str">
            <v>Tinta base res. acrilica emul. agua</v>
          </cell>
          <cell r="E388" t="str">
            <v>ba</v>
          </cell>
          <cell r="F388">
            <v>19.5611</v>
          </cell>
        </row>
        <row r="389">
          <cell r="C389" t="str">
            <v>M615</v>
          </cell>
          <cell r="D389" t="str">
            <v>Microesferas PRE-MIX</v>
          </cell>
          <cell r="E389" t="str">
            <v>kg</v>
          </cell>
          <cell r="F389">
            <v>6.79</v>
          </cell>
        </row>
        <row r="390">
          <cell r="C390" t="str">
            <v>M616</v>
          </cell>
          <cell r="D390" t="str">
            <v>Microesferas DROP-ON</v>
          </cell>
          <cell r="E390" t="str">
            <v>kg</v>
          </cell>
          <cell r="F390">
            <v>6.61</v>
          </cell>
        </row>
        <row r="391">
          <cell r="C391" t="str">
            <v>M617</v>
          </cell>
          <cell r="D391" t="str">
            <v>Massa termoplástica para extrusão</v>
          </cell>
          <cell r="E391" t="str">
            <v>sc</v>
          </cell>
          <cell r="F391">
            <v>7.8167999999999997</v>
          </cell>
        </row>
        <row r="392">
          <cell r="C392" t="str">
            <v>M618</v>
          </cell>
          <cell r="D392" t="str">
            <v>Massa termoplástica para aspersão</v>
          </cell>
          <cell r="E392" t="str">
            <v>sc</v>
          </cell>
          <cell r="F392">
            <v>10.25</v>
          </cell>
        </row>
        <row r="393">
          <cell r="C393" t="str">
            <v>M619</v>
          </cell>
          <cell r="D393" t="str">
            <v>Cola poliester</v>
          </cell>
          <cell r="E393" t="str">
            <v>kg</v>
          </cell>
          <cell r="F393">
            <v>15.35</v>
          </cell>
        </row>
        <row r="394">
          <cell r="C394" t="str">
            <v>M620</v>
          </cell>
          <cell r="D394" t="str">
            <v>Protetor de cura do concreto</v>
          </cell>
          <cell r="E394" t="str">
            <v>tam</v>
          </cell>
          <cell r="F394">
            <v>6.8131000000000004</v>
          </cell>
        </row>
        <row r="395">
          <cell r="C395" t="str">
            <v>M621</v>
          </cell>
          <cell r="D395" t="str">
            <v>Desmoldante</v>
          </cell>
          <cell r="E395" t="str">
            <v>tam</v>
          </cell>
          <cell r="F395">
            <v>6.9871999999999996</v>
          </cell>
        </row>
        <row r="396">
          <cell r="C396" t="str">
            <v>M622</v>
          </cell>
          <cell r="D396" t="str">
            <v>Interplast N</v>
          </cell>
          <cell r="E396" t="str">
            <v>sc</v>
          </cell>
          <cell r="F396">
            <v>9.3015000000000008</v>
          </cell>
        </row>
        <row r="397">
          <cell r="C397" t="str">
            <v>M623</v>
          </cell>
          <cell r="D397" t="str">
            <v>Gás propano</v>
          </cell>
          <cell r="E397" t="str">
            <v>kg</v>
          </cell>
          <cell r="F397">
            <v>5</v>
          </cell>
        </row>
        <row r="398">
          <cell r="C398" t="str">
            <v>M624</v>
          </cell>
          <cell r="D398" t="str">
            <v>Tinta para pré-marcação</v>
          </cell>
          <cell r="E398" t="str">
            <v>ba</v>
          </cell>
          <cell r="F398">
            <v>19.5611</v>
          </cell>
        </row>
        <row r="399">
          <cell r="C399" t="str">
            <v>M625</v>
          </cell>
          <cell r="D399" t="str">
            <v>Acetileno</v>
          </cell>
          <cell r="E399" t="str">
            <v>kg</v>
          </cell>
          <cell r="F399">
            <v>39.880000000000003</v>
          </cell>
        </row>
        <row r="400">
          <cell r="C400" t="str">
            <v>M630</v>
          </cell>
          <cell r="D400" t="str">
            <v>Termoplástico pré-formado</v>
          </cell>
          <cell r="E400" t="str">
            <v>m2</v>
          </cell>
          <cell r="F400">
            <v>72.83</v>
          </cell>
        </row>
        <row r="401">
          <cell r="C401" t="str">
            <v>M700</v>
          </cell>
          <cell r="D401" t="str">
            <v>Tijolo comum (5,5x10x20) cm</v>
          </cell>
          <cell r="E401" t="str">
            <v>mlh</v>
          </cell>
          <cell r="F401">
            <v>0.6109</v>
          </cell>
        </row>
        <row r="402">
          <cell r="C402" t="str">
            <v>M702</v>
          </cell>
          <cell r="D402" t="str">
            <v>Cal hidratada</v>
          </cell>
          <cell r="E402" t="str">
            <v>sc</v>
          </cell>
          <cell r="F402">
            <v>0.46450000000000002</v>
          </cell>
        </row>
        <row r="403">
          <cell r="C403" t="str">
            <v>M703</v>
          </cell>
          <cell r="D403" t="str">
            <v>Tijolo 20 x 30 cm</v>
          </cell>
          <cell r="E403" t="str">
            <v>mlh</v>
          </cell>
          <cell r="F403">
            <v>0.87</v>
          </cell>
        </row>
        <row r="404">
          <cell r="C404" t="str">
            <v>M704</v>
          </cell>
          <cell r="D404" t="str">
            <v>Areia lavada</v>
          </cell>
          <cell r="E404" t="str">
            <v>m3</v>
          </cell>
          <cell r="F404">
            <v>65</v>
          </cell>
        </row>
        <row r="405">
          <cell r="C405" t="str">
            <v>M705</v>
          </cell>
          <cell r="D405" t="str">
            <v>Pó de pedra</v>
          </cell>
          <cell r="E405" t="str">
            <v>m3</v>
          </cell>
          <cell r="F405">
            <v>58.8</v>
          </cell>
        </row>
        <row r="406">
          <cell r="C406" t="str">
            <v>M709</v>
          </cell>
          <cell r="D406" t="str">
            <v>Brita corrida</v>
          </cell>
          <cell r="E406" t="str">
            <v>m3</v>
          </cell>
          <cell r="F406">
            <v>70.91</v>
          </cell>
        </row>
        <row r="407">
          <cell r="C407" t="str">
            <v>M710</v>
          </cell>
          <cell r="D407" t="str">
            <v>Pedra de mão</v>
          </cell>
          <cell r="E407" t="str">
            <v>m3</v>
          </cell>
          <cell r="F407">
            <v>80.5</v>
          </cell>
        </row>
        <row r="408">
          <cell r="C408" t="str">
            <v>M715</v>
          </cell>
          <cell r="D408" t="str">
            <v>Pó calcário dolomítico</v>
          </cell>
          <cell r="E408" t="str">
            <v>kg</v>
          </cell>
          <cell r="F408">
            <v>0.16</v>
          </cell>
        </row>
        <row r="409">
          <cell r="C409" t="str">
            <v>M801</v>
          </cell>
          <cell r="D409" t="str">
            <v>Mourão de concreto curvo p/cercas</v>
          </cell>
          <cell r="E409" t="str">
            <v>un</v>
          </cell>
          <cell r="F409">
            <v>37.799999999999997</v>
          </cell>
        </row>
        <row r="410">
          <cell r="C410" t="str">
            <v>M802</v>
          </cell>
          <cell r="D410" t="str">
            <v>Mourão de concreto reto p/cercas</v>
          </cell>
          <cell r="E410" t="str">
            <v>un</v>
          </cell>
          <cell r="F410">
            <v>38.14</v>
          </cell>
        </row>
        <row r="411">
          <cell r="C411" t="str">
            <v>M901</v>
          </cell>
          <cell r="D411" t="str">
            <v>Aparelho de apoio neoprene fretado</v>
          </cell>
          <cell r="E411" t="str">
            <v>dm3</v>
          </cell>
          <cell r="F411">
            <v>92.84</v>
          </cell>
        </row>
        <row r="412">
          <cell r="C412" t="str">
            <v>M902</v>
          </cell>
          <cell r="D412" t="str">
            <v>Tubo de PVC D=75 mm</v>
          </cell>
          <cell r="E412" t="str">
            <v>vr</v>
          </cell>
          <cell r="F412">
            <v>7.5266999999999999</v>
          </cell>
        </row>
        <row r="413">
          <cell r="C413" t="str">
            <v>M903</v>
          </cell>
          <cell r="D413" t="str">
            <v>Geotêxtil não tecido agulhado RT-09</v>
          </cell>
          <cell r="E413" t="str">
            <v>m2</v>
          </cell>
          <cell r="F413">
            <v>3.9</v>
          </cell>
        </row>
        <row r="414">
          <cell r="C414" t="str">
            <v>M904</v>
          </cell>
          <cell r="D414" t="str">
            <v>Geotêxtil não tecido agulhado RT-14</v>
          </cell>
          <cell r="E414" t="str">
            <v>m2</v>
          </cell>
          <cell r="F414">
            <v>6.02</v>
          </cell>
        </row>
        <row r="415">
          <cell r="C415" t="str">
            <v>M905</v>
          </cell>
          <cell r="D415" t="str">
            <v>Filler</v>
          </cell>
          <cell r="E415" t="str">
            <v>kg</v>
          </cell>
          <cell r="F415">
            <v>0.17</v>
          </cell>
        </row>
        <row r="416">
          <cell r="C416" t="str">
            <v>M906</v>
          </cell>
          <cell r="D416" t="str">
            <v>Sementes p/ hidrossemeadura</v>
          </cell>
          <cell r="E416" t="str">
            <v>kg</v>
          </cell>
          <cell r="F416">
            <v>10</v>
          </cell>
        </row>
        <row r="417">
          <cell r="C417" t="str">
            <v>M907</v>
          </cell>
          <cell r="D417" t="str">
            <v>Adubo Orgânico</v>
          </cell>
          <cell r="E417" t="str">
            <v>t</v>
          </cell>
          <cell r="F417">
            <v>0.16300000000000001</v>
          </cell>
        </row>
        <row r="418">
          <cell r="C418" t="str">
            <v>M908</v>
          </cell>
          <cell r="D418" t="str">
            <v>Eletrodo E7018</v>
          </cell>
          <cell r="E418" t="str">
            <v>kg</v>
          </cell>
          <cell r="F418">
            <v>21.06</v>
          </cell>
        </row>
        <row r="419">
          <cell r="C419" t="str">
            <v>M909</v>
          </cell>
          <cell r="D419" t="str">
            <v>Tubo de PVC perfurado D= 150 mm</v>
          </cell>
          <cell r="E419" t="str">
            <v>vr</v>
          </cell>
          <cell r="F419">
            <v>35.356699999999996</v>
          </cell>
        </row>
        <row r="420">
          <cell r="C420" t="str">
            <v>M910</v>
          </cell>
          <cell r="D420" t="str">
            <v>Tubo de PVC rígido D=50 mm</v>
          </cell>
          <cell r="E420" t="str">
            <v>vr</v>
          </cell>
          <cell r="F420">
            <v>5.1666999999999996</v>
          </cell>
        </row>
        <row r="421">
          <cell r="C421" t="str">
            <v>M911</v>
          </cell>
          <cell r="D421" t="str">
            <v>Tubo de PVC D=100 mm</v>
          </cell>
          <cell r="E421" t="str">
            <v>vr</v>
          </cell>
          <cell r="F421">
            <v>12.5083</v>
          </cell>
        </row>
        <row r="422">
          <cell r="C422" t="str">
            <v>M912</v>
          </cell>
          <cell r="D422" t="str">
            <v>Tubo dreno PEAD espiralado D=80mm</v>
          </cell>
          <cell r="E422" t="str">
            <v>rls</v>
          </cell>
          <cell r="F422">
            <v>13.02</v>
          </cell>
        </row>
        <row r="423">
          <cell r="C423" t="str">
            <v>M913</v>
          </cell>
          <cell r="D423" t="str">
            <v>Tubo dreno PEAD espiralado D=100mm</v>
          </cell>
          <cell r="E423" t="str">
            <v>rls</v>
          </cell>
          <cell r="F423">
            <v>16.62</v>
          </cell>
        </row>
        <row r="424">
          <cell r="C424" t="str">
            <v>M914</v>
          </cell>
          <cell r="D424" t="str">
            <v>Tubo dreno PEAD espiralado D= 170mm</v>
          </cell>
          <cell r="E424" t="str">
            <v>br</v>
          </cell>
          <cell r="F424">
            <v>39.013300000000001</v>
          </cell>
        </row>
        <row r="425">
          <cell r="C425" t="str">
            <v>M915</v>
          </cell>
          <cell r="D425" t="str">
            <v>Tubo dreno PEAD espiralado D= 230mm</v>
          </cell>
          <cell r="E425" t="str">
            <v>br</v>
          </cell>
          <cell r="F425">
            <v>63.06</v>
          </cell>
        </row>
        <row r="426">
          <cell r="C426" t="str">
            <v>M920</v>
          </cell>
          <cell r="D426" t="str">
            <v>Meio tubo de concreto D=40 cm</v>
          </cell>
          <cell r="E426" t="str">
            <v>m</v>
          </cell>
          <cell r="F426">
            <v>33.619999999999997</v>
          </cell>
        </row>
        <row r="427">
          <cell r="C427" t="str">
            <v>M921</v>
          </cell>
          <cell r="D427" t="str">
            <v>Gabião caixa 2X1X0,50m ZN/AL</v>
          </cell>
          <cell r="E427" t="str">
            <v>un</v>
          </cell>
          <cell r="F427">
            <v>174.06</v>
          </cell>
        </row>
        <row r="428">
          <cell r="C428" t="str">
            <v>M922</v>
          </cell>
          <cell r="D428" t="str">
            <v>Gabião caixa 2X1X1m ZN/AL</v>
          </cell>
          <cell r="E428" t="str">
            <v>un</v>
          </cell>
          <cell r="F428">
            <v>254.89</v>
          </cell>
        </row>
        <row r="429">
          <cell r="C429" t="str">
            <v>M923</v>
          </cell>
          <cell r="D429" t="str">
            <v>Gabião caixa 2X1X1m ZN/AL+PVC</v>
          </cell>
          <cell r="E429" t="str">
            <v>un</v>
          </cell>
          <cell r="F429">
            <v>306.45</v>
          </cell>
        </row>
        <row r="430">
          <cell r="C430" t="str">
            <v>M924</v>
          </cell>
          <cell r="D430" t="str">
            <v>Gabião caixa 2X1X0,50m ZN/AL+PVC</v>
          </cell>
          <cell r="E430" t="str">
            <v>un</v>
          </cell>
          <cell r="F430">
            <v>280.27</v>
          </cell>
        </row>
        <row r="431">
          <cell r="C431" t="str">
            <v>M925</v>
          </cell>
          <cell r="D431" t="str">
            <v>Gabião saco ZN/AL+PVC</v>
          </cell>
          <cell r="E431" t="str">
            <v>un</v>
          </cell>
          <cell r="F431">
            <v>164.38</v>
          </cell>
        </row>
        <row r="432">
          <cell r="C432" t="str">
            <v>M926</v>
          </cell>
          <cell r="D432" t="str">
            <v>Gabião colchão ZN/AL+PVC 4X2X0,23m</v>
          </cell>
          <cell r="E432" t="str">
            <v>un</v>
          </cell>
          <cell r="F432">
            <v>515.71</v>
          </cell>
        </row>
        <row r="433">
          <cell r="C433" t="str">
            <v>M927</v>
          </cell>
          <cell r="D433" t="str">
            <v>Gabião colchão ZN/AL+PVC 4X2X0,30m</v>
          </cell>
          <cell r="E433" t="str">
            <v>un</v>
          </cell>
          <cell r="F433">
            <v>848.34</v>
          </cell>
        </row>
        <row r="434">
          <cell r="C434" t="str">
            <v>M935</v>
          </cell>
          <cell r="D434" t="str">
            <v>Terra arm. ECE - greide 0&lt;h&lt;6m</v>
          </cell>
          <cell r="E434" t="str">
            <v>m2</v>
          </cell>
          <cell r="F434">
            <v>0</v>
          </cell>
        </row>
        <row r="435">
          <cell r="C435" t="str">
            <v>M936</v>
          </cell>
          <cell r="D435" t="str">
            <v>Terra arm. ECE - greide 6&lt;h&lt;9m</v>
          </cell>
          <cell r="E435" t="str">
            <v>m2</v>
          </cell>
          <cell r="F435">
            <v>0</v>
          </cell>
        </row>
        <row r="436">
          <cell r="C436" t="str">
            <v>M937</v>
          </cell>
          <cell r="D436" t="str">
            <v>Terra arm. ECE - greide 9&lt;h&lt;12m</v>
          </cell>
          <cell r="E436" t="str">
            <v>m2</v>
          </cell>
          <cell r="F436">
            <v>0</v>
          </cell>
        </row>
        <row r="437">
          <cell r="C437" t="str">
            <v>M938</v>
          </cell>
          <cell r="D437" t="str">
            <v>Terra arm. ECE- pé talude 0&lt;h&lt;6m</v>
          </cell>
          <cell r="E437" t="str">
            <v>m2</v>
          </cell>
          <cell r="F437">
            <v>0</v>
          </cell>
        </row>
        <row r="438">
          <cell r="C438" t="str">
            <v>M939</v>
          </cell>
          <cell r="D438" t="str">
            <v>Terra arm. ECE- pé talude 6&lt;h&lt;9m</v>
          </cell>
          <cell r="E438" t="str">
            <v>m2</v>
          </cell>
          <cell r="F438">
            <v>0</v>
          </cell>
        </row>
        <row r="439">
          <cell r="C439" t="str">
            <v>M940</v>
          </cell>
          <cell r="D439" t="str">
            <v>Terra arm. ECE- pé talude 9&lt;h&lt;12m</v>
          </cell>
          <cell r="E439" t="str">
            <v>m2</v>
          </cell>
          <cell r="F439">
            <v>0</v>
          </cell>
        </row>
        <row r="440">
          <cell r="C440" t="str">
            <v>M941</v>
          </cell>
          <cell r="D440" t="str">
            <v>Terra arm. ECE-enc. portante 0&lt;h&lt;6m</v>
          </cell>
          <cell r="E440" t="str">
            <v>m2</v>
          </cell>
          <cell r="F440">
            <v>0</v>
          </cell>
        </row>
        <row r="441">
          <cell r="C441" t="str">
            <v>M942</v>
          </cell>
          <cell r="D441" t="str">
            <v>Terra arm. ECE-enc. portante 6&lt;h&lt;9m</v>
          </cell>
          <cell r="E441" t="str">
            <v>m2</v>
          </cell>
          <cell r="F441">
            <v>0</v>
          </cell>
        </row>
        <row r="442">
          <cell r="C442" t="str">
            <v>M945</v>
          </cell>
          <cell r="D442" t="str">
            <v>Haste para perfuratriz de esteira</v>
          </cell>
          <cell r="E442" t="str">
            <v>un</v>
          </cell>
          <cell r="F442">
            <v>629.92999999999995</v>
          </cell>
        </row>
        <row r="443">
          <cell r="C443" t="str">
            <v>M946</v>
          </cell>
          <cell r="D443" t="str">
            <v>Luva para perfuratriz de esteira</v>
          </cell>
          <cell r="E443" t="str">
            <v>un</v>
          </cell>
          <cell r="F443">
            <v>159.93</v>
          </cell>
        </row>
        <row r="444">
          <cell r="C444" t="str">
            <v>M947</v>
          </cell>
          <cell r="D444" t="str">
            <v>Punho para perfuratriz de esteira</v>
          </cell>
          <cell r="E444" t="str">
            <v>un</v>
          </cell>
          <cell r="F444">
            <v>712.27</v>
          </cell>
        </row>
        <row r="445">
          <cell r="C445" t="str">
            <v>M948</v>
          </cell>
          <cell r="D445" t="str">
            <v>Coroa para perfuratriz de esteira</v>
          </cell>
          <cell r="E445" t="str">
            <v>un</v>
          </cell>
          <cell r="F445">
            <v>451.04</v>
          </cell>
        </row>
        <row r="446">
          <cell r="C446" t="str">
            <v>M949</v>
          </cell>
          <cell r="D446" t="str">
            <v>Disco diam. serra asfalto SD8-034</v>
          </cell>
          <cell r="E446" t="str">
            <v>un</v>
          </cell>
          <cell r="F446">
            <v>351.11</v>
          </cell>
        </row>
        <row r="447">
          <cell r="C447" t="str">
            <v>M950</v>
          </cell>
          <cell r="D447" t="str">
            <v>Coroa impregnada NWG</v>
          </cell>
          <cell r="E447" t="str">
            <v>un</v>
          </cell>
          <cell r="F447">
            <v>557.44000000000005</v>
          </cell>
        </row>
        <row r="448">
          <cell r="C448" t="str">
            <v>M951</v>
          </cell>
          <cell r="D448" t="str">
            <v>Calibrador diamantado NWG</v>
          </cell>
          <cell r="E448" t="str">
            <v>un</v>
          </cell>
          <cell r="F448">
            <v>968.44</v>
          </cell>
        </row>
        <row r="449">
          <cell r="C449" t="str">
            <v>M952</v>
          </cell>
          <cell r="D449" t="str">
            <v>Mola retentora NWG</v>
          </cell>
          <cell r="E449" t="str">
            <v>un</v>
          </cell>
          <cell r="F449">
            <v>41.27</v>
          </cell>
        </row>
        <row r="450">
          <cell r="C450" t="str">
            <v>M953</v>
          </cell>
          <cell r="D450" t="str">
            <v>Barrilete simples NGW5</v>
          </cell>
          <cell r="E450" t="str">
            <v>un</v>
          </cell>
          <cell r="F450">
            <v>750.02</v>
          </cell>
        </row>
        <row r="451">
          <cell r="C451" t="str">
            <v>M954</v>
          </cell>
          <cell r="D451" t="str">
            <v>Haste paredes paralelas c/ niples</v>
          </cell>
          <cell r="E451" t="str">
            <v>un</v>
          </cell>
          <cell r="F451">
            <v>157.79</v>
          </cell>
        </row>
        <row r="452">
          <cell r="C452" t="str">
            <v>M955</v>
          </cell>
          <cell r="D452" t="str">
            <v>Coroa pastilha NWG</v>
          </cell>
          <cell r="E452" t="str">
            <v>un</v>
          </cell>
          <cell r="F452">
            <v>965.03</v>
          </cell>
        </row>
        <row r="453">
          <cell r="C453" t="str">
            <v>M956</v>
          </cell>
          <cell r="D453" t="str">
            <v>Sapata pastilha NW</v>
          </cell>
          <cell r="E453" t="str">
            <v>un</v>
          </cell>
          <cell r="F453">
            <v>220.88</v>
          </cell>
        </row>
        <row r="454">
          <cell r="C454" t="str">
            <v>M957</v>
          </cell>
          <cell r="D454" t="str">
            <v>Revestimento NW10</v>
          </cell>
          <cell r="E454" t="str">
            <v>un</v>
          </cell>
          <cell r="F454">
            <v>238.02</v>
          </cell>
        </row>
        <row r="455">
          <cell r="C455" t="str">
            <v>M958</v>
          </cell>
          <cell r="D455" t="str">
            <v>Calibrador pastilha NWG</v>
          </cell>
          <cell r="E455" t="str">
            <v>un</v>
          </cell>
          <cell r="F455">
            <v>256.55</v>
          </cell>
        </row>
        <row r="456">
          <cell r="C456" t="str">
            <v>M960</v>
          </cell>
          <cell r="D456" t="str">
            <v>Fio de nylon n. 040</v>
          </cell>
          <cell r="E456" t="str">
            <v>rl</v>
          </cell>
          <cell r="F456">
            <v>1.4999999999999999E-2</v>
          </cell>
        </row>
        <row r="457">
          <cell r="C457" t="str">
            <v>M961</v>
          </cell>
          <cell r="D457" t="str">
            <v>Geocomposto Drenante Vertical</v>
          </cell>
          <cell r="E457" t="str">
            <v>m2</v>
          </cell>
          <cell r="F457">
            <v>17.760000000000002</v>
          </cell>
        </row>
        <row r="458">
          <cell r="C458" t="str">
            <v>M962</v>
          </cell>
          <cell r="D458" t="str">
            <v>Dreno Fibroquímico (geodreno)</v>
          </cell>
          <cell r="E458" t="str">
            <v>m</v>
          </cell>
          <cell r="F458">
            <v>4.13</v>
          </cell>
        </row>
        <row r="459">
          <cell r="C459" t="str">
            <v>M963</v>
          </cell>
          <cell r="D459" t="str">
            <v>Tela p/ cont. de erosão superficial</v>
          </cell>
          <cell r="E459" t="str">
            <v>m2</v>
          </cell>
          <cell r="F459">
            <v>27.66</v>
          </cell>
        </row>
        <row r="460">
          <cell r="C460" t="str">
            <v>M968</v>
          </cell>
          <cell r="D460" t="str">
            <v>Coroa p/ perfuratriz 4"</v>
          </cell>
          <cell r="E460" t="str">
            <v>un</v>
          </cell>
          <cell r="F460">
            <v>1680.99</v>
          </cell>
        </row>
        <row r="461">
          <cell r="C461" t="str">
            <v>M969</v>
          </cell>
          <cell r="D461" t="str">
            <v>Película refletiva lentes expostas</v>
          </cell>
          <cell r="E461" t="str">
            <v>m2</v>
          </cell>
          <cell r="F461">
            <v>91.95</v>
          </cell>
        </row>
        <row r="462">
          <cell r="C462" t="str">
            <v>M970</v>
          </cell>
          <cell r="D462" t="str">
            <v>Película refletiva lentes inclusas</v>
          </cell>
          <cell r="E462" t="str">
            <v>m2</v>
          </cell>
          <cell r="F462">
            <v>102.95</v>
          </cell>
        </row>
        <row r="463">
          <cell r="C463" t="str">
            <v>M972</v>
          </cell>
          <cell r="D463" t="str">
            <v>Tacha refletiva monodirecional</v>
          </cell>
          <cell r="E463" t="str">
            <v>un</v>
          </cell>
          <cell r="F463">
            <v>8.3000000000000007</v>
          </cell>
        </row>
        <row r="464">
          <cell r="C464" t="str">
            <v>M973</v>
          </cell>
          <cell r="D464" t="str">
            <v>Tacha refletiva bidirecional</v>
          </cell>
          <cell r="E464" t="str">
            <v>un</v>
          </cell>
          <cell r="F464">
            <v>12.15</v>
          </cell>
        </row>
        <row r="465">
          <cell r="C465" t="str">
            <v>M974</v>
          </cell>
          <cell r="D465" t="str">
            <v>Tachão refletivo monodirecional</v>
          </cell>
          <cell r="E465" t="str">
            <v>un</v>
          </cell>
          <cell r="F465">
            <v>30.7</v>
          </cell>
        </row>
        <row r="466">
          <cell r="C466" t="str">
            <v>M975</v>
          </cell>
          <cell r="D466" t="str">
            <v>Tachão refletivo bidirecional</v>
          </cell>
          <cell r="E466" t="str">
            <v>un</v>
          </cell>
          <cell r="F466">
            <v>31.9</v>
          </cell>
        </row>
        <row r="467">
          <cell r="C467" t="str">
            <v>M976</v>
          </cell>
          <cell r="D467" t="str">
            <v>Baguete limitador de polietileno</v>
          </cell>
          <cell r="E467" t="str">
            <v>m</v>
          </cell>
          <cell r="F467">
            <v>1.3</v>
          </cell>
        </row>
        <row r="468">
          <cell r="C468" t="str">
            <v>M977</v>
          </cell>
          <cell r="D468" t="str">
            <v>Selante asfáltico polimerizado</v>
          </cell>
          <cell r="E468" t="str">
            <v>l</v>
          </cell>
          <cell r="F468">
            <v>3.29</v>
          </cell>
        </row>
        <row r="469">
          <cell r="C469" t="str">
            <v>M980</v>
          </cell>
          <cell r="D469" t="str">
            <v>Indenização de jazida</v>
          </cell>
          <cell r="E469" t="str">
            <v>m3</v>
          </cell>
          <cell r="F469">
            <v>0.01</v>
          </cell>
        </row>
        <row r="470">
          <cell r="C470" t="str">
            <v>M982</v>
          </cell>
          <cell r="D470" t="str">
            <v>Isopor de 5cm de espessura</v>
          </cell>
          <cell r="E470" t="str">
            <v>m2</v>
          </cell>
          <cell r="F470">
            <v>12.73</v>
          </cell>
        </row>
        <row r="471">
          <cell r="C471" t="str">
            <v>M983</v>
          </cell>
          <cell r="D471" t="str">
            <v>Disco diam. p/ máq. de disco 6kW</v>
          </cell>
          <cell r="E471" t="str">
            <v>un</v>
          </cell>
          <cell r="F471">
            <v>269.76</v>
          </cell>
        </row>
        <row r="472">
          <cell r="C472" t="str">
            <v>M985</v>
          </cell>
          <cell r="D472" t="str">
            <v>Tubo plástico para purgadores</v>
          </cell>
          <cell r="E472" t="str">
            <v>m</v>
          </cell>
          <cell r="F472">
            <v>2.83</v>
          </cell>
        </row>
        <row r="473">
          <cell r="C473" t="str">
            <v>M986</v>
          </cell>
          <cell r="D473" t="str">
            <v>Tacha Refl. vidro temp. 180º brca</v>
          </cell>
          <cell r="E473" t="str">
            <v>un</v>
          </cell>
          <cell r="F473">
            <v>15.7</v>
          </cell>
        </row>
        <row r="474">
          <cell r="C474" t="str">
            <v>M987</v>
          </cell>
          <cell r="D474" t="str">
            <v>Tacha Refl. vidro temp. 360° brca</v>
          </cell>
          <cell r="E474" t="str">
            <v>un</v>
          </cell>
          <cell r="F474">
            <v>15.7</v>
          </cell>
        </row>
        <row r="475">
          <cell r="C475" t="str">
            <v>M988</v>
          </cell>
          <cell r="D475" t="str">
            <v>Tacha Refl. vidro temp. 360º amarel</v>
          </cell>
          <cell r="E475" t="str">
            <v>un</v>
          </cell>
          <cell r="F475">
            <v>18.05</v>
          </cell>
        </row>
        <row r="476">
          <cell r="C476" t="str">
            <v>M996</v>
          </cell>
          <cell r="D476" t="str">
            <v>Material Demolido</v>
          </cell>
          <cell r="E476" t="str">
            <v>t</v>
          </cell>
          <cell r="F476">
            <v>0</v>
          </cell>
        </row>
        <row r="477">
          <cell r="C477" t="str">
            <v>M997</v>
          </cell>
          <cell r="D477" t="str">
            <v>Material Fresado</v>
          </cell>
          <cell r="E477" t="str">
            <v>t</v>
          </cell>
          <cell r="F477">
            <v>0</v>
          </cell>
        </row>
        <row r="478">
          <cell r="C478" t="str">
            <v>M998</v>
          </cell>
          <cell r="D478" t="str">
            <v>Madeira</v>
          </cell>
          <cell r="E478" t="str">
            <v>t</v>
          </cell>
          <cell r="F478">
            <v>0</v>
          </cell>
        </row>
        <row r="479">
          <cell r="C479" t="str">
            <v>M999</v>
          </cell>
          <cell r="D479" t="str">
            <v>Material retirado da pista</v>
          </cell>
          <cell r="E479" t="str">
            <v>t</v>
          </cell>
          <cell r="F479">
            <v>0</v>
          </cell>
        </row>
      </sheetData>
      <sheetData sheetId="7">
        <row r="7">
          <cell r="A7" t="str">
            <v>T000</v>
          </cell>
          <cell r="C7" t="str">
            <v>Salário Mínimo</v>
          </cell>
          <cell r="E7">
            <v>1</v>
          </cell>
          <cell r="F7">
            <v>880</v>
          </cell>
          <cell r="G7">
            <v>768.85</v>
          </cell>
          <cell r="H7">
            <v>7.4947999999999997</v>
          </cell>
        </row>
        <row r="8">
          <cell r="A8" t="str">
            <v>T301</v>
          </cell>
          <cell r="C8" t="str">
            <v>Motorista de Veículo leve</v>
          </cell>
          <cell r="E8">
            <v>1.6400000000000001</v>
          </cell>
          <cell r="F8">
            <v>1452</v>
          </cell>
          <cell r="G8">
            <v>1268.6099999999999</v>
          </cell>
          <cell r="H8">
            <v>12.366400000000001</v>
          </cell>
        </row>
        <row r="9">
          <cell r="A9" t="str">
            <v>T302</v>
          </cell>
          <cell r="C9" t="str">
            <v>Motorista de Caminhão</v>
          </cell>
          <cell r="E9">
            <v>1.84</v>
          </cell>
          <cell r="F9">
            <v>1619.2</v>
          </cell>
          <cell r="G9">
            <v>1414.69</v>
          </cell>
          <cell r="H9">
            <v>13.7904</v>
          </cell>
        </row>
        <row r="10">
          <cell r="A10" t="str">
            <v>T303</v>
          </cell>
          <cell r="C10" t="str">
            <v>Motorista de Veículo Especial</v>
          </cell>
          <cell r="E10">
            <v>2.6</v>
          </cell>
          <cell r="F10">
            <v>2288</v>
          </cell>
          <cell r="G10">
            <v>1999.02</v>
          </cell>
          <cell r="H10">
            <v>19.486499999999999</v>
          </cell>
        </row>
        <row r="11">
          <cell r="A11" t="str">
            <v>T311</v>
          </cell>
          <cell r="C11" t="str">
            <v>Operador de equipamento leve 1</v>
          </cell>
          <cell r="E11">
            <v>1.69</v>
          </cell>
          <cell r="F11">
            <v>1487.2</v>
          </cell>
          <cell r="G11">
            <v>1299.3599999999999</v>
          </cell>
          <cell r="H11">
            <v>12.6662</v>
          </cell>
        </row>
        <row r="12">
          <cell r="A12" t="str">
            <v>T312</v>
          </cell>
          <cell r="C12" t="str">
            <v>Operador de equipamento leve 2</v>
          </cell>
          <cell r="E12">
            <v>1.84</v>
          </cell>
          <cell r="F12">
            <v>1619.2</v>
          </cell>
          <cell r="G12">
            <v>1414.69</v>
          </cell>
          <cell r="H12">
            <v>13.7904</v>
          </cell>
        </row>
        <row r="13">
          <cell r="A13" t="str">
            <v>T313</v>
          </cell>
          <cell r="C13" t="str">
            <v>Operador de equip. pesado</v>
          </cell>
          <cell r="E13">
            <v>2.4600000000000004</v>
          </cell>
          <cell r="F13">
            <v>2164.8000000000002</v>
          </cell>
          <cell r="G13">
            <v>1891.38</v>
          </cell>
          <cell r="H13">
            <v>18.437200000000001</v>
          </cell>
        </row>
        <row r="14">
          <cell r="A14" t="str">
            <v>T314</v>
          </cell>
          <cell r="C14" t="str">
            <v>Operador de equip. especial</v>
          </cell>
          <cell r="E14">
            <v>3.2</v>
          </cell>
          <cell r="F14">
            <v>2816</v>
          </cell>
          <cell r="G14">
            <v>2460.33</v>
          </cell>
          <cell r="H14">
            <v>23.9834</v>
          </cell>
        </row>
        <row r="15">
          <cell r="A15" t="str">
            <v>T401</v>
          </cell>
          <cell r="C15" t="str">
            <v>Pré marcador</v>
          </cell>
          <cell r="E15">
            <v>1.6300000000000001</v>
          </cell>
          <cell r="F15">
            <v>1513.6</v>
          </cell>
          <cell r="G15">
            <v>1322.43</v>
          </cell>
          <cell r="H15">
            <v>12.8911</v>
          </cell>
        </row>
        <row r="16">
          <cell r="A16" t="str">
            <v>T501</v>
          </cell>
          <cell r="C16" t="str">
            <v>Encarregado de Turma</v>
          </cell>
          <cell r="E16">
            <v>2.91</v>
          </cell>
          <cell r="F16">
            <v>2560.8000000000002</v>
          </cell>
          <cell r="G16">
            <v>2237.37</v>
          </cell>
          <cell r="H16">
            <v>21.809899999999999</v>
          </cell>
        </row>
        <row r="17">
          <cell r="A17" t="str">
            <v>T511</v>
          </cell>
          <cell r="C17" t="str">
            <v>Encarregado de Pavimentação</v>
          </cell>
          <cell r="E17">
            <v>4.7299999999999995</v>
          </cell>
          <cell r="F17">
            <v>4162.3999999999996</v>
          </cell>
          <cell r="G17">
            <v>3636.68</v>
          </cell>
          <cell r="H17">
            <v>35.450400000000002</v>
          </cell>
        </row>
        <row r="18">
          <cell r="A18" t="str">
            <v>T512</v>
          </cell>
          <cell r="C18" t="str">
            <v>Encarregado de britagem</v>
          </cell>
          <cell r="E18">
            <v>4.7299999999999995</v>
          </cell>
          <cell r="F18">
            <v>4162.3999999999996</v>
          </cell>
          <cell r="G18">
            <v>3636.68</v>
          </cell>
          <cell r="H18">
            <v>35.450400000000002</v>
          </cell>
        </row>
        <row r="19">
          <cell r="A19" t="str">
            <v>T601</v>
          </cell>
          <cell r="C19" t="str">
            <v>Blaster</v>
          </cell>
          <cell r="E19">
            <v>2.4600000000000004</v>
          </cell>
          <cell r="F19">
            <v>2164.8000000000002</v>
          </cell>
          <cell r="G19">
            <v>1891.38</v>
          </cell>
          <cell r="H19">
            <v>18.437200000000001</v>
          </cell>
        </row>
        <row r="20">
          <cell r="A20" t="str">
            <v>T602</v>
          </cell>
          <cell r="C20" t="str">
            <v>Montador</v>
          </cell>
          <cell r="E20">
            <v>1.6300000000000001</v>
          </cell>
          <cell r="F20">
            <v>1513.6</v>
          </cell>
          <cell r="G20">
            <v>1322.43</v>
          </cell>
          <cell r="H20">
            <v>12.8911</v>
          </cell>
        </row>
        <row r="21">
          <cell r="A21" t="str">
            <v>T603</v>
          </cell>
          <cell r="C21" t="str">
            <v>Carpinteiro</v>
          </cell>
          <cell r="E21">
            <v>1.6300000000000001</v>
          </cell>
          <cell r="F21">
            <v>1513.6</v>
          </cell>
          <cell r="G21">
            <v>1322.43</v>
          </cell>
          <cell r="H21">
            <v>12.8911</v>
          </cell>
        </row>
        <row r="22">
          <cell r="A22" t="str">
            <v>T604</v>
          </cell>
          <cell r="C22" t="str">
            <v>Pedreiro</v>
          </cell>
          <cell r="E22">
            <v>1.6300000000000001</v>
          </cell>
          <cell r="F22">
            <v>1513.6</v>
          </cell>
          <cell r="G22">
            <v>1322.43</v>
          </cell>
          <cell r="H22">
            <v>12.8911</v>
          </cell>
        </row>
        <row r="23">
          <cell r="A23" t="str">
            <v>T605</v>
          </cell>
          <cell r="C23" t="str">
            <v>Armador</v>
          </cell>
          <cell r="E23">
            <v>1.6300000000000001</v>
          </cell>
          <cell r="F23">
            <v>1513.6</v>
          </cell>
          <cell r="G23">
            <v>1322.43</v>
          </cell>
          <cell r="H23">
            <v>12.8911</v>
          </cell>
        </row>
        <row r="24">
          <cell r="A24" t="str">
            <v>T606</v>
          </cell>
          <cell r="C24" t="str">
            <v>Ferreiro</v>
          </cell>
          <cell r="E24">
            <v>1.6300000000000001</v>
          </cell>
          <cell r="F24">
            <v>1513.6</v>
          </cell>
          <cell r="G24">
            <v>1322.43</v>
          </cell>
          <cell r="H24">
            <v>12.8911</v>
          </cell>
        </row>
        <row r="25">
          <cell r="A25" t="str">
            <v>T607</v>
          </cell>
          <cell r="C25" t="str">
            <v>Pintor</v>
          </cell>
          <cell r="E25">
            <v>1.6300000000000001</v>
          </cell>
          <cell r="F25">
            <v>1513.6</v>
          </cell>
          <cell r="G25">
            <v>1322.43</v>
          </cell>
          <cell r="H25">
            <v>12.8911</v>
          </cell>
        </row>
        <row r="26">
          <cell r="A26" t="str">
            <v>T608</v>
          </cell>
          <cell r="C26" t="str">
            <v>Soldador</v>
          </cell>
          <cell r="E26">
            <v>2.0699999999999998</v>
          </cell>
          <cell r="F26">
            <v>1821.6</v>
          </cell>
          <cell r="G26">
            <v>1591.53</v>
          </cell>
          <cell r="H26">
            <v>15.514200000000001</v>
          </cell>
        </row>
        <row r="27">
          <cell r="A27" t="str">
            <v>T609</v>
          </cell>
          <cell r="C27" t="str">
            <v>Jardineiro</v>
          </cell>
          <cell r="E27">
            <v>1.6199999999999999</v>
          </cell>
          <cell r="F27">
            <v>1425.6</v>
          </cell>
          <cell r="G27">
            <v>1245.54</v>
          </cell>
          <cell r="H27">
            <v>12.1416</v>
          </cell>
        </row>
        <row r="28">
          <cell r="A28" t="str">
            <v>T610</v>
          </cell>
          <cell r="C28" t="str">
            <v>Serralheiro</v>
          </cell>
          <cell r="E28">
            <v>1.6300000000000001</v>
          </cell>
          <cell r="F28">
            <v>1513.6</v>
          </cell>
          <cell r="G28">
            <v>1322.43</v>
          </cell>
          <cell r="H28">
            <v>12.8911</v>
          </cell>
        </row>
        <row r="29">
          <cell r="A29" t="str">
            <v>T611</v>
          </cell>
          <cell r="C29" t="str">
            <v>Encanador</v>
          </cell>
          <cell r="E29">
            <v>1.6300000000000001</v>
          </cell>
          <cell r="F29">
            <v>1513.6</v>
          </cell>
          <cell r="G29">
            <v>1322.43</v>
          </cell>
          <cell r="H29">
            <v>12.8911</v>
          </cell>
        </row>
        <row r="30">
          <cell r="A30" t="str">
            <v>T701</v>
          </cell>
          <cell r="C30" t="str">
            <v>Servente</v>
          </cell>
          <cell r="E30">
            <v>1.1200000000000001</v>
          </cell>
          <cell r="F30">
            <v>1056</v>
          </cell>
          <cell r="G30">
            <v>922.62</v>
          </cell>
          <cell r="H30">
            <v>8.9938000000000002</v>
          </cell>
        </row>
        <row r="31">
          <cell r="A31" t="str">
            <v>T702</v>
          </cell>
          <cell r="C31" t="str">
            <v>Ajudante</v>
          </cell>
          <cell r="E31">
            <v>1.29</v>
          </cell>
          <cell r="F31">
            <v>1196.8</v>
          </cell>
          <cell r="G31">
            <v>1045.6400000000001</v>
          </cell>
          <cell r="H31">
            <v>10.1929</v>
          </cell>
        </row>
        <row r="32">
          <cell r="A32" t="str">
            <v>T801</v>
          </cell>
          <cell r="C32" t="str">
            <v>Perfurador de tubulão</v>
          </cell>
          <cell r="E32">
            <v>1.6300000000000001</v>
          </cell>
          <cell r="F32">
            <v>1513.6</v>
          </cell>
          <cell r="G32">
            <v>1322.43</v>
          </cell>
          <cell r="H32">
            <v>12.8911</v>
          </cell>
        </row>
      </sheetData>
      <sheetData sheetId="8">
        <row r="6">
          <cell r="A6" t="str">
            <v>E001</v>
          </cell>
          <cell r="B6" t="str">
            <v>Trator de Esteiras : New Holland : 7D - com lâmina</v>
          </cell>
          <cell r="C6">
            <v>362971.83</v>
          </cell>
          <cell r="D6">
            <v>18.437200000000001</v>
          </cell>
          <cell r="E6">
            <v>124.2702</v>
          </cell>
        </row>
        <row r="7">
          <cell r="A7" t="str">
            <v>E002</v>
          </cell>
          <cell r="B7" t="str">
            <v>Trator de Esteiras : Caterpillar : D6N - com lâmina</v>
          </cell>
          <cell r="C7">
            <v>786647.58</v>
          </cell>
          <cell r="D7">
            <v>18.437200000000001</v>
          </cell>
          <cell r="E7">
            <v>221.52080000000001</v>
          </cell>
        </row>
        <row r="8">
          <cell r="A8" t="str">
            <v>E003</v>
          </cell>
          <cell r="B8" t="str">
            <v>Trator de Esteiras : Caterpillar : D8T - com lâmina</v>
          </cell>
          <cell r="C8">
            <v>2185190.13</v>
          </cell>
          <cell r="D8">
            <v>18.437200000000001</v>
          </cell>
          <cell r="E8">
            <v>427.1662</v>
          </cell>
        </row>
        <row r="9">
          <cell r="A9" t="str">
            <v>E005</v>
          </cell>
          <cell r="B9" t="str">
            <v>Motoscraper : Caterpillar : 621H -</v>
          </cell>
          <cell r="C9">
            <v>3333838.17</v>
          </cell>
          <cell r="D9">
            <v>18.437200000000001</v>
          </cell>
          <cell r="E9">
            <v>572.49639999999999</v>
          </cell>
        </row>
        <row r="10">
          <cell r="A10" t="str">
            <v>E006</v>
          </cell>
          <cell r="B10" t="str">
            <v>Motoniveladora : Caterpillar : 120K -</v>
          </cell>
          <cell r="C10">
            <v>728195.44</v>
          </cell>
          <cell r="D10">
            <v>18.437200000000001</v>
          </cell>
          <cell r="E10">
            <v>175.21600000000001</v>
          </cell>
        </row>
        <row r="11">
          <cell r="A11" t="str">
            <v>E007</v>
          </cell>
          <cell r="B11" t="str">
            <v>Trator Agrícola : Massey Ferguson : MF 4291/4 449A -</v>
          </cell>
          <cell r="C11">
            <v>128865.14</v>
          </cell>
          <cell r="D11">
            <v>13.7904</v>
          </cell>
          <cell r="E11">
            <v>77.670199999999994</v>
          </cell>
        </row>
        <row r="12">
          <cell r="A12" t="str">
            <v>E009</v>
          </cell>
          <cell r="B12" t="str">
            <v>Carregadeira de Pneus : Caterpillar : 924H - 1,80 m3</v>
          </cell>
          <cell r="C12">
            <v>427189.22</v>
          </cell>
          <cell r="D12">
            <v>18.437200000000001</v>
          </cell>
          <cell r="E12">
            <v>138.94550000000001</v>
          </cell>
        </row>
        <row r="13">
          <cell r="A13" t="str">
            <v>E010</v>
          </cell>
          <cell r="B13" t="str">
            <v>Carregadeira de Pneus : Caterpillar : 950H - 3,3 m3</v>
          </cell>
          <cell r="C13">
            <v>824813.53</v>
          </cell>
          <cell r="D13">
            <v>18.437200000000001</v>
          </cell>
          <cell r="E13">
            <v>231.25919999999999</v>
          </cell>
        </row>
        <row r="14">
          <cell r="A14" t="str">
            <v>E011</v>
          </cell>
          <cell r="B14" t="str">
            <v>Retroescavadeira : Massey Ferguson : MF-86HS - de pneus</v>
          </cell>
          <cell r="C14">
            <v>179507.4</v>
          </cell>
          <cell r="D14">
            <v>18.437200000000001</v>
          </cell>
          <cell r="E14">
            <v>86.052300000000002</v>
          </cell>
        </row>
        <row r="15">
          <cell r="A15" t="str">
            <v>E013</v>
          </cell>
          <cell r="B15" t="str">
            <v>Rolo Compactador : Dynapac : CA-250-P - pé de carneiro autop. 11,25t vibrat</v>
          </cell>
          <cell r="C15">
            <v>358168.99</v>
          </cell>
          <cell r="D15">
            <v>13.7904</v>
          </cell>
          <cell r="E15">
            <v>120.4877</v>
          </cell>
        </row>
        <row r="16">
          <cell r="A16" t="str">
            <v>E014</v>
          </cell>
          <cell r="B16" t="str">
            <v>Trator de Esteiras : Caterpillar : D8T - com escarificador</v>
          </cell>
          <cell r="C16">
            <v>2168947.98</v>
          </cell>
          <cell r="D16">
            <v>18.437200000000001</v>
          </cell>
          <cell r="E16">
            <v>425.49689999999998</v>
          </cell>
        </row>
        <row r="17">
          <cell r="A17" t="str">
            <v>E016</v>
          </cell>
          <cell r="B17" t="str">
            <v>Carregadeira de Pneus : Case : W-20 E - 1,91 m3</v>
          </cell>
          <cell r="C17">
            <v>361407.47</v>
          </cell>
          <cell r="D17">
            <v>18.437200000000001</v>
          </cell>
          <cell r="E17">
            <v>139.77029999999999</v>
          </cell>
        </row>
        <row r="18">
          <cell r="A18" t="str">
            <v>E062</v>
          </cell>
          <cell r="B18" t="str">
            <v>Escavadeira Hidráulica : Caterpillar : 336DL - com esteira</v>
          </cell>
          <cell r="C18">
            <v>1040488.1</v>
          </cell>
          <cell r="D18">
            <v>23.9834</v>
          </cell>
          <cell r="E18">
            <v>298.85660000000001</v>
          </cell>
        </row>
        <row r="19">
          <cell r="A19" t="str">
            <v>E063</v>
          </cell>
          <cell r="B19" t="str">
            <v>Escavadeira Hidráulica : Caterpillar : 320DL - c/ est. - cap 600l p/ longo alcance</v>
          </cell>
          <cell r="C19">
            <v>943712.1</v>
          </cell>
          <cell r="D19">
            <v>23.9834</v>
          </cell>
          <cell r="E19">
            <v>226.72219999999999</v>
          </cell>
        </row>
        <row r="20">
          <cell r="A20" t="str">
            <v>E065</v>
          </cell>
          <cell r="B20" t="str">
            <v>Draga de Sucção : diversos : - p/ extração de Areia 6"</v>
          </cell>
          <cell r="C20">
            <v>412916.7</v>
          </cell>
          <cell r="D20">
            <v>0</v>
          </cell>
          <cell r="E20">
            <v>127.5312</v>
          </cell>
        </row>
        <row r="21">
          <cell r="A21" t="str">
            <v>E066</v>
          </cell>
          <cell r="B21" t="str">
            <v>Chata - 25m3 : diversos : - com rebocador</v>
          </cell>
          <cell r="C21">
            <v>561139.29</v>
          </cell>
          <cell r="D21">
            <v>19.486499999999999</v>
          </cell>
          <cell r="E21">
            <v>171.4744</v>
          </cell>
        </row>
        <row r="22">
          <cell r="A22" t="str">
            <v>E101</v>
          </cell>
          <cell r="B22" t="str">
            <v>Grade de Discos : Marchesan : - GA 24 x 24</v>
          </cell>
          <cell r="C22">
            <v>23159.360000000001</v>
          </cell>
          <cell r="D22">
            <v>0</v>
          </cell>
          <cell r="E22">
            <v>3.5897000000000001</v>
          </cell>
        </row>
        <row r="23">
          <cell r="A23" t="str">
            <v>E102</v>
          </cell>
          <cell r="B23" t="str">
            <v>Rolo Compactador : Dynapac : CC-424HF - Tanden vibrat. autoprop. 10,2 t</v>
          </cell>
          <cell r="C23">
            <v>400725.07</v>
          </cell>
          <cell r="D23">
            <v>13.7904</v>
          </cell>
          <cell r="E23">
            <v>127.3777</v>
          </cell>
        </row>
        <row r="24">
          <cell r="A24" t="str">
            <v>E104</v>
          </cell>
          <cell r="B24" t="str">
            <v>Rolo Compactador : Dynapac : CC-224HF - liso, tanden vibrat. autoprop. 7,7t</v>
          </cell>
          <cell r="C24">
            <v>686215.12</v>
          </cell>
          <cell r="D24">
            <v>13.7904</v>
          </cell>
          <cell r="E24">
            <v>160.53190000000001</v>
          </cell>
        </row>
        <row r="25">
          <cell r="A25" t="str">
            <v>E105</v>
          </cell>
          <cell r="B25" t="str">
            <v>Rolo Compactador : Caterpillar : PS-360 C - de pneus autoprop. 25 t</v>
          </cell>
          <cell r="C25">
            <v>566096.87</v>
          </cell>
          <cell r="D25">
            <v>13.7904</v>
          </cell>
          <cell r="E25">
            <v>145.73769999999999</v>
          </cell>
        </row>
        <row r="26">
          <cell r="A26" t="str">
            <v>E106</v>
          </cell>
          <cell r="B26" t="str">
            <v>Usina Misturadora : Cifali : - de solos 300 t/h</v>
          </cell>
          <cell r="C26">
            <v>768493.97</v>
          </cell>
          <cell r="D26">
            <v>23.9834</v>
          </cell>
          <cell r="E26">
            <v>111.8113</v>
          </cell>
        </row>
        <row r="27">
          <cell r="A27" t="str">
            <v>E107</v>
          </cell>
          <cell r="B27" t="str">
            <v>Vassoura Mecânica : CMV : VM 2440 - rebocável</v>
          </cell>
          <cell r="C27">
            <v>30772.34</v>
          </cell>
          <cell r="D27">
            <v>0</v>
          </cell>
          <cell r="E27">
            <v>4.6158000000000001</v>
          </cell>
        </row>
        <row r="28">
          <cell r="A28" t="str">
            <v>E108</v>
          </cell>
          <cell r="B28" t="str">
            <v>Distribuidor de Agregados : CMV : - rebocável</v>
          </cell>
          <cell r="C28">
            <v>37600.81</v>
          </cell>
          <cell r="D28">
            <v>0</v>
          </cell>
          <cell r="E28">
            <v>4.2112999999999996</v>
          </cell>
        </row>
        <row r="29">
          <cell r="A29" t="str">
            <v>E109</v>
          </cell>
          <cell r="B29" t="str">
            <v>Distribuidor de Agregados : Romanelli : DAR-5000 - autopropelido</v>
          </cell>
          <cell r="C29">
            <v>802692.73</v>
          </cell>
          <cell r="D29">
            <v>18.437200000000001</v>
          </cell>
          <cell r="E29">
            <v>172.54349999999999</v>
          </cell>
        </row>
        <row r="30">
          <cell r="A30" t="str">
            <v>E110</v>
          </cell>
          <cell r="B30" t="str">
            <v>Tanque de Estocagem de Asfalto : Cifali : - 30.000 l</v>
          </cell>
          <cell r="C30">
            <v>285989.11</v>
          </cell>
          <cell r="D30">
            <v>0</v>
          </cell>
          <cell r="E30">
            <v>20.019200000000001</v>
          </cell>
        </row>
        <row r="31">
          <cell r="A31" t="str">
            <v>E111</v>
          </cell>
          <cell r="B31" t="str">
            <v>Equip. Distribuição de Asfalto : Ferlex : - montado em caminhão</v>
          </cell>
          <cell r="C31">
            <v>377056.9</v>
          </cell>
          <cell r="D31">
            <v>13.7904</v>
          </cell>
          <cell r="E31">
            <v>133.8338</v>
          </cell>
        </row>
        <row r="32">
          <cell r="A32" t="str">
            <v>E112</v>
          </cell>
          <cell r="B32" t="str">
            <v>Aquecedor de Fluido Térmico : Tenge : TH III -</v>
          </cell>
          <cell r="C32">
            <v>196497.81</v>
          </cell>
          <cell r="D32">
            <v>0</v>
          </cell>
          <cell r="E32">
            <v>118.68729999999999</v>
          </cell>
        </row>
        <row r="33">
          <cell r="A33" t="str">
            <v>E113</v>
          </cell>
          <cell r="B33" t="str">
            <v>Usina de Asfalto a Quente : Cifali : DMC-2 - 40 / 60 t/h</v>
          </cell>
          <cell r="C33">
            <v>1888794.08</v>
          </cell>
          <cell r="D33">
            <v>0</v>
          </cell>
          <cell r="E33">
            <v>242.845</v>
          </cell>
        </row>
        <row r="34">
          <cell r="A34" t="str">
            <v>E114</v>
          </cell>
          <cell r="B34" t="str">
            <v>Vibro-acabadora de Asfalto : Cifali : VDA-421 - sobre pneus</v>
          </cell>
          <cell r="C34">
            <v>606466.93000000005</v>
          </cell>
          <cell r="D34">
            <v>23.9834</v>
          </cell>
          <cell r="E34">
            <v>145.91380000000001</v>
          </cell>
        </row>
        <row r="35">
          <cell r="A35" t="str">
            <v>E115</v>
          </cell>
          <cell r="B35" t="str">
            <v>Usina Misturadora : Terex : UPM F 60 - pré mist. a frio 60 t/h</v>
          </cell>
          <cell r="C35">
            <v>111706.86</v>
          </cell>
          <cell r="D35">
            <v>23.9834</v>
          </cell>
          <cell r="E35">
            <v>36.749899999999997</v>
          </cell>
        </row>
        <row r="36">
          <cell r="A36" t="str">
            <v>E116</v>
          </cell>
          <cell r="B36" t="str">
            <v>Usina Misturadora : Cifali : - pré mist. a frio 30/60 t/h</v>
          </cell>
          <cell r="C36">
            <v>92331.88</v>
          </cell>
          <cell r="D36">
            <v>23.9834</v>
          </cell>
          <cell r="E36">
            <v>34.535600000000002</v>
          </cell>
        </row>
        <row r="37">
          <cell r="A37" t="str">
            <v>E117</v>
          </cell>
          <cell r="B37" t="str">
            <v>Rolo Compactador : Muller : RT82H - estático Tanden autoprop. 8,9 t</v>
          </cell>
          <cell r="C37">
            <v>194668.43</v>
          </cell>
          <cell r="D37">
            <v>13.7904</v>
          </cell>
          <cell r="E37">
            <v>65.876400000000004</v>
          </cell>
        </row>
        <row r="38">
          <cell r="A38" t="str">
            <v>E118</v>
          </cell>
          <cell r="B38" t="str">
            <v>Rolo Compactador : Dynapac : CC900 - Tanden vibrat. 1,6 t</v>
          </cell>
          <cell r="C38">
            <v>142492.76999999999</v>
          </cell>
          <cell r="D38">
            <v>13.7904</v>
          </cell>
          <cell r="E38">
            <v>46.9587</v>
          </cell>
        </row>
        <row r="39">
          <cell r="A39" t="str">
            <v>E119</v>
          </cell>
          <cell r="B39" t="str">
            <v>Rolo Compactador : Dynapac : CP 224 - de pneus estat. autoprop. 21,00 t</v>
          </cell>
          <cell r="C39">
            <v>399247.13</v>
          </cell>
          <cell r="D39">
            <v>13.7904</v>
          </cell>
          <cell r="E39">
            <v>109.7492</v>
          </cell>
        </row>
        <row r="40">
          <cell r="A40" t="str">
            <v>E121</v>
          </cell>
          <cell r="B40" t="str">
            <v>Rolo Compactador : Dynapac : CA150 std - liso vibrat.autoprop. 7,0 t</v>
          </cell>
          <cell r="C40">
            <v>201417.93</v>
          </cell>
          <cell r="D40">
            <v>13.7904</v>
          </cell>
          <cell r="E40">
            <v>82.040899999999993</v>
          </cell>
        </row>
        <row r="41">
          <cell r="A41" t="str">
            <v>E122</v>
          </cell>
          <cell r="B41" t="str">
            <v>Equip. Distribuição Lama Asfáltica : M. Benz/Consmaq : 2726 K - montado em caminhão</v>
          </cell>
          <cell r="C41">
            <v>640253.96</v>
          </cell>
          <cell r="D41">
            <v>13.7904</v>
          </cell>
          <cell r="E41">
            <v>204.23679999999999</v>
          </cell>
        </row>
        <row r="42">
          <cell r="A42" t="str">
            <v>E123</v>
          </cell>
          <cell r="B42" t="str">
            <v>Caldeira de Asfalto Rebocável : ALMEIDA : CAD 1500 - 1200 l</v>
          </cell>
          <cell r="C42">
            <v>79137.63</v>
          </cell>
          <cell r="D42">
            <v>0</v>
          </cell>
          <cell r="E42">
            <v>12.3522</v>
          </cell>
        </row>
        <row r="43">
          <cell r="A43" t="str">
            <v>E126</v>
          </cell>
          <cell r="B43" t="str">
            <v>Fresadora a Frio : Wirtgen : W 100 -</v>
          </cell>
          <cell r="C43">
            <v>1100966.3999999999</v>
          </cell>
          <cell r="D43">
            <v>23.9834</v>
          </cell>
          <cell r="E43">
            <v>430.89929999999998</v>
          </cell>
        </row>
        <row r="44">
          <cell r="A44" t="str">
            <v>E127</v>
          </cell>
          <cell r="B44" t="str">
            <v>Fresadora a Frio : Wirtgen : W 200 -</v>
          </cell>
          <cell r="C44">
            <v>3159069.67</v>
          </cell>
          <cell r="D44">
            <v>23.9834</v>
          </cell>
          <cell r="E44">
            <v>1173.6642999999999</v>
          </cell>
        </row>
        <row r="45">
          <cell r="A45" t="str">
            <v>E129</v>
          </cell>
          <cell r="B45" t="str">
            <v>Recicladora de Pavimento : Wirtgen : WR 240 - A frio</v>
          </cell>
          <cell r="C45">
            <v>2416198.08</v>
          </cell>
          <cell r="D45">
            <v>23.9834</v>
          </cell>
          <cell r="E45">
            <v>729.16899999999998</v>
          </cell>
        </row>
        <row r="46">
          <cell r="A46" t="str">
            <v>E138</v>
          </cell>
          <cell r="B46" t="str">
            <v>Estabilizador/Recicladora a Frio : Caterpillar : RM-500 -</v>
          </cell>
          <cell r="C46">
            <v>2838053.27</v>
          </cell>
          <cell r="D46">
            <v>23.9834</v>
          </cell>
          <cell r="E46">
            <v>775.40300000000002</v>
          </cell>
        </row>
        <row r="47">
          <cell r="A47" t="str">
            <v>E139</v>
          </cell>
          <cell r="B47" t="str">
            <v>Rolo Compactador : Dynapac : CA250 - liso auto. vibrat.</v>
          </cell>
          <cell r="C47">
            <v>351261.32</v>
          </cell>
          <cell r="D47">
            <v>13.7904</v>
          </cell>
          <cell r="E47">
            <v>119.3693</v>
          </cell>
        </row>
        <row r="48">
          <cell r="A48" t="str">
            <v>E142</v>
          </cell>
          <cell r="B48" t="str">
            <v>Rolo Compactador : Dynapac : CP274 - de pneus</v>
          </cell>
          <cell r="C48">
            <v>407714.87</v>
          </cell>
          <cell r="D48">
            <v>13.7904</v>
          </cell>
          <cell r="E48">
            <v>111.4461</v>
          </cell>
        </row>
        <row r="49">
          <cell r="A49" t="str">
            <v>E147</v>
          </cell>
          <cell r="B49" t="str">
            <v>Usina de Asfalto a Quente : Cifali : Cifali Magnum 120 - 90/120 t/h com filtro de manga</v>
          </cell>
          <cell r="C49">
            <v>1446939.72</v>
          </cell>
          <cell r="D49">
            <v>23.9834</v>
          </cell>
          <cell r="E49">
            <v>210.01859999999999</v>
          </cell>
        </row>
        <row r="50">
          <cell r="A50" t="str">
            <v>E149</v>
          </cell>
          <cell r="B50" t="str">
            <v>Vibro-acabadora de Asfalto : Terex : TEREX VDA 600 - sobre esteiras</v>
          </cell>
          <cell r="C50">
            <v>695274.97</v>
          </cell>
          <cell r="D50">
            <v>23.9834</v>
          </cell>
          <cell r="E50">
            <v>162.0838</v>
          </cell>
        </row>
        <row r="51">
          <cell r="A51" t="str">
            <v>E156</v>
          </cell>
          <cell r="B51" t="str">
            <v>Carregadeira de Pneus : Case : SR 175 - c/ vassoura SPS 155 DA AGF</v>
          </cell>
          <cell r="C51">
            <v>101429.87</v>
          </cell>
          <cell r="D51">
            <v>18.437200000000001</v>
          </cell>
          <cell r="E51">
            <v>60.381700000000002</v>
          </cell>
        </row>
        <row r="52">
          <cell r="A52" t="str">
            <v>E160</v>
          </cell>
          <cell r="B52" t="str">
            <v>Fresadora e Distribuidora de solo : Gomaco : 9500 - para regular sub leito</v>
          </cell>
          <cell r="C52">
            <v>1664301.35</v>
          </cell>
          <cell r="D52">
            <v>23.9834</v>
          </cell>
          <cell r="E52">
            <v>469.08760000000001</v>
          </cell>
        </row>
        <row r="53">
          <cell r="A53" t="str">
            <v>E161</v>
          </cell>
          <cell r="B53" t="str">
            <v>Equip. Distr. de L.A. Rupt. Contr. : M. Benz/Cifali : MICROFLEX - acoplado a cavalo mecânico</v>
          </cell>
          <cell r="C53">
            <v>990563.05</v>
          </cell>
          <cell r="D53">
            <v>19.486499999999999</v>
          </cell>
          <cell r="E53">
            <v>326.52229999999997</v>
          </cell>
        </row>
        <row r="54">
          <cell r="A54" t="str">
            <v>E201</v>
          </cell>
          <cell r="B54" t="str">
            <v>Compressor de Ar : Atlas Copco : XAHS 157Pd - 295 PCM</v>
          </cell>
          <cell r="C54">
            <v>128862.52</v>
          </cell>
          <cell r="D54">
            <v>13.7904</v>
          </cell>
          <cell r="E54">
            <v>84.013400000000004</v>
          </cell>
        </row>
        <row r="55">
          <cell r="A55" t="str">
            <v>E202</v>
          </cell>
          <cell r="B55" t="str">
            <v>Compressor de Ar : Atlas Copco : XAS 187Pd - 400 PCM</v>
          </cell>
          <cell r="C55">
            <v>111628.97</v>
          </cell>
          <cell r="D55">
            <v>13.7904</v>
          </cell>
          <cell r="E55">
            <v>88.226200000000006</v>
          </cell>
        </row>
        <row r="56">
          <cell r="A56" t="str">
            <v>E203</v>
          </cell>
          <cell r="B56" t="str">
            <v>Compressor de Ar : Atlas Copco : XAS 360 CUD - 762 PCM</v>
          </cell>
          <cell r="C56">
            <v>261121.35</v>
          </cell>
          <cell r="D56">
            <v>13.7904</v>
          </cell>
          <cell r="E56">
            <v>150.2388</v>
          </cell>
        </row>
        <row r="57">
          <cell r="A57" t="str">
            <v>E204</v>
          </cell>
          <cell r="B57" t="str">
            <v>Martelete : Atlas Copco : RH658-6L - perfuratriz manual</v>
          </cell>
          <cell r="C57">
            <v>10701.47</v>
          </cell>
          <cell r="D57">
            <v>12.6662</v>
          </cell>
          <cell r="E57">
            <v>14.4498</v>
          </cell>
        </row>
        <row r="58">
          <cell r="A58" t="str">
            <v>E205</v>
          </cell>
          <cell r="B58" t="str">
            <v>Perfuratriz sobre Esteiras : Atlas Copco : ROC 442PC - Crawler Drill</v>
          </cell>
          <cell r="C58">
            <v>121048.55</v>
          </cell>
          <cell r="D58">
            <v>13.7904</v>
          </cell>
          <cell r="E58">
            <v>33.9651</v>
          </cell>
        </row>
        <row r="59">
          <cell r="A59" t="str">
            <v>E208</v>
          </cell>
          <cell r="B59" t="str">
            <v>Compressor de Ar : Atlas Copco : XAHS 107Pd - 200 PCM</v>
          </cell>
          <cell r="C59">
            <v>110083.35</v>
          </cell>
          <cell r="D59">
            <v>13.7904</v>
          </cell>
          <cell r="E59">
            <v>64.257900000000006</v>
          </cell>
        </row>
        <row r="60">
          <cell r="A60" t="str">
            <v>E209</v>
          </cell>
          <cell r="B60" t="str">
            <v>Martelete : Atlas Copco : TEX270 PS - rompedor 28 kg</v>
          </cell>
          <cell r="C60">
            <v>9248.76</v>
          </cell>
          <cell r="D60">
            <v>12.6662</v>
          </cell>
          <cell r="E60">
            <v>14.207700000000001</v>
          </cell>
        </row>
        <row r="61">
          <cell r="A61" t="str">
            <v>E210</v>
          </cell>
          <cell r="B61" t="str">
            <v>Martelete : Atlas Copco : TEX32 PS - rompedor 33 kg</v>
          </cell>
          <cell r="C61">
            <v>9715.1</v>
          </cell>
          <cell r="D61">
            <v>12.6662</v>
          </cell>
          <cell r="E61">
            <v>14.285399999999999</v>
          </cell>
        </row>
        <row r="62">
          <cell r="A62" t="str">
            <v>E211</v>
          </cell>
          <cell r="B62" t="str">
            <v>Máquina para Pintura : Shulz : CSL 10/100 L - compres. de ar p/ pintura c/ filtro</v>
          </cell>
          <cell r="C62">
            <v>2092.41</v>
          </cell>
          <cell r="D62">
            <v>0</v>
          </cell>
          <cell r="E62">
            <v>1.4678</v>
          </cell>
        </row>
        <row r="63">
          <cell r="A63" t="str">
            <v>E223</v>
          </cell>
          <cell r="B63" t="str">
            <v>Compressor de Ar : Atlas Copco : XATS 167Pd - 360 PCM</v>
          </cell>
          <cell r="C63">
            <v>126177.09</v>
          </cell>
          <cell r="D63">
            <v>13.7904</v>
          </cell>
          <cell r="E63">
            <v>84.245599999999996</v>
          </cell>
        </row>
        <row r="64">
          <cell r="A64" t="str">
            <v>E225</v>
          </cell>
          <cell r="B64" t="str">
            <v>Conjunto de Britagem : Metso Svedala : C96/HP-200 - 80 m3/h</v>
          </cell>
          <cell r="C64">
            <v>4355317.6399999997</v>
          </cell>
          <cell r="D64">
            <v>18.437200000000001</v>
          </cell>
          <cell r="E64">
            <v>642.2604</v>
          </cell>
        </row>
        <row r="65">
          <cell r="A65" t="str">
            <v>E226</v>
          </cell>
          <cell r="B65" t="str">
            <v>Conjunto de Britagem - p/ rachão : Metso Svedala : DS-96 - 80 m3/h  p/ produção de rachão</v>
          </cell>
          <cell r="C65">
            <v>1393463.27</v>
          </cell>
          <cell r="D65">
            <v>18.437200000000001</v>
          </cell>
          <cell r="E65">
            <v>236.07689999999999</v>
          </cell>
        </row>
        <row r="66">
          <cell r="A66" t="str">
            <v>E301</v>
          </cell>
          <cell r="B66" t="str">
            <v>Betoneira : Menegotti : - 400 l</v>
          </cell>
          <cell r="C66">
            <v>4758.5</v>
          </cell>
          <cell r="D66">
            <v>13.7904</v>
          </cell>
          <cell r="E66">
            <v>17.440200000000001</v>
          </cell>
        </row>
        <row r="67">
          <cell r="A67" t="str">
            <v>E302</v>
          </cell>
          <cell r="B67" t="str">
            <v>Betoneira : Menegotti : - 400 l</v>
          </cell>
          <cell r="C67">
            <v>3453.58</v>
          </cell>
          <cell r="D67">
            <v>13.7904</v>
          </cell>
          <cell r="E67">
            <v>16.561699999999998</v>
          </cell>
        </row>
        <row r="68">
          <cell r="A68" t="str">
            <v>E303</v>
          </cell>
          <cell r="B68" t="str">
            <v>Betoneira : Alfa : - 750 l</v>
          </cell>
          <cell r="C68">
            <v>38221.760000000002</v>
          </cell>
          <cell r="D68">
            <v>13.7904</v>
          </cell>
          <cell r="E68">
            <v>24.610700000000001</v>
          </cell>
        </row>
        <row r="69">
          <cell r="A69" t="str">
            <v>E304</v>
          </cell>
          <cell r="B69" t="str">
            <v>Transportador Manual : AJS : - carrinho de mão 80 l</v>
          </cell>
          <cell r="C69">
            <v>153.11000000000001</v>
          </cell>
          <cell r="D69">
            <v>0</v>
          </cell>
          <cell r="E69">
            <v>0.22209999999999999</v>
          </cell>
        </row>
        <row r="70">
          <cell r="A70" t="str">
            <v>E305</v>
          </cell>
          <cell r="B70" t="str">
            <v>Transportador Manual : AJS : A-15 - gerica 180 l</v>
          </cell>
          <cell r="C70">
            <v>371.58</v>
          </cell>
          <cell r="D70">
            <v>0</v>
          </cell>
          <cell r="E70">
            <v>0.53879999999999995</v>
          </cell>
        </row>
        <row r="71">
          <cell r="A71" t="str">
            <v>E306</v>
          </cell>
          <cell r="B71" t="str">
            <v>Vibrador de Concreto : diversos : VIP-MT2 - de imersão</v>
          </cell>
          <cell r="C71">
            <v>1807.48</v>
          </cell>
          <cell r="D71">
            <v>12.6662</v>
          </cell>
          <cell r="E71">
            <v>14.179600000000001</v>
          </cell>
        </row>
        <row r="72">
          <cell r="A72" t="str">
            <v>E307</v>
          </cell>
          <cell r="B72" t="str">
            <v>Fábric. Pré-Moldado Concreto : Servimaq : - tubos  D=0,2</v>
          </cell>
          <cell r="C72">
            <v>16420.61</v>
          </cell>
          <cell r="D72">
            <v>0</v>
          </cell>
          <cell r="E72">
            <v>5.2442000000000002</v>
          </cell>
        </row>
        <row r="73">
          <cell r="A73" t="str">
            <v>E308</v>
          </cell>
          <cell r="B73" t="str">
            <v>Fábric. Pré-Moldado Concreto : Servimaq : - tubos  D=0,3 m M / F</v>
          </cell>
          <cell r="C73">
            <v>18132.73</v>
          </cell>
          <cell r="D73">
            <v>0</v>
          </cell>
          <cell r="E73">
            <v>5.6722999999999999</v>
          </cell>
        </row>
        <row r="74">
          <cell r="A74" t="str">
            <v>E309</v>
          </cell>
          <cell r="B74" t="str">
            <v>Fábric. Pré-Moldado Concreto : Servimaq : - tubos  D=0,4 m M / F</v>
          </cell>
          <cell r="C74">
            <v>19349.37</v>
          </cell>
          <cell r="D74">
            <v>0</v>
          </cell>
          <cell r="E74">
            <v>5.9764999999999997</v>
          </cell>
        </row>
        <row r="75">
          <cell r="A75" t="str">
            <v>E310</v>
          </cell>
          <cell r="B75" t="str">
            <v>Fábric. Pré-Moldado Concreto : Servimaq : - tubos  D=0,6 m M / F</v>
          </cell>
          <cell r="C75">
            <v>23209.87</v>
          </cell>
          <cell r="D75">
            <v>0</v>
          </cell>
          <cell r="E75">
            <v>6.9416000000000002</v>
          </cell>
        </row>
        <row r="76">
          <cell r="A76" t="str">
            <v>E311</v>
          </cell>
          <cell r="B76" t="str">
            <v>Fábric. Pré-Moldado Concreto : Servimaq : - tubos  D=0,8 m M / F</v>
          </cell>
          <cell r="C76">
            <v>25015.84</v>
          </cell>
          <cell r="D76">
            <v>0</v>
          </cell>
          <cell r="E76">
            <v>7.3930999999999996</v>
          </cell>
        </row>
        <row r="77">
          <cell r="A77" t="str">
            <v>E312</v>
          </cell>
          <cell r="B77" t="str">
            <v>Fábric. Pré-Moldado Concreto : Servimaq : - tubos  D=1,0 m M / F</v>
          </cell>
          <cell r="C77">
            <v>26841.919999999998</v>
          </cell>
          <cell r="D77">
            <v>0</v>
          </cell>
          <cell r="E77">
            <v>7.8495999999999997</v>
          </cell>
        </row>
        <row r="78">
          <cell r="A78" t="str">
            <v>E313</v>
          </cell>
          <cell r="B78" t="str">
            <v>Fábric. Pré-Moldado Concreto : Servimaq : - tubos  D=1,2 m M / F</v>
          </cell>
          <cell r="C78">
            <v>26462.05</v>
          </cell>
          <cell r="D78">
            <v>0</v>
          </cell>
          <cell r="E78">
            <v>7.7546999999999997</v>
          </cell>
        </row>
        <row r="79">
          <cell r="A79" t="str">
            <v>E314</v>
          </cell>
          <cell r="B79" t="str">
            <v>Fábric. Pré-Moldado Concreto : Servimaq : - tubos  D=1,5 m M / F</v>
          </cell>
          <cell r="C79">
            <v>25131.01</v>
          </cell>
          <cell r="D79">
            <v>0</v>
          </cell>
          <cell r="E79">
            <v>7.4218999999999999</v>
          </cell>
        </row>
        <row r="80">
          <cell r="A80" t="str">
            <v>E316</v>
          </cell>
          <cell r="B80" t="str">
            <v>Fábric. Pré-Moldado Concreto : Servimaq : - inst. compl. - mourão</v>
          </cell>
          <cell r="C80">
            <v>9789.32</v>
          </cell>
          <cell r="D80">
            <v>0</v>
          </cell>
          <cell r="E80">
            <v>2.4472999999999998</v>
          </cell>
        </row>
        <row r="81">
          <cell r="A81" t="str">
            <v>E317</v>
          </cell>
          <cell r="B81" t="str">
            <v>Fábric. Pré-Moldado Concreto : Servimaq : - inst. compl. - balizador</v>
          </cell>
          <cell r="C81">
            <v>11690.26</v>
          </cell>
          <cell r="D81">
            <v>0</v>
          </cell>
          <cell r="E81">
            <v>2.9224999999999999</v>
          </cell>
        </row>
        <row r="82">
          <cell r="A82" t="str">
            <v>E318</v>
          </cell>
          <cell r="B82" t="str">
            <v>Fábric. Pré-Moldado Concreto : Servimaq : - inst. compl. - guarda-corpo</v>
          </cell>
          <cell r="C82">
            <v>14547.36</v>
          </cell>
          <cell r="D82">
            <v>0</v>
          </cell>
          <cell r="E82">
            <v>3.6368</v>
          </cell>
        </row>
        <row r="83">
          <cell r="A83" t="str">
            <v>E330</v>
          </cell>
          <cell r="B83" t="str">
            <v>Espalhadora de concreto : Gomaco : PS 2600 -</v>
          </cell>
          <cell r="C83">
            <v>1638987.23</v>
          </cell>
          <cell r="D83">
            <v>23.9834</v>
          </cell>
          <cell r="E83">
            <v>388.38940000000002</v>
          </cell>
        </row>
        <row r="84">
          <cell r="A84" t="str">
            <v>E331</v>
          </cell>
          <cell r="B84" t="str">
            <v>Acabadora de concreto : Gomaco : GP-2600 - com forma deslizante</v>
          </cell>
          <cell r="C84">
            <v>2368511.67</v>
          </cell>
          <cell r="D84">
            <v>23.9834</v>
          </cell>
          <cell r="E84">
            <v>524.71529999999996</v>
          </cell>
        </row>
        <row r="85">
          <cell r="A85" t="str">
            <v>E332</v>
          </cell>
          <cell r="B85" t="str">
            <v>Texturizadora e Lançadora : Gomaco : TC 400 - sem estação meteorológica</v>
          </cell>
          <cell r="C85">
            <v>583420.41</v>
          </cell>
          <cell r="D85">
            <v>13.7904</v>
          </cell>
          <cell r="E85">
            <v>140.9956</v>
          </cell>
        </row>
        <row r="86">
          <cell r="A86" t="str">
            <v>E333</v>
          </cell>
          <cell r="B86" t="str">
            <v>Serra de Disco Diamantado : Norton : C13-E - para concreto</v>
          </cell>
          <cell r="C86">
            <v>5253.48</v>
          </cell>
          <cell r="D86">
            <v>12.6662</v>
          </cell>
          <cell r="E86">
            <v>28.7227</v>
          </cell>
        </row>
        <row r="87">
          <cell r="A87" t="str">
            <v>E334</v>
          </cell>
          <cell r="B87" t="str">
            <v>Seladora de Juntas : Crafco : EZ Serie ll 500 -</v>
          </cell>
          <cell r="C87">
            <v>780859.88</v>
          </cell>
          <cell r="D87">
            <v>12.6662</v>
          </cell>
          <cell r="E87">
            <v>143.94380000000001</v>
          </cell>
        </row>
        <row r="88">
          <cell r="A88" t="str">
            <v>E335</v>
          </cell>
          <cell r="B88" t="str">
            <v>Central de Concreto : CIBI : UNI-5 - 180m3 / h - dosadora e misturadora.</v>
          </cell>
          <cell r="C88">
            <v>3388225.19</v>
          </cell>
          <cell r="D88">
            <v>23.9834</v>
          </cell>
          <cell r="E88">
            <v>470.48410000000001</v>
          </cell>
        </row>
        <row r="89">
          <cell r="A89" t="str">
            <v>E336</v>
          </cell>
          <cell r="B89" t="str">
            <v>Serra de Disco Diamantado : CSM - Maq. e Equip. para Construção : SP-8 (gasolina) - serra para cortar piso/asfalto</v>
          </cell>
          <cell r="C89">
            <v>5769.37</v>
          </cell>
          <cell r="D89">
            <v>0</v>
          </cell>
          <cell r="E89">
            <v>4.7271000000000001</v>
          </cell>
        </row>
        <row r="90">
          <cell r="A90" t="str">
            <v>E337</v>
          </cell>
          <cell r="B90" t="str">
            <v>Régua vibratória : Weber : RV 4 - 4,25m</v>
          </cell>
          <cell r="C90">
            <v>3139.44</v>
          </cell>
          <cell r="D90">
            <v>12.6662</v>
          </cell>
          <cell r="E90">
            <v>15.7202</v>
          </cell>
        </row>
        <row r="91">
          <cell r="A91" t="str">
            <v>E338</v>
          </cell>
          <cell r="B91" t="str">
            <v>Serra de Juntas : Clipper : DRW Clipper C 13 E - para concreto</v>
          </cell>
          <cell r="C91">
            <v>9263.58</v>
          </cell>
          <cell r="D91">
            <v>12.6662</v>
          </cell>
          <cell r="E91">
            <v>23.6584</v>
          </cell>
        </row>
        <row r="92">
          <cell r="A92" t="str">
            <v>E339</v>
          </cell>
          <cell r="B92" t="str">
            <v>Fábric. Pré-Moldado Concreto : Servimaq : - placas p/ pavimento</v>
          </cell>
          <cell r="C92">
            <v>16111.16</v>
          </cell>
          <cell r="D92">
            <v>0</v>
          </cell>
          <cell r="E92">
            <v>4.0278999999999998</v>
          </cell>
        </row>
        <row r="93">
          <cell r="A93" t="str">
            <v>E340</v>
          </cell>
          <cell r="B93" t="str">
            <v>Jateadora de Areia : Anco : Anco Blast CSS270 - pressurizado</v>
          </cell>
          <cell r="C93">
            <v>12012.34</v>
          </cell>
          <cell r="D93">
            <v>12.6662</v>
          </cell>
          <cell r="E93">
            <v>16.370100000000001</v>
          </cell>
        </row>
        <row r="94">
          <cell r="A94" t="str">
            <v>E343</v>
          </cell>
          <cell r="B94" t="str">
            <v>Betoneira : Menegotti : CSN CS - 600 l</v>
          </cell>
          <cell r="C94">
            <v>11375.67</v>
          </cell>
          <cell r="D94">
            <v>13.7904</v>
          </cell>
          <cell r="E94">
            <v>24.9255</v>
          </cell>
        </row>
        <row r="95">
          <cell r="A95" t="str">
            <v>E400</v>
          </cell>
          <cell r="B95" t="str">
            <v>Caminhão Basculante : Mercedes Benz : ATEGO 1518/36 - 5 m3 - 8,8 t</v>
          </cell>
          <cell r="C95">
            <v>210218.49</v>
          </cell>
          <cell r="D95">
            <v>13.7904</v>
          </cell>
          <cell r="E95">
            <v>94.553299999999993</v>
          </cell>
        </row>
        <row r="96">
          <cell r="A96" t="str">
            <v>E401</v>
          </cell>
          <cell r="B96" t="str">
            <v>Caminhão Carroceria : M. Benz / Rodoeixo : Standart p/ 5,50 m3 - caminhão c/ caçamba termica</v>
          </cell>
          <cell r="C96">
            <v>271277.12</v>
          </cell>
          <cell r="D96">
            <v>13.7904</v>
          </cell>
          <cell r="E96">
            <v>104.7993</v>
          </cell>
        </row>
        <row r="97">
          <cell r="A97" t="str">
            <v>E402</v>
          </cell>
          <cell r="B97" t="str">
            <v>Caminhão Carroceria : Mercedes Benz : 2726 K - de madeira 15 t</v>
          </cell>
          <cell r="C97">
            <v>326987.96999999997</v>
          </cell>
          <cell r="D97">
            <v>13.7904</v>
          </cell>
          <cell r="E97">
            <v>154.39150000000001</v>
          </cell>
        </row>
        <row r="98">
          <cell r="A98" t="str">
            <v>E403</v>
          </cell>
          <cell r="B98" t="str">
            <v>Caminhão Basculante : Mercedes Benz : LK 1620 - 6 m3 - 10,5 t</v>
          </cell>
          <cell r="C98">
            <v>261214.06</v>
          </cell>
          <cell r="D98">
            <v>13.7904</v>
          </cell>
          <cell r="E98">
            <v>126.6765</v>
          </cell>
        </row>
        <row r="99">
          <cell r="A99" t="str">
            <v>E404</v>
          </cell>
          <cell r="B99" t="str">
            <v>Caminhão Basculante : Mercedes Benz : 2726 K - 10 m3 - 15 t</v>
          </cell>
          <cell r="C99">
            <v>345035.85</v>
          </cell>
          <cell r="D99">
            <v>13.7904</v>
          </cell>
          <cell r="E99">
            <v>157.81979999999999</v>
          </cell>
        </row>
        <row r="100">
          <cell r="A100" t="str">
            <v>E405</v>
          </cell>
          <cell r="B100" t="str">
            <v>Caminhão Basculante : Mercedes Benz : 2726 K - p/ rocha 8 m3 - 13 t</v>
          </cell>
          <cell r="C100">
            <v>371462.2</v>
          </cell>
          <cell r="D100">
            <v>13.7904</v>
          </cell>
          <cell r="E100">
            <v>162.2543</v>
          </cell>
        </row>
        <row r="101">
          <cell r="A101" t="str">
            <v>E406</v>
          </cell>
          <cell r="B101" t="str">
            <v>Caminhão Tanque : Mercedes Benz : ATEGO 1418/42 -
6.000 l</v>
          </cell>
          <cell r="C101">
            <v>229048.03</v>
          </cell>
          <cell r="D101">
            <v>13.7904</v>
          </cell>
          <cell r="E101">
            <v>104.97669999999999</v>
          </cell>
        </row>
        <row r="102">
          <cell r="A102" t="str">
            <v>E407</v>
          </cell>
          <cell r="B102" t="str">
            <v>Caminhão Tanque : Mercedes Benz : 2726 K - 10.000 l</v>
          </cell>
          <cell r="C102">
            <v>368842.16</v>
          </cell>
          <cell r="D102">
            <v>13.7904</v>
          </cell>
          <cell r="E102">
            <v>160.47120000000001</v>
          </cell>
        </row>
        <row r="103">
          <cell r="A103" t="str">
            <v>E408</v>
          </cell>
          <cell r="B103" t="str">
            <v>Caminhão Carroceria : Mercedes Benz : 710 / 37 - 4 t</v>
          </cell>
          <cell r="C103">
            <v>152988.67000000001</v>
          </cell>
          <cell r="D103">
            <v>13.7904</v>
          </cell>
          <cell r="E103">
            <v>71.653300000000002</v>
          </cell>
        </row>
        <row r="104">
          <cell r="A104" t="str">
            <v>E409</v>
          </cell>
          <cell r="B104" t="str">
            <v>Caminhão Carroceria : Mercedes Benz : ATEGO 1418/42 - fixa 9 t</v>
          </cell>
          <cell r="C104">
            <v>196445.52</v>
          </cell>
          <cell r="D104">
            <v>13.7904</v>
          </cell>
          <cell r="E104">
            <v>100.24079999999999</v>
          </cell>
        </row>
        <row r="105">
          <cell r="A105" t="str">
            <v>E410</v>
          </cell>
          <cell r="B105" t="str">
            <v>Caminhão Basculante : Mercedes Benz : 1215 C - 4 m3 - 7,1 t</v>
          </cell>
          <cell r="C105">
            <v>209735.5</v>
          </cell>
          <cell r="D105">
            <v>13.7904</v>
          </cell>
          <cell r="E105">
            <v>97.990399999999994</v>
          </cell>
        </row>
        <row r="106">
          <cell r="A106" t="str">
            <v>E411</v>
          </cell>
          <cell r="B106" t="str">
            <v>Cavalo Mecânico com Reboque : M. Benz/Randon : LS-1634/45 - 29,5 t</v>
          </cell>
          <cell r="C106">
            <v>502276.57</v>
          </cell>
          <cell r="D106">
            <v>19.486499999999999</v>
          </cell>
          <cell r="E106">
            <v>208.81899999999999</v>
          </cell>
        </row>
        <row r="107">
          <cell r="A107" t="str">
            <v>E412</v>
          </cell>
          <cell r="B107" t="str">
            <v>Veículo Leve : Volkswagen : GOL 1000 - automóvel até 100 hp</v>
          </cell>
          <cell r="C107">
            <v>37797.980000000003</v>
          </cell>
          <cell r="D107">
            <v>12.366400000000001</v>
          </cell>
          <cell r="E107">
            <v>54.158000000000001</v>
          </cell>
        </row>
        <row r="108">
          <cell r="A108" t="str">
            <v>E416</v>
          </cell>
          <cell r="B108" t="str">
            <v>Veículo Leve : Chevrolet : S10 - pick up (4X4)</v>
          </cell>
          <cell r="C108">
            <v>106774.63</v>
          </cell>
          <cell r="D108">
            <v>12.366400000000001</v>
          </cell>
          <cell r="E108">
            <v>75.752300000000005</v>
          </cell>
        </row>
        <row r="109">
          <cell r="A109" t="str">
            <v>E421</v>
          </cell>
          <cell r="B109" t="str">
            <v>Caminhão Tanque : Mercedes Benz : 2726 K - 13.000 l</v>
          </cell>
          <cell r="C109">
            <v>376464.96</v>
          </cell>
          <cell r="D109">
            <v>13.7904</v>
          </cell>
          <cell r="E109">
            <v>161.57859999999999</v>
          </cell>
        </row>
        <row r="110">
          <cell r="A110" t="str">
            <v>E422</v>
          </cell>
          <cell r="B110" t="str">
            <v>Caminhão Tanque : Mercedes Benz : L1620/51 - 8.000 l</v>
          </cell>
          <cell r="C110">
            <v>231891.54</v>
          </cell>
          <cell r="D110">
            <v>13.7904</v>
          </cell>
          <cell r="E110">
            <v>105.38979999999999</v>
          </cell>
        </row>
        <row r="111">
          <cell r="A111" t="str">
            <v>E427</v>
          </cell>
          <cell r="B111" t="str">
            <v>Caminhão Betoneira : Volkswagen : Constellation 26-260 - 11,5 t  5m3</v>
          </cell>
          <cell r="C111">
            <v>308068.99</v>
          </cell>
          <cell r="D111">
            <v>13.7904</v>
          </cell>
          <cell r="E111">
            <v>151.6164</v>
          </cell>
        </row>
        <row r="112">
          <cell r="A112" t="str">
            <v>E432</v>
          </cell>
          <cell r="B112" t="str">
            <v>Caminhão Basculante : Volvo : FMX 6X4R - 40 t</v>
          </cell>
          <cell r="C112">
            <v>465333.85</v>
          </cell>
          <cell r="D112">
            <v>13.7904</v>
          </cell>
          <cell r="E112">
            <v>222.85339999999999</v>
          </cell>
        </row>
        <row r="113">
          <cell r="A113" t="str">
            <v>E433</v>
          </cell>
          <cell r="B113" t="str">
            <v>Caminhão Basculante : Mercedes Benz : 2726 - para rocha 18 t</v>
          </cell>
          <cell r="C113">
            <v>509987.41</v>
          </cell>
          <cell r="D113">
            <v>13.7904</v>
          </cell>
          <cell r="E113">
            <v>230.3466</v>
          </cell>
        </row>
        <row r="114">
          <cell r="A114" t="str">
            <v>E434</v>
          </cell>
          <cell r="B114" t="str">
            <v>Caminhão Carroceria : Mercedes Benz : L 1620/51 - c/ guindauto  6 t x m</v>
          </cell>
          <cell r="C114">
            <v>251584.22</v>
          </cell>
          <cell r="D114">
            <v>13.7904</v>
          </cell>
          <cell r="E114">
            <v>99.953500000000005</v>
          </cell>
        </row>
        <row r="115">
          <cell r="A115" t="str">
            <v>E501</v>
          </cell>
          <cell r="B115" t="str">
            <v>Grupo Gerador : Heimer : GEHM-40 - 36/40 KVA</v>
          </cell>
          <cell r="C115">
            <v>53988.4</v>
          </cell>
          <cell r="D115">
            <v>0</v>
          </cell>
          <cell r="E115">
            <v>26.114899999999999</v>
          </cell>
        </row>
        <row r="116">
          <cell r="A116" t="str">
            <v>E502</v>
          </cell>
          <cell r="B116" t="str">
            <v>Grupo Gerador : Heimer : GEHM-150 - 136 / 150 KVA</v>
          </cell>
          <cell r="C116">
            <v>115534.74</v>
          </cell>
          <cell r="D116">
            <v>0</v>
          </cell>
          <cell r="E116">
            <v>89.5488</v>
          </cell>
        </row>
        <row r="117">
          <cell r="A117" t="str">
            <v>E503</v>
          </cell>
          <cell r="B117" t="str">
            <v>Grupo Gerador : Heimer : GEHM-180 - 164 / 180 KVA</v>
          </cell>
          <cell r="C117">
            <v>129040.05</v>
          </cell>
          <cell r="D117">
            <v>0</v>
          </cell>
          <cell r="E117">
            <v>107.4832</v>
          </cell>
        </row>
        <row r="118">
          <cell r="A118" t="str">
            <v>E504</v>
          </cell>
          <cell r="B118" t="str">
            <v>Grupo Gerador : Heimer : GEHMB-360 - 288 KVA</v>
          </cell>
          <cell r="C118">
            <v>140434.98000000001</v>
          </cell>
          <cell r="D118">
            <v>0</v>
          </cell>
          <cell r="E118">
            <v>162.0419</v>
          </cell>
        </row>
        <row r="119">
          <cell r="A119" t="str">
            <v>E505</v>
          </cell>
          <cell r="B119" t="str">
            <v>Grupo Gerador : Heimer : GEHB-17 KVA - 17,0 / 15,5 KVA</v>
          </cell>
          <cell r="C119">
            <v>33638.75</v>
          </cell>
          <cell r="D119">
            <v>0</v>
          </cell>
          <cell r="E119">
            <v>12.1538</v>
          </cell>
        </row>
        <row r="120">
          <cell r="A120" t="str">
            <v>E507</v>
          </cell>
          <cell r="B120" t="str">
            <v>Grupo Gerador : Heimer : GEHP-110 - 100 / 110 KVA</v>
          </cell>
          <cell r="C120">
            <v>83722.87</v>
          </cell>
          <cell r="D120">
            <v>0</v>
          </cell>
          <cell r="E120">
            <v>65.572500000000005</v>
          </cell>
        </row>
        <row r="121">
          <cell r="A121" t="str">
            <v>E508</v>
          </cell>
          <cell r="B121" t="str">
            <v>Grupo Gerador : Pramac : BL 6500 E - Manual/eletrico</v>
          </cell>
          <cell r="C121">
            <v>3113.42</v>
          </cell>
          <cell r="D121">
            <v>0</v>
          </cell>
          <cell r="E121">
            <v>9.2102000000000004</v>
          </cell>
        </row>
        <row r="122">
          <cell r="A122" t="str">
            <v>E509</v>
          </cell>
          <cell r="B122" t="str">
            <v>Grupo Gerador : Heimer : GEHMI-40 - 32,0 KVA</v>
          </cell>
          <cell r="C122">
            <v>46838.34</v>
          </cell>
          <cell r="D122">
            <v>0</v>
          </cell>
          <cell r="E122">
            <v>22.336600000000001</v>
          </cell>
        </row>
        <row r="123">
          <cell r="A123" t="str">
            <v>E601</v>
          </cell>
          <cell r="B123" t="str">
            <v>Roçadeira : M. Ferguson / Marchesan : RAC 2 1700 Baldan
- em trator de pneus</v>
          </cell>
          <cell r="C123">
            <v>141613.96</v>
          </cell>
          <cell r="D123">
            <v>13.7904</v>
          </cell>
          <cell r="E123">
            <v>79.725899999999996</v>
          </cell>
        </row>
        <row r="124">
          <cell r="A124" t="str">
            <v>E602</v>
          </cell>
          <cell r="B124" t="str">
            <v>Roçadeira : Yanmar : XTA-TC145 - em micro trator</v>
          </cell>
          <cell r="C124">
            <v>26775.62</v>
          </cell>
          <cell r="D124">
            <v>13.7904</v>
          </cell>
          <cell r="E124">
            <v>26.8706</v>
          </cell>
        </row>
        <row r="125">
          <cell r="A125" t="str">
            <v>E901</v>
          </cell>
          <cell r="B125" t="str">
            <v>Campânula de Ar Comprimido : Bhemel : - 3 m3</v>
          </cell>
          <cell r="C125">
            <v>89034.44</v>
          </cell>
          <cell r="D125">
            <v>0</v>
          </cell>
          <cell r="E125">
            <v>9.0654000000000003</v>
          </cell>
        </row>
        <row r="126">
          <cell r="A126" t="str">
            <v>E903</v>
          </cell>
          <cell r="B126" t="str">
            <v>Bate-Estacas : Magam : IM -1450 PM/E - de gravidade p/
3.500 a 4000 kg</v>
          </cell>
          <cell r="C126">
            <v>713597.84</v>
          </cell>
          <cell r="D126">
            <v>13.7904</v>
          </cell>
          <cell r="E126">
            <v>196.83019999999999</v>
          </cell>
        </row>
        <row r="127">
          <cell r="A127" t="str">
            <v>E904</v>
          </cell>
          <cell r="B127" t="str">
            <v>Máquina de Bancada : Maksiwa : SCMA - serra circular de 12"</v>
          </cell>
          <cell r="C127">
            <v>2787.28</v>
          </cell>
          <cell r="D127">
            <v>0</v>
          </cell>
          <cell r="E127">
            <v>2.5306000000000002</v>
          </cell>
        </row>
        <row r="128">
          <cell r="A128" t="str">
            <v>E905</v>
          </cell>
          <cell r="B128" t="str">
            <v>Máquina Manual : Tirfor : TU-L 30 - talha guincho para 3 t</v>
          </cell>
          <cell r="C128">
            <v>3194.25</v>
          </cell>
          <cell r="D128">
            <v>0</v>
          </cell>
          <cell r="E128">
            <v>0.33689999999999998</v>
          </cell>
        </row>
        <row r="129">
          <cell r="A129" t="str">
            <v>E906</v>
          </cell>
          <cell r="B129" t="str">
            <v>Compactador Manual : Wacker : ES 60 - soquete vibratório</v>
          </cell>
          <cell r="C129">
            <v>18904.8</v>
          </cell>
          <cell r="D129">
            <v>12.6662</v>
          </cell>
          <cell r="E129">
            <v>17.481100000000001</v>
          </cell>
        </row>
        <row r="130">
          <cell r="A130" t="str">
            <v>E907</v>
          </cell>
          <cell r="B130" t="str">
            <v>Conjunto Moto-Bomba : Hero : 180-SH-75 - com motor</v>
          </cell>
          <cell r="C130">
            <v>48467.69</v>
          </cell>
          <cell r="D130">
            <v>0</v>
          </cell>
          <cell r="E130">
            <v>17.488800000000001</v>
          </cell>
        </row>
        <row r="131">
          <cell r="A131" t="str">
            <v>E908</v>
          </cell>
          <cell r="B131" t="str">
            <v>Máquina para Pintura : Consmaq : - Pintura a frio</v>
          </cell>
          <cell r="C131">
            <v>840198.78</v>
          </cell>
          <cell r="D131">
            <v>13.7904</v>
          </cell>
          <cell r="E131">
            <v>142.5822</v>
          </cell>
        </row>
        <row r="132">
          <cell r="A132" t="str">
            <v>E909</v>
          </cell>
          <cell r="B132" t="str">
            <v>Equip. para Hidrosemeadura : M. Benz/Consmaq : 1420 - 5500 l</v>
          </cell>
          <cell r="C132">
            <v>464073.78</v>
          </cell>
          <cell r="D132">
            <v>13.7904</v>
          </cell>
          <cell r="E132">
            <v>137.15180000000001</v>
          </cell>
        </row>
        <row r="133">
          <cell r="A133" t="str">
            <v>E911</v>
          </cell>
          <cell r="B133" t="str">
            <v>Tripé-Sonda : Maquesonda : MACH 850 - Tripé-Sonda com motor</v>
          </cell>
          <cell r="C133">
            <v>132264.42000000001</v>
          </cell>
          <cell r="D133">
            <v>0</v>
          </cell>
          <cell r="E133">
            <v>34.365000000000002</v>
          </cell>
        </row>
        <row r="134">
          <cell r="A134" t="str">
            <v>E912</v>
          </cell>
          <cell r="B134" t="str">
            <v>Máquina Manual : Bosch : GBS 20-2 - furadeira elétrica de Impacto</v>
          </cell>
          <cell r="C134">
            <v>919.99</v>
          </cell>
          <cell r="D134">
            <v>0</v>
          </cell>
          <cell r="E134">
            <v>0.70289999999999997</v>
          </cell>
        </row>
        <row r="135">
          <cell r="A135" t="str">
            <v>E914</v>
          </cell>
          <cell r="B135" t="str">
            <v>Compactador Manual : Wacker : VP-2050 Y - placa vibratória c/ motor</v>
          </cell>
          <cell r="C135">
            <v>16967.07</v>
          </cell>
          <cell r="D135">
            <v>12.6662</v>
          </cell>
          <cell r="E135">
            <v>16.9085</v>
          </cell>
        </row>
        <row r="136">
          <cell r="A136" t="str">
            <v>E916</v>
          </cell>
          <cell r="B136" t="str">
            <v>Máquina Manual : Stihl : MS-381 - moto serra nº 8</v>
          </cell>
          <cell r="C136">
            <v>2032.38</v>
          </cell>
          <cell r="D136">
            <v>12.6662</v>
          </cell>
          <cell r="E136">
            <v>19.6035</v>
          </cell>
        </row>
        <row r="137">
          <cell r="A137" t="str">
            <v>E917</v>
          </cell>
          <cell r="B137" t="str">
            <v>Máquina de Bancada : Franho : - C-6A universal de corte p/ chapa</v>
          </cell>
          <cell r="C137">
            <v>31043.32</v>
          </cell>
          <cell r="D137">
            <v>12.6662</v>
          </cell>
          <cell r="E137">
            <v>18.159400000000002</v>
          </cell>
        </row>
        <row r="138">
          <cell r="A138" t="str">
            <v>E918</v>
          </cell>
          <cell r="B138" t="str">
            <v>Máquina de Bancada : Harlo : VF-8 - prensa excêntrica</v>
          </cell>
          <cell r="C138">
            <v>55089.86</v>
          </cell>
          <cell r="D138">
            <v>0</v>
          </cell>
          <cell r="E138">
            <v>5.8817000000000004</v>
          </cell>
        </row>
        <row r="139">
          <cell r="A139" t="str">
            <v>E919</v>
          </cell>
          <cell r="B139" t="str">
            <v>Máquina de Bancada : Cor Dob Ind. e Com. de Máquinas : GHP 2.5X2030mm - guilhotina</v>
          </cell>
          <cell r="C139">
            <v>58074.63</v>
          </cell>
          <cell r="D139">
            <v>0</v>
          </cell>
          <cell r="E139">
            <v>8.2928999999999995</v>
          </cell>
        </row>
        <row r="140">
          <cell r="A140" t="str">
            <v>E920</v>
          </cell>
          <cell r="B140" t="str">
            <v>Máquina para Pintura : Elgimaq : com aspersão/extrusão - para aplicação de termoplastico</v>
          </cell>
          <cell r="C140">
            <v>1161158.78</v>
          </cell>
          <cell r="D140">
            <v>13.7904</v>
          </cell>
          <cell r="E140">
            <v>168.25899999999999</v>
          </cell>
        </row>
        <row r="141">
          <cell r="A141" t="str">
            <v>E922</v>
          </cell>
          <cell r="B141" t="str">
            <v>Martelete : Bosch : GBH 5-40 DCE - perfurador/ rompedor elétrico</v>
          </cell>
          <cell r="C141">
            <v>2770.77</v>
          </cell>
          <cell r="D141">
            <v>12.6662</v>
          </cell>
          <cell r="E141">
            <v>13.7379</v>
          </cell>
        </row>
        <row r="142">
          <cell r="A142" t="str">
            <v>E923</v>
          </cell>
          <cell r="B142" t="str">
            <v>Máquina Manual : Bosch : GWS 22U 7" - lixadeira eletrica angular</v>
          </cell>
          <cell r="C142">
            <v>768.16</v>
          </cell>
          <cell r="D142">
            <v>0</v>
          </cell>
          <cell r="E142">
            <v>1.4514</v>
          </cell>
        </row>
        <row r="143">
          <cell r="A143" t="str">
            <v>E924</v>
          </cell>
          <cell r="B143" t="str">
            <v>Equip. para Solda : Max Bantam : Bantam 250 Serralheiro - transformador solda elétr. 250 amp</v>
          </cell>
          <cell r="C143">
            <v>345.27</v>
          </cell>
          <cell r="D143">
            <v>0</v>
          </cell>
          <cell r="E143">
            <v>4.7256999999999998</v>
          </cell>
        </row>
        <row r="144">
          <cell r="A144" t="str">
            <v>E925</v>
          </cell>
          <cell r="B144" t="str">
            <v>Aplicador de Material Termoplástico : Elgimaq : - Kit para aplicação em alto relevo</v>
          </cell>
          <cell r="C144">
            <v>217536.83</v>
          </cell>
          <cell r="D144">
            <v>0</v>
          </cell>
          <cell r="E144">
            <v>31.684899999999999</v>
          </cell>
        </row>
      </sheetData>
      <sheetData sheetId="9" refreshError="1"/>
      <sheetData sheetId="10" refreshError="1"/>
      <sheetData sheetId="11" refreshError="1"/>
      <sheetData sheetId="12" refreshError="1"/>
      <sheetData sheetId="13" refreshError="1"/>
      <sheetData sheetId="14" refreshError="1"/>
      <sheetData sheetId="15" refreshError="1"/>
      <sheetData sheetId="16">
        <row r="7">
          <cell r="L7">
            <v>2304.16</v>
          </cell>
        </row>
      </sheetData>
      <sheetData sheetId="17">
        <row r="58">
          <cell r="K58">
            <v>17312.849999999999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ow r="54">
          <cell r="K54">
            <v>336.16999999999996</v>
          </cell>
        </row>
      </sheetData>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ow r="54">
          <cell r="K54">
            <v>13.159777999999999</v>
          </cell>
        </row>
      </sheetData>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_mec_fx_dm_"/>
      <sheetName val="Boletim de Desempenho Parcial"/>
    </sheetNames>
    <sheetDataSet>
      <sheetData sheetId="0"/>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imbo de Nota"/>
      <sheetName val="croqui localiz_"/>
      <sheetName val="Banco"/>
      <sheetName val="Boletim"/>
      <sheetName val="Transporte-N"/>
      <sheetName val="MEDICÃO ADMINISTRAÇÃO"/>
      <sheetName val="Extenso 1 (381)"/>
      <sheetName val="Extenso"/>
      <sheetName val="Dados Contrato"/>
      <sheetName val="Elementos"/>
      <sheetName val="Pluviometria"/>
      <sheetName val="Boletim de Desempenho"/>
      <sheetName val="Cronograma"/>
      <sheetName val="Quadro Ind."/>
      <sheetName val="Nivel Cons."/>
      <sheetName val="Avanço Físico"/>
      <sheetName val="MEDIÇÃO LÍQUIDA"/>
      <sheetName val="MEDIÇÃO CONSOLIDADA"/>
      <sheetName val="Cont_Saldo"/>
      <sheetName val="MEDICÃO RESUMO (040)"/>
      <sheetName val="MEDICÃO RESUMO (381)"/>
      <sheetName val="MEDICÃO RESUMO GERAL"/>
      <sheetName val="01-Muro Gabião"/>
      <sheetName val="Desmat. Destoc.-2"/>
      <sheetName val="03-Esc. Carga 1ª Cat."/>
      <sheetName val="04-Reaterro Apiloado"/>
      <sheetName val="05-Reg. Mec. Faixa Domínio"/>
      <sheetName val="06-Solo p Base Remendo"/>
      <sheetName val="07-Recomp. Rev. CBUQ"/>
      <sheetName val="08-Remoção Mec. Revest. Bet."/>
      <sheetName val="09-Fresagem"/>
      <sheetName val="10-Concreto Ciclópico"/>
      <sheetName val="11-Concreto (Manual + Lanç.)"/>
      <sheetName val="12-Concreto (Conf. + Lanç.)"/>
      <sheetName val="13-Argamassa"/>
      <sheetName val="14-Dobragem e Armadura"/>
      <sheetName val="15-Forma de Madeira"/>
      <sheetName val="16-Reaterro e Comp. Bueiro"/>
      <sheetName val="17-Limpeza de Ponte"/>
      <sheetName val="18-Escavação Manual"/>
      <sheetName val="19-Escav. Mecaniz."/>
      <sheetName val="20-Assent. Dreno Profundo"/>
      <sheetName val="21-Enronc. Pedra Arrum."/>
      <sheetName val="22-Enleivamento"/>
      <sheetName val="23-Enronc. Pedra Jogada"/>
      <sheetName val="24-Alvenaria"/>
      <sheetName val="25-Muro Gabião"/>
      <sheetName val="26-Tapa Buraco"/>
      <sheetName val="27-Remendo Profundo Manual"/>
      <sheetName val="28-Remendo Profundo Mecaniz"/>
      <sheetName val="29-Selagem Trinca"/>
      <sheetName val="30-Correção.Defeito.CBUQ"/>
      <sheetName val="31-Limpesa.Sarjeta"/>
      <sheetName val="32-Valeta.Corte"/>
      <sheetName val="33-Limp. de Vala Dren."/>
      <sheetName val="34-Limpeza de Bueiro"/>
      <sheetName val="35-Desobstrução de Bueiro"/>
      <sheetName val="36-Assent. Tubo 60"/>
      <sheetName val="37-Assent. Tubo 80"/>
      <sheetName val="38-Assent. Tubo 100"/>
      <sheetName val="39-Assent. Tubo 120"/>
      <sheetName val="40-Limp. Placa Sinaliz."/>
      <sheetName val="41-Recomp. Placa Sinaliz."/>
      <sheetName val="42-Caiação"/>
      <sheetName val="43-Renov. Sinal."/>
      <sheetName val="44-Recomp. Total Cerca"/>
      <sheetName val="45-Recomp. Parc. Cerca Mourão"/>
      <sheetName val="46-Recomp. Parc. Cerca Arame"/>
      <sheetName val="47-Recomp. Manual Aterro"/>
      <sheetName val="48-Recomp. Mecan. Aterro1"/>
      <sheetName val="49-Rem. Man. Barreira"/>
      <sheetName val="50-Rem. Mecan. Barreira"/>
      <sheetName val="51-Roçada Manual"/>
      <sheetName val="52-Roçada Colonião"/>
      <sheetName val="53-Roçada Mecaniz"/>
      <sheetName val="54-Capina Manual"/>
      <sheetName val="55-Transp. Comercial 10m3"/>
      <sheetName val="56-Transp. Local 5m3"/>
      <sheetName val="57-Transp. Local Remendo"/>
      <sheetName val="58-Transp. Local Carroc."/>
      <sheetName val="59-Transp. Comercial Carroc."/>
      <sheetName val="55-Transp. Comercial 10m3 (040)"/>
      <sheetName val="56-Transp. Local 5m3 (040)"/>
      <sheetName val="57-Transp. Local Remendo (040)"/>
      <sheetName val="58-Transp. Local Carroc. (040)"/>
      <sheetName val="59-Transp. Com. Carroc. (040)"/>
      <sheetName val="55-Transp. Comercial 10m3 (2)"/>
      <sheetName val="56-Transp. Local 5m3 (2)"/>
      <sheetName val="Transp. Local Remendo-57 (2)"/>
      <sheetName val="58-Transp. Local Carroc. (2)"/>
      <sheetName val="59Transp. Comercial Carroc. (2)"/>
      <sheetName val="60-Moto Serra"/>
      <sheetName val="61-Encarregado"/>
      <sheetName val="62-Servente"/>
      <sheetName val="63-Pedreiro"/>
      <sheetName val="64-Carpinteiro"/>
      <sheetName val="65-Carregadeira Case"/>
      <sheetName val="66-Retroescavadeira"/>
      <sheetName val="67-Caminhão Basc. 5m3"/>
      <sheetName val="68-Caminhão Basc. 10m3"/>
      <sheetName val="69-Caminhão Tanque"/>
      <sheetName val="70-Caminhão Carroceria"/>
      <sheetName val="Tapa Buraco com Clipper-25"/>
      <sheetName val="Tapa Buraco-N"/>
      <sheetName val="Transporte.Mat.Remendo-N"/>
      <sheetName val="Reaterro e Compac. Bueiro"/>
      <sheetName val="Relatorio BR 040.262.381"/>
      <sheetName val="Avanço"/>
      <sheetName val="Indice"/>
      <sheetName val="Gabião"/>
      <sheetName val="P_Ligação"/>
      <sheetName val="Regularização"/>
      <sheetName val="Solo p rem_"/>
      <sheetName val="Rec.Revest.MBUQ"/>
      <sheetName val="Concreto de Cimento"/>
      <sheetName val="Forma madeira"/>
      <sheetName val="Escavação Mecanizada"/>
      <sheetName val="Enrocam. pedra.jogada"/>
      <sheetName val="Vala.drenagem"/>
      <sheetName val="Caiação."/>
      <sheetName val="Rec Mec de Aterro"/>
      <sheetName val="Gráf1"/>
      <sheetName val="MBetuminosa"/>
      <sheetName val="Rec revest"/>
      <sheetName val="Rem pav"/>
      <sheetName val="Ciclopico"/>
      <sheetName val="Portland"/>
      <sheetName val="Aço"/>
      <sheetName val="Argamassa"/>
      <sheetName val="Reaterro"/>
      <sheetName val="Forma"/>
      <sheetName val="Escav_ Mec"/>
      <sheetName val="Dreno"/>
      <sheetName val="Grama"/>
      <sheetName val="New jersey"/>
      <sheetName val="Enrocamento"/>
      <sheetName val="Remendo manual"/>
      <sheetName val="Remendo mec_"/>
      <sheetName val="Guarda corpo"/>
      <sheetName val="Fresagem"/>
      <sheetName val="V de corte"/>
      <sheetName val="Limpeza Bueiro"/>
      <sheetName val="bueiro 80"/>
      <sheetName val="Placas"/>
      <sheetName val="Defensa"/>
      <sheetName val="Balizador"/>
      <sheetName val="Cerca _MOIRÃ0_"/>
      <sheetName val="Cerca _ARAME_"/>
      <sheetName val="Sinalização"/>
      <sheetName val="Aterro manual"/>
      <sheetName val="Aterro"/>
      <sheetName val="Rem_ manual"/>
      <sheetName val="Barreira Mec_"/>
      <sheetName val="Colonião"/>
      <sheetName val="5m³"/>
      <sheetName val="Mat_ Remendos"/>
      <sheetName val="traço"/>
      <sheetName val="Carroceria"/>
      <sheetName val="Limpeza Descida Dágua"/>
      <sheetName val="Armadura"/>
      <sheetName val="Betuminosos"/>
      <sheetName val="Encarregado"/>
      <sheetName val="Servente"/>
      <sheetName val="Pedreiro"/>
      <sheetName val="Retroescavadeira"/>
      <sheetName val="SERVIÇOS EXTRAS"/>
      <sheetName val="Cubaçã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Sumário"/>
      <sheetName val="Capa Apres"/>
      <sheetName val="Apres"/>
      <sheetName val="Capa Mapa"/>
      <sheetName val="Mapa"/>
      <sheetName val="Capa Premissas"/>
      <sheetName val="Premissas"/>
      <sheetName val="Capa Caract. Seg."/>
      <sheetName val="Áreas gramadas"/>
      <sheetName val="Drenagem"/>
      <sheetName val="OAE"/>
      <sheetName val="Capa Memória de Calc"/>
      <sheetName val="Características 1"/>
      <sheetName val="Percentual 1"/>
      <sheetName val="M2 1"/>
      <sheetName val="Características 2"/>
      <sheetName val="Percentual 2"/>
      <sheetName val="M2 2"/>
      <sheetName val="BASE_Características total"/>
      <sheetName val="BASE_Percentual total"/>
      <sheetName val="BASE_M2 total"/>
      <sheetName val="Quantitativos"/>
      <sheetName val="CMB"/>
      <sheetName val="ESP"/>
      <sheetName val="Fresagem"/>
      <sheetName val="Capa Resumo"/>
      <sheetName val="Unifilar"/>
      <sheetName val="Orçamento Total"/>
      <sheetName val="Orçamento por Kmf"/>
      <sheetName val="Orçamento por SOLUÇÃO"/>
      <sheetName val="Crono. Financ. (kmf)"/>
      <sheetName val="BASE_Orçamento por Kmf"/>
      <sheetName val="BASE_Crono. Financ. (kmf)"/>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C_U"/>
      <sheetName val="Plan1"/>
      <sheetName val="BR-230 POMBAL-S.GONÇALO"/>
      <sheetName val="compo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47">
          <cell r="E47" t="str">
            <v>ANEXO I - Levantamento Visual Contínuo (LVC)</v>
          </cell>
        </row>
      </sheetData>
      <sheetData sheetId="40" refreshError="1"/>
      <sheetData sheetId="41" refreshError="1">
        <row r="47">
          <cell r="E47" t="str">
            <v>ANEXO II - Avaliação Objetiva de Superfície (IGG)</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Capa (2)"/>
      <sheetName val="Sumário"/>
      <sheetName val="Capa Apres"/>
      <sheetName val="Apres"/>
      <sheetName val="Capa Mapa"/>
      <sheetName val="Mapa"/>
      <sheetName val="Capa Premissas"/>
      <sheetName val="Premissas"/>
      <sheetName val="Capa Caract. Seg."/>
      <sheetName val="Áreas gramadas"/>
      <sheetName val="OAE"/>
      <sheetName val="DRENAGEM"/>
      <sheetName val="Capa Memória de Calc"/>
      <sheetName val="Características"/>
      <sheetName val="Percentual"/>
      <sheetName val="M2"/>
      <sheetName val="Quantitativos"/>
      <sheetName val="CMB"/>
      <sheetName val="ESP"/>
      <sheetName val="Fresagem"/>
      <sheetName val="Capa Resumo"/>
      <sheetName val="Unifilar"/>
      <sheetName val="Orçamento Total"/>
      <sheetName val="Crono. Financ. (kmf) (2)"/>
      <sheetName val="Orçamento por Kmf"/>
      <sheetName val="Orçamento por Solução"/>
      <sheetName val="Orçamento Unitario"/>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Teor"/>
      <sheetName val="Carimbo de Nota"/>
      <sheetName val="P A T O 98 D"/>
      <sheetName val="compos1"/>
      <sheetName val="DER janeiro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o Anual de Trab Orçamento "/>
      <sheetName val="Quadro de Quantidades "/>
      <sheetName val="Cronog Físico Finaceiro "/>
      <sheetName val="Projeto Básico"/>
      <sheetName val="Instalação de Canteiro"/>
      <sheetName val="CRONFISFIN_"/>
      <sheetName val="T_Local Mat_Bet_120_356_482"/>
      <sheetName val="MEMODESC "/>
      <sheetName val="Custo U_ BRITA R_ PROF_jan_01"/>
      <sheetName val="Custo Unit_ P_ LIG_jan_01"/>
      <sheetName val="Mobilização e Desmobilização"/>
      <sheetName val="Aquisiç Transp Mat Betuminoso "/>
      <sheetName val="Gráfico Distâncias Transporte"/>
      <sheetName val="Transp Comercial 10 m³"/>
      <sheetName val="Transp Local Basculante 5 m³ "/>
      <sheetName val="Transp Local  Material Remendo"/>
      <sheetName val="Tansp Local Carroceria 4 T"/>
      <sheetName val="Custo Unit_ MBB jan_01"/>
      <sheetName val="Custo Unit_ T_Bur_jan_01"/>
      <sheetName val="Custo Unit_ R_Prof_jan_01"/>
      <sheetName val="Custo U_Corr_Def_MBB_jan_01"/>
      <sheetName val="PONTES"/>
      <sheetName val="Extenso"/>
      <sheetName val="Custo Unit_ Imprim_abr_00"/>
      <sheetName val="Custo U_ Fres_ Desc_jun_00_"/>
      <sheetName val="Custo Unit_ Sel_Trin_jun_00_"/>
      <sheetName val="C_ U_ CAPA SEL_ C_ P_jun_00_"/>
      <sheetName val="C_ U_ Conc_ Ciclop_jun_00_"/>
      <sheetName val="Custo Unit_ MBUF_jun_00_"/>
      <sheetName val="C_ U_ REC_REV_MBUF_jun_00_"/>
      <sheetName val="Custo Unit_ MBUQ_jun_00_"/>
      <sheetName val="C_ U_ REC_REV_MBUQ_jun_00_"/>
      <sheetName val="Custo U_ A_Dreno Pr_jun_00_"/>
      <sheetName val="Custo U_ Fabr_T_ Dreno_jun_00_"/>
      <sheetName val="Custo U_ Enr_P_ Jogada_jun_00_"/>
      <sheetName val="Custo U_ ASSENT_ TUBO 0_60 _2_"/>
      <sheetName val="Custo U_ Fabr_Tubo 0_60  _2_"/>
      <sheetName val="Custo U_ ASSENT_ TUBO 0_80 _2_"/>
      <sheetName val="Custo U_ Fabr_Tubo 0_80 _2_"/>
      <sheetName val="Custo U_ ASSENT_ TUBO 1_0 _2_"/>
      <sheetName val="Custo U_ Fabr_Tubo 1_0 _2_"/>
      <sheetName val="Custo U_ Sub_ Balizadorset_99"/>
      <sheetName val="Custo U_ F_Balizadorset_99"/>
      <sheetName val="Custo U_ R_p_ cerca Conc_set_99"/>
      <sheetName val="Custo U_ F_Mourão Est_set_99"/>
      <sheetName val="Custo U_ F_Mourão Suporteset_99"/>
      <sheetName val="Carimbo de Nota"/>
      <sheetName val="compos1"/>
      <sheetName val="Mat. Bet."/>
    </sheetNames>
    <sheetDataSet>
      <sheetData sheetId="0"/>
      <sheetData sheetId="1"/>
      <sheetData sheetId="2"/>
      <sheetData sheetId="3"/>
      <sheetData sheetId="4"/>
      <sheetData sheetId="5">
        <row r="1">
          <cell r="A1" t="e">
            <v>#REF!</v>
          </cell>
          <cell r="I1" t="e">
            <v>#REF!</v>
          </cell>
        </row>
        <row r="2">
          <cell r="A2" t="e">
            <v>#REF!</v>
          </cell>
          <cell r="K2" t="str">
            <v>EXTENSÃO(KM):</v>
          </cell>
          <cell r="L2">
            <v>97.6</v>
          </cell>
        </row>
        <row r="3">
          <cell r="A3" t="e">
            <v>#REF!</v>
          </cell>
        </row>
        <row r="4">
          <cell r="E4" t="str">
            <v>CRONOGRAMA FÍSICO-FINANCEIRO</v>
          </cell>
        </row>
        <row r="5">
          <cell r="A5" t="str">
            <v>ITEM</v>
          </cell>
          <cell r="B5" t="str">
            <v>DISCRIMINAÇÃO</v>
          </cell>
          <cell r="C5" t="str">
            <v>QUANT.</v>
          </cell>
          <cell r="D5" t="str">
            <v>UN</v>
          </cell>
          <cell r="E5">
            <v>1</v>
          </cell>
          <cell r="F5">
            <v>2</v>
          </cell>
          <cell r="G5">
            <v>3</v>
          </cell>
          <cell r="H5">
            <v>4</v>
          </cell>
          <cell r="I5">
            <v>5</v>
          </cell>
          <cell r="J5">
            <v>6</v>
          </cell>
          <cell r="K5">
            <v>7</v>
          </cell>
          <cell r="L5">
            <v>8</v>
          </cell>
          <cell r="M5">
            <v>9</v>
          </cell>
          <cell r="N5">
            <v>10</v>
          </cell>
          <cell r="O5">
            <v>11</v>
          </cell>
          <cell r="P5">
            <v>12</v>
          </cell>
        </row>
        <row r="6">
          <cell r="A6" t="str">
            <v>01.401.00</v>
          </cell>
          <cell r="B6" t="str">
            <v>RECOMPOSIÇÃO DE REVESTIMENTO PRIMÁRIO</v>
          </cell>
          <cell r="C6" t="str">
            <v>$'Plano Anual de Trab Orçamento '.#REF!#REF!</v>
          </cell>
          <cell r="D6" t="str">
            <v>m³</v>
          </cell>
        </row>
        <row r="7">
          <cell r="A7" t="str">
            <v>01.930.00</v>
          </cell>
          <cell r="B7" t="str">
            <v>REGULARIZAÇÃO MECANIZADA FAIXA DOMÍNIO</v>
          </cell>
          <cell r="C7" t="str">
            <v>$'Plano Anual de Trab Orçamento '.#REF!#REF!</v>
          </cell>
          <cell r="D7" t="str">
            <v>m²</v>
          </cell>
        </row>
        <row r="8">
          <cell r="A8" t="str">
            <v>02.200.00</v>
          </cell>
          <cell r="B8" t="str">
            <v>SOLO PARA BASE REMENDO PROFUNDO</v>
          </cell>
          <cell r="C8" t="str">
            <v>$'Plano Anual de Trab Orçamento '.#REF!#REF!</v>
          </cell>
          <cell r="D8" t="str">
            <v>m³</v>
          </cell>
        </row>
        <row r="9">
          <cell r="A9" t="str">
            <v>02.230.00</v>
          </cell>
          <cell r="B9" t="str">
            <v>BRITA PARA BASE REMENDO PROFUNDO</v>
          </cell>
          <cell r="C9" t="e">
            <v>#REF!</v>
          </cell>
          <cell r="D9" t="str">
            <v>m³</v>
          </cell>
        </row>
        <row r="10">
          <cell r="A10" t="str">
            <v>02.400.00</v>
          </cell>
          <cell r="B10" t="str">
            <v>PINTURA DE LIGAÇÃO</v>
          </cell>
          <cell r="C10" t="str">
            <v>$'Plano Anual de Trab Orçamento '.#REF!#REF!</v>
          </cell>
          <cell r="D10" t="str">
            <v>m²</v>
          </cell>
        </row>
        <row r="11">
          <cell r="A11" t="str">
            <v>02.500.00</v>
          </cell>
          <cell r="B11" t="str">
            <v>CAPA SELANTE COM PEDRISCO</v>
          </cell>
          <cell r="C11" t="str">
            <v>$'Plano Anual de Trab Orçamento '.#REF!#REF!</v>
          </cell>
          <cell r="D11" t="str">
            <v>m²</v>
          </cell>
        </row>
        <row r="12">
          <cell r="A12" t="str">
            <v>02.530.00</v>
          </cell>
          <cell r="B12" t="str">
            <v>MISTURA BETUMINOSA EM BETONEIRA</v>
          </cell>
          <cell r="C12" t="e">
            <v>#REF!</v>
          </cell>
          <cell r="D12" t="str">
            <v>m³</v>
          </cell>
        </row>
        <row r="13">
          <cell r="A13" t="str">
            <v>03.310.00</v>
          </cell>
          <cell r="B13" t="str">
            <v xml:space="preserve"> CONCRETO CICLÓPICO</v>
          </cell>
          <cell r="C13" t="str">
            <v>$'Plano Anual de Trab Orçamento '.#REF!#REF!</v>
          </cell>
          <cell r="D13" t="str">
            <v>m³</v>
          </cell>
        </row>
        <row r="14">
          <cell r="A14" t="str">
            <v>02.540.01</v>
          </cell>
          <cell r="B14" t="str">
            <v>RECOMPOSIÇÃO DO REVESTIMENTO C/ MBUQ</v>
          </cell>
          <cell r="C14" t="str">
            <v>$'Plano Anual de Trab Orçamento '.#REF!#REF!</v>
          </cell>
          <cell r="D14" t="str">
            <v>m³</v>
          </cell>
        </row>
        <row r="15">
          <cell r="A15" t="str">
            <v>03.310.00</v>
          </cell>
          <cell r="B15" t="str">
            <v xml:space="preserve"> CONCRETO CICLÓPICO</v>
          </cell>
          <cell r="C15" t="str">
            <v>$'Plano Anual de Trab Orçamento '.#REF!#REF!</v>
          </cell>
          <cell r="D15" t="str">
            <v>m³</v>
          </cell>
        </row>
        <row r="16">
          <cell r="A16" t="str">
            <v>03.329.00</v>
          </cell>
          <cell r="B16" t="str">
            <v>CONCRETO CIMENTO PORTLAND</v>
          </cell>
          <cell r="C16" t="e">
            <v>#REF!</v>
          </cell>
          <cell r="D16" t="str">
            <v>m³</v>
          </cell>
        </row>
        <row r="17">
          <cell r="A17" t="str">
            <v>03.340.02</v>
          </cell>
          <cell r="B17" t="str">
            <v>ARGAMASSA CIMENTO-AREIA  1:6</v>
          </cell>
          <cell r="C17" t="e">
            <v>#REF!</v>
          </cell>
          <cell r="D17" t="str">
            <v>m³</v>
          </cell>
        </row>
        <row r="18">
          <cell r="A18" t="str">
            <v>03.370.00</v>
          </cell>
          <cell r="B18" t="str">
            <v>FORMAS</v>
          </cell>
          <cell r="C18" t="e">
            <v>#REF!</v>
          </cell>
          <cell r="D18" t="str">
            <v>m²</v>
          </cell>
        </row>
        <row r="19">
          <cell r="A19" t="str">
            <v>03.940.00</v>
          </cell>
          <cell r="B19" t="str">
            <v>REATERRO APILOADO</v>
          </cell>
          <cell r="C19" t="e">
            <v>#REF!</v>
          </cell>
          <cell r="D19" t="str">
            <v>m³</v>
          </cell>
        </row>
        <row r="20">
          <cell r="A20" t="str">
            <v>03.950.00</v>
          </cell>
          <cell r="B20" t="str">
            <v>LIMPEZA DE PONTE</v>
          </cell>
          <cell r="C20" t="e">
            <v>#REF!</v>
          </cell>
          <cell r="D20" t="str">
            <v>m</v>
          </cell>
        </row>
        <row r="21">
          <cell r="A21" t="str">
            <v>04.000.00</v>
          </cell>
          <cell r="B21" t="str">
            <v>ESCAVAÇÃO MANUAL</v>
          </cell>
          <cell r="C21" t="e">
            <v>#REF!</v>
          </cell>
          <cell r="D21" t="str">
            <v>m³</v>
          </cell>
        </row>
        <row r="22">
          <cell r="A22" t="str">
            <v>04.001.00</v>
          </cell>
          <cell r="B22" t="str">
            <v>ESC. DE VALA EM MATERIAL DE 1ª CAT.</v>
          </cell>
          <cell r="C22" t="e">
            <v>#REF!</v>
          </cell>
          <cell r="D22" t="str">
            <v>m³</v>
          </cell>
        </row>
        <row r="23">
          <cell r="A23" t="str">
            <v>04.590.00</v>
          </cell>
          <cell r="B23" t="str">
            <v>ASSENTAMENTO DE DRENO PROFUNDO</v>
          </cell>
          <cell r="C23" t="str">
            <v>$'Plano Anual de Trab Orçamento '.#REF!#REF!</v>
          </cell>
          <cell r="D23" t="str">
            <v>m</v>
          </cell>
        </row>
        <row r="24">
          <cell r="A24" t="str">
            <v>05.000.00</v>
          </cell>
          <cell r="B24" t="str">
            <v>ENROCAMENTO DE PEDRA ARRUMADA</v>
          </cell>
          <cell r="C24" t="e">
            <v>#REF!</v>
          </cell>
          <cell r="D24" t="str">
            <v>m³</v>
          </cell>
        </row>
        <row r="25">
          <cell r="A25" t="str">
            <v>05.001.00</v>
          </cell>
          <cell r="B25" t="str">
            <v>ENROCAMENTO DE PEDRA JOGADA</v>
          </cell>
          <cell r="C25" t="str">
            <v>$'Plano Anual de Trab Orçamento '.#REF!#REF!</v>
          </cell>
          <cell r="D25" t="str">
            <v>m³</v>
          </cell>
        </row>
        <row r="26">
          <cell r="A26" t="str">
            <v>05.101.02</v>
          </cell>
          <cell r="B26" t="str">
            <v>REVESTIMENTO VEGETAL C/ GRAMA EM LEIVAS</v>
          </cell>
          <cell r="C26" t="e">
            <v>#REF!</v>
          </cell>
          <cell r="D26" t="str">
            <v>m²</v>
          </cell>
        </row>
        <row r="27">
          <cell r="A27" t="str">
            <v>08.100.00</v>
          </cell>
          <cell r="B27" t="str">
            <v>TAPA BURACO</v>
          </cell>
          <cell r="C27" t="e">
            <v>#REF!</v>
          </cell>
          <cell r="D27" t="str">
            <v>km</v>
          </cell>
        </row>
        <row r="28">
          <cell r="A28" t="str">
            <v>08.101.01</v>
          </cell>
          <cell r="B28" t="str">
            <v>REMENDO PROF. C/ DEM. MANUAL</v>
          </cell>
          <cell r="C28" t="e">
            <v>#REF!</v>
          </cell>
          <cell r="D28" t="str">
            <v>km</v>
          </cell>
        </row>
        <row r="29">
          <cell r="A29" t="str">
            <v>08.101.02</v>
          </cell>
          <cell r="B29" t="str">
            <v>REMENDO PROF. C/ DEM. MECANIZADA</v>
          </cell>
          <cell r="C29" t="str">
            <v>$'Plano Anual de Trab Orçamento '.#REF!#REF!</v>
          </cell>
          <cell r="D29" t="str">
            <v>km</v>
          </cell>
        </row>
        <row r="30">
          <cell r="A30" t="str">
            <v>08.103.00</v>
          </cell>
          <cell r="B30" t="str">
            <v>SELAGEM DE TRINCA</v>
          </cell>
          <cell r="C30" t="str">
            <v>$'Plano Anual de Trab Orçamento '.#REF!#REF!</v>
          </cell>
          <cell r="D30" t="str">
            <v>km</v>
          </cell>
        </row>
        <row r="31">
          <cell r="A31" t="str">
            <v>08.109.00</v>
          </cell>
          <cell r="B31" t="str">
            <v>CORREÇÃO DE DEFEITOS C/ MIST. BETUM.</v>
          </cell>
          <cell r="C31" t="str">
            <v>$'Plano Anual de Trab Orçamento '.#REF!#REF!</v>
          </cell>
          <cell r="D31" t="str">
            <v>km</v>
          </cell>
        </row>
        <row r="32">
          <cell r="A32" t="str">
            <v>08.109.22</v>
          </cell>
          <cell r="B32" t="str">
            <v>FRESAGEM DESCONTÍNUA A FRIO ESP. 5 CM</v>
          </cell>
          <cell r="C32" t="str">
            <v>$'Plano Anual de Trab Orçamento '.#REF!#REF!</v>
          </cell>
          <cell r="D32" t="str">
            <v>m²</v>
          </cell>
        </row>
        <row r="33">
          <cell r="A33" t="str">
            <v>08.200.00</v>
          </cell>
          <cell r="B33" t="str">
            <v>RECOMPOSIÇÃO DE GUARDA CORPO</v>
          </cell>
          <cell r="C33" t="e">
            <v>#REF!</v>
          </cell>
          <cell r="D33" t="str">
            <v>m</v>
          </cell>
        </row>
        <row r="34">
          <cell r="A34" t="str">
            <v>08.300.01</v>
          </cell>
          <cell r="B34" t="str">
            <v>LIMPEZA SARJETA E MEIO-FIO</v>
          </cell>
          <cell r="C34" t="e">
            <v>#REF!</v>
          </cell>
          <cell r="D34" t="str">
            <v>m</v>
          </cell>
        </row>
        <row r="35">
          <cell r="A35" t="str">
            <v>08.301.01</v>
          </cell>
          <cell r="B35" t="str">
            <v>LIMPEZA DE VALETA DE CORTE</v>
          </cell>
          <cell r="C35" t="e">
            <v>#REF!</v>
          </cell>
          <cell r="D35" t="str">
            <v>m</v>
          </cell>
        </row>
        <row r="36">
          <cell r="A36" t="str">
            <v>08.301.02</v>
          </cell>
          <cell r="B36" t="str">
            <v>LIMPEZA DE VALA DE DRENAGEM</v>
          </cell>
          <cell r="C36" t="e">
            <v>#REF!</v>
          </cell>
          <cell r="D36" t="str">
            <v>m</v>
          </cell>
        </row>
        <row r="37">
          <cell r="A37" t="str">
            <v>08.302.01</v>
          </cell>
          <cell r="B37" t="str">
            <v>LIMPEZA  DE BUEIRO</v>
          </cell>
          <cell r="C37" t="e">
            <v>#REF!</v>
          </cell>
          <cell r="D37" t="str">
            <v>m³</v>
          </cell>
        </row>
        <row r="38">
          <cell r="A38" t="str">
            <v>08.302.02</v>
          </cell>
          <cell r="B38" t="str">
            <v>DESOBSTRUÇÃO  DE BUEIRO</v>
          </cell>
          <cell r="C38" t="e">
            <v>#REF!</v>
          </cell>
          <cell r="D38" t="str">
            <v>m³</v>
          </cell>
        </row>
        <row r="39">
          <cell r="A39" t="str">
            <v>08.302.03</v>
          </cell>
          <cell r="B39" t="str">
            <v>ASSENTAMENTO TUBO CONCRETO D=0,6 M</v>
          </cell>
          <cell r="C39" t="str">
            <v>$'Plano Anual de Trab Orçamento '.#REF!#REF!</v>
          </cell>
          <cell r="D39" t="str">
            <v>m</v>
          </cell>
        </row>
        <row r="40">
          <cell r="A40" t="str">
            <v>08.302.04</v>
          </cell>
          <cell r="B40" t="str">
            <v>ASSENTAMENTO TUBO CONCRETO D=0,8 M</v>
          </cell>
          <cell r="C40" t="str">
            <v>$'Plano Anual de Trab Orçamento '.#REF!#REF!</v>
          </cell>
          <cell r="D40" t="str">
            <v>m</v>
          </cell>
        </row>
        <row r="41">
          <cell r="A41" t="str">
            <v>08.302.05</v>
          </cell>
          <cell r="B41" t="str">
            <v>ASSENTAMENTO TUBO CONCRETO D=1,0 M</v>
          </cell>
          <cell r="C41" t="str">
            <v>$'Plano Anual de Trab Orçamento '.#REF!#REF!</v>
          </cell>
          <cell r="D41" t="str">
            <v>m</v>
          </cell>
        </row>
        <row r="42">
          <cell r="A42" t="str">
            <v>08.400.01</v>
          </cell>
          <cell r="B42" t="str">
            <v>RECOMPOSIÇÃO DE PLACAS DE SINALIZAÇÃO</v>
          </cell>
          <cell r="C42" t="e">
            <v>#REF!</v>
          </cell>
          <cell r="D42" t="str">
            <v>ud</v>
          </cell>
        </row>
        <row r="43">
          <cell r="A43" t="str">
            <v>08.400.02</v>
          </cell>
          <cell r="B43" t="str">
            <v>SUBSTITUIÇÃO DE BALIZADOR</v>
          </cell>
          <cell r="C43" t="str">
            <v>$'Plano Anual de Trab Orçamento '.#REF!#REF!</v>
          </cell>
          <cell r="D43" t="str">
            <v>ud</v>
          </cell>
        </row>
        <row r="44">
          <cell r="A44" t="str">
            <v>08.401.00</v>
          </cell>
          <cell r="B44" t="str">
            <v>RECOMPOSIÇÃO DE DEFENSA METÁLICA</v>
          </cell>
          <cell r="C44" t="e">
            <v>#REF!</v>
          </cell>
          <cell r="D44" t="str">
            <v>m</v>
          </cell>
        </row>
        <row r="45">
          <cell r="A45" t="str">
            <v>08.402.00</v>
          </cell>
          <cell r="B45" t="str">
            <v>CAIAÇÃO</v>
          </cell>
          <cell r="C45" t="e">
            <v>#REF!</v>
          </cell>
          <cell r="D45" t="str">
            <v>m²</v>
          </cell>
        </row>
        <row r="46">
          <cell r="A46" t="str">
            <v>08.404.01</v>
          </cell>
          <cell r="B46" t="str">
            <v>RECOMP. PARCIAL CERCA  CONCR.-MOURÃO</v>
          </cell>
          <cell r="C46" t="str">
            <v>$'Plano Anual de Trab Orçamento '.#REF!#REF!</v>
          </cell>
          <cell r="D46" t="str">
            <v>km</v>
          </cell>
        </row>
        <row r="47">
          <cell r="A47" t="str">
            <v>08.404.02</v>
          </cell>
          <cell r="B47" t="str">
            <v>RECOMP. PARCIAL CERCA  CONCR.-ARAME</v>
          </cell>
          <cell r="C47" t="str">
            <v>$'Plano Anual de Trab Orçamento '.#REF!#REF!</v>
          </cell>
          <cell r="D47" t="str">
            <v>km</v>
          </cell>
        </row>
        <row r="48">
          <cell r="A48" t="str">
            <v>08.500.00</v>
          </cell>
          <cell r="B48" t="str">
            <v>RECOMPOSIÇÃO MANUAL DE ATERRO</v>
          </cell>
          <cell r="C48" t="e">
            <v>#REF!</v>
          </cell>
          <cell r="D48" t="str">
            <v>km</v>
          </cell>
        </row>
        <row r="49">
          <cell r="A49" t="str">
            <v>08.501.00</v>
          </cell>
          <cell r="B49" t="str">
            <v>RECOMPOSIÇÃO MECANIZADA DE ATERRO</v>
          </cell>
          <cell r="C49" t="str">
            <v>$'Plano Anual de Trab Orçamento '.#REF!#REF!</v>
          </cell>
          <cell r="D49" t="str">
            <v>km</v>
          </cell>
        </row>
        <row r="50">
          <cell r="A50" t="str">
            <v>08.510.00</v>
          </cell>
          <cell r="B50" t="str">
            <v>REMOCÀO MANUAL DE BARREIRA</v>
          </cell>
          <cell r="C50" t="e">
            <v>#REF!</v>
          </cell>
          <cell r="D50" t="str">
            <v>km</v>
          </cell>
        </row>
        <row r="51">
          <cell r="A51" t="str">
            <v>08.511.00</v>
          </cell>
          <cell r="B51" t="str">
            <v>REMOCÀO MECANIZADA DE BARREIRA</v>
          </cell>
          <cell r="C51" t="e">
            <v>#REF!</v>
          </cell>
          <cell r="D51" t="str">
            <v>km</v>
          </cell>
        </row>
        <row r="52">
          <cell r="A52" t="str">
            <v>08.900.00</v>
          </cell>
          <cell r="B52" t="str">
            <v>ROÇADA MANUAL</v>
          </cell>
          <cell r="C52" t="e">
            <v>#REF!</v>
          </cell>
          <cell r="D52" t="str">
            <v>ha</v>
          </cell>
        </row>
        <row r="53">
          <cell r="A53" t="str">
            <v>08.900.01</v>
          </cell>
          <cell r="B53" t="str">
            <v>ROÇADA DE CAPIM COLONIÃO</v>
          </cell>
          <cell r="C53" t="e">
            <v>#REF!</v>
          </cell>
          <cell r="D53" t="str">
            <v>ha</v>
          </cell>
        </row>
        <row r="54">
          <cell r="A54" t="str">
            <v>08.901.01</v>
          </cell>
          <cell r="B54" t="str">
            <v>CORTE E LIMPEZA DE ÁREAS GRAMADAS</v>
          </cell>
          <cell r="C54" t="e">
            <v>#REF!</v>
          </cell>
          <cell r="D54" t="str">
            <v>m²</v>
          </cell>
        </row>
        <row r="55">
          <cell r="A55" t="str">
            <v>08.910.00</v>
          </cell>
          <cell r="B55" t="str">
            <v>CAPINA MANUAL</v>
          </cell>
          <cell r="C55" t="e">
            <v>#REF!</v>
          </cell>
          <cell r="D55" t="str">
            <v>m²</v>
          </cell>
        </row>
        <row r="56">
          <cell r="A56" t="str">
            <v>09.002.00</v>
          </cell>
          <cell r="B56" t="str">
            <v>TRANSPORTE CAMINHÃO EM BASCULANTE 4m³</v>
          </cell>
          <cell r="C56" t="e">
            <v>#REF!</v>
          </cell>
          <cell r="D56" t="str">
            <v>t.km</v>
          </cell>
        </row>
        <row r="57">
          <cell r="A57" t="str">
            <v>09.002.01</v>
          </cell>
          <cell r="B57" t="str">
            <v>TRANSPORTE CAMINHÃO CARROCERIA FIXA 4 T</v>
          </cell>
          <cell r="C57" t="e">
            <v>#REF!</v>
          </cell>
          <cell r="D57" t="str">
            <v>t.km</v>
          </cell>
        </row>
        <row r="58">
          <cell r="A58" t="str">
            <v>09.002.03</v>
          </cell>
          <cell r="B58" t="str">
            <v>TRANSPORTE ESPECIAL EM BASCULANTE 4m3</v>
          </cell>
          <cell r="C58" t="str">
            <v>$'Plano Anual de Trab Orçamento '.#REF!#REF!</v>
          </cell>
          <cell r="D58" t="str">
            <v>t.km</v>
          </cell>
        </row>
        <row r="59">
          <cell r="A59" t="str">
            <v>09.102.00</v>
          </cell>
          <cell r="B59" t="str">
            <v>TRANSPORTE LOCAL DE MAT. BET. À FRIO</v>
          </cell>
          <cell r="C59" t="str">
            <v>$'Plano Anual de Trab Orçamento '.#REF!#REF!</v>
          </cell>
          <cell r="D59" t="str">
            <v>t.km</v>
          </cell>
        </row>
        <row r="60">
          <cell r="A60" t="str">
            <v>09.202.00</v>
          </cell>
          <cell r="B60" t="str">
            <v>TRANSPORTE DE ÁGUA</v>
          </cell>
          <cell r="C60" t="str">
            <v>$'Plano Anual de Trab Orçamento '.#REF!#REF!</v>
          </cell>
          <cell r="D60" t="str">
            <v>t.km</v>
          </cell>
        </row>
        <row r="61">
          <cell r="A61" t="str">
            <v>M.3.34</v>
          </cell>
          <cell r="B61" t="str">
            <v>PARAFUSO FIXAÇÃO PLACA SINALIZAÇÃO</v>
          </cell>
          <cell r="C61" t="e">
            <v>#REF!</v>
          </cell>
          <cell r="D61" t="str">
            <v>un</v>
          </cell>
        </row>
        <row r="62">
          <cell r="A62" t="str">
            <v>M.3.35</v>
          </cell>
          <cell r="B62" t="str">
            <v>PARAFUSO FIXAÇÃO TRAVESSA EM PL. SINAL.</v>
          </cell>
          <cell r="C62" t="e">
            <v>#REF!</v>
          </cell>
          <cell r="D62" t="str">
            <v>un</v>
          </cell>
        </row>
        <row r="63">
          <cell r="A63" t="str">
            <v>m.3.46</v>
          </cell>
          <cell r="B63" t="str">
            <v>CHAPA DE AÇO Nº 16 TRATADA</v>
          </cell>
          <cell r="C63" t="e">
            <v>#REF!</v>
          </cell>
          <cell r="D63" t="str">
            <v>m²</v>
          </cell>
        </row>
        <row r="64">
          <cell r="A64" t="str">
            <v>M.4.06</v>
          </cell>
          <cell r="B64" t="str">
            <v>CAIBRO 7,5 CM x 7,5 cm</v>
          </cell>
          <cell r="C64" t="e">
            <v>#REF!</v>
          </cell>
          <cell r="D64" t="str">
            <v>m</v>
          </cell>
        </row>
        <row r="65">
          <cell r="A65" t="str">
            <v>M.6.09</v>
          </cell>
          <cell r="B65" t="str">
            <v>TINTA ESMALTE SINTÉTICO FOSCO</v>
          </cell>
          <cell r="C65" t="e">
            <v>#REF!</v>
          </cell>
          <cell r="D65" t="str">
            <v>l</v>
          </cell>
        </row>
        <row r="66">
          <cell r="A66" t="str">
            <v>M.6.12</v>
          </cell>
          <cell r="B66" t="str">
            <v>LIXA PARA FERRO Nº 100</v>
          </cell>
          <cell r="C66" t="e">
            <v>#REF!</v>
          </cell>
          <cell r="D66" t="str">
            <v>un</v>
          </cell>
        </row>
        <row r="67">
          <cell r="A67" t="str">
            <v>M.9.70</v>
          </cell>
          <cell r="B67" t="str">
            <v>PELÍCULA REFLETIVA LENTES INCLUSAS</v>
          </cell>
          <cell r="C67" t="e">
            <v>#REF!</v>
          </cell>
          <cell r="D67" t="str">
            <v>m²</v>
          </cell>
        </row>
        <row r="68">
          <cell r="A68" t="str">
            <v>E.4.12</v>
          </cell>
          <cell r="B68" t="str">
            <v>VEÍCULO SEDAN ATÉ 100 HP</v>
          </cell>
          <cell r="C68">
            <v>12</v>
          </cell>
          <cell r="D68" t="str">
            <v>mês</v>
          </cell>
        </row>
        <row r="69">
          <cell r="B69" t="str">
            <v>VALORES EM REAIS</v>
          </cell>
          <cell r="C69" t="str">
            <v>VALOR MENSAL</v>
          </cell>
        </row>
        <row r="70">
          <cell r="C70" t="str">
            <v>VALOR ACUMULADO</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Mat Asf"/>
      <sheetName val="RESUMO_DVOP"/>
      <sheetName val="SERV-EXTRAS"/>
      <sheetName val="Planilha 358 (Saldo)"/>
      <sheetName val="Orçamento"/>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desmat. destoc 0,15m"/>
      <sheetName val="desmat. destoc 0,15 a 0,30m"/>
      <sheetName val="ECT DMT 50m"/>
      <sheetName val="ECT DMT 50-200m"/>
      <sheetName val="ECT DMT 200-400m "/>
      <sheetName val="ECT DMT 400-600m  "/>
      <sheetName val="ECT DMT 600-800m"/>
      <sheetName val="ECT DMT 800-1000m "/>
      <sheetName val="ECT DMT 1000-1200m "/>
      <sheetName val="ECT DMT 1200-1400m"/>
      <sheetName val="ECT DMT 1400-1600m "/>
      <sheetName val="ECT DMT 1600-1800m"/>
      <sheetName val="ECT DMT 1800-2000m"/>
      <sheetName val="ECT DMT 2000-3000m "/>
      <sheetName val="ECT DMT 3000-5000m"/>
      <sheetName val="Compactação Aterro 95%"/>
      <sheetName val="Compactação Aterro 100% "/>
      <sheetName val="Compactação  botafora"/>
      <sheetName val="Alvenaria pedra argam"/>
      <sheetName val="Alvenaria tijolo"/>
      <sheetName val="AUXILIAR Dentes BDTC 1,00m "/>
      <sheetName val="AUXILIAR Dentes BDTC 1,20m "/>
      <sheetName val="AUXILIAR Dentes BSTC 0,60m"/>
      <sheetName val="AUXILIAR Dentes BSTC 0,80m "/>
      <sheetName val="AUXILIAR Dentes BSTC 1,00m "/>
      <sheetName val="AUXILIAR Dentes BSTC 1,20m  "/>
      <sheetName val="Usinagem CBUQ"/>
      <sheetName val="Forma comum"/>
      <sheetName val="Forma compensada resinada"/>
      <sheetName val="AUXILIAR Concreto magro"/>
      <sheetName val="AUXILIAR Concreto 10 MPa"/>
      <sheetName val="AUXILIAR Concreto 12 MPa"/>
      <sheetName val="AUXILIAR Concreto 15 MPa"/>
      <sheetName val="Concr. estr. 18 MPa Convencio"/>
      <sheetName val="AUXILIAR Concreto 22 MPa"/>
      <sheetName val="AUXILIAR Concreto 18 MPa"/>
      <sheetName val="AUXILIAR Ciclópico 12 MPa"/>
      <sheetName val="AUXILIAR Argamassa 1-3"/>
      <sheetName val="AUXILIAR Argamassa 1-4"/>
      <sheetName val="Fabricação balizador"/>
      <sheetName val="Concreto 18 MPa (mourão)"/>
      <sheetName val="Mourão esticador cerca"/>
      <sheetName val="Mourão suporte cerca"/>
      <sheetName val="AUXILIAR tubo perfurado"/>
      <sheetName val="AUXILIAR tubo poroso"/>
      <sheetName val="AUXILIAR tubo d=30cm"/>
      <sheetName val="AUXILIAR tubo d=60cm "/>
      <sheetName val="AUXILIAR tubo d=80cm"/>
      <sheetName val="AUXILIAR tubo d=1,0m "/>
      <sheetName val="AUXILIAR tubo d=1,20m"/>
      <sheetName val="Confecção Placa sinalização"/>
      <sheetName val="Confecção suporte placa sinal"/>
      <sheetName val="AUXILIAR lastro brita"/>
      <sheetName val="Compactação  manual"/>
      <sheetName val="Reaterro e compactação"/>
      <sheetName val="Escavação mecanica e reaterro"/>
      <sheetName val="Valeta VPC 01"/>
      <sheetName val="Valeta VPA 01"/>
      <sheetName val="Dreno DPS 01"/>
      <sheetName val="Dreno DPS 02"/>
      <sheetName val="Dreno DPS 07"/>
      <sheetName val="Dreno DPS 08"/>
      <sheetName val="Boca saída dreno BSD 01"/>
      <sheetName val="Boca saída dreno BSD 02"/>
      <sheetName val="Sarjeta STC 02"/>
      <sheetName val="Teor"/>
      <sheetName val="C.U"/>
      <sheetName val="RESUMO-4ª MED"/>
      <sheetName val="Capa Memória de Calc"/>
      <sheetName val="Capa Resumo"/>
      <sheetName val="Capa Documentação"/>
      <sheetName val="Capa Anexo I"/>
      <sheetName val="Capa Anexo II"/>
      <sheetName val="Capa Anexo III"/>
      <sheetName val="Capa Premissas"/>
      <sheetName val="Capa Caract. Seg."/>
      <sheetName val="Capa Anexo IV"/>
      <sheetName val="Capa Apres"/>
      <sheetName val="Capa Mapa"/>
      <sheetName val="P A T O 98 D"/>
      <sheetName val="450"/>
      <sheetName val="DADOS"/>
      <sheetName val="PROJETO"/>
      <sheetName val="Capa Caract_ Seg_"/>
      <sheetName val="Orçamentária"/>
      <sheetName val="Instalação e manutenção de cant"/>
      <sheetName val="RELATÓRIO"/>
      <sheetName val="Resumo 1"/>
      <sheetName val="Mat"/>
      <sheetName val="IDENTIFIC. EMPRESA - Q1"/>
      <sheetName val="P A T O 99 B"/>
      <sheetName val="SINALIZAÇÃO VERTICAL"/>
      <sheetName val="Cálculo"/>
      <sheetName val="DG"/>
      <sheetName val="12.Serviços(Cad)"/>
      <sheetName val="RESUMO_8ª MED"/>
      <sheetName val="Carimbo de Nota"/>
      <sheetName val="TrafContExpan-NoPrint"/>
      <sheetName val="TodasTraf-2000-NoPrint"/>
      <sheetName val="Grafico Geral Orçamento"/>
      <sheetName val="PACAJUS"/>
      <sheetName val="BANC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TO"/>
    </sheetNames>
    <sheetDataSet>
      <sheetData sheetId="0"/>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C"/>
      <sheetName val="FV-DNER"/>
      <sheetName val="orçamento_global"/>
      <sheetName val="FIDENS-R$mil"/>
      <sheetName val="PRO-08"/>
      <sheetName val="PLANILHA ATUALIZADA"/>
      <sheetName val="Vínculo (2)"/>
      <sheetName val="DADOS"/>
      <sheetName val="TransComerc_Basc10m³"/>
      <sheetName val="TapaBuraco"/>
      <sheetName val="Quadro Geral"/>
      <sheetName val="PRO_08"/>
      <sheetName val="Capa Memória de Calc"/>
      <sheetName val="Capa Resumo"/>
      <sheetName val="Capa Apres"/>
      <sheetName val="Capa Documentação"/>
      <sheetName val="Capa Anexo I"/>
      <sheetName val="Capa Anexo II"/>
      <sheetName val="Capa Anexo III"/>
      <sheetName val="Capa Anexo IV"/>
      <sheetName val="Capa Mapa"/>
      <sheetName val="Capa Premissas"/>
      <sheetName val="Capa Caract. Seg."/>
      <sheetName val="Capa Caract_ Seg_"/>
      <sheetName val="Teor"/>
      <sheetName val="Serviços"/>
      <sheetName val="Especif"/>
      <sheetName val="RESUMO_AUT1"/>
      <sheetName val="Plan1"/>
      <sheetName val="RESUMO DE MEDIÇÃO"/>
      <sheetName val="Vínculo"/>
      <sheetName val="points"/>
      <sheetName val="Mat"/>
      <sheetName val="P A T O 98 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MED"/>
      <sheetName val="Relatório-1ª med."/>
      <sheetName val="DRENA"/>
      <sheetName val="ESCAVOCAR"/>
      <sheetName val="TRANSPTERR"/>
      <sheetName val="REG SUBLEITO"/>
      <sheetName val="SUBBASE"/>
      <sheetName val="BASE"/>
      <sheetName val="TRANSPBASE"/>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latório_1ª med_"/>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 val="PROJETO"/>
      <sheetName val="Capa"/>
      <sheetName val="Sumário"/>
      <sheetName val="Capa Apres"/>
      <sheetName val="Apres"/>
      <sheetName val="Capa Mapa"/>
      <sheetName val="Mapa"/>
      <sheetName val="Capa Premissas"/>
      <sheetName val="Premissas"/>
      <sheetName val="Capa Caract. Seg."/>
      <sheetName val="Áreas gramadas"/>
      <sheetName val="OAE"/>
      <sheetName val="Drenagem"/>
      <sheetName val="Capa Memória de Calc"/>
      <sheetName val="Características"/>
      <sheetName val="Percentual"/>
      <sheetName val="M2"/>
      <sheetName val="Quantitativos"/>
      <sheetName val="CMB"/>
      <sheetName val="ESP"/>
      <sheetName val="Fresagem"/>
      <sheetName val="Capa Resumo"/>
      <sheetName val="Unifilar"/>
      <sheetName val="Orçamento Total"/>
      <sheetName val="Crono. Financ. (kmf) (2)"/>
      <sheetName val="Orçamento por Kmf"/>
      <sheetName val="Orçamento por solução"/>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OR960887.XLS"/>
      <sheetName val="Dados"/>
      <sheetName val="Carimbo de Nota"/>
      <sheetName val="DG"/>
      <sheetName val="QuQuant"/>
      <sheetName val="Orçamentária"/>
      <sheetName val="Orçamento"/>
      <sheetName val="FLUXO - EXECUÇÃO PRÓPRIA"/>
      <sheetName val="08-IND. FÍSICOS"/>
      <sheetName val="C"/>
      <sheetName val="Equipamentos"/>
      <sheetName val="PQ"/>
      <sheetName val="8ª MP_BR_459"/>
      <sheetName val="DSS_04"/>
      <sheetName val="Meio-fio"/>
      <sheetName val="PintLigacao"/>
      <sheetName val="PMQ"/>
      <sheetName val="STC_01"/>
      <sheetName val="RESUMO_AUT1"/>
      <sheetName val="8ª MP_BR-459"/>
      <sheetName val="SICRO"/>
      <sheetName val="Qd05 Preço"/>
      <sheetName val="Qd06"/>
      <sheetName val="LOTE 6"/>
      <sheetName val="Materiais Betuminosos"/>
      <sheetName val="Acumulado"/>
      <sheetName val="BR-267_TR01"/>
      <sheetName val="BR-267_TR02"/>
      <sheetName val="BR-267_TR03"/>
      <sheetName val="BR-376"/>
      <sheetName val="BR-463"/>
      <sheetName val="BR-487"/>
      <sheetName val="TLMB"/>
      <sheetName val="SERVIÇOS"/>
      <sheetName val="P A T O"/>
      <sheetName val="PLANILHA"/>
      <sheetName val="PLANILHA ATUALIZADA"/>
      <sheetName val="Especif"/>
      <sheetName val="Quantidades e Preços - Lote 01"/>
      <sheetName val="Plan1"/>
      <sheetName val="Plan2"/>
      <sheetName val="Plan3"/>
      <sheetName val="CUSTO LARANJEIRAS"/>
      <sheetName val="Insumos - Materiais"/>
      <sheetName val="Mat"/>
      <sheetName val="CONS_CORR"/>
      <sheetName val="Mobra"/>
      <sheetName val="Micro Revest MAN"/>
      <sheetName val="Micro Revest REC 1ªMP"/>
      <sheetName val="REM.MEC MAT.BET.MAN"/>
      <sheetName val="TRANSPORTE REC"/>
      <sheetName val="[OR960887.XLS][OR960887.XLS][OR"/>
      <sheetName val="//localhost/@/DFBSA00535/dyna01"/>
      <sheetName val="Resumo Financeiro"/>
      <sheetName val="alteração"/>
      <sheetName val="PGR"/>
      <sheetName val="__localhost_@_DFBSA00535_dyna01"/>
      <sheetName val="Final"/>
      <sheetName val="Inicio"/>
      <sheetName val="Organiza"/>
      <sheetName val="page 1"/>
      <sheetName val="page 2"/>
      <sheetName val="page 3"/>
      <sheetName val="page 4"/>
      <sheetName val="page 5"/>
      <sheetName val="page 6"/>
      <sheetName val="page 7"/>
      <sheetName val="page 8"/>
      <sheetName val="SERVIÇOS CUSTO SICRO"/>
      <sheetName val="Materiais"/>
      <sheetName val="Mão de Obra"/>
      <sheetName val="Mapa Localização"/>
      <sheetName val="PATO"/>
      <sheetName val="Valeta"/>
      <sheetName val="Descida"/>
      <sheetName val="Sarjeta"/>
      <sheetName val="Bueiro"/>
      <sheetName val="Plan.Preç.Unit."/>
      <sheetName val="QUANT E CUSTOS"/>
      <sheetName val="Transportes"/>
      <sheetName val="Referência"/>
      <sheetName val="Cronograma"/>
      <sheetName val="Grafico Dist. Transp"/>
      <sheetName val="Mobilização e Desmob"/>
      <sheetName val="Resumo Inventario"/>
      <sheetName val="Defensa Recompor"/>
      <sheetName val="Pintura Faixa"/>
      <sheetName val="Pintura Setas"/>
      <sheetName val="Tacha"/>
      <sheetName val="Sinalização"/>
      <sheetName val="Lay out canteiro"/>
      <sheetName val="Custo Canteiro"/>
      <sheetName val="Transp com c carroc rodov pav"/>
      <sheetName val="Aquis. CAP-50-70 MBUQ"/>
      <sheetName val="Transp. CAP-50-70 MBUQ"/>
      <sheetName val="Aquis. RR-1C Remendo"/>
      <sheetName val="Transp. RR-1C Remendo"/>
      <sheetName val="Aquis. RR-1C Tapa Buraco"/>
      <sheetName val="Trans. RR-1C Tapa Buraco"/>
      <sheetName val="Aquis. RR-1C Correção"/>
      <sheetName val="Trans. RR-1C Correção"/>
      <sheetName val="E011"/>
      <sheetName val="E016"/>
      <sheetName val="E400"/>
      <sheetName val="E408"/>
      <sheetName val="[OR960887.XLS]//localhost/@/DFB"/>
      <sheetName val="Teor"/>
      <sheetName val="comp1"/>
      <sheetName val="SIIG 2010-Jun"/>
      <sheetName val="Estimativa"/>
      <sheetName val="Hora Máquina1"/>
    </sheetNames>
    <definedNames>
      <definedName name="PassaExtenso"/>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 val="qtt  bet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L10" t="str">
            <v>I.C. Nº 001/2005/00/00-ASJU</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Eventograma_e_Quantitativos"/>
      <sheetName val="Detalhamento"/>
      <sheetName val="Cronograma"/>
      <sheetName val="PLE"/>
      <sheetName val="Resumo_de_Acompanhamento"/>
      <sheetName val="CronoPrev"/>
    </sheetNames>
    <sheetDataSet>
      <sheetData sheetId="0"/>
      <sheetData sheetId="1">
        <row r="34">
          <cell r="BK34">
            <v>0</v>
          </cell>
        </row>
      </sheetData>
      <sheetData sheetId="2"/>
      <sheetData sheetId="3"/>
      <sheetData sheetId="4">
        <row r="28">
          <cell r="AX28">
            <v>1</v>
          </cell>
        </row>
        <row r="33">
          <cell r="E33">
            <v>0</v>
          </cell>
        </row>
      </sheetData>
      <sheetData sheetId="5"/>
      <sheetData sheetId="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Diagrama"/>
      <sheetName val="DMT"/>
      <sheetName val="PATO"/>
      <sheetName val="Quantidades"/>
      <sheetName val="transporte"/>
      <sheetName val="Cronograma"/>
      <sheetName val="Cronograma (2)"/>
      <sheetName val="Quant."/>
      <sheetName val="ABC Sv"/>
      <sheetName val="ABC Sv (2)"/>
      <sheetName val="mobilização"/>
      <sheetName val="prancha"/>
      <sheetName val="canteiro"/>
      <sheetName val="layout"/>
      <sheetName val="ANP"/>
      <sheetName val="trans_betum_CGB"/>
      <sheetName val="Micro"/>
      <sheetName val="MBUQ"/>
      <sheetName val="pint_lig"/>
      <sheetName val="imprimação"/>
      <sheetName val="TSD"/>
      <sheetName val="Correção"/>
      <sheetName val="SICRO"/>
      <sheetName val="SICR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A6" t="str">
            <v>AM101</v>
          </cell>
          <cell r="B6" t="str">
            <v>CAP 50 70</v>
          </cell>
          <cell r="C6">
            <v>1.3704801342872837</v>
          </cell>
          <cell r="D6">
            <v>1370.48</v>
          </cell>
        </row>
        <row r="7">
          <cell r="A7" t="str">
            <v>AM103</v>
          </cell>
          <cell r="B7" t="str">
            <v>CM 30</v>
          </cell>
          <cell r="C7">
            <v>1.94579754827088</v>
          </cell>
          <cell r="D7">
            <v>1945.8</v>
          </cell>
        </row>
        <row r="8">
          <cell r="A8" t="str">
            <v>AM104</v>
          </cell>
          <cell r="B8" t="str">
            <v>RR 1C</v>
          </cell>
          <cell r="C8">
            <v>0.99334595520177704</v>
          </cell>
          <cell r="D8">
            <v>993.35</v>
          </cell>
        </row>
        <row r="9">
          <cell r="A9" t="str">
            <v>AM105</v>
          </cell>
          <cell r="B9" t="str">
            <v>RR 2C</v>
          </cell>
          <cell r="C9">
            <v>1.0838926768252233</v>
          </cell>
          <cell r="D9">
            <v>1083.8900000000001</v>
          </cell>
        </row>
        <row r="10">
          <cell r="A10" t="str">
            <v>AM110</v>
          </cell>
          <cell r="B10" t="str">
            <v>RC 1C - E</v>
          </cell>
          <cell r="C10">
            <v>1.4578905522692402</v>
          </cell>
          <cell r="D10">
            <v>1457.89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row r="8">
          <cell r="B8" t="str">
            <v>2 S 01 000 00</v>
          </cell>
          <cell r="C8" t="str">
            <v>Desm. dest. limpeza áreas c/arv. diam. até 0,15 m</v>
          </cell>
          <cell r="D8" t="str">
            <v>m²</v>
          </cell>
          <cell r="E8">
            <v>0.32</v>
          </cell>
        </row>
        <row r="9">
          <cell r="B9" t="str">
            <v>2 S 02 603 50</v>
          </cell>
          <cell r="C9" t="str">
            <v>Sub-base de concreto rolado ac/bc</v>
          </cell>
          <cell r="D9" t="str">
            <v>m³</v>
          </cell>
          <cell r="E9">
            <v>214.66</v>
          </cell>
        </row>
        <row r="10">
          <cell r="B10" t="str">
            <v>2 S 03 327 50</v>
          </cell>
          <cell r="C10" t="str">
            <v>Concr estr.fck=25mpa-c.raz.uso der conf.lanç.ac/bc</v>
          </cell>
          <cell r="D10" t="str">
            <v>m³</v>
          </cell>
          <cell r="E10">
            <v>453.73</v>
          </cell>
        </row>
        <row r="11">
          <cell r="B11" t="str">
            <v>2 S 03 370 00</v>
          </cell>
          <cell r="C11" t="str">
            <v>Forma comum de madeira</v>
          </cell>
          <cell r="D11" t="str">
            <v>m²</v>
          </cell>
          <cell r="E11">
            <v>81.709999999999994</v>
          </cell>
        </row>
        <row r="12">
          <cell r="B12" t="str">
            <v>2 S 03 000 02</v>
          </cell>
          <cell r="C12" t="str">
            <v>Escavação manual de cavas em material de 1ª cat</v>
          </cell>
          <cell r="D12" t="str">
            <v>m³</v>
          </cell>
          <cell r="E12">
            <v>56.06</v>
          </cell>
        </row>
        <row r="13">
          <cell r="B13" t="str">
            <v>2 S 03 580 01</v>
          </cell>
          <cell r="C13" t="str">
            <v>Fornecimento, preparo e colocação em formas aço ca 60</v>
          </cell>
          <cell r="D13" t="str">
            <v xml:space="preserve"> Kg </v>
          </cell>
          <cell r="E13">
            <v>8.34</v>
          </cell>
        </row>
        <row r="14">
          <cell r="B14" t="str">
            <v>2 S 03 580 03</v>
          </cell>
          <cell r="C14" t="str">
            <v>Fornecimento, preparo e colocação em formas aço ca 25</v>
          </cell>
          <cell r="D14" t="str">
            <v xml:space="preserve"> Kg </v>
          </cell>
          <cell r="E14">
            <v>8.23</v>
          </cell>
        </row>
        <row r="15">
          <cell r="B15" t="str">
            <v>2 S 04 100 53</v>
          </cell>
          <cell r="C15" t="str">
            <v xml:space="preserve">Corpo BSTC D=1,00 m AC/BC/PC </v>
          </cell>
          <cell r="D15" t="str">
            <v>m</v>
          </cell>
          <cell r="E15">
            <v>811.39</v>
          </cell>
        </row>
        <row r="16">
          <cell r="B16" t="str">
            <v>2 S 04 101 53</v>
          </cell>
          <cell r="C16" t="str">
            <v xml:space="preserve">Boca BSTC D=1,00 m AC/BC/PC </v>
          </cell>
          <cell r="D16" t="str">
            <v>und</v>
          </cell>
          <cell r="E16">
            <v>2649.49</v>
          </cell>
        </row>
        <row r="17">
          <cell r="B17" t="str">
            <v>2 S 04 110 51</v>
          </cell>
          <cell r="C17" t="str">
            <v xml:space="preserve">Corpo BDTC D=1,00 m AC/BC/PC </v>
          </cell>
          <cell r="D17" t="str">
            <v>m</v>
          </cell>
          <cell r="E17">
            <v>1656.79</v>
          </cell>
        </row>
        <row r="18">
          <cell r="B18" t="str">
            <v>2 S 04 111 51</v>
          </cell>
          <cell r="C18" t="str">
            <v xml:space="preserve">Boca BDTC D=1,00 m AC/BC/PC </v>
          </cell>
          <cell r="D18" t="str">
            <v>und</v>
          </cell>
          <cell r="E18">
            <v>3687.26</v>
          </cell>
        </row>
        <row r="19">
          <cell r="B19" t="str">
            <v>2 S 04 100 54</v>
          </cell>
          <cell r="C19" t="str">
            <v xml:space="preserve">Corpo BSTC D=1,20 m AC/BC/PC </v>
          </cell>
          <cell r="D19" t="str">
            <v>m</v>
          </cell>
          <cell r="E19">
            <v>1082.2</v>
          </cell>
        </row>
        <row r="20">
          <cell r="B20" t="str">
            <v>2 S 04 101 54</v>
          </cell>
          <cell r="C20" t="str">
            <v xml:space="preserve">Boca BSTC D=1,20 m AC/BC/PC </v>
          </cell>
          <cell r="D20" t="str">
            <v>und</v>
          </cell>
          <cell r="E20">
            <v>3784.22</v>
          </cell>
        </row>
        <row r="21">
          <cell r="B21" t="str">
            <v>2 S 04 110 52</v>
          </cell>
          <cell r="C21" t="str">
            <v xml:space="preserve">Corpo BDTC D=1,20 m AC/BC/PC </v>
          </cell>
          <cell r="D21" t="str">
            <v>m</v>
          </cell>
          <cell r="E21">
            <v>2103.27</v>
          </cell>
        </row>
        <row r="22">
          <cell r="B22" t="str">
            <v>2 S 04 111 52</v>
          </cell>
          <cell r="C22" t="str">
            <v xml:space="preserve">Boca BDTC D=1,20 m AC/BC/PC </v>
          </cell>
          <cell r="D22" t="str">
            <v>und</v>
          </cell>
          <cell r="E22">
            <v>5282.87</v>
          </cell>
        </row>
        <row r="23">
          <cell r="B23" t="str">
            <v>2 S 04 210 60</v>
          </cell>
          <cell r="C23" t="str">
            <v>Corpo BDCC 2,00 x 2,00 m alt. 2,50 a 5,00 m AC/BC</v>
          </cell>
          <cell r="D23" t="str">
            <v>m</v>
          </cell>
          <cell r="E23">
            <v>4334.32</v>
          </cell>
        </row>
        <row r="24">
          <cell r="B24" t="str">
            <v>2 S 04 211 52</v>
          </cell>
          <cell r="C24" t="str">
            <v>Boca BDCC 2,00 x 2,00 m normal AC/BC</v>
          </cell>
          <cell r="D24" t="str">
            <v>und</v>
          </cell>
          <cell r="E24">
            <v>19098.12</v>
          </cell>
        </row>
        <row r="25">
          <cell r="B25" t="str">
            <v>2 S 04 900 51</v>
          </cell>
          <cell r="C25" t="str">
            <v>Sarjeta triangular de concreto - STC 01 AC/BC</v>
          </cell>
          <cell r="D25" t="str">
            <v>m</v>
          </cell>
          <cell r="E25">
            <v>68</v>
          </cell>
        </row>
        <row r="26">
          <cell r="B26" t="str">
            <v>2 S 04 910 51</v>
          </cell>
          <cell r="C26" t="str">
            <v>Meio-fio de concreto - MFC 01 AC/BC</v>
          </cell>
          <cell r="D26" t="str">
            <v>m</v>
          </cell>
          <cell r="E26">
            <v>75.56</v>
          </cell>
        </row>
        <row r="27">
          <cell r="B27" t="str">
            <v>2 S 04 910 53</v>
          </cell>
          <cell r="C27" t="str">
            <v>Meio fio de concreto - MFC 03 AC/BC</v>
          </cell>
          <cell r="D27" t="str">
            <v>m</v>
          </cell>
          <cell r="E27">
            <v>36.700000000000003</v>
          </cell>
        </row>
        <row r="28">
          <cell r="B28" t="str">
            <v>2 S 04 910 55</v>
          </cell>
          <cell r="C28" t="str">
            <v>Meio-fio de concreto - MFC 05 AC/BC</v>
          </cell>
          <cell r="D28" t="str">
            <v>m</v>
          </cell>
          <cell r="E28">
            <v>36.04</v>
          </cell>
        </row>
        <row r="29">
          <cell r="B29" t="str">
            <v>2 S 04 910 56</v>
          </cell>
          <cell r="C29" t="str">
            <v>Meio-fio de concreto - MFC 06 AC/BC</v>
          </cell>
          <cell r="D29" t="str">
            <v>m</v>
          </cell>
          <cell r="E29">
            <v>23.37</v>
          </cell>
        </row>
        <row r="30">
          <cell r="B30" t="str">
            <v>2 S 04 940 52</v>
          </cell>
          <cell r="C30" t="str">
            <v>Descida d'água tipo rap. - canal retang.- DAR 02 AC/BC</v>
          </cell>
          <cell r="D30" t="str">
            <v>m</v>
          </cell>
          <cell r="E30">
            <v>93.09</v>
          </cell>
        </row>
        <row r="31">
          <cell r="B31" t="str">
            <v>2 S 04 942 51</v>
          </cell>
          <cell r="C31" t="str">
            <v>Entrada d'água - EDA 01 AC/BC</v>
          </cell>
          <cell r="D31" t="str">
            <v>m</v>
          </cell>
          <cell r="E31">
            <v>51.5</v>
          </cell>
        </row>
        <row r="32">
          <cell r="B32" t="str">
            <v>2 S 04 942 52</v>
          </cell>
          <cell r="C32" t="str">
            <v>Entrada d'água - EDA 02 AC/BC</v>
          </cell>
          <cell r="D32" t="str">
            <v>m</v>
          </cell>
          <cell r="E32">
            <v>61.94</v>
          </cell>
        </row>
        <row r="33">
          <cell r="B33" t="str">
            <v>2 S 04 950 71</v>
          </cell>
          <cell r="C33" t="str">
            <v>Dissipador de energia - DEB 01 AC/BC</v>
          </cell>
          <cell r="D33" t="str">
            <v>und</v>
          </cell>
          <cell r="E33">
            <v>302</v>
          </cell>
        </row>
        <row r="34">
          <cell r="B34" t="str">
            <v>2 S 03 300 51</v>
          </cell>
          <cell r="C34" t="str">
            <v>Confecção e lanç.de concr.magro em betoneira AC/BC</v>
          </cell>
          <cell r="D34" t="str">
            <v>m³</v>
          </cell>
          <cell r="E34">
            <v>365.42</v>
          </cell>
        </row>
        <row r="35">
          <cell r="B35" t="str">
            <v>2 S 05 100 00</v>
          </cell>
          <cell r="C35" t="str">
            <v>Enleivamento</v>
          </cell>
          <cell r="D35" t="str">
            <v>m²</v>
          </cell>
          <cell r="E35">
            <v>7.11</v>
          </cell>
        </row>
        <row r="36">
          <cell r="B36" t="str">
            <v>2 S 05 102 00</v>
          </cell>
          <cell r="C36" t="str">
            <v>Hidrossemeadura</v>
          </cell>
          <cell r="D36" t="str">
            <v>m²</v>
          </cell>
          <cell r="E36">
            <v>1.01</v>
          </cell>
        </row>
        <row r="37">
          <cell r="B37" t="str">
            <v>2 S 05 302 03</v>
          </cell>
          <cell r="C37" t="str">
            <v>Muro gabião cx1,00 alt.8X10 ZN/AL+PVC D=2,4mm</v>
          </cell>
          <cell r="D37" t="str">
            <v>m³</v>
          </cell>
          <cell r="E37">
            <v>367.52</v>
          </cell>
        </row>
        <row r="38">
          <cell r="B38" t="str">
            <v>2 S 06 410 00</v>
          </cell>
          <cell r="C38" t="str">
            <v>Cerca de arame farpado com suporte de madeira</v>
          </cell>
          <cell r="D38" t="str">
            <v>m</v>
          </cell>
          <cell r="E38">
            <v>15.63</v>
          </cell>
        </row>
        <row r="39">
          <cell r="B39" t="str">
            <v>3 S 01 401 00</v>
          </cell>
          <cell r="C39" t="str">
            <v xml:space="preserve">Recomposição do Revestimento Primário </v>
          </cell>
          <cell r="D39" t="str">
            <v>m³</v>
          </cell>
          <cell r="E39">
            <v>14.17</v>
          </cell>
        </row>
        <row r="40">
          <cell r="B40" t="str">
            <v>3 S 01 930 00</v>
          </cell>
          <cell r="C40" t="str">
            <v>Regularização mecânica da faixa de domínio</v>
          </cell>
          <cell r="D40" t="str">
            <v>m²</v>
          </cell>
          <cell r="E40">
            <v>0.23</v>
          </cell>
        </row>
        <row r="41">
          <cell r="B41" t="str">
            <v>3 S 02 200 01</v>
          </cell>
          <cell r="C41" t="str">
            <v xml:space="preserve">Recomposição de camada granular do pavimento </v>
          </cell>
          <cell r="D41" t="str">
            <v>m³</v>
          </cell>
          <cell r="E41">
            <v>17.36</v>
          </cell>
        </row>
        <row r="42">
          <cell r="B42" t="str">
            <v>3 S 02 220 50</v>
          </cell>
          <cell r="C42" t="str">
            <v>Solo brita p/ base de remendo profundo BC</v>
          </cell>
          <cell r="D42" t="str">
            <v>m³</v>
          </cell>
          <cell r="E42">
            <v>57.78</v>
          </cell>
        </row>
        <row r="43">
          <cell r="B43" t="str">
            <v>3 S 02 300 00</v>
          </cell>
          <cell r="C43" t="str">
            <v>Imprimação</v>
          </cell>
          <cell r="D43" t="str">
            <v>m²</v>
          </cell>
          <cell r="E43">
            <v>0.26</v>
          </cell>
        </row>
        <row r="44">
          <cell r="B44" t="str">
            <v>3 S 02 400 00</v>
          </cell>
          <cell r="C44" t="str">
            <v>Pintura de ligação</v>
          </cell>
          <cell r="D44" t="str">
            <v>m²</v>
          </cell>
          <cell r="E44">
            <v>0.18</v>
          </cell>
        </row>
        <row r="45">
          <cell r="B45" t="str">
            <v>3 S 02 501 51</v>
          </cell>
          <cell r="C45" t="str">
            <v>Tratamento superficial duplo com emulsão BC (acostamentos L=1,5m) BC</v>
          </cell>
          <cell r="D45" t="str">
            <v>m²</v>
          </cell>
          <cell r="E45">
            <v>4.04</v>
          </cell>
        </row>
        <row r="46">
          <cell r="B46" t="str">
            <v>3 S 02 510 51</v>
          </cell>
          <cell r="C46" t="str">
            <v>Lama asfáltica grossa (granulometrias III e IV) BC</v>
          </cell>
          <cell r="D46" t="str">
            <v>m²</v>
          </cell>
          <cell r="E46">
            <v>2.21</v>
          </cell>
        </row>
        <row r="47">
          <cell r="B47" t="str">
            <v>3 S 02 530 02</v>
          </cell>
          <cell r="C47" t="str">
            <v>Rec.do rev. com mistura betuminosa a frio</v>
          </cell>
          <cell r="D47" t="str">
            <v>m³</v>
          </cell>
          <cell r="E47">
            <v>47.98</v>
          </cell>
        </row>
        <row r="48">
          <cell r="B48" t="str">
            <v>3 S 02 530 51</v>
          </cell>
          <cell r="C48" t="str">
            <v>Mistura betuminosa usinada a frio AC/BC</v>
          </cell>
          <cell r="D48" t="str">
            <v>m³</v>
          </cell>
          <cell r="E48">
            <v>141.30000000000001</v>
          </cell>
        </row>
        <row r="49">
          <cell r="B49" t="str">
            <v>3 S 02 540 01</v>
          </cell>
          <cell r="C49" t="str">
            <v xml:space="preserve">Rec.do rev.com mistura betuminosa a quente </v>
          </cell>
          <cell r="D49" t="str">
            <v>m³</v>
          </cell>
          <cell r="E49">
            <v>35.700000000000003</v>
          </cell>
        </row>
        <row r="50">
          <cell r="B50" t="str">
            <v>3 S 02 540 50</v>
          </cell>
          <cell r="C50" t="str">
            <v>Mistura Betuminosa usinada a Quente BC</v>
          </cell>
          <cell r="D50" t="str">
            <v>m³</v>
          </cell>
          <cell r="E50">
            <v>250.29</v>
          </cell>
        </row>
        <row r="51">
          <cell r="B51" t="str">
            <v>3 S 02 601 50</v>
          </cell>
          <cell r="C51" t="str">
            <v>Recomposição de placa de concreto AC/BC</v>
          </cell>
          <cell r="D51" t="str">
            <v>m³</v>
          </cell>
          <cell r="E51">
            <v>367.37</v>
          </cell>
        </row>
        <row r="52">
          <cell r="B52" t="str">
            <v>3 S 02 900 00</v>
          </cell>
          <cell r="C52" t="str">
            <v xml:space="preserve">Remoção mecanizada de revestimento betuminoso </v>
          </cell>
          <cell r="D52" t="str">
            <v>m³</v>
          </cell>
          <cell r="E52">
            <v>11.35</v>
          </cell>
        </row>
        <row r="53">
          <cell r="B53" t="str">
            <v>3 S 02 902 00</v>
          </cell>
          <cell r="C53" t="str">
            <v xml:space="preserve">Remoção mecanizada da camada granular do pavimento </v>
          </cell>
          <cell r="D53" t="str">
            <v>m³</v>
          </cell>
          <cell r="E53">
            <v>7.13</v>
          </cell>
        </row>
        <row r="54">
          <cell r="B54" t="str">
            <v>3 S 03 329 50</v>
          </cell>
          <cell r="C54" t="str">
            <v>Concreto de cimento (confecção e lançamento) AC/BC</v>
          </cell>
          <cell r="D54" t="str">
            <v>m³</v>
          </cell>
          <cell r="E54">
            <v>396.47</v>
          </cell>
        </row>
        <row r="55">
          <cell r="B55" t="str">
            <v>3 S 03 940 01</v>
          </cell>
          <cell r="C55" t="str">
            <v xml:space="preserve"> Reaterro e Compactação para Bueiro </v>
          </cell>
          <cell r="D55" t="str">
            <v>m³</v>
          </cell>
          <cell r="E55">
            <v>26.56</v>
          </cell>
        </row>
        <row r="56">
          <cell r="B56" t="str">
            <v>3 S 03 950 00</v>
          </cell>
          <cell r="C56" t="str">
            <v>Limpeza de Ponte</v>
          </cell>
          <cell r="D56" t="str">
            <v>m</v>
          </cell>
          <cell r="E56">
            <v>4.8499999999999996</v>
          </cell>
        </row>
        <row r="57">
          <cell r="B57" t="str">
            <v>3 S 04 001 00</v>
          </cell>
          <cell r="C57" t="str">
            <v>Escavação mecaniz. de vala em mater. de 1a cat.</v>
          </cell>
          <cell r="D57" t="str">
            <v>m³</v>
          </cell>
          <cell r="E57">
            <v>7.75</v>
          </cell>
        </row>
        <row r="58">
          <cell r="B58" t="str">
            <v>3 S 05 000 00</v>
          </cell>
          <cell r="C58" t="str">
            <v>Enrocamento de pedra arrumada</v>
          </cell>
          <cell r="D58" t="str">
            <v>m³</v>
          </cell>
          <cell r="E58">
            <v>139.66999999999999</v>
          </cell>
        </row>
        <row r="59">
          <cell r="B59" t="str">
            <v>3 S 05 001 00</v>
          </cell>
          <cell r="C59" t="str">
            <v>Enrocamento de pedra jogada</v>
          </cell>
          <cell r="D59" t="str">
            <v>m³</v>
          </cell>
          <cell r="E59">
            <v>90.11</v>
          </cell>
        </row>
        <row r="60">
          <cell r="B60" t="str">
            <v>3 S 08 001 00</v>
          </cell>
          <cell r="C60" t="str">
            <v xml:space="preserve">Reconformação da Plataforma </v>
          </cell>
          <cell r="D60" t="str">
            <v xml:space="preserve">ha </v>
          </cell>
          <cell r="E60">
            <v>196.29</v>
          </cell>
        </row>
        <row r="61">
          <cell r="B61" t="str">
            <v>3 S 08 100 00</v>
          </cell>
          <cell r="C61" t="str">
            <v>Tapa buraco s/pintura de ligação</v>
          </cell>
          <cell r="D61" t="str">
            <v>m³</v>
          </cell>
          <cell r="E61">
            <v>233.35</v>
          </cell>
        </row>
        <row r="62">
          <cell r="B62" t="str">
            <v>3 S 08 101 01</v>
          </cell>
          <cell r="C62" t="str">
            <v>Remendo profundo com demolição manual s/imprimação</v>
          </cell>
          <cell r="D62" t="str">
            <v>m³</v>
          </cell>
          <cell r="E62">
            <v>262.64999999999998</v>
          </cell>
        </row>
        <row r="63">
          <cell r="B63" t="str">
            <v>3 S 08 101 02</v>
          </cell>
          <cell r="C63" t="str">
            <v>Remendo profundo com demolição mec. s/imprimação</v>
          </cell>
          <cell r="D63" t="str">
            <v>m³</v>
          </cell>
          <cell r="E63">
            <v>174.68</v>
          </cell>
        </row>
        <row r="64">
          <cell r="B64" t="str">
            <v>3 S 08 103 00</v>
          </cell>
          <cell r="C64" t="str">
            <v>Selagem de trinca AC</v>
          </cell>
          <cell r="D64" t="str">
            <v>L</v>
          </cell>
          <cell r="E64">
            <v>1.71</v>
          </cell>
        </row>
        <row r="65">
          <cell r="B65" t="str">
            <v>3 S 08 109 00</v>
          </cell>
          <cell r="C65" t="str">
            <v>Correção de defeitos com mistura betuminosa</v>
          </cell>
          <cell r="D65" t="str">
            <v>m³</v>
          </cell>
          <cell r="E65">
            <v>131.88999999999999</v>
          </cell>
        </row>
        <row r="66">
          <cell r="B66" t="str">
            <v>3 S 08 109 04</v>
          </cell>
          <cell r="C66" t="str">
            <v>Reparo Localizado c/ CBUQ</v>
          </cell>
          <cell r="D66" t="str">
            <v>m³</v>
          </cell>
          <cell r="E66">
            <v>149.1</v>
          </cell>
        </row>
        <row r="67">
          <cell r="B67" t="str">
            <v>3 S 08 109 12</v>
          </cell>
          <cell r="C67" t="str">
            <v>Correção de defeitos por fresagem descontínua</v>
          </cell>
          <cell r="D67" t="str">
            <v>m³</v>
          </cell>
          <cell r="E67">
            <v>194</v>
          </cell>
        </row>
        <row r="68">
          <cell r="B68" t="str">
            <v>3 S 08 200 50</v>
          </cell>
          <cell r="C68" t="str">
            <v>Recomp. de guarda corpo BC</v>
          </cell>
          <cell r="D68" t="str">
            <v>m³</v>
          </cell>
          <cell r="E68">
            <v>113.42</v>
          </cell>
        </row>
        <row r="69">
          <cell r="B69" t="str">
            <v>3 S 08 300 01</v>
          </cell>
          <cell r="C69" t="str">
            <v>Limpeza de sarjeta e meio fio</v>
          </cell>
          <cell r="D69" t="str">
            <v>m</v>
          </cell>
          <cell r="E69">
            <v>0.46</v>
          </cell>
        </row>
        <row r="70">
          <cell r="B70" t="str">
            <v>3 S 08 301 01</v>
          </cell>
          <cell r="C70" t="str">
            <v>Limpeza de valeta de corte</v>
          </cell>
          <cell r="D70" t="str">
            <v>m</v>
          </cell>
          <cell r="E70">
            <v>0.69</v>
          </cell>
        </row>
        <row r="71">
          <cell r="B71" t="str">
            <v>3 S 08 301 02</v>
          </cell>
          <cell r="C71" t="str">
            <v>Limpeza de vala de drenagem</v>
          </cell>
          <cell r="D71" t="str">
            <v>m</v>
          </cell>
          <cell r="E71">
            <v>2.77</v>
          </cell>
        </row>
        <row r="72">
          <cell r="B72" t="str">
            <v>3 S 08 301 03</v>
          </cell>
          <cell r="C72" t="str">
            <v>Limpeza de descida d'água</v>
          </cell>
          <cell r="D72" t="str">
            <v>m</v>
          </cell>
          <cell r="E72">
            <v>0.92</v>
          </cell>
        </row>
        <row r="73">
          <cell r="B73" t="str">
            <v>3 S 08 302 01</v>
          </cell>
          <cell r="C73" t="str">
            <v>Limpeza de bueiro</v>
          </cell>
          <cell r="D73" t="str">
            <v>m</v>
          </cell>
          <cell r="E73">
            <v>15.25</v>
          </cell>
        </row>
        <row r="74">
          <cell r="B74" t="str">
            <v>3 S 08 302 02</v>
          </cell>
          <cell r="C74" t="str">
            <v>Desobstrução de bueiro</v>
          </cell>
          <cell r="D74" t="str">
            <v>m</v>
          </cell>
          <cell r="E74">
            <v>44.36</v>
          </cell>
        </row>
        <row r="75">
          <cell r="B75" t="str">
            <v>3 S 08 501 00</v>
          </cell>
          <cell r="C75" t="str">
            <v>Recomposição mecanizada de aterro</v>
          </cell>
          <cell r="D75" t="str">
            <v>m³</v>
          </cell>
          <cell r="E75">
            <v>20.99</v>
          </cell>
        </row>
        <row r="76">
          <cell r="B76" t="str">
            <v>5 S 01 100 24</v>
          </cell>
          <cell r="C76" t="str">
            <v>Esc. carga transp. mat 1a cat DMT 400 a 600m c/e</v>
          </cell>
          <cell r="D76" t="str">
            <v>m³</v>
          </cell>
          <cell r="E76">
            <v>6.91</v>
          </cell>
        </row>
        <row r="77">
          <cell r="B77" t="str">
            <v>3 S 08 400 00</v>
          </cell>
          <cell r="C77" t="str">
            <v>Limpeza de placa de sinalização</v>
          </cell>
          <cell r="D77" t="str">
            <v>m²</v>
          </cell>
          <cell r="E77">
            <v>5.73</v>
          </cell>
        </row>
        <row r="78">
          <cell r="B78" t="str">
            <v>3 S 08 400 01</v>
          </cell>
          <cell r="C78" t="str">
            <v>Recomposição placa de sinalização</v>
          </cell>
          <cell r="D78" t="str">
            <v>m²</v>
          </cell>
          <cell r="E78">
            <v>24.54</v>
          </cell>
        </row>
        <row r="79">
          <cell r="B79" t="str">
            <v>3 S 08 401 00</v>
          </cell>
          <cell r="C79" t="str">
            <v>Recomposição de defensa metálica</v>
          </cell>
          <cell r="D79" t="str">
            <v>m</v>
          </cell>
          <cell r="E79">
            <v>192.32</v>
          </cell>
        </row>
        <row r="80">
          <cell r="B80" t="str">
            <v>3 S 08 402 00</v>
          </cell>
          <cell r="C80" t="str">
            <v>Caiação</v>
          </cell>
          <cell r="D80" t="str">
            <v>m²</v>
          </cell>
          <cell r="E80">
            <v>1.81</v>
          </cell>
        </row>
        <row r="81">
          <cell r="B81" t="str">
            <v>3 S 08 414 01</v>
          </cell>
          <cell r="C81" t="str">
            <v>Recomposição parcial cerca de madeira - mourão</v>
          </cell>
          <cell r="D81" t="str">
            <v>m</v>
          </cell>
          <cell r="E81">
            <v>11.1</v>
          </cell>
        </row>
        <row r="82">
          <cell r="B82" t="str">
            <v>3 S 08 414 02</v>
          </cell>
          <cell r="C82" t="str">
            <v>Recomp. parcial cerca c/ mourão de madeira - arame</v>
          </cell>
          <cell r="D82" t="str">
            <v>m</v>
          </cell>
          <cell r="E82">
            <v>4.57</v>
          </cell>
        </row>
        <row r="83">
          <cell r="B83" t="str">
            <v>3 S 08 511 00</v>
          </cell>
          <cell r="C83" t="str">
            <v>Remoção mecanizada de barreira - solo</v>
          </cell>
          <cell r="D83" t="str">
            <v>m³</v>
          </cell>
          <cell r="E83">
            <v>4.6399999999999997</v>
          </cell>
        </row>
        <row r="84">
          <cell r="B84" t="str">
            <v>3 S 08 512 00</v>
          </cell>
          <cell r="C84" t="str">
            <v>Remoção mecanizada de barreira - rocha</v>
          </cell>
          <cell r="D84" t="str">
            <v>m³</v>
          </cell>
          <cell r="E84">
            <v>7.1</v>
          </cell>
        </row>
        <row r="85">
          <cell r="B85" t="str">
            <v>3 S 08 900 00</v>
          </cell>
          <cell r="C85" t="str">
            <v>Roçada manual</v>
          </cell>
          <cell r="D85" t="str">
            <v xml:space="preserve">ha </v>
          </cell>
          <cell r="E85">
            <v>1271.2</v>
          </cell>
        </row>
        <row r="86">
          <cell r="B86" t="str">
            <v>3 S 08 900 01</v>
          </cell>
          <cell r="C86" t="str">
            <v>Roçada de capim colonião</v>
          </cell>
          <cell r="D86" t="str">
            <v xml:space="preserve">ha </v>
          </cell>
          <cell r="E86">
            <v>3050.88</v>
          </cell>
        </row>
        <row r="87">
          <cell r="B87" t="str">
            <v>3 S 08 901 00</v>
          </cell>
          <cell r="C87" t="str">
            <v>Roçada mecanizada</v>
          </cell>
          <cell r="D87" t="str">
            <v xml:space="preserve">ha </v>
          </cell>
          <cell r="E87">
            <v>275.92</v>
          </cell>
        </row>
        <row r="88">
          <cell r="B88" t="str">
            <v>3 S 08 910 00</v>
          </cell>
          <cell r="C88" t="str">
            <v>Capina manual</v>
          </cell>
          <cell r="D88" t="str">
            <v xml:space="preserve">ha </v>
          </cell>
          <cell r="E88">
            <v>0.51</v>
          </cell>
        </row>
        <row r="89">
          <cell r="B89" t="str">
            <v>3 S 09 001 00</v>
          </cell>
          <cell r="C89" t="str">
            <v>Transporte local c/ basc. 5m3 em rodov. não pav.</v>
          </cell>
          <cell r="D89" t="str">
            <v>tkm</v>
          </cell>
          <cell r="E89">
            <v>0.73</v>
          </cell>
        </row>
        <row r="90">
          <cell r="B90" t="str">
            <v>3 S 09 002 00</v>
          </cell>
          <cell r="C90" t="str">
            <v>Transporte local basculante - 5m3 - 8,8t em rodovia pavimentada</v>
          </cell>
          <cell r="D90" t="str">
            <v>tkm</v>
          </cell>
          <cell r="E90">
            <v>0.57999999999999996</v>
          </cell>
        </row>
        <row r="91">
          <cell r="B91" t="str">
            <v>3 S 09 002 03</v>
          </cell>
          <cell r="C91" t="str">
            <v>Transporte local de material para remendos</v>
          </cell>
          <cell r="D91" t="str">
            <v>tkm</v>
          </cell>
          <cell r="E91">
            <v>1.05</v>
          </cell>
        </row>
        <row r="92">
          <cell r="B92" t="str">
            <v>3 S 09 002 06</v>
          </cell>
          <cell r="C92" t="str">
            <v>Transporte local c/ basc. 10m3 em rodov. pav</v>
          </cell>
          <cell r="D92" t="str">
            <v>tkm</v>
          </cell>
          <cell r="E92">
            <v>0.71</v>
          </cell>
        </row>
        <row r="93">
          <cell r="B93" t="str">
            <v>3 S 09 002 41</v>
          </cell>
          <cell r="C93" t="str">
            <v>Transp. local c/ carroceria 4t em rodov. Pav</v>
          </cell>
          <cell r="D93" t="str">
            <v>tkm</v>
          </cell>
          <cell r="E93">
            <v>1.02</v>
          </cell>
        </row>
        <row r="94">
          <cell r="B94" t="str">
            <v>3 S 09 002 90</v>
          </cell>
          <cell r="C94" t="str">
            <v>Transporte comercial c/ carroceria rodov. pav.</v>
          </cell>
          <cell r="D94" t="str">
            <v>tkm</v>
          </cell>
          <cell r="E94">
            <v>0.41</v>
          </cell>
        </row>
        <row r="95">
          <cell r="B95" t="str">
            <v>3 S 09 001 91</v>
          </cell>
          <cell r="C95" t="str">
            <v>Transporte comercial c/ basc. 10m3 rod. não pav.</v>
          </cell>
          <cell r="D95" t="str">
            <v>tkm</v>
          </cell>
          <cell r="E95">
            <v>0.51</v>
          </cell>
        </row>
        <row r="96">
          <cell r="B96" t="str">
            <v>3 S 09 002 91</v>
          </cell>
          <cell r="C96" t="str">
            <v>Transporte comercial c/ basc. 10m3 rod. pav.</v>
          </cell>
          <cell r="D96" t="str">
            <v>tkm</v>
          </cell>
          <cell r="E96">
            <v>0.43</v>
          </cell>
        </row>
        <row r="97">
          <cell r="B97" t="str">
            <v>4 S 06 000 01</v>
          </cell>
          <cell r="C97" t="str">
            <v>Defensa maleável simples (forn./ impl.)</v>
          </cell>
          <cell r="D97" t="str">
            <v>m</v>
          </cell>
          <cell r="E97">
            <v>313.45</v>
          </cell>
        </row>
        <row r="98">
          <cell r="B98" t="str">
            <v>4 S 06 100 21</v>
          </cell>
          <cell r="C98" t="str">
            <v>Pintura faixa - tinta base acrílica p/ 2 anos</v>
          </cell>
          <cell r="D98" t="str">
            <v>m²</v>
          </cell>
          <cell r="E98">
            <v>38.39</v>
          </cell>
        </row>
        <row r="99">
          <cell r="B99" t="str">
            <v>4 S 06 100 22</v>
          </cell>
          <cell r="C99" t="str">
            <v>Pintura setas e zebrado - tinta b.acrílica -2 anos</v>
          </cell>
          <cell r="D99" t="str">
            <v>m²</v>
          </cell>
          <cell r="E99">
            <v>45.63</v>
          </cell>
        </row>
        <row r="100">
          <cell r="B100" t="str">
            <v>4 S 06 121 01</v>
          </cell>
          <cell r="C100" t="str">
            <v>Forn. e colocação de tacha reflet. Bidirecional</v>
          </cell>
          <cell r="D100" t="str">
            <v>und</v>
          </cell>
          <cell r="E100">
            <v>22.85</v>
          </cell>
        </row>
        <row r="101">
          <cell r="B101" t="str">
            <v>4 S 06 121 11</v>
          </cell>
          <cell r="C101" t="str">
            <v>Forn. e colocação de tachão reflet. Bidirecional</v>
          </cell>
          <cell r="D101" t="str">
            <v>und</v>
          </cell>
          <cell r="E101">
            <v>65.540000000000006</v>
          </cell>
        </row>
        <row r="102">
          <cell r="B102" t="str">
            <v>4 S 06 200 02</v>
          </cell>
          <cell r="C102" t="str">
            <v>Forn. e implantação placa sinaliz. tot.refletiva</v>
          </cell>
          <cell r="D102" t="str">
            <v>m²</v>
          </cell>
          <cell r="E102">
            <v>416.04</v>
          </cell>
        </row>
        <row r="103">
          <cell r="B103" t="str">
            <v>4 S 06 203 01</v>
          </cell>
          <cell r="C103" t="str">
            <v>Confecção suporte e travessa p/placa sinaliz</v>
          </cell>
          <cell r="D103" t="str">
            <v>und</v>
          </cell>
          <cell r="E103">
            <v>38.770000000000003</v>
          </cell>
        </row>
        <row r="104">
          <cell r="B104" t="str">
            <v>5 S 01 100 32</v>
          </cell>
          <cell r="C104" t="str">
            <v>Esc. carga transp. mat 1a cat DMT 2000 a 3000m c/e</v>
          </cell>
          <cell r="D104" t="str">
            <v>m³</v>
          </cell>
          <cell r="E104">
            <v>11.49</v>
          </cell>
        </row>
        <row r="105">
          <cell r="B105" t="str">
            <v>4 S 06 000 02</v>
          </cell>
          <cell r="C105" t="str">
            <v>Ancoragem de defensa maleável simples (forn/ impl)</v>
          </cell>
          <cell r="D105" t="str">
            <v>m</v>
          </cell>
          <cell r="E105">
            <v>343.1</v>
          </cell>
        </row>
        <row r="106">
          <cell r="B106" t="str">
            <v>5 S 02 511 52</v>
          </cell>
          <cell r="C106" t="str">
            <v>Micro-revestimento a frio - Microflex 1,5 cm BC</v>
          </cell>
          <cell r="D106" t="str">
            <v>m²</v>
          </cell>
          <cell r="E106">
            <v>2.79</v>
          </cell>
        </row>
        <row r="107">
          <cell r="B107" t="str">
            <v>5 S 01 100 31</v>
          </cell>
          <cell r="C107" t="str">
            <v>Esc. carga transp. mat 1a cat DMT 1800 a 2000m c/e</v>
          </cell>
          <cell r="D107" t="str">
            <v>m³</v>
          </cell>
          <cell r="E107">
            <v>9.77</v>
          </cell>
        </row>
        <row r="108">
          <cell r="B108" t="str">
            <v>5 S 02 501 52</v>
          </cell>
          <cell r="C108" t="str">
            <v>Tratamento superficial duplo c/banho diluído BC</v>
          </cell>
          <cell r="D108" t="str">
            <v>m²</v>
          </cell>
          <cell r="E108">
            <v>4.29</v>
          </cell>
        </row>
        <row r="109">
          <cell r="B109" t="str">
            <v>5 S 04 999 01</v>
          </cell>
          <cell r="C109" t="str">
            <v>Remoção de bueiros existentes</v>
          </cell>
          <cell r="D109" t="str">
            <v>m</v>
          </cell>
          <cell r="E109">
            <v>74.209999999999994</v>
          </cell>
        </row>
        <row r="110">
          <cell r="B110" t="str">
            <v>5 S 04 999 54</v>
          </cell>
          <cell r="C110" t="str">
            <v>Restaur.de disp.danif.com concr. fck=15 MPa AC/BC</v>
          </cell>
          <cell r="D110" t="str">
            <v>m³</v>
          </cell>
          <cell r="E110">
            <v>433.18</v>
          </cell>
        </row>
        <row r="111">
          <cell r="B111" t="str">
            <v>5 S 02 990 11</v>
          </cell>
          <cell r="C111" t="str">
            <v>Fresagem contínua do revest. Betuminoso</v>
          </cell>
          <cell r="D111" t="str">
            <v>m³</v>
          </cell>
          <cell r="E111">
            <v>119.75</v>
          </cell>
        </row>
      </sheetData>
      <sheetData sheetId="2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ORCAMENTARIA"/>
      <sheetName val="Quadro Resumo"/>
      <sheetName val="Cronograma"/>
      <sheetName val="Revisão"/>
      <sheetName val="Transporte"/>
      <sheetName val="DADOS GERAIS"/>
      <sheetName val="PREÇOS MEM 219-14"/>
      <sheetName val="Diagrama"/>
      <sheetName val="Mobilização"/>
      <sheetName val="BDI"/>
      <sheetName val="ANP"/>
      <sheetName val="trans_betum_CGB"/>
      <sheetName val="PREÇO ASFALTO E FRETE"/>
      <sheetName val="desmatamento"/>
      <sheetName val="destoc 015 a 030"/>
      <sheetName val="destoc 030"/>
      <sheetName val="caminho serv LN"/>
      <sheetName val="manut caminho LN"/>
      <sheetName val="ECT dmt 50 a 200"/>
      <sheetName val="ECT dmt 200 a 400"/>
      <sheetName val="ECT dmt 1200 a 1400"/>
      <sheetName val="EC mat jaz"/>
      <sheetName val="Tr CB 10m LN"/>
      <sheetName val="Compact 100PN"/>
      <sheetName val="Compact 100PI"/>
      <sheetName val="Regula"/>
      <sheetName val="subbase estab"/>
      <sheetName val="base estab"/>
      <sheetName val="imprimacao"/>
      <sheetName val="pint lig"/>
      <sheetName val="cbuq"/>
      <sheetName val="Tr CB 10m RP"/>
      <sheetName val="Tr CB 10m RPav"/>
      <sheetName val="Tr mat bet LN"/>
      <sheetName val="Pint faix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ção Extenso"/>
      <sheetName val="Lista de preços novos"/>
      <sheetName val="ORÇAMENTO"/>
      <sheetName val="Resumo"/>
      <sheetName val="Cronograma"/>
      <sheetName val="Enc Sociais"/>
      <sheetName val="Tabela de Materiais"/>
      <sheetName val="Escala Salarial"/>
      <sheetName val="Tabela de Equip"/>
      <sheetName val="MOBILXDESMOB"/>
      <sheetName val="Mob_Desmob"/>
      <sheetName val="Canteiro"/>
      <sheetName val="Placa"/>
      <sheetName val="Desmat 0,15"/>
      <sheetName val="Desmat &gt;0,30"/>
      <sheetName val="DMT 50m"/>
      <sheetName val="DMT 50a200CARREG"/>
      <sheetName val="DMT 50a200M"/>
      <sheetName val="DMT 200a400CARREG"/>
      <sheetName val="DMT 200a400M"/>
      <sheetName val="1ª Cat DMT 400a600E"/>
      <sheetName val="1ª Cat DMT 600a800E"/>
      <sheetName val="1ª Cat DMT 800a1000E"/>
      <sheetName val="1ª Cat DMT 1200a1400E"/>
      <sheetName val="1ª Cat DMT 3000a5000"/>
      <sheetName val="DMT 400a600CARREG"/>
      <sheetName val="DMT 600a800CARREG"/>
      <sheetName val="DMT 800a1000CARREG"/>
      <sheetName val="Escav. e carga mat. emprest"/>
      <sheetName val="DMT 1000a1200CARREG"/>
      <sheetName val="DMT 1400a1600CARREG"/>
      <sheetName val="DMT 1200a1400CARREG"/>
      <sheetName val="DMT 1800a2000CARREG"/>
      <sheetName val="DMT 2000a3000CARREG"/>
      <sheetName val="DMT 3000a5000CARREG"/>
      <sheetName val="DMT 6000a9000CARREG"/>
      <sheetName val="SOLOS MOLES 200a400"/>
      <sheetName val="Aterro95%"/>
      <sheetName val="Aterro100%"/>
      <sheetName val="Aterro de rocha"/>
      <sheetName val="Regula"/>
      <sheetName val="Sub-base"/>
      <sheetName val="Base"/>
      <sheetName val="Concreto Cimento portland"/>
      <sheetName val="Usinagem Concreto Cim portl"/>
      <sheetName val="Recomp base"/>
      <sheetName val="Imprimação"/>
      <sheetName val="Pintura de Ligação"/>
      <sheetName val="TSS c emulsão"/>
      <sheetName val="PMF"/>
      <sheetName val="CBUQ_Capa"/>
      <sheetName val="FOG"/>
      <sheetName val="CBUQ_Binder"/>
      <sheetName val="Transp. Comercial"/>
      <sheetName val="Rem Mec Cam Granul"/>
      <sheetName val="Esc mec reat e comp"/>
      <sheetName val="Esc vala mat 3ª cat"/>
      <sheetName val="VPA 04"/>
      <sheetName val="STC 04"/>
      <sheetName val="SCC 02"/>
      <sheetName val="MFC 03"/>
      <sheetName val="MFC 05"/>
      <sheetName val="CCS 01"/>
      <sheetName val="CCS 02"/>
      <sheetName val="CCS 03"/>
      <sheetName val="CCS 04"/>
      <sheetName val="CCS 08"/>
      <sheetName val="CCS 10"/>
      <sheetName val="CCS 12"/>
      <sheetName val="CCS 21"/>
      <sheetName val="DAR 02"/>
      <sheetName val="DAD 02"/>
      <sheetName val="EDA 02"/>
      <sheetName val="DES 03"/>
      <sheetName val="DEB 01"/>
      <sheetName val="DEB 02"/>
      <sheetName val="DEB 03"/>
      <sheetName val="DEB 04"/>
      <sheetName val="DEB 05"/>
      <sheetName val="DEB 08"/>
      <sheetName val="BLD 02"/>
      <sheetName val="CLP 19"/>
      <sheetName val="PVI 04"/>
      <sheetName val="PVI 05"/>
      <sheetName val="PVI 10"/>
      <sheetName val="PVI 15"/>
      <sheetName val="CPV 01"/>
      <sheetName val="Tubul 100"/>
      <sheetName val="Tubul 2 x 120"/>
      <sheetName val="TCC 01"/>
      <sheetName val="Arranc e Rem_Meio-fio"/>
      <sheetName val="Remoção disp_concr"/>
      <sheetName val="BSTC 1,00m"/>
      <sheetName val="BDTC 1,20m"/>
      <sheetName val="BTTC 1,00m"/>
      <sheetName val="BTTC 1,20m"/>
      <sheetName val="Boca BTTC 1,00m"/>
      <sheetName val="Boca BTTC 1,20m"/>
      <sheetName val="CORPO BDCC 1,50 x 1,50"/>
      <sheetName val="CORPO BTCC 1,50 x 2,00"/>
      <sheetName val="CORPO BTCC 2,00 x 2,00"/>
      <sheetName val="CORPO BTCC 2,50 x 2,50 "/>
      <sheetName val="CORPO BSCC 2,00 x 2,00"/>
      <sheetName val="BOCA BDCC 1,50 x 1,50"/>
      <sheetName val="BOCA BTCC 1,50 x 2,00"/>
      <sheetName val="BOCA BTCC 2,00 x 2,00"/>
      <sheetName val="BSTC 0,60m"/>
      <sheetName val="BDTC 1,50m"/>
      <sheetName val="BDTC 1,00m"/>
      <sheetName val="Boca BSTC 0,60m"/>
      <sheetName val="Boca BSTC 1,00m"/>
      <sheetName val="Boca BSTC 1,50m"/>
      <sheetName val="Boca BDTC 1,50m"/>
      <sheetName val="CORPO BSCC 2,50 x 2,50"/>
      <sheetName val="TUNNEL LINER 1,80"/>
      <sheetName val="TUNNEL LINER 2,40"/>
      <sheetName val="Rem. bueiro exist."/>
      <sheetName val="Dreno DPS07"/>
      <sheetName val="SCC 04"/>
      <sheetName val="SCC 05"/>
      <sheetName val="SCC 06"/>
      <sheetName val="BSD 02"/>
      <sheetName val="STC 01"/>
      <sheetName val="STC 02"/>
      <sheetName val="STC 06"/>
      <sheetName val="VPC 02"/>
      <sheetName val="VPC 04"/>
      <sheetName val="BLS 01"/>
      <sheetName val="Pass sobre canal"/>
      <sheetName val="Lombada"/>
      <sheetName val="DES 01"/>
      <sheetName val="CLP 02"/>
      <sheetName val="PVI 02"/>
      <sheetName val="Cerca"/>
      <sheetName val="CTC 01"/>
      <sheetName val="Boca BDTC 1,00m)"/>
      <sheetName val="Boca BDTC 1,20m"/>
      <sheetName val="Enleivamento"/>
      <sheetName val="Sonorizador"/>
      <sheetName val="Defensa_Dupla"/>
      <sheetName val="Ancor semi mal"/>
      <sheetName val="Ancor dupla"/>
      <sheetName val="Calçadas"/>
      <sheetName val="Ench Cant Cent"/>
      <sheetName val="Poste"/>
      <sheetName val="MURRO ARIMO"/>
      <sheetName val="CORPO ARMCO"/>
      <sheetName val="BOCA ARMCO"/>
      <sheetName val="Pintura setas zebrados"/>
      <sheetName val="Placa sinal semi"/>
      <sheetName val="Tachão Refletivo"/>
      <sheetName val="Semead man"/>
      <sheetName val="Plantio de arv"/>
      <sheetName val="VPC 01"/>
      <sheetName val="Reconf_Mecan"/>
      <sheetName val="CAP-20"/>
      <sheetName val="CM-30"/>
      <sheetName val="RR-1C"/>
      <sheetName val="RR-2C"/>
      <sheetName val="RL-1C"/>
      <sheetName val="Transp_M_Bet Quente"/>
      <sheetName val="Transp. local N_Pav"/>
      <sheetName val="Transp. local pav"/>
      <sheetName val="Transp. Com_Carr_Pav"/>
      <sheetName val="Transp. Com N.Pav."/>
      <sheetName val="Transp. Com. Pav"/>
      <sheetName val="Usinagem PMF"/>
      <sheetName val="Transp. Cascalho"/>
      <sheetName val="Transp_CAP50_70"/>
      <sheetName val="Transp_CM30"/>
      <sheetName val="Transp_RR1C"/>
      <sheetName val="BSTC 0,80m"/>
      <sheetName val="Boca BSTC 0,80m"/>
      <sheetName val="BSTC 1,20m"/>
      <sheetName val="Boca BSTC 1,20m"/>
      <sheetName val="MFC 01"/>
      <sheetName val="DAR 03"/>
      <sheetName val="EDA 01"/>
      <sheetName val="DES 02"/>
      <sheetName val="BLS 02"/>
      <sheetName val="CLP 14"/>
      <sheetName val="PVI 03"/>
      <sheetName val="CPV 03"/>
      <sheetName val="Tubul 40"/>
      <sheetName val="Tubul 60"/>
      <sheetName val="Tubul 80"/>
      <sheetName val="Tubul 120"/>
      <sheetName val="Rem Mec Rev Bet."/>
      <sheetName val="Esc mec. vala 1a cat"/>
      <sheetName val="Reaterro"/>
      <sheetName val="VPA 03"/>
      <sheetName val="Transp. Com. Pav (ACeBC)"/>
      <sheetName val="Transp. Com_Carr_Pav(Cim e Mad)"/>
      <sheetName val="Defensa_Simples"/>
      <sheetName val="CORPO BSCC 2,50x2,50 (2,50m)"/>
      <sheetName val="BOCA BSCC 2,50 x 2,50"/>
      <sheetName val="CORPO ARMCO MOD_108A2430"/>
      <sheetName val="BOCA ARMCO MOD_108A2430"/>
      <sheetName val="Pintura faixa 2 anos"/>
      <sheetName val="Tacha refl. Mon."/>
      <sheetName val="Tacha refl. Bid"/>
      <sheetName val="Placa sinal tot refl"/>
      <sheetName val="Hidrossem"/>
      <sheetName val="Usinagem CBUQ"/>
      <sheetName val="Usinagem BINDER"/>
      <sheetName val="Alv tijolos"/>
      <sheetName val="Alv Pedra Argam"/>
      <sheetName val="Limp cam veg em jazida"/>
      <sheetName val="Expurgo de jazida"/>
      <sheetName val="Esc. de jazida"/>
      <sheetName val="Dente BSTC 60"/>
      <sheetName val="Dente BSTC 100"/>
      <sheetName val="Dente BDTC 100"/>
      <sheetName val="Dente BDTC 120"/>
      <sheetName val="Dente BTTC 120"/>
      <sheetName val="Dente BDTC 150"/>
      <sheetName val="Aço CA25"/>
      <sheetName val="Aço CA50"/>
      <sheetName val="Aço CA60"/>
      <sheetName val="Dente BSTC 80"/>
      <sheetName val="Dente BSTC 120"/>
      <sheetName val="Fôrma comum mad"/>
      <sheetName val="Fôrma comp res"/>
      <sheetName val="Brita Produzida"/>
      <sheetName val="Rocha para britagem"/>
      <sheetName val="Peças Desgaste Britador"/>
      <sheetName val="Solo Local Arg"/>
      <sheetName val="Lastro Brita"/>
      <sheetName val="Concreto magro"/>
      <sheetName val="Concreto 10MPa"/>
      <sheetName val="Concreto 11MPa"/>
      <sheetName val="Concreto 12MPa"/>
      <sheetName val="Concreto 15MPa"/>
      <sheetName val="Concreto 18MPa"/>
      <sheetName val="Concreto 22MPa"/>
      <sheetName val="Concreto Cimento Portl"/>
      <sheetName val="Concreto 30MPa"/>
      <sheetName val="Escor bueiros cel"/>
      <sheetName val="Concreto Ciclópico 12MPa"/>
      <sheetName val="Concreto Ciclópico 15MPa"/>
      <sheetName val="Argamassa 13"/>
      <sheetName val="Argamassa 14"/>
      <sheetName val="Grama p replantio"/>
      <sheetName val="Guia mad"/>
      <sheetName val="Escav Manual 1a cat"/>
      <sheetName val="Escav Man de Vala"/>
      <sheetName val="Escav Mec"/>
      <sheetName val="Solo local"/>
      <sheetName val="Compac Man"/>
      <sheetName val="Transp_RR-2C"/>
      <sheetName val="TSD c Banho Diluido"/>
      <sheetName val="macro"/>
      <sheetName val="RESUMO-DVOP"/>
      <sheetName val="Desmatamento "/>
      <sheetName val="plan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ow r="65">
          <cell r="G65" t="str">
            <v>Base Dupla Serviços e Construções Civil Ltda</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s09.009.03"/>
      <sheetName val="2s09.009.05"/>
      <sheetName val="2S02.999.05"/>
      <sheetName val="2S02.999.03"/>
      <sheetName val="2S01.001.01"/>
      <sheetName val="1A00.902.01"/>
      <sheetName val="1A01.603.01"/>
      <sheetName val="CX COL"/>
      <sheetName val="1A00.901.51"/>
      <sheetName val="2S04.950.71"/>
      <sheetName val="2S04.942.52"/>
      <sheetName val="2S04.940.51"/>
      <sheetName val="2S04.940.52"/>
      <sheetName val="2S04.910.55"/>
      <sheetName val="1A01.894.51"/>
      <sheetName val="1A01.415.51"/>
      <sheetName val="1A01.410.51"/>
      <sheetName val="1A01.412.51"/>
      <sheetName val="2S04.910.53"/>
      <sheetName val="2S04.910.51"/>
      <sheetName val="2S04.111.51"/>
      <sheetName val="1A00.903.51"/>
      <sheetName val="2S04.110.71"/>
      <sheetName val="2S04.101.53"/>
      <sheetName val="1A01.765.51"/>
      <sheetName val="1A00.908.51"/>
      <sheetName val="2S04.100.73"/>
      <sheetName val="1A01.603.51"/>
      <sheetName val="2S04.101.52"/>
      <sheetName val="1A00.418.51"/>
      <sheetName val="1A00.717.00"/>
      <sheetName val="1A00.716.00"/>
      <sheetName val="1A01.760.51"/>
      <sheetName val="1A01.604.51"/>
      <sheetName val="1A01.401.01"/>
      <sheetName val="1A00.907.51"/>
      <sheetName val="1A01.512.60"/>
      <sheetName val="2 S 01.100.72"/>
      <sheetName val="1A01.893.01"/>
      <sheetName val="1A01.891.01"/>
      <sheetName val="2S04.400.01"/>
      <sheetName val="1A01.890.01"/>
      <sheetName val="1A01.780.01"/>
      <sheetName val="1A01.120.01"/>
      <sheetName val="1A01.105.01"/>
      <sheetName val="1A01.100.01"/>
      <sheetName val="3S01.930.00"/>
      <sheetName val="2S05.120.01"/>
      <sheetName val="2S01.100.01c"/>
      <sheetName val="2S01.100.01B"/>
      <sheetName val="2S05.102.00"/>
      <sheetName val="2S05.100.00"/>
      <sheetName val="4S06.121.01"/>
      <sheetName val="4S06.121.11"/>
      <sheetName val="4S06.200.01"/>
      <sheetName val="4S06.110.22"/>
      <sheetName val="4S06.100.21"/>
      <sheetName val="2S09.002.05"/>
      <sheetName val="2S02.501.52"/>
      <sheetName val="2S02.500.51"/>
      <sheetName val="2S02.300.00"/>
      <sheetName val="2S09.001.05"/>
      <sheetName val="2S02.200.01"/>
      <sheetName val="2S02.200.00"/>
      <sheetName val="2S02.110.00"/>
      <sheetName val="2S01.511.00"/>
      <sheetName val="2S01.100.10"/>
      <sheetName val="2S01.100.09"/>
      <sheetName val="2S01.100.01"/>
      <sheetName val="2S01.005.00"/>
      <sheetName val="DADOS"/>
      <sheetName val="eq"/>
      <sheetName val="mo"/>
      <sheetName val="mat"/>
      <sheetName val="plan"/>
      <sheetName val="C_U"/>
      <sheetName val="61M-CBM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row r="2">
          <cell r="A2" t="str">
            <v>T314</v>
          </cell>
          <cell r="B2" t="str">
            <v>Operador de equp. Especial</v>
          </cell>
          <cell r="C2">
            <v>11.4693</v>
          </cell>
        </row>
        <row r="3">
          <cell r="A3" t="str">
            <v>T401</v>
          </cell>
          <cell r="B3" t="str">
            <v>Pré-marcador</v>
          </cell>
          <cell r="C3">
            <v>11.4693</v>
          </cell>
        </row>
        <row r="4">
          <cell r="A4" t="str">
            <v>T501</v>
          </cell>
          <cell r="B4" t="str">
            <v>Encarregado de turma</v>
          </cell>
          <cell r="C4">
            <v>10.2294</v>
          </cell>
        </row>
        <row r="5">
          <cell r="A5" t="str">
            <v>T511</v>
          </cell>
          <cell r="B5" t="str">
            <v>Encarregado De Pavimentação</v>
          </cell>
          <cell r="C5">
            <v>21.698699999999999</v>
          </cell>
        </row>
        <row r="7">
          <cell r="A7" t="str">
            <v>T602</v>
          </cell>
          <cell r="B7" t="str">
            <v>Montador</v>
          </cell>
          <cell r="C7">
            <v>7.4394999999999998</v>
          </cell>
        </row>
        <row r="8">
          <cell r="A8" t="str">
            <v>T603</v>
          </cell>
          <cell r="B8" t="str">
            <v>Carpinteiro</v>
          </cell>
          <cell r="C8">
            <v>7.4394999999999998</v>
          </cell>
        </row>
        <row r="9">
          <cell r="A9" t="str">
            <v>T604</v>
          </cell>
          <cell r="B9" t="str">
            <v>Pedreiro</v>
          </cell>
          <cell r="C9">
            <v>7.4394999999999998</v>
          </cell>
        </row>
        <row r="10">
          <cell r="A10" t="str">
            <v>T701</v>
          </cell>
          <cell r="B10" t="str">
            <v>Servente</v>
          </cell>
          <cell r="C10">
            <v>5.2697000000000003</v>
          </cell>
        </row>
      </sheetData>
      <sheetData sheetId="73"/>
      <sheetData sheetId="74"/>
      <sheetData sheetId="75" refreshError="1"/>
      <sheetData sheetId="7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issas"/>
      <sheetName val="Eqpto"/>
      <sheetName val="MO"/>
      <sheetName val="Mat"/>
      <sheetName val="Planilha"/>
      <sheetName val="Auxiliares"/>
      <sheetName val="Memória"/>
      <sheetName val="Massa Mist. Pavimentação"/>
      <sheetName val="45000_49620_ServAux"/>
      <sheetName val="Custo do CM-30"/>
      <sheetName val="61M_CBMI"/>
      <sheetName val="Cadastro Traços e Obras"/>
      <sheetName val="PROD.PRIM."/>
      <sheetName val="Massa_Mist__Pavimentação"/>
      <sheetName val="Custo_do_CM-30"/>
      <sheetName val="Cadastro_Traços_e_Obras"/>
      <sheetName val="PROD_PRIM_"/>
      <sheetName val="Cadastro"/>
      <sheetName val="Massa_Mist__Pavimentação1"/>
      <sheetName val="Custo_do_CM-301"/>
      <sheetName val="Cadastro_Traços_e_Obras1"/>
      <sheetName val="PROD_PRIM_1"/>
      <sheetName val="C"/>
      <sheetName val="Capa Memória de Calc"/>
      <sheetName val="Capa Resumo"/>
      <sheetName val="Capa Documentação"/>
      <sheetName val="Capa Anexo I"/>
      <sheetName val="Capa Anexo II"/>
      <sheetName val="Capa Anexo III"/>
      <sheetName val="Capa Anexo IV"/>
      <sheetName val="Capa Premissas"/>
      <sheetName val="Capa Caract. Seg."/>
      <sheetName val="Equipamentos"/>
      <sheetName val="IDENTIFIC. EMPRESA - Q1"/>
      <sheetName val="Capa Mapa"/>
      <sheetName val="RESTAURAÇÃO "/>
      <sheetName val="CUSTO ZONA SUL"/>
      <sheetName val="RO"/>
      <sheetName val="DEQ"/>
      <sheetName val="CADPLACAS"/>
      <sheetName val="61M-CBMI"/>
      <sheetName val="DADOS"/>
      <sheetName val="Plan2"/>
      <sheetName val="DG"/>
      <sheetName val="ETIQUETA"/>
      <sheetName val="P A T O 99 B"/>
      <sheetName val="Plan 2.7"/>
      <sheetName val="Orçam. AET"/>
      <sheetName val="Diagrama"/>
      <sheetName val="CUSTO LARANJEIRAS"/>
      <sheetName val="pro-08"/>
      <sheetName val="Tabela"/>
      <sheetName val="Preços_BSTC"/>
      <sheetName val="Teor"/>
      <sheetName val="fresagem de pista ago-98"/>
      <sheetName val="Resumo"/>
      <sheetName val="2.2.5.CBUQ"/>
      <sheetName val="2.2.5.PMQ"/>
      <sheetName val="7.2.9.Aquis.Mat.Bet. 59ªMP-REV"/>
      <sheetName val="6.6.4.Cerca"/>
      <sheetName val="2.2.9.Medição de dop"/>
      <sheetName val="3.4.5.DRENO_SUB_SUPERF"/>
      <sheetName val="2.2.4.Pintura de lig."/>
      <sheetName val="2.2.9.Rem Mat Granular"/>
      <sheetName val="3.4.9.TUBO O 40"/>
      <sheetName val="projeto"/>
      <sheetName val="DER janeiro98"/>
    </sheetNames>
    <sheetDataSet>
      <sheetData sheetId="0" refreshError="1"/>
      <sheetData sheetId="1" refreshError="1"/>
      <sheetData sheetId="2" refreshError="1"/>
      <sheetData sheetId="3" refreshError="1">
        <row r="4">
          <cell r="E4">
            <v>1</v>
          </cell>
        </row>
        <row r="5">
          <cell r="B5" t="str">
            <v>45000</v>
          </cell>
          <cell r="C5" t="str">
            <v>EXTRACAO E CARGA DE AREIA</v>
          </cell>
          <cell r="D5" t="str">
            <v>M3</v>
          </cell>
          <cell r="E5">
            <v>5.31</v>
          </cell>
        </row>
        <row r="6">
          <cell r="B6" t="str">
            <v>45001</v>
          </cell>
          <cell r="C6" t="str">
            <v>EXTRACAO, CARGA E TRANSPORTE DE AREIA</v>
          </cell>
          <cell r="D6" t="str">
            <v>M3</v>
          </cell>
          <cell r="E6">
            <v>6.99</v>
          </cell>
        </row>
        <row r="7">
          <cell r="B7" t="str">
            <v>45002</v>
          </cell>
          <cell r="C7" t="str">
            <v>ESCAV. CARGA E TRANSP. DE AREIA EXTR. ABAIXO LENCOL FRE</v>
          </cell>
          <cell r="D7" t="str">
            <v>M3</v>
          </cell>
          <cell r="E7">
            <v>5.23</v>
          </cell>
        </row>
        <row r="8">
          <cell r="B8" t="str">
            <v>45005</v>
          </cell>
          <cell r="C8" t="str">
            <v>EXTRACAO E CARGA DE SEIXO COM DRAG-LINE</v>
          </cell>
          <cell r="D8" t="str">
            <v>M3</v>
          </cell>
          <cell r="E8">
            <v>4.55</v>
          </cell>
        </row>
        <row r="9">
          <cell r="B9" t="str">
            <v>45007</v>
          </cell>
          <cell r="C9" t="str">
            <v>EXTRACAO E CARGA DE CANAIS COM DRAG-LINE</v>
          </cell>
          <cell r="D9" t="str">
            <v>M3</v>
          </cell>
          <cell r="E9">
            <v>3.3099999999999996</v>
          </cell>
        </row>
        <row r="10">
          <cell r="B10" t="str">
            <v>45010</v>
          </cell>
          <cell r="C10" t="str">
            <v>EXTRACAO E CARGA DE SEIXO COM TRATOR</v>
          </cell>
          <cell r="D10" t="str">
            <v>M3</v>
          </cell>
          <cell r="E10">
            <v>2.86</v>
          </cell>
        </row>
        <row r="11">
          <cell r="B11" t="str">
            <v>45012</v>
          </cell>
          <cell r="C11" t="str">
            <v>PRODUCAO E CARGA DE SEIXO PENEIRADO P/REVEST. EM MICR</v>
          </cell>
          <cell r="D11" t="str">
            <v>M3</v>
          </cell>
          <cell r="E11">
            <v>7.49</v>
          </cell>
        </row>
        <row r="12">
          <cell r="B12" t="str">
            <v>45015</v>
          </cell>
          <cell r="C12" t="str">
            <v>EXTRACAO DE ROCHA PARA BRITAGEM</v>
          </cell>
          <cell r="D12" t="str">
            <v>M3</v>
          </cell>
          <cell r="E12">
            <v>6</v>
          </cell>
        </row>
        <row r="13">
          <cell r="B13" t="str">
            <v>45020</v>
          </cell>
          <cell r="C13" t="str">
            <v>FOGACHO PARA ROCHA EXTRAIDA</v>
          </cell>
          <cell r="D13" t="str">
            <v>M3</v>
          </cell>
          <cell r="E13">
            <v>11.110000000000001</v>
          </cell>
        </row>
        <row r="14">
          <cell r="B14" t="str">
            <v>45025</v>
          </cell>
          <cell r="C14" t="str">
            <v>EXTRAÇÃO DE ROCHA E FOGACHO</v>
          </cell>
          <cell r="D14" t="str">
            <v>m3</v>
          </cell>
          <cell r="E14">
            <v>7.67</v>
          </cell>
        </row>
        <row r="15">
          <cell r="B15" t="str">
            <v>45030</v>
          </cell>
          <cell r="C15" t="str">
            <v>CARGA E TRANSPORTE DA ROCHA DA PEDREIRA PARA O BRITADOR</v>
          </cell>
          <cell r="D15" t="str">
            <v>M3</v>
          </cell>
          <cell r="E15">
            <v>4.92</v>
          </cell>
        </row>
        <row r="16">
          <cell r="B16" t="str">
            <v>45035</v>
          </cell>
          <cell r="C16" t="str">
            <v>CARREGAMENTO DE SEIXO</v>
          </cell>
          <cell r="D16" t="str">
            <v>M3</v>
          </cell>
          <cell r="E16">
            <v>0.77</v>
          </cell>
        </row>
        <row r="17">
          <cell r="B17" t="str">
            <v>45040</v>
          </cell>
          <cell r="C17" t="str">
            <v>BRITAGEM DE SEIXO</v>
          </cell>
          <cell r="D17" t="str">
            <v>M3</v>
          </cell>
          <cell r="E17">
            <v>10.469999999999999</v>
          </cell>
        </row>
        <row r="18">
          <cell r="B18" t="str">
            <v>45045</v>
          </cell>
          <cell r="C18" t="str">
            <v>EXTRACAO, CARGA E TRANSPORTE DE ROCHA ATE O BRITADOR</v>
          </cell>
          <cell r="D18" t="str">
            <v>M3</v>
          </cell>
          <cell r="E18">
            <v>12.59</v>
          </cell>
        </row>
        <row r="19">
          <cell r="B19" t="str">
            <v>45050</v>
          </cell>
          <cell r="C19" t="str">
            <v>BRITAGEM PRIMARIA - PRODUCAO DE PEDRA PULMAO D &lt;= 10C</v>
          </cell>
          <cell r="D19" t="str">
            <v>M3</v>
          </cell>
          <cell r="E19">
            <v>13.32</v>
          </cell>
        </row>
        <row r="20">
          <cell r="B20" t="str">
            <v>45055</v>
          </cell>
          <cell r="C20" t="str">
            <v>BICA CORRIDA  (PRODUCAO DE BRITA)</v>
          </cell>
          <cell r="D20" t="str">
            <v>M3</v>
          </cell>
          <cell r="E20">
            <v>13.34</v>
          </cell>
        </row>
        <row r="21">
          <cell r="B21" t="str">
            <v>45060</v>
          </cell>
          <cell r="C21" t="str">
            <v>BRITAGEM DE ROCHA - PRODUCAO DE BRITA</v>
          </cell>
          <cell r="D21" t="str">
            <v>M3</v>
          </cell>
          <cell r="E21">
            <v>14.07</v>
          </cell>
        </row>
        <row r="22">
          <cell r="B22" t="str">
            <v>45070</v>
          </cell>
          <cell r="C22" t="str">
            <v>ESCAVACAO E CARGA DE MATERIAIS DE 1A. CATEGORIA</v>
          </cell>
          <cell r="D22" t="str">
            <v>M3</v>
          </cell>
          <cell r="E22">
            <v>2.04</v>
          </cell>
        </row>
        <row r="23">
          <cell r="B23" t="str">
            <v>45075</v>
          </cell>
          <cell r="C23" t="str">
            <v>ESCAVACAO E CARGA DE MATERIAIS DE 2A. CATEGORIA</v>
          </cell>
          <cell r="D23" t="str">
            <v>M3</v>
          </cell>
          <cell r="E23">
            <v>2.84</v>
          </cell>
        </row>
        <row r="24">
          <cell r="B24" t="str">
            <v>45080</v>
          </cell>
          <cell r="C24" t="str">
            <v>PRODUCAO DE SEIXO PENEIRADO</v>
          </cell>
          <cell r="D24" t="str">
            <v>M3</v>
          </cell>
          <cell r="E24">
            <v>6.0699999999999994</v>
          </cell>
        </row>
        <row r="25">
          <cell r="B25" t="str">
            <v>45085</v>
          </cell>
          <cell r="C25" t="str">
            <v>PRODUCAO DE SEIXO PARCIALMENTE BRITADO E PENEIRADO</v>
          </cell>
          <cell r="D25" t="str">
            <v>M3</v>
          </cell>
          <cell r="E25">
            <v>8.58</v>
          </cell>
        </row>
        <row r="26">
          <cell r="B26" t="str">
            <v>45090</v>
          </cell>
          <cell r="C26" t="str">
            <v>SEIXO RETIDO NA PENEIRA 2</v>
          </cell>
          <cell r="D26" t="str">
            <v>M3</v>
          </cell>
          <cell r="E26">
            <v>7.6999999999999993</v>
          </cell>
        </row>
        <row r="27">
          <cell r="B27" t="str">
            <v>45095</v>
          </cell>
          <cell r="C27" t="str">
            <v>CARREGAMENTO DE BRITA PARA DRENAGEM E O.A.C.</v>
          </cell>
          <cell r="D27" t="str">
            <v>M3</v>
          </cell>
          <cell r="E27">
            <v>0.72</v>
          </cell>
        </row>
        <row r="28">
          <cell r="B28" t="str">
            <v>45100</v>
          </cell>
          <cell r="C28" t="str">
            <v>MATERIAL JAZIDA 1A CATEGORIA</v>
          </cell>
          <cell r="D28" t="str">
            <v>M3</v>
          </cell>
          <cell r="E28">
            <v>2.5499999999999998</v>
          </cell>
        </row>
        <row r="29">
          <cell r="B29" t="str">
            <v>45105</v>
          </cell>
          <cell r="C29" t="str">
            <v>ESCAVACAO E CARGA DE MATERIAL DE 2A. CATEGORIA</v>
          </cell>
          <cell r="D29" t="str">
            <v>M3</v>
          </cell>
          <cell r="E29">
            <v>2.85</v>
          </cell>
        </row>
        <row r="30">
          <cell r="B30" t="str">
            <v>45107</v>
          </cell>
          <cell r="C30" t="str">
            <v>ESCAVACAO E CARGA DE MATERIAL GRANULAR</v>
          </cell>
          <cell r="D30" t="str">
            <v>M3</v>
          </cell>
          <cell r="E30">
            <v>2.4300000000000002</v>
          </cell>
        </row>
        <row r="31">
          <cell r="B31" t="str">
            <v>45109</v>
          </cell>
          <cell r="C31" t="str">
            <v>PRE FISSURAMENTO PARA CORTE EM ROCHA</v>
          </cell>
          <cell r="D31" t="str">
            <v>M2</v>
          </cell>
          <cell r="E31">
            <v>20.02</v>
          </cell>
        </row>
        <row r="32">
          <cell r="B32" t="str">
            <v>45110</v>
          </cell>
          <cell r="C32" t="str">
            <v>EXTRACAO DO MATERIAL DE 3A CATEGORIA PARA TERRAPLENA</v>
          </cell>
          <cell r="D32" t="str">
            <v>M3</v>
          </cell>
          <cell r="E32">
            <v>10.02</v>
          </cell>
        </row>
        <row r="33">
          <cell r="B33" t="str">
            <v>45111</v>
          </cell>
          <cell r="C33" t="str">
            <v>EXTRACAO MATERIAL 3A. CAT. P/TERRAPLENAGEM COMFOGO CON</v>
          </cell>
          <cell r="D33" t="str">
            <v>M3</v>
          </cell>
          <cell r="E33">
            <v>11.12</v>
          </cell>
        </row>
        <row r="34">
          <cell r="B34" t="str">
            <v>45115</v>
          </cell>
          <cell r="C34" t="str">
            <v>CARGA DO MATERIAL DE 3A CATEGORIA</v>
          </cell>
          <cell r="D34" t="str">
            <v>M3</v>
          </cell>
          <cell r="E34">
            <v>2.5</v>
          </cell>
        </row>
        <row r="35">
          <cell r="B35" t="str">
            <v>45116</v>
          </cell>
          <cell r="C35" t="str">
            <v>EXTRACAO E CARGA DE MATERIAL DE 3A.CAT. P/REVEST. PRIMA</v>
          </cell>
          <cell r="D35" t="str">
            <v>M3</v>
          </cell>
          <cell r="E35">
            <v>8.5</v>
          </cell>
        </row>
        <row r="36">
          <cell r="B36" t="str">
            <v>45118</v>
          </cell>
          <cell r="C36" t="str">
            <v>ESPALHAMENTO DE DE SOLOS</v>
          </cell>
          <cell r="D36" t="str">
            <v>M3</v>
          </cell>
          <cell r="E36">
            <v>0.68</v>
          </cell>
        </row>
        <row r="37">
          <cell r="B37" t="str">
            <v>45120</v>
          </cell>
          <cell r="C37" t="str">
            <v>ESPALHAMENTO DO MATERIAL DE 3A CATEGORIA</v>
          </cell>
          <cell r="D37" t="str">
            <v>M3</v>
          </cell>
          <cell r="E37">
            <v>1.03</v>
          </cell>
        </row>
        <row r="38">
          <cell r="B38" t="str">
            <v>45121</v>
          </cell>
          <cell r="C38" t="str">
            <v>ESPALH. E RECOBR. DO TERRENO COMARGILA E SOLO VEGETAL</v>
          </cell>
          <cell r="D38" t="str">
            <v>M3</v>
          </cell>
          <cell r="E38">
            <v>4.3899999999999997</v>
          </cell>
        </row>
        <row r="39">
          <cell r="B39" t="str">
            <v>45123</v>
          </cell>
          <cell r="C39" t="str">
            <v>ESTOCAGEM E RECOMPOSICAO DE CAMADA VEGETAL</v>
          </cell>
          <cell r="D39" t="str">
            <v>M3</v>
          </cell>
          <cell r="E39">
            <v>4.9999999999999991</v>
          </cell>
        </row>
        <row r="40">
          <cell r="B40" t="str">
            <v>45125</v>
          </cell>
          <cell r="C40" t="str">
            <v>ESCAVACAO CARGA E ESPALHAMENTO DE MATERIAL DE 3A. CAT</v>
          </cell>
          <cell r="D40" t="str">
            <v>M3</v>
          </cell>
          <cell r="E40">
            <v>13.549999999999999</v>
          </cell>
        </row>
        <row r="41">
          <cell r="B41" t="str">
            <v>45126</v>
          </cell>
          <cell r="C41" t="str">
            <v>ESCAV. CARGA E ESPALH. MAT. 3A. CAT. COMFOGO CONTROLADO</v>
          </cell>
          <cell r="D41" t="str">
            <v>M3</v>
          </cell>
          <cell r="E41">
            <v>14.649999999999999</v>
          </cell>
        </row>
        <row r="42">
          <cell r="B42" t="str">
            <v>45210</v>
          </cell>
          <cell r="C42" t="str">
            <v>CONCRETO MAGRO</v>
          </cell>
          <cell r="D42" t="str">
            <v>M3</v>
          </cell>
          <cell r="E42">
            <v>114.03</v>
          </cell>
        </row>
        <row r="43">
          <cell r="B43" t="str">
            <v>45215</v>
          </cell>
          <cell r="C43" t="str">
            <v>CONCRETO MAGRO COM BRITA COMERCIAL</v>
          </cell>
          <cell r="D43" t="str">
            <v>M3</v>
          </cell>
          <cell r="E43">
            <v>116.44</v>
          </cell>
        </row>
        <row r="44">
          <cell r="B44" t="str">
            <v>45220</v>
          </cell>
          <cell r="C44" t="str">
            <v>CONCRETO FCK 9 MPA</v>
          </cell>
          <cell r="D44" t="str">
            <v>M3</v>
          </cell>
          <cell r="E44">
            <v>138.90999999999997</v>
          </cell>
        </row>
        <row r="45">
          <cell r="B45" t="str">
            <v>45225</v>
          </cell>
          <cell r="C45" t="str">
            <v>CONCRETO FCK 9 MPA COM BRITA COMERCIAL</v>
          </cell>
          <cell r="D45" t="str">
            <v>M3</v>
          </cell>
          <cell r="E45">
            <v>141.04999999999998</v>
          </cell>
        </row>
        <row r="46">
          <cell r="B46" t="str">
            <v>45230</v>
          </cell>
          <cell r="C46" t="str">
            <v>CONCRETO FCK 11 MPA</v>
          </cell>
          <cell r="D46" t="str">
            <v>M3</v>
          </cell>
          <cell r="E46">
            <v>146.01</v>
          </cell>
        </row>
        <row r="47">
          <cell r="B47" t="str">
            <v>45235</v>
          </cell>
          <cell r="C47" t="str">
            <v>CONCRETO FCK 11 MPA COM BRITA COMERCIAL</v>
          </cell>
          <cell r="D47" t="str">
            <v>M3</v>
          </cell>
          <cell r="E47">
            <v>148.13</v>
          </cell>
        </row>
        <row r="48">
          <cell r="B48" t="str">
            <v>45240</v>
          </cell>
          <cell r="C48" t="str">
            <v>CONCRETO FCK 15 MPA</v>
          </cell>
          <cell r="D48" t="str">
            <v>M3</v>
          </cell>
          <cell r="E48">
            <v>155.56</v>
          </cell>
        </row>
        <row r="49">
          <cell r="B49" t="str">
            <v>45245</v>
          </cell>
          <cell r="C49" t="str">
            <v>CONCRETO FCK 15 MPA COM BRITA COMERCIAL</v>
          </cell>
          <cell r="D49" t="str">
            <v>M3</v>
          </cell>
          <cell r="E49">
            <v>157.4</v>
          </cell>
        </row>
        <row r="50">
          <cell r="B50" t="str">
            <v>45250</v>
          </cell>
          <cell r="C50" t="str">
            <v>CONCRETO POROSO</v>
          </cell>
          <cell r="D50" t="str">
            <v>M3</v>
          </cell>
          <cell r="E50">
            <v>155.28999999999996</v>
          </cell>
        </row>
        <row r="51">
          <cell r="B51" t="str">
            <v>45255</v>
          </cell>
          <cell r="C51" t="str">
            <v>CONCRETO POROSO COM BRITA COMERCIAL</v>
          </cell>
          <cell r="D51" t="str">
            <v>M3</v>
          </cell>
          <cell r="E51">
            <v>157.82</v>
          </cell>
        </row>
        <row r="52">
          <cell r="B52" t="str">
            <v>45260</v>
          </cell>
          <cell r="C52" t="str">
            <v>CONCRETO CICLOPICO FCK 11 MPA</v>
          </cell>
          <cell r="D52" t="str">
            <v>m3</v>
          </cell>
          <cell r="E52">
            <v>120.52</v>
          </cell>
        </row>
        <row r="53">
          <cell r="B53" t="str">
            <v>45265</v>
          </cell>
          <cell r="C53" t="str">
            <v>CONCRETO CICLOPICO FCK 11 MPA COM BRITA COMERCIAL</v>
          </cell>
          <cell r="D53" t="str">
            <v>M3</v>
          </cell>
          <cell r="E53">
            <v>121.97999999999999</v>
          </cell>
        </row>
        <row r="54">
          <cell r="B54" t="str">
            <v>45270</v>
          </cell>
          <cell r="C54" t="str">
            <v>CONCRETO CICLOPICO FCK 15 MPA</v>
          </cell>
          <cell r="D54" t="str">
            <v>M3</v>
          </cell>
          <cell r="E54">
            <v>127.2</v>
          </cell>
        </row>
        <row r="55">
          <cell r="B55" t="str">
            <v>45275</v>
          </cell>
          <cell r="C55" t="str">
            <v>CONCRETO CICLOPICO FCK 15 MPA COM BRITA COMERCIAL</v>
          </cell>
          <cell r="D55" t="str">
            <v>M3</v>
          </cell>
          <cell r="E55">
            <v>128.66</v>
          </cell>
        </row>
        <row r="56">
          <cell r="B56" t="str">
            <v>45280</v>
          </cell>
          <cell r="C56" t="str">
            <v>ARGAMASSA DE CIMENTO E AREIA 1:4</v>
          </cell>
          <cell r="D56" t="str">
            <v>M3</v>
          </cell>
          <cell r="E56">
            <v>308.05999999999995</v>
          </cell>
        </row>
        <row r="57">
          <cell r="B57" t="str">
            <v>45285</v>
          </cell>
          <cell r="C57" t="str">
            <v>ARGAMASSA DE CIMENTO E AREIA 1:3</v>
          </cell>
          <cell r="D57" t="str">
            <v>M3</v>
          </cell>
          <cell r="E57">
            <v>325.35999999999996</v>
          </cell>
        </row>
        <row r="58">
          <cell r="B58" t="str">
            <v>45290</v>
          </cell>
          <cell r="C58" t="str">
            <v>FORMAS COMUNS DE MADEIRA COM REAPROVEITAMENTO DE D</v>
          </cell>
          <cell r="D58" t="str">
            <v>M2</v>
          </cell>
          <cell r="E58">
            <v>28.490000000000002</v>
          </cell>
        </row>
        <row r="59">
          <cell r="B59" t="str">
            <v>45291</v>
          </cell>
          <cell r="C59" t="str">
            <v>FORMA DE PLACA COMPENSADA</v>
          </cell>
          <cell r="D59" t="str">
            <v>M2</v>
          </cell>
          <cell r="E59">
            <v>28.34</v>
          </cell>
        </row>
        <row r="60">
          <cell r="B60" t="str">
            <v>45295</v>
          </cell>
          <cell r="C60" t="str">
            <v>ESCORAMENTO PARA BUEIROS CELULARES</v>
          </cell>
          <cell r="D60" t="str">
            <v>M3</v>
          </cell>
          <cell r="E60">
            <v>11.02</v>
          </cell>
        </row>
        <row r="61">
          <cell r="B61" t="str">
            <v>45296</v>
          </cell>
          <cell r="C61" t="str">
            <v>ESCORAMENTO COMUM DE VALA - TIPO CONTINUO</v>
          </cell>
          <cell r="D61" t="str">
            <v>M2</v>
          </cell>
          <cell r="E61">
            <v>22.330000000000002</v>
          </cell>
        </row>
        <row r="62">
          <cell r="B62" t="str">
            <v>45297</v>
          </cell>
          <cell r="C62" t="str">
            <v>ESCORAMENTO COMUM DE VALAS - TIPO CONTINUO</v>
          </cell>
          <cell r="D62" t="str">
            <v>M2</v>
          </cell>
          <cell r="E62">
            <v>22.330000000000002</v>
          </cell>
        </row>
        <row r="63">
          <cell r="B63" t="str">
            <v>45300</v>
          </cell>
          <cell r="C63" t="str">
            <v>ARMADURA ACO CA-25   FORNECIMENTO DOBRAGEM E COLOCA</v>
          </cell>
          <cell r="D63" t="str">
            <v>KG</v>
          </cell>
          <cell r="E63">
            <v>2.81</v>
          </cell>
        </row>
        <row r="64">
          <cell r="B64" t="str">
            <v>45305</v>
          </cell>
          <cell r="C64" t="str">
            <v>ARMADURA ACO CA-50   FORNECIMENTO DOBRAGEM E COLOCA</v>
          </cell>
          <cell r="D64" t="str">
            <v>KG</v>
          </cell>
          <cell r="E64">
            <v>2.81</v>
          </cell>
        </row>
        <row r="65">
          <cell r="B65" t="str">
            <v>45310</v>
          </cell>
          <cell r="C65" t="str">
            <v>ARMADURA ACO CA-60   FORNECIMENTO DOBRAGEM E COLOCA</v>
          </cell>
          <cell r="D65" t="str">
            <v>KG</v>
          </cell>
          <cell r="E65">
            <v>3.08</v>
          </cell>
        </row>
        <row r="66">
          <cell r="B66" t="str">
            <v>45315</v>
          </cell>
          <cell r="C66" t="str">
            <v>LASTRO DE BRITA</v>
          </cell>
          <cell r="D66" t="str">
            <v>M3</v>
          </cell>
          <cell r="E66">
            <v>28.959999999999997</v>
          </cell>
        </row>
        <row r="67">
          <cell r="B67" t="str">
            <v>45320</v>
          </cell>
          <cell r="C67" t="str">
            <v>LASTRO DE BRITA COM BRITA COMERCIAL</v>
          </cell>
          <cell r="D67" t="str">
            <v>M3</v>
          </cell>
          <cell r="E67">
            <v>32.22</v>
          </cell>
        </row>
        <row r="68">
          <cell r="B68" t="str">
            <v>45335</v>
          </cell>
          <cell r="C68" t="str">
            <v>ENROCAMENTO DE PEDRA JOGADA COM PEDRA DO PRIMARIO</v>
          </cell>
          <cell r="D68" t="str">
            <v>M3</v>
          </cell>
          <cell r="E68">
            <v>17.330000000000002</v>
          </cell>
        </row>
        <row r="69">
          <cell r="B69" t="str">
            <v>45340</v>
          </cell>
          <cell r="C69" t="str">
            <v>ENROCAMENTO DE PEDRA ARRUMADA</v>
          </cell>
          <cell r="D69" t="str">
            <v>M3</v>
          </cell>
          <cell r="E69">
            <v>42.72</v>
          </cell>
        </row>
        <row r="70">
          <cell r="B70" t="str">
            <v>45342</v>
          </cell>
          <cell r="C70" t="str">
            <v>ENROCAMENTO COM PEDRA ARGAMASSADA</v>
          </cell>
          <cell r="D70" t="str">
            <v>M3</v>
          </cell>
          <cell r="E70">
            <v>132.70000000000002</v>
          </cell>
        </row>
        <row r="71">
          <cell r="B71" t="str">
            <v>45345</v>
          </cell>
          <cell r="C71" t="str">
            <v>ALVENARIA DE PEDRA DE MAO ARGAMASSADA</v>
          </cell>
          <cell r="D71" t="str">
            <v>M3</v>
          </cell>
          <cell r="E71">
            <v>132.70000000000002</v>
          </cell>
        </row>
        <row r="72">
          <cell r="B72" t="str">
            <v>45346</v>
          </cell>
          <cell r="C72" t="str">
            <v>ENROCAMENTO DE PEDRA DE MAO JOGADA</v>
          </cell>
          <cell r="D72" t="str">
            <v>M3</v>
          </cell>
          <cell r="E72">
            <v>38.04</v>
          </cell>
        </row>
        <row r="73">
          <cell r="B73" t="str">
            <v>45348</v>
          </cell>
          <cell r="C73" t="str">
            <v>ENROCAMENTO DE PEDRA JOGADA COM PEDRA DETONADA</v>
          </cell>
          <cell r="D73" t="str">
            <v>M3</v>
          </cell>
          <cell r="E73">
            <v>9.9400000000000013</v>
          </cell>
        </row>
        <row r="74">
          <cell r="B74" t="str">
            <v>45350</v>
          </cell>
          <cell r="C74" t="str">
            <v>ALVENARIA DE TIJOLOS MACICOS PARA PAREDE DE 20 CM</v>
          </cell>
          <cell r="D74" t="str">
            <v>M2</v>
          </cell>
          <cell r="E74">
            <v>54.589999999999996</v>
          </cell>
        </row>
        <row r="75">
          <cell r="B75" t="str">
            <v>45360</v>
          </cell>
          <cell r="C75" t="str">
            <v>CHAPISCO</v>
          </cell>
          <cell r="D75" t="str">
            <v>M2</v>
          </cell>
          <cell r="E75">
            <v>3.14</v>
          </cell>
        </row>
        <row r="76">
          <cell r="B76" t="str">
            <v>46000</v>
          </cell>
          <cell r="C76" t="str">
            <v>TORRE DE MADEIRA PARA CRAVACAO DE TUBULAO (OAE)</v>
          </cell>
          <cell r="D76" t="str">
            <v>M</v>
          </cell>
          <cell r="E76">
            <v>369.75</v>
          </cell>
        </row>
        <row r="77">
          <cell r="B77" t="str">
            <v>46010</v>
          </cell>
          <cell r="C77" t="str">
            <v>ARGAMASSA DE CIMENTO E AREIA 1:4 PREPARO E MATERIAIS (O</v>
          </cell>
          <cell r="D77" t="str">
            <v>M3</v>
          </cell>
          <cell r="E77">
            <v>308.05999999999995</v>
          </cell>
        </row>
        <row r="78">
          <cell r="B78" t="str">
            <v>46020</v>
          </cell>
          <cell r="C78" t="str">
            <v>FORMAS DE MADEIRA (OAE)</v>
          </cell>
          <cell r="D78" t="str">
            <v>M2</v>
          </cell>
          <cell r="E78">
            <v>26.91</v>
          </cell>
        </row>
        <row r="79">
          <cell r="B79" t="str">
            <v>46030</v>
          </cell>
          <cell r="C79" t="str">
            <v>ARMADURA ACO CA-50 FORNEC. DOBR. E COLOCACAO (OAE)</v>
          </cell>
          <cell r="D79" t="str">
            <v>KG</v>
          </cell>
          <cell r="E79">
            <v>2.81</v>
          </cell>
        </row>
        <row r="80">
          <cell r="B80" t="str">
            <v>46040</v>
          </cell>
          <cell r="C80" t="str">
            <v>CONCRETO FCK 15 MPA  -  PREPARO LANCAMENTO E CURA  (OA</v>
          </cell>
          <cell r="D80" t="str">
            <v>M3</v>
          </cell>
          <cell r="E80">
            <v>157.4</v>
          </cell>
        </row>
        <row r="81">
          <cell r="B81" t="str">
            <v>46050</v>
          </cell>
          <cell r="C81" t="str">
            <v>CONCRETO FCK 18 MPA  -  PREPARO LANCAMENTO E CURA  (OA</v>
          </cell>
          <cell r="D81" t="str">
            <v>M3</v>
          </cell>
          <cell r="E81">
            <v>163.52000000000001</v>
          </cell>
        </row>
        <row r="82">
          <cell r="B82" t="str">
            <v>46070</v>
          </cell>
          <cell r="C82" t="str">
            <v>DEMOLICAO DE ESTRUTURA EM CONCRETO SIMPLES (OAE)</v>
          </cell>
          <cell r="D82" t="str">
            <v>M3</v>
          </cell>
          <cell r="E82">
            <v>30.71</v>
          </cell>
        </row>
        <row r="83">
          <cell r="B83" t="str">
            <v>46080</v>
          </cell>
          <cell r="C83" t="str">
            <v>DEMOLICAO DE ESTRUTURA EM CONCRETO ARMADO (OAE)</v>
          </cell>
          <cell r="D83" t="str">
            <v>M3</v>
          </cell>
          <cell r="E83">
            <v>55.55</v>
          </cell>
        </row>
        <row r="84">
          <cell r="B84" t="str">
            <v>46090</v>
          </cell>
          <cell r="C84" t="str">
            <v>ATERRO PARA VEDACAO DE ENSECADEIRAS (OAE)</v>
          </cell>
          <cell r="D84" t="str">
            <v>M3</v>
          </cell>
          <cell r="E84">
            <v>11.319999999999999</v>
          </cell>
        </row>
        <row r="85">
          <cell r="B85" t="str">
            <v>46100</v>
          </cell>
          <cell r="C85" t="str">
            <v>ENSECADEIRAS DUPLAS (OAE)</v>
          </cell>
          <cell r="D85" t="str">
            <v>M2</v>
          </cell>
          <cell r="E85">
            <v>173.13</v>
          </cell>
        </row>
        <row r="86">
          <cell r="B86" t="str">
            <v>46415</v>
          </cell>
          <cell r="C86" t="str">
            <v>MEIO-FIO DE CONCRETO - TIPO MF01-DNER</v>
          </cell>
          <cell r="D86" t="str">
            <v>M</v>
          </cell>
          <cell r="E86">
            <v>47.470000000000006</v>
          </cell>
        </row>
        <row r="87">
          <cell r="B87" t="str">
            <v>47000</v>
          </cell>
          <cell r="C87" t="str">
            <v>ESCAVACAO MANUAL DE MATERIAL DE 1A. CATEGORIA</v>
          </cell>
          <cell r="D87" t="str">
            <v>M3</v>
          </cell>
          <cell r="E87">
            <v>15.4</v>
          </cell>
        </row>
        <row r="88">
          <cell r="B88" t="str">
            <v>47004</v>
          </cell>
          <cell r="C88" t="str">
            <v>CONCRETO FCK 22 MPA  -  PREPARO LANCAMENTO E CURA</v>
          </cell>
          <cell r="D88" t="str">
            <v>M3</v>
          </cell>
          <cell r="E88">
            <v>175.76</v>
          </cell>
        </row>
        <row r="89">
          <cell r="B89" t="str">
            <v>47005</v>
          </cell>
          <cell r="C89" t="str">
            <v>FORMAS COM CHAPAS PLASTIFICADAS PARA CONCRETO APARE</v>
          </cell>
          <cell r="D89" t="str">
            <v>M2</v>
          </cell>
          <cell r="E89">
            <v>33.839999999999996</v>
          </cell>
        </row>
        <row r="90">
          <cell r="B90" t="str">
            <v>48000</v>
          </cell>
          <cell r="C90" t="str">
            <v>ESCAV. CARGA E TRANSP. DE MAT DE CORTE COM TRATOR E CARR</v>
          </cell>
          <cell r="D90" t="str">
            <v>M3</v>
          </cell>
          <cell r="E90">
            <v>2.63</v>
          </cell>
        </row>
        <row r="91">
          <cell r="B91" t="str">
            <v>48005</v>
          </cell>
          <cell r="C91" t="str">
            <v>ESCAV. E CARGA DE MAT. DE CORTE COM TRATOR E CARREGAD</v>
          </cell>
          <cell r="D91" t="str">
            <v>M3</v>
          </cell>
          <cell r="E91">
            <v>2.6599999999999997</v>
          </cell>
        </row>
        <row r="92">
          <cell r="B92" t="str">
            <v>48008</v>
          </cell>
          <cell r="C92" t="str">
            <v>ESCAV. DE CANAIS COM CARGA, TRANSP. E ESPALH. DE MATERI</v>
          </cell>
          <cell r="D92" t="str">
            <v>M3</v>
          </cell>
          <cell r="E92">
            <v>4.1100000000000003</v>
          </cell>
        </row>
        <row r="93">
          <cell r="B93" t="str">
            <v>48009</v>
          </cell>
          <cell r="C93" t="str">
            <v>ESCAVACAO DE CANAIS COM ESPALHAMENTO DO MATERIAL</v>
          </cell>
          <cell r="D93" t="str">
            <v>M3</v>
          </cell>
          <cell r="E93">
            <v>4.1100000000000003</v>
          </cell>
        </row>
        <row r="94">
          <cell r="B94" t="str">
            <v>48010</v>
          </cell>
          <cell r="C94" t="str">
            <v>ESC. CARGA E TRANSP. DE MAT. DE CORTE COM RETROESCAVA</v>
          </cell>
          <cell r="D94" t="str">
            <v>M3</v>
          </cell>
          <cell r="E94">
            <v>2.96</v>
          </cell>
        </row>
        <row r="95">
          <cell r="B95" t="str">
            <v>48015</v>
          </cell>
          <cell r="C95" t="str">
            <v>ESCAV. E CARGA DE MAT. DE CORTE COM RETROESCAVADEIRA</v>
          </cell>
          <cell r="D95" t="str">
            <v>M3</v>
          </cell>
          <cell r="E95">
            <v>3.9499999999999997</v>
          </cell>
        </row>
        <row r="96">
          <cell r="B96" t="str">
            <v>48020</v>
          </cell>
          <cell r="C96" t="str">
            <v>RECOLHIMENTO DE PEDRA DE MAO</v>
          </cell>
          <cell r="D96" t="str">
            <v>M3</v>
          </cell>
          <cell r="E96">
            <v>28.970000000000002</v>
          </cell>
        </row>
        <row r="97">
          <cell r="B97" t="str">
            <v>48030</v>
          </cell>
          <cell r="C97" t="str">
            <v>ESCAV. E CARGA MAT. P/REVESTIMENTO PRIMARIO</v>
          </cell>
          <cell r="D97" t="str">
            <v>M3</v>
          </cell>
          <cell r="E97">
            <v>3.17</v>
          </cell>
        </row>
        <row r="98">
          <cell r="B98" t="str">
            <v>48040</v>
          </cell>
          <cell r="C98" t="str">
            <v>ESCAVACAO MANUAL DE SOLOS</v>
          </cell>
          <cell r="D98" t="str">
            <v>M3</v>
          </cell>
          <cell r="E98">
            <v>4.54</v>
          </cell>
        </row>
        <row r="99">
          <cell r="B99" t="str">
            <v>48050</v>
          </cell>
          <cell r="C99" t="str">
            <v>ESCAVACAO DE VALAS COMRETROESCAVADEIRA</v>
          </cell>
          <cell r="D99" t="str">
            <v>M3</v>
          </cell>
          <cell r="E99">
            <v>3.92</v>
          </cell>
        </row>
        <row r="100">
          <cell r="B100" t="str">
            <v>48060</v>
          </cell>
          <cell r="C100" t="str">
            <v>COMPACTACAO DE ATERRO</v>
          </cell>
          <cell r="D100" t="str">
            <v>M3</v>
          </cell>
          <cell r="E100">
            <v>1.73</v>
          </cell>
        </row>
        <row r="101">
          <cell r="B101" t="str">
            <v>48070</v>
          </cell>
          <cell r="C101" t="str">
            <v>APILOAMENTO MANUAL DE SOLOS</v>
          </cell>
          <cell r="D101" t="str">
            <v>M3</v>
          </cell>
          <cell r="E101">
            <v>10.25</v>
          </cell>
        </row>
        <row r="102">
          <cell r="B102" t="str">
            <v>48080</v>
          </cell>
          <cell r="C102" t="str">
            <v>REGULARIZACAO DE PISTA</v>
          </cell>
          <cell r="D102" t="str">
            <v>M2</v>
          </cell>
          <cell r="E102">
            <v>0.75</v>
          </cell>
        </row>
        <row r="103">
          <cell r="B103" t="str">
            <v>48090</v>
          </cell>
          <cell r="C103" t="str">
            <v>ALVENARIA DE TIJOLOS MACICO DE 11 CM</v>
          </cell>
          <cell r="D103" t="str">
            <v>M2</v>
          </cell>
          <cell r="E103">
            <v>32.67</v>
          </cell>
        </row>
        <row r="104">
          <cell r="B104" t="str">
            <v>48092</v>
          </cell>
          <cell r="C104" t="str">
            <v>ALVENARIA DE TIJOLOS FURADOS, ESPESSURA DE 10CM, CHAPI</v>
          </cell>
          <cell r="D104" t="str">
            <v>M2</v>
          </cell>
          <cell r="E104">
            <v>24.68</v>
          </cell>
        </row>
        <row r="105">
          <cell r="B105" t="str">
            <v>48100</v>
          </cell>
          <cell r="C105" t="str">
            <v>ALVENARIA DE PEDRA DE MAO ARGAMASSADA DE 15 CM</v>
          </cell>
          <cell r="D105" t="str">
            <v>M2</v>
          </cell>
          <cell r="E105">
            <v>40.04</v>
          </cell>
        </row>
        <row r="106">
          <cell r="B106" t="str">
            <v>48130</v>
          </cell>
          <cell r="C106" t="str">
            <v>PLANTIO DE GRAMA POR MUDAS</v>
          </cell>
          <cell r="D106" t="str">
            <v>M2</v>
          </cell>
          <cell r="E106">
            <v>1.84</v>
          </cell>
        </row>
        <row r="107">
          <cell r="B107" t="str">
            <v>48150</v>
          </cell>
          <cell r="C107" t="str">
            <v>REATERRO E APILOAMENTO EM CAMADAS DE 20 CM</v>
          </cell>
          <cell r="D107" t="str">
            <v>M3</v>
          </cell>
          <cell r="E107">
            <v>6.29</v>
          </cell>
        </row>
        <row r="108">
          <cell r="B108" t="str">
            <v>49000</v>
          </cell>
          <cell r="C108" t="str">
            <v>PMF (NA USINA) PARA CONSERVACAO RODOVIARIA</v>
          </cell>
          <cell r="D108" t="str">
            <v>T</v>
          </cell>
          <cell r="E108">
            <v>13.89</v>
          </cell>
        </row>
        <row r="109">
          <cell r="B109" t="str">
            <v>49010</v>
          </cell>
          <cell r="C109" t="str">
            <v>CAUQ (NA USINA) - PARA CONSERVACAO RODOVIARIA</v>
          </cell>
          <cell r="D109" t="str">
            <v>T</v>
          </cell>
          <cell r="E109">
            <v>38.5</v>
          </cell>
        </row>
        <row r="110">
          <cell r="B110" t="str">
            <v>49011</v>
          </cell>
          <cell r="C110" t="str">
            <v>COMBATE A EXSUDACAO COM AREIA(DNER)</v>
          </cell>
          <cell r="D110" t="str">
            <v>M2</v>
          </cell>
          <cell r="E110">
            <v>0.27</v>
          </cell>
        </row>
        <row r="111">
          <cell r="B111" t="str">
            <v>49020</v>
          </cell>
          <cell r="C111" t="str">
            <v>LIMPEZA DE BUEIRO</v>
          </cell>
          <cell r="D111" t="str">
            <v>M3</v>
          </cell>
          <cell r="E111">
            <v>11.73</v>
          </cell>
        </row>
        <row r="112">
          <cell r="B112" t="str">
            <v>49022</v>
          </cell>
          <cell r="C112" t="str">
            <v>DESOBSTRUCAO DE CAIXAS COLETORAS</v>
          </cell>
          <cell r="D112" t="str">
            <v>UNID</v>
          </cell>
          <cell r="E112">
            <v>19.77</v>
          </cell>
        </row>
        <row r="113">
          <cell r="B113" t="str">
            <v>49024</v>
          </cell>
          <cell r="C113" t="str">
            <v>DESOBSTRUCAO DE GALERIAS D=60CM</v>
          </cell>
          <cell r="D113" t="str">
            <v>M</v>
          </cell>
          <cell r="E113">
            <v>9.7999999999999989</v>
          </cell>
        </row>
        <row r="114">
          <cell r="B114" t="str">
            <v>49030</v>
          </cell>
          <cell r="C114" t="str">
            <v>LIMPEZA DE CAIXA COLETORA</v>
          </cell>
          <cell r="D114" t="str">
            <v>UNID</v>
          </cell>
          <cell r="E114">
            <v>15.450000000000001</v>
          </cell>
        </row>
        <row r="115">
          <cell r="B115" t="str">
            <v>49040</v>
          </cell>
          <cell r="C115" t="str">
            <v>LIMPEZA DE SARJETA E MEIO-FIO</v>
          </cell>
          <cell r="D115" t="str">
            <v>M</v>
          </cell>
          <cell r="E115">
            <v>0.19</v>
          </cell>
        </row>
        <row r="116">
          <cell r="B116" t="str">
            <v>49050</v>
          </cell>
          <cell r="C116" t="str">
            <v>LIMPEZA E PINTURA DE PONTES</v>
          </cell>
          <cell r="D116" t="str">
            <v>M</v>
          </cell>
          <cell r="E116">
            <v>4.54</v>
          </cell>
        </row>
        <row r="117">
          <cell r="B117" t="str">
            <v>49055</v>
          </cell>
          <cell r="C117" t="str">
            <v>LIMPEZA DE PLACAS DE SINALIZACAO</v>
          </cell>
          <cell r="D117" t="str">
            <v>M2</v>
          </cell>
          <cell r="E117">
            <v>2.25</v>
          </cell>
        </row>
        <row r="118">
          <cell r="B118" t="str">
            <v>49056</v>
          </cell>
          <cell r="C118" t="str">
            <v>CAIACAO</v>
          </cell>
          <cell r="D118" t="str">
            <v>M2</v>
          </cell>
          <cell r="E118">
            <v>0.6</v>
          </cell>
        </row>
        <row r="119">
          <cell r="B119" t="str">
            <v>49057</v>
          </cell>
          <cell r="C119" t="str">
            <v>ANDAIMES SUSPENSOS PARA OBRAS DE RESTAURACAO DE PON</v>
          </cell>
          <cell r="D119" t="str">
            <v>M2</v>
          </cell>
          <cell r="E119">
            <v>24.489999999999995</v>
          </cell>
        </row>
        <row r="120">
          <cell r="B120" t="str">
            <v>49060</v>
          </cell>
          <cell r="C120" t="str">
            <v>LIMPEZA MANUAL DE VALETA</v>
          </cell>
          <cell r="D120" t="str">
            <v>M</v>
          </cell>
          <cell r="E120">
            <v>0.39</v>
          </cell>
        </row>
        <row r="121">
          <cell r="B121" t="str">
            <v>49065</v>
          </cell>
          <cell r="C121" t="str">
            <v>CAPINA MANUAL</v>
          </cell>
          <cell r="D121" t="str">
            <v>M2</v>
          </cell>
          <cell r="E121">
            <v>0.31</v>
          </cell>
        </row>
        <row r="122">
          <cell r="B122" t="str">
            <v>49070</v>
          </cell>
          <cell r="C122" t="str">
            <v>PINTURA DE SARJETA E MEIO-FIO</v>
          </cell>
          <cell r="D122" t="str">
            <v>M</v>
          </cell>
          <cell r="E122">
            <v>0.23</v>
          </cell>
        </row>
        <row r="123">
          <cell r="B123" t="str">
            <v>49080</v>
          </cell>
          <cell r="C123" t="str">
            <v>RECONFORMACAO DE ACOSTAMENTO NAO PAVIMENTADO</v>
          </cell>
          <cell r="D123" t="str">
            <v>M2</v>
          </cell>
          <cell r="E123">
            <v>0.01</v>
          </cell>
        </row>
        <row r="124">
          <cell r="B124" t="str">
            <v>49090</v>
          </cell>
          <cell r="C124" t="str">
            <v>RECONFORMACAO DE PISTA NAO PAVIMENTADA</v>
          </cell>
          <cell r="D124" t="str">
            <v>M2</v>
          </cell>
          <cell r="E124">
            <v>0.05</v>
          </cell>
        </row>
        <row r="125">
          <cell r="B125" t="str">
            <v>49091</v>
          </cell>
          <cell r="C125" t="str">
            <v>RECONFORMACAO DE PISTA NAO PAVIMENTADA</v>
          </cell>
          <cell r="D125" t="str">
            <v>HA</v>
          </cell>
          <cell r="E125">
            <v>470.09</v>
          </cell>
        </row>
        <row r="126">
          <cell r="B126" t="str">
            <v>49092</v>
          </cell>
          <cell r="C126" t="str">
            <v>RECONSTITUICAO DO SUB-LEITO</v>
          </cell>
          <cell r="D126" t="str">
            <v>M3</v>
          </cell>
          <cell r="E126">
            <v>1.49</v>
          </cell>
        </row>
        <row r="127">
          <cell r="B127" t="str">
            <v>49100</v>
          </cell>
          <cell r="C127" t="str">
            <v>RECOMPOSICAO DE BUEIRO DE CONCRETO</v>
          </cell>
          <cell r="D127" t="str">
            <v>M</v>
          </cell>
          <cell r="E127">
            <v>221.04</v>
          </cell>
        </row>
        <row r="128">
          <cell r="B128" t="str">
            <v>49105</v>
          </cell>
          <cell r="C128" t="str">
            <v>RECOMPOSICAO DE BUEIRO METALICO</v>
          </cell>
          <cell r="D128" t="str">
            <v>M</v>
          </cell>
          <cell r="E128">
            <v>934.67</v>
          </cell>
        </row>
        <row r="129">
          <cell r="B129" t="str">
            <v>49110</v>
          </cell>
          <cell r="C129" t="str">
            <v>RECOMPOSICAO DE BUEIRO DE CONCRETO COMLASTRO DE BRITA</v>
          </cell>
          <cell r="D129" t="str">
            <v>M</v>
          </cell>
          <cell r="E129">
            <v>68.05</v>
          </cell>
        </row>
        <row r="130">
          <cell r="B130" t="str">
            <v>49120</v>
          </cell>
          <cell r="C130" t="str">
            <v>RECOMPOSICAO DE GUARDA-CORPO</v>
          </cell>
          <cell r="D130" t="str">
            <v>M</v>
          </cell>
          <cell r="E130">
            <v>62.45000000000001</v>
          </cell>
        </row>
        <row r="131">
          <cell r="B131" t="str">
            <v>49123</v>
          </cell>
          <cell r="C131" t="str">
            <v>RECOMPOSICAO DE DEFENSA METALICA</v>
          </cell>
          <cell r="D131" t="str">
            <v>M</v>
          </cell>
          <cell r="E131">
            <v>69.84</v>
          </cell>
        </row>
        <row r="132">
          <cell r="B132" t="str">
            <v>49130</v>
          </cell>
          <cell r="C132" t="str">
            <v>RECOMPOSICAO DE PLACAS DE CONCRETO</v>
          </cell>
          <cell r="D132" t="str">
            <v>M3</v>
          </cell>
          <cell r="E132">
            <v>223.6</v>
          </cell>
        </row>
        <row r="133">
          <cell r="B133" t="str">
            <v>49131</v>
          </cell>
          <cell r="C133" t="str">
            <v>RECOMPOSICAO DE SARJETAS REVESTIDAS E MEIO FIO</v>
          </cell>
          <cell r="D133" t="str">
            <v>M</v>
          </cell>
          <cell r="E133">
            <v>22.16</v>
          </cell>
        </row>
        <row r="134">
          <cell r="B134" t="str">
            <v>49132</v>
          </cell>
          <cell r="C134" t="str">
            <v>RECOMPOSICAO DE SARJETA NAO REVESTIDA</v>
          </cell>
          <cell r="D134" t="str">
            <v>M</v>
          </cell>
          <cell r="E134">
            <v>1.19</v>
          </cell>
        </row>
        <row r="135">
          <cell r="B135" t="str">
            <v>49133</v>
          </cell>
          <cell r="C135" t="str">
            <v>RECOMPOSICAO DE VALETA REVESTIDA</v>
          </cell>
          <cell r="D135" t="str">
            <v>M</v>
          </cell>
          <cell r="E135">
            <v>29.36</v>
          </cell>
        </row>
        <row r="136">
          <cell r="B136" t="str">
            <v>49134</v>
          </cell>
          <cell r="C136" t="str">
            <v>RECOMPOSICAO DE VALETA NAO REVESTIDA</v>
          </cell>
          <cell r="D136" t="str">
            <v>M</v>
          </cell>
          <cell r="E136">
            <v>2.72</v>
          </cell>
        </row>
        <row r="137">
          <cell r="B137" t="str">
            <v>49135</v>
          </cell>
          <cell r="C137" t="str">
            <v>RECOMPOSICAO DE SINALIZACAO VERTICAL</v>
          </cell>
          <cell r="D137" t="str">
            <v>M2</v>
          </cell>
          <cell r="E137">
            <v>28.43</v>
          </cell>
        </row>
        <row r="138">
          <cell r="B138" t="str">
            <v>49140</v>
          </cell>
          <cell r="C138" t="str">
            <v>RECOMPOSICAO DE REVESTIMENTO COM CAUQ</v>
          </cell>
          <cell r="D138" t="str">
            <v>M3</v>
          </cell>
          <cell r="E138">
            <v>210.3</v>
          </cell>
        </row>
        <row r="139">
          <cell r="B139" t="str">
            <v>49150</v>
          </cell>
          <cell r="C139" t="str">
            <v>RECOMPOSICAO DE REVESTIMENTO PRIMARIO</v>
          </cell>
          <cell r="D139" t="str">
            <v>M3</v>
          </cell>
          <cell r="E139">
            <v>4.4600000000000009</v>
          </cell>
        </row>
        <row r="140">
          <cell r="B140" t="str">
            <v>49154</v>
          </cell>
          <cell r="C140" t="str">
            <v>RECOMPOSICAO MANUAL DE ATERRO</v>
          </cell>
          <cell r="D140" t="str">
            <v>M3</v>
          </cell>
          <cell r="E140">
            <v>44.51</v>
          </cell>
        </row>
        <row r="141">
          <cell r="B141" t="str">
            <v>49155</v>
          </cell>
          <cell r="C141" t="str">
            <v>RECOMPOSICAO MECANICA DE ATERRO</v>
          </cell>
          <cell r="D141" t="str">
            <v>M3</v>
          </cell>
          <cell r="E141">
            <v>17.590000000000003</v>
          </cell>
        </row>
        <row r="142">
          <cell r="B142" t="str">
            <v>49160</v>
          </cell>
          <cell r="C142" t="str">
            <v>RECONSTRUCAO DE PAVIMENTO COMBASE DE BRITA GRADUADA</v>
          </cell>
          <cell r="D142" t="str">
            <v>M3</v>
          </cell>
          <cell r="E142">
            <v>74.039999999999992</v>
          </cell>
        </row>
        <row r="143">
          <cell r="B143" t="str">
            <v>49161</v>
          </cell>
          <cell r="C143" t="str">
            <v>SELAGEM DE TRINCA</v>
          </cell>
          <cell r="D143" t="str">
            <v>L</v>
          </cell>
          <cell r="E143">
            <v>2.7299999999999995</v>
          </cell>
        </row>
        <row r="144">
          <cell r="B144" t="str">
            <v>49170</v>
          </cell>
          <cell r="C144" t="str">
            <v>REMENDO PROFUNDO</v>
          </cell>
          <cell r="D144" t="str">
            <v>M3</v>
          </cell>
          <cell r="E144">
            <v>204.60999999999999</v>
          </cell>
        </row>
        <row r="145">
          <cell r="B145" t="str">
            <v>49171</v>
          </cell>
          <cell r="C145" t="str">
            <v>REMENDO PROFUNDO COM CAUQ</v>
          </cell>
          <cell r="D145" t="str">
            <v>M3</v>
          </cell>
          <cell r="E145">
            <v>218.68999999999997</v>
          </cell>
        </row>
        <row r="146">
          <cell r="B146" t="str">
            <v>49180</v>
          </cell>
          <cell r="C146" t="str">
            <v>REMOCAO MECANIZADA DE BARREIRAS</v>
          </cell>
          <cell r="D146" t="str">
            <v>M3</v>
          </cell>
          <cell r="E146">
            <v>7.81</v>
          </cell>
        </row>
        <row r="147">
          <cell r="B147" t="str">
            <v>49181</v>
          </cell>
          <cell r="C147" t="str">
            <v>REMOCAO MANUAL DE BARREIRA</v>
          </cell>
          <cell r="D147" t="str">
            <v>M3</v>
          </cell>
          <cell r="E147">
            <v>24.139999999999997</v>
          </cell>
        </row>
        <row r="148">
          <cell r="B148" t="str">
            <v>49185</v>
          </cell>
          <cell r="C148" t="str">
            <v>REPAROS EM PONTES DE MADEIRA</v>
          </cell>
          <cell r="D148" t="str">
            <v>M</v>
          </cell>
          <cell r="E148">
            <v>66.209999999999994</v>
          </cell>
        </row>
        <row r="149">
          <cell r="B149" t="str">
            <v>49190</v>
          </cell>
          <cell r="C149" t="str">
            <v>ROCADA MANUAL</v>
          </cell>
          <cell r="D149" t="str">
            <v>M2</v>
          </cell>
          <cell r="E149">
            <v>0.12</v>
          </cell>
        </row>
        <row r="150">
          <cell r="B150" t="str">
            <v>49200</v>
          </cell>
          <cell r="C150" t="str">
            <v>ROCADA MECANIZADA</v>
          </cell>
          <cell r="D150" t="str">
            <v>HA</v>
          </cell>
          <cell r="E150">
            <v>104.35</v>
          </cell>
        </row>
        <row r="151">
          <cell r="B151" t="str">
            <v>49210</v>
          </cell>
          <cell r="C151" t="str">
            <v>ROCADA MECANIZADA COSTAL</v>
          </cell>
          <cell r="D151" t="str">
            <v>M2</v>
          </cell>
          <cell r="E151">
            <v>0.05</v>
          </cell>
        </row>
        <row r="152">
          <cell r="B152" t="str">
            <v>49220</v>
          </cell>
          <cell r="C152" t="str">
            <v>TAPA BURACO COM CAUQ</v>
          </cell>
          <cell r="D152" t="str">
            <v>M3</v>
          </cell>
          <cell r="E152">
            <v>412.58</v>
          </cell>
        </row>
        <row r="153">
          <cell r="B153" t="str">
            <v>49230</v>
          </cell>
          <cell r="C153" t="str">
            <v>TAPA BURACO COM PMF</v>
          </cell>
          <cell r="D153" t="str">
            <v>M3</v>
          </cell>
          <cell r="E153">
            <v>330.47</v>
          </cell>
        </row>
        <row r="154">
          <cell r="B154" t="str">
            <v>49301</v>
          </cell>
          <cell r="C154" t="str">
            <v>ESC. MEC. DE VALAS P/OBRAS DE ARTE CORRENTES - 1A CATEG</v>
          </cell>
          <cell r="D154" t="str">
            <v>M3</v>
          </cell>
          <cell r="E154">
            <v>4.54</v>
          </cell>
        </row>
        <row r="155">
          <cell r="B155" t="str">
            <v>49302</v>
          </cell>
          <cell r="C155" t="str">
            <v>REATERRO E APILOAMENTO EM CAMADAS DE 20 CM</v>
          </cell>
          <cell r="D155" t="str">
            <v>M3</v>
          </cell>
          <cell r="E155">
            <v>6.6</v>
          </cell>
        </row>
        <row r="156">
          <cell r="B156" t="str">
            <v>49303</v>
          </cell>
          <cell r="C156" t="str">
            <v>BRITA GRADUADA (NA USINA) PARA CONSERVACAO RODOVIARIA</v>
          </cell>
          <cell r="D156" t="str">
            <v>T</v>
          </cell>
          <cell r="E156">
            <v>11.64</v>
          </cell>
        </row>
        <row r="157">
          <cell r="B157" t="str">
            <v>49400</v>
          </cell>
          <cell r="C157" t="str">
            <v>HORA MAQUINA - TRATOR COM LAMINA 140 HP</v>
          </cell>
          <cell r="D157" t="str">
            <v>H</v>
          </cell>
          <cell r="E157">
            <v>59.2</v>
          </cell>
        </row>
        <row r="158">
          <cell r="B158" t="str">
            <v>49401</v>
          </cell>
          <cell r="C158" t="str">
            <v>HORA MAQUINA - CARREGADEIRA DE PNEUS 73 HP</v>
          </cell>
          <cell r="D158" t="str">
            <v>H</v>
          </cell>
          <cell r="E158">
            <v>55.65</v>
          </cell>
        </row>
        <row r="159">
          <cell r="B159" t="str">
            <v>49402</v>
          </cell>
          <cell r="C159" t="str">
            <v>HORA MAQUINA - MOTONIVELADORA 125 HP</v>
          </cell>
          <cell r="D159" t="str">
            <v>H</v>
          </cell>
          <cell r="E159">
            <v>78.22</v>
          </cell>
        </row>
        <row r="160">
          <cell r="B160" t="str">
            <v>49403</v>
          </cell>
          <cell r="C160" t="str">
            <v>HORA MAQUINA - COMPACTADOR VIBRATORIO AUTOPROPELIDO</v>
          </cell>
          <cell r="D160" t="str">
            <v>H</v>
          </cell>
          <cell r="E160">
            <v>56.29</v>
          </cell>
        </row>
        <row r="161">
          <cell r="B161" t="str">
            <v>49404</v>
          </cell>
          <cell r="C161" t="str">
            <v>HORA MAQUINA - CAMINHAO BASCULANTE SIMPLES 204 HP</v>
          </cell>
          <cell r="D161" t="str">
            <v>H</v>
          </cell>
          <cell r="E161">
            <v>71.47</v>
          </cell>
        </row>
        <row r="162">
          <cell r="B162" t="str">
            <v>49405</v>
          </cell>
          <cell r="C162" t="str">
            <v>HORA MAQUINA - RETROESCAVADEIRA 76 HP</v>
          </cell>
          <cell r="D162" t="str">
            <v>H</v>
          </cell>
          <cell r="E162">
            <v>34.590000000000003</v>
          </cell>
        </row>
        <row r="163">
          <cell r="B163" t="str">
            <v>49406</v>
          </cell>
          <cell r="C163" t="str">
            <v>HORA MAQUINA - ESCAVADEIRA HIDRAULICA 93 HP</v>
          </cell>
          <cell r="D163" t="str">
            <v>H</v>
          </cell>
          <cell r="E163">
            <v>50.04</v>
          </cell>
        </row>
        <row r="164">
          <cell r="B164" t="str">
            <v>49410</v>
          </cell>
          <cell r="C164" t="str">
            <v>HORA-MAQUINA DE ESCAVADEIRA DRAG-LINE</v>
          </cell>
          <cell r="D164" t="str">
            <v>H</v>
          </cell>
          <cell r="E164">
            <v>69.22</v>
          </cell>
        </row>
        <row r="165">
          <cell r="B165" t="str">
            <v>49412</v>
          </cell>
          <cell r="C165" t="str">
            <v>HORA-MAQUINA DE ESCAVADEIRA CASE-POCLAIN 988</v>
          </cell>
          <cell r="D165" t="str">
            <v>H</v>
          </cell>
          <cell r="E165">
            <v>87.06</v>
          </cell>
        </row>
        <row r="166">
          <cell r="B166" t="str">
            <v>49414</v>
          </cell>
          <cell r="C166" t="str">
            <v>HORA-MAQUINA DE CARREGADEIRA MF-86</v>
          </cell>
          <cell r="D166" t="str">
            <v>H</v>
          </cell>
          <cell r="E166">
            <v>36.869999999999997</v>
          </cell>
        </row>
        <row r="167">
          <cell r="B167" t="str">
            <v>49416</v>
          </cell>
          <cell r="C167" t="str">
            <v>HORA-MAQUINA DE CAMINHAO LK 1621/42 - SIMPLES</v>
          </cell>
          <cell r="D167" t="str">
            <v>H</v>
          </cell>
          <cell r="E167">
            <v>45.15</v>
          </cell>
        </row>
        <row r="168">
          <cell r="B168" t="str">
            <v>49500</v>
          </cell>
          <cell r="C168" t="str">
            <v>TRANSPORTE LOCAL COMCAMINHAO BASCULANTE (PARA MICROB</v>
          </cell>
          <cell r="D168" t="str">
            <v>TON</v>
          </cell>
          <cell r="E168">
            <v>1.88</v>
          </cell>
        </row>
        <row r="169">
          <cell r="B169" t="str">
            <v>49510</v>
          </cell>
          <cell r="C169" t="str">
            <v>TRANSPORTE LOCAL COMCAMINHAO BASCULANTE (PARA MICROB</v>
          </cell>
          <cell r="D169" t="str">
            <v>TON</v>
          </cell>
          <cell r="E169">
            <v>0.9</v>
          </cell>
        </row>
        <row r="170">
          <cell r="B170" t="str">
            <v>49520</v>
          </cell>
          <cell r="C170" t="str">
            <v>TRANSPORTE COMERCIAL COMCAM. BASCULANTE (PARA MICROBA</v>
          </cell>
          <cell r="D170" t="str">
            <v>TON</v>
          </cell>
          <cell r="E170">
            <v>0.39</v>
          </cell>
        </row>
        <row r="171">
          <cell r="B171" t="str">
            <v>49530</v>
          </cell>
          <cell r="C171" t="str">
            <v>TRANSPORTE LOCAL COM CAMINHAO BASCULANTE ROD. PAVIM</v>
          </cell>
          <cell r="D171" t="str">
            <v>TN</v>
          </cell>
          <cell r="E171">
            <v>0.71</v>
          </cell>
        </row>
        <row r="172">
          <cell r="B172" t="str">
            <v>49540</v>
          </cell>
          <cell r="C172" t="str">
            <v>TRANSPORTE LOCAL COM CAMINHAO BASCULANTE ROD.NAO PA</v>
          </cell>
          <cell r="D172" t="str">
            <v>TN</v>
          </cell>
          <cell r="E172">
            <v>0.86</v>
          </cell>
        </row>
        <row r="173">
          <cell r="B173" t="str">
            <v>49550</v>
          </cell>
          <cell r="C173" t="str">
            <v>TRANSPORTE LOCAL COM CAMINHAO BASCULANTE (CTE)</v>
          </cell>
          <cell r="D173" t="str">
            <v>TN</v>
          </cell>
          <cell r="E173">
            <v>0.71</v>
          </cell>
        </row>
        <row r="174">
          <cell r="B174" t="str">
            <v>49560</v>
          </cell>
          <cell r="C174" t="str">
            <v>TRANSPORTE LOCAL COM CAMINHAO CARROCERIA ROD. PAVIM</v>
          </cell>
          <cell r="D174" t="str">
            <v>TN</v>
          </cell>
          <cell r="E174">
            <v>0.56999999999999995</v>
          </cell>
        </row>
        <row r="175">
          <cell r="B175" t="str">
            <v>49570</v>
          </cell>
          <cell r="C175" t="str">
            <v>TRANSPORTE LOCAL COM CAMINHAO CARROCERIA ROD.NAO PA</v>
          </cell>
          <cell r="D175" t="str">
            <v>TN</v>
          </cell>
          <cell r="E175">
            <v>0.42</v>
          </cell>
        </row>
        <row r="176">
          <cell r="B176" t="str">
            <v>49580</v>
          </cell>
          <cell r="C176" t="str">
            <v>TRANSPORTE LOCAL COM CAMINHAO CARROCERIA (CTE)</v>
          </cell>
          <cell r="D176" t="str">
            <v>TN</v>
          </cell>
          <cell r="E176">
            <v>3.4</v>
          </cell>
        </row>
        <row r="177">
          <cell r="B177" t="str">
            <v>49590</v>
          </cell>
          <cell r="C177" t="str">
            <v>TRANSPORTE COMERCIAL COMCAMINHAO BASCULANTE ROD.PAVI</v>
          </cell>
          <cell r="D177" t="str">
            <v>TN</v>
          </cell>
          <cell r="E177">
            <v>0.56999999999999995</v>
          </cell>
        </row>
        <row r="178">
          <cell r="B178" t="str">
            <v>49600</v>
          </cell>
          <cell r="C178" t="str">
            <v>TRANSPORTE COMERCIAL COMCAMINHAO BASCULANTE ROD.N.PA</v>
          </cell>
          <cell r="D178" t="str">
            <v>TN</v>
          </cell>
          <cell r="E178">
            <v>0.71</v>
          </cell>
        </row>
        <row r="179">
          <cell r="B179" t="str">
            <v>49610</v>
          </cell>
          <cell r="C179" t="str">
            <v>TRANSPORTE COMERCIAL COMCAMINHAO CARROCERIA ROD. PAVI</v>
          </cell>
          <cell r="D179" t="str">
            <v>TN</v>
          </cell>
          <cell r="E179">
            <v>0.33</v>
          </cell>
        </row>
        <row r="180">
          <cell r="B180" t="str">
            <v>49620</v>
          </cell>
          <cell r="C180" t="str">
            <v>TRANSPORTE COMERCIAL COMCAMINHAO CARROCERIA ROD.N.PA</v>
          </cell>
          <cell r="D180" t="str">
            <v>TN</v>
          </cell>
          <cell r="E180">
            <v>0.42</v>
          </cell>
        </row>
        <row r="181">
          <cell r="B181" t="str">
            <v>49630</v>
          </cell>
          <cell r="C181" t="str">
            <v>CONCRETO FCK 15 MPA - FUNDAÇÕES</v>
          </cell>
          <cell r="D181" t="str">
            <v>M3</v>
          </cell>
          <cell r="E181">
            <v>136.77000000000001</v>
          </cell>
        </row>
        <row r="182">
          <cell r="B182" t="str">
            <v>49640</v>
          </cell>
          <cell r="C182" t="str">
            <v>ARMADURA ACO CA-50  - FUNDAÇÕES - FORNEC / BENEFICIAMENTO</v>
          </cell>
          <cell r="D182" t="str">
            <v>KG</v>
          </cell>
          <cell r="E182">
            <v>1.91</v>
          </cell>
        </row>
        <row r="183">
          <cell r="B183" t="str">
            <v>49650</v>
          </cell>
          <cell r="C183" t="str">
            <v>LANÇAMENTO DE CONCRETO COM BOMBA</v>
          </cell>
          <cell r="D183" t="str">
            <v>M3</v>
          </cell>
          <cell r="E183">
            <v>18.13</v>
          </cell>
        </row>
        <row r="184">
          <cell r="B184" t="str">
            <v>49660</v>
          </cell>
          <cell r="C184" t="str">
            <v>LANÇAMENTO DE CONCRETO COM GUINDASTE</v>
          </cell>
          <cell r="D184" t="str">
            <v>M3</v>
          </cell>
          <cell r="E184">
            <v>24.94</v>
          </cell>
        </row>
        <row r="185">
          <cell r="B185" t="str">
            <v>49670</v>
          </cell>
          <cell r="C185" t="str">
            <v>LANÇAMENTO DE CONCRETO DESCARGA DIRETA</v>
          </cell>
          <cell r="D185" t="str">
            <v>M3</v>
          </cell>
          <cell r="E185">
            <v>1.63</v>
          </cell>
        </row>
        <row r="186">
          <cell r="B186" t="str">
            <v>49680</v>
          </cell>
          <cell r="C186" t="str">
            <v>ARMADURA AÇO CA-50 - COLOCAÇÃO</v>
          </cell>
          <cell r="D186" t="str">
            <v>KG</v>
          </cell>
          <cell r="E186">
            <v>0.5</v>
          </cell>
        </row>
        <row r="187">
          <cell r="B187" t="str">
            <v>49690</v>
          </cell>
          <cell r="C187" t="str">
            <v>CONCRETO PROJETADO</v>
          </cell>
          <cell r="D187" t="str">
            <v>M3</v>
          </cell>
          <cell r="E187">
            <v>336.24</v>
          </cell>
        </row>
        <row r="188">
          <cell r="B188" t="str">
            <v>49700</v>
          </cell>
          <cell r="C188" t="str">
            <v>PATIO DE VIGAS PRÉ-MOLDADAS</v>
          </cell>
          <cell r="D188" t="str">
            <v>UN</v>
          </cell>
          <cell r="E188">
            <v>25097.66</v>
          </cell>
        </row>
        <row r="189">
          <cell r="B189" t="str">
            <v>49750</v>
          </cell>
          <cell r="C189" t="str">
            <v>REBOCO E=3MM</v>
          </cell>
          <cell r="D189" t="str">
            <v>M2</v>
          </cell>
          <cell r="E189">
            <v>7.38</v>
          </cell>
        </row>
        <row r="190">
          <cell r="B190" t="str">
            <v>49800</v>
          </cell>
          <cell r="C190" t="str">
            <v>CONCRETO FCK=20 MPA - BOMBEÁVEL - C/ SLUMP 22</v>
          </cell>
          <cell r="D190" t="str">
            <v>M3</v>
          </cell>
          <cell r="E190">
            <v>178.29999999999998</v>
          </cell>
        </row>
        <row r="191">
          <cell r="B191" t="str">
            <v>49805</v>
          </cell>
          <cell r="C191" t="str">
            <v>BASES DE CONCRETO PARA PLACAS &lt;= 1,50 M²</v>
          </cell>
          <cell r="D191" t="str">
            <v>UNID</v>
          </cell>
          <cell r="E191">
            <v>78.91</v>
          </cell>
        </row>
        <row r="192">
          <cell r="B192" t="str">
            <v>49806</v>
          </cell>
          <cell r="C192" t="str">
            <v>BASES DE CONCRETO PARA PLACAS &gt; 1,50 M²</v>
          </cell>
          <cell r="D192" t="str">
            <v>UNID</v>
          </cell>
          <cell r="E192">
            <v>147.63</v>
          </cell>
        </row>
        <row r="193">
          <cell r="B193" t="str">
            <v>49807</v>
          </cell>
          <cell r="C193" t="str">
            <v>FORMA COMUM PARA SARJETAS E VALETAS</v>
          </cell>
          <cell r="D193" t="str">
            <v>M2</v>
          </cell>
          <cell r="E193">
            <v>7.3500000000000005</v>
          </cell>
        </row>
        <row r="194">
          <cell r="B194" t="str">
            <v>13010</v>
          </cell>
          <cell r="C194" t="str">
            <v>BRITA COMERCIAL</v>
          </cell>
          <cell r="D194" t="str">
            <v>M3</v>
          </cell>
          <cell r="E194" t="str">
            <v>17,50</v>
          </cell>
        </row>
        <row r="195">
          <cell r="B195" t="str">
            <v>13011</v>
          </cell>
          <cell r="C195" t="str">
            <v>PEDRISCO</v>
          </cell>
          <cell r="D195" t="str">
            <v>M3</v>
          </cell>
          <cell r="E195">
            <v>18.5</v>
          </cell>
        </row>
        <row r="196">
          <cell r="B196" t="str">
            <v>13012</v>
          </cell>
          <cell r="C196" t="str">
            <v>PÓ DE PEDRA</v>
          </cell>
          <cell r="D196" t="str">
            <v>M3</v>
          </cell>
          <cell r="E196">
            <v>17.3</v>
          </cell>
        </row>
        <row r="197">
          <cell r="B197" t="str">
            <v>13013</v>
          </cell>
          <cell r="C197" t="str">
            <v>PEDRA PULMÃO</v>
          </cell>
          <cell r="D197" t="str">
            <v>M3</v>
          </cell>
          <cell r="E197">
            <v>16.5</v>
          </cell>
        </row>
        <row r="198">
          <cell r="B198" t="str">
            <v>13019</v>
          </cell>
          <cell r="C198" t="str">
            <v>CINZA</v>
          </cell>
          <cell r="D198" t="str">
            <v>KG</v>
          </cell>
          <cell r="E198">
            <v>0.26</v>
          </cell>
        </row>
        <row r="199">
          <cell r="B199" t="str">
            <v>13020</v>
          </cell>
          <cell r="C199" t="str">
            <v>AREIA COMERCIAL</v>
          </cell>
          <cell r="D199" t="str">
            <v>M3</v>
          </cell>
          <cell r="E199">
            <v>14</v>
          </cell>
        </row>
        <row r="200">
          <cell r="B200" t="str">
            <v>13021</v>
          </cell>
          <cell r="C200" t="str">
            <v>AREIA PARA FUNDAÇÕES</v>
          </cell>
          <cell r="D200" t="str">
            <v>M3</v>
          </cell>
          <cell r="E200">
            <v>6</v>
          </cell>
        </row>
        <row r="201">
          <cell r="B201" t="str">
            <v>13030</v>
          </cell>
          <cell r="C201" t="str">
            <v>LAJOTA DE CONCRETO DE 10 CM X 30 CM</v>
          </cell>
          <cell r="D201" t="str">
            <v>M2</v>
          </cell>
          <cell r="E201" t="str">
            <v>14,20</v>
          </cell>
        </row>
        <row r="202">
          <cell r="B202" t="str">
            <v>13035</v>
          </cell>
          <cell r="C202" t="str">
            <v>BRIQUETES DE 8 CM</v>
          </cell>
          <cell r="D202" t="str">
            <v>M2</v>
          </cell>
          <cell r="E202" t="str">
            <v>16,00</v>
          </cell>
        </row>
        <row r="203">
          <cell r="B203" t="str">
            <v>13040</v>
          </cell>
          <cell r="C203" t="str">
            <v>CIMENTO 320 CP-IV</v>
          </cell>
          <cell r="D203" t="str">
            <v>KG</v>
          </cell>
          <cell r="E203" t="str">
            <v>0,26</v>
          </cell>
        </row>
        <row r="204">
          <cell r="B204" t="str">
            <v>13045</v>
          </cell>
          <cell r="C204" t="str">
            <v>BENTONITA</v>
          </cell>
          <cell r="D204" t="str">
            <v>KG</v>
          </cell>
          <cell r="E204">
            <v>0.21</v>
          </cell>
        </row>
        <row r="205">
          <cell r="B205" t="str">
            <v>13050</v>
          </cell>
          <cell r="C205" t="str">
            <v>TIJOLO MACICO</v>
          </cell>
          <cell r="D205" t="str">
            <v>UN</v>
          </cell>
          <cell r="E205" t="str">
            <v>0,08</v>
          </cell>
        </row>
        <row r="206">
          <cell r="B206" t="str">
            <v>13055</v>
          </cell>
          <cell r="C206" t="str">
            <v>TIJOLOS FURADOS DE 10X15X20</v>
          </cell>
          <cell r="D206" t="str">
            <v>UN</v>
          </cell>
          <cell r="E206" t="str">
            <v>0,10</v>
          </cell>
        </row>
        <row r="207">
          <cell r="B207" t="str">
            <v>13060</v>
          </cell>
          <cell r="C207" t="str">
            <v>PARALELEPIPEDO</v>
          </cell>
          <cell r="D207" t="str">
            <v>M2</v>
          </cell>
          <cell r="E207" t="str">
            <v>8,40</v>
          </cell>
        </row>
        <row r="208">
          <cell r="B208" t="str">
            <v>13061</v>
          </cell>
          <cell r="C208" t="str">
            <v>MEIO-FIO DE PEDRA</v>
          </cell>
          <cell r="D208" t="str">
            <v>M</v>
          </cell>
          <cell r="E208">
            <v>5.3</v>
          </cell>
        </row>
        <row r="209">
          <cell r="B209" t="str">
            <v>13080</v>
          </cell>
          <cell r="C209" t="str">
            <v>MOUROES TRIANG. DE CONCRETO L=10cm x 220 cm</v>
          </cell>
          <cell r="D209" t="str">
            <v>UN</v>
          </cell>
          <cell r="E209" t="str">
            <v>4,80</v>
          </cell>
        </row>
        <row r="210">
          <cell r="B210" t="str">
            <v>13085</v>
          </cell>
          <cell r="C210" t="str">
            <v>MOUROES CONCRETO 10 X 10 X 220</v>
          </cell>
          <cell r="D210" t="str">
            <v>UN</v>
          </cell>
          <cell r="E210" t="str">
            <v>8,00</v>
          </cell>
        </row>
        <row r="211">
          <cell r="B211" t="str">
            <v>13090</v>
          </cell>
          <cell r="C211" t="str">
            <v>MOUROES CONCRETO 15 X 15 X 220</v>
          </cell>
          <cell r="D211" t="str">
            <v>UN</v>
          </cell>
          <cell r="E211" t="str">
            <v>11,98</v>
          </cell>
        </row>
        <row r="212">
          <cell r="B212" t="str">
            <v>13100</v>
          </cell>
          <cell r="C212" t="str">
            <v>ESTICADOR DE CONCRETO 10x10x300 cm</v>
          </cell>
          <cell r="D212" t="str">
            <v>UN</v>
          </cell>
          <cell r="E212" t="str">
            <v>6,50</v>
          </cell>
        </row>
        <row r="213">
          <cell r="B213" t="str">
            <v>13120</v>
          </cell>
          <cell r="C213" t="str">
            <v>TUBO POROSO D=20 CM</v>
          </cell>
          <cell r="D213" t="str">
            <v>M</v>
          </cell>
          <cell r="E213" t="str">
            <v>7,30</v>
          </cell>
        </row>
        <row r="214">
          <cell r="B214" t="str">
            <v>13140</v>
          </cell>
          <cell r="C214" t="str">
            <v>TUBO PERFURADO D=20 CM</v>
          </cell>
          <cell r="D214" t="str">
            <v>M</v>
          </cell>
          <cell r="E214" t="str">
            <v>6,60</v>
          </cell>
        </row>
        <row r="215">
          <cell r="B215" t="str">
            <v>13145</v>
          </cell>
          <cell r="C215" t="str">
            <v>TUBO D=20 CM (SIMPLES)</v>
          </cell>
          <cell r="D215" t="str">
            <v>M</v>
          </cell>
          <cell r="E215">
            <v>6.8</v>
          </cell>
        </row>
        <row r="216">
          <cell r="B216" t="str">
            <v>13150</v>
          </cell>
          <cell r="C216" t="str">
            <v>TUBO D=30 CM (SIMPLES)</v>
          </cell>
          <cell r="D216" t="str">
            <v>M</v>
          </cell>
          <cell r="E216" t="str">
            <v>7,07</v>
          </cell>
        </row>
        <row r="217">
          <cell r="B217" t="str">
            <v>13160</v>
          </cell>
          <cell r="C217" t="str">
            <v>TUBO D=40 CM (SIMPLES)</v>
          </cell>
          <cell r="D217" t="str">
            <v>M</v>
          </cell>
          <cell r="E217" t="str">
            <v>12,00</v>
          </cell>
        </row>
        <row r="218">
          <cell r="B218" t="str">
            <v>13170</v>
          </cell>
          <cell r="C218" t="str">
            <v>TUBO D=50 CM (SIMPLES)</v>
          </cell>
          <cell r="D218" t="str">
            <v>M</v>
          </cell>
          <cell r="E218" t="str">
            <v>17,93</v>
          </cell>
        </row>
        <row r="219">
          <cell r="B219" t="str">
            <v>13180</v>
          </cell>
          <cell r="C219" t="str">
            <v>TUBO D=60 CM (SIMPLES)</v>
          </cell>
          <cell r="D219" t="str">
            <v>M</v>
          </cell>
          <cell r="E219" t="str">
            <v>23,00</v>
          </cell>
        </row>
        <row r="220">
          <cell r="B220" t="str">
            <v>13190</v>
          </cell>
          <cell r="C220" t="str">
            <v>TUBO D= 60 CM CA-1</v>
          </cell>
          <cell r="D220" t="str">
            <v>M</v>
          </cell>
          <cell r="E220" t="str">
            <v>34,65</v>
          </cell>
        </row>
        <row r="221">
          <cell r="B221" t="str">
            <v>13200</v>
          </cell>
          <cell r="C221" t="str">
            <v>TUBO D= 60 CM CA-2</v>
          </cell>
          <cell r="D221" t="str">
            <v>M</v>
          </cell>
          <cell r="E221" t="str">
            <v>41,25</v>
          </cell>
        </row>
        <row r="222">
          <cell r="B222" t="str">
            <v>13210</v>
          </cell>
          <cell r="C222" t="str">
            <v>TUBO D= 80 CM CA-2</v>
          </cell>
          <cell r="D222" t="str">
            <v>M</v>
          </cell>
          <cell r="E222" t="str">
            <v>74,25</v>
          </cell>
        </row>
        <row r="223">
          <cell r="B223" t="str">
            <v>13220</v>
          </cell>
          <cell r="C223" t="str">
            <v>TUBO D=100 CM CA-2</v>
          </cell>
          <cell r="D223" t="str">
            <v>M</v>
          </cell>
          <cell r="E223" t="str">
            <v>103,95</v>
          </cell>
        </row>
        <row r="224">
          <cell r="B224" t="str">
            <v>13230</v>
          </cell>
          <cell r="C224" t="str">
            <v>TUBO D=120 CM CA-2</v>
          </cell>
          <cell r="D224" t="str">
            <v>M</v>
          </cell>
          <cell r="E224" t="str">
            <v>137,55</v>
          </cell>
        </row>
        <row r="225">
          <cell r="B225" t="str">
            <v>13240</v>
          </cell>
          <cell r="C225" t="str">
            <v>TUBO D=150 CM CA-2</v>
          </cell>
          <cell r="D225" t="str">
            <v>M</v>
          </cell>
          <cell r="E225" t="str">
            <v>210,00</v>
          </cell>
        </row>
        <row r="226">
          <cell r="B226" t="str">
            <v>13250</v>
          </cell>
          <cell r="C226" t="str">
            <v>TUBO D=200 CM CA-2</v>
          </cell>
          <cell r="D226" t="str">
            <v>M</v>
          </cell>
          <cell r="E226" t="str">
            <v>354,45</v>
          </cell>
        </row>
        <row r="227">
          <cell r="B227" t="str">
            <v>13260</v>
          </cell>
          <cell r="C227" t="str">
            <v>TUBO D= 80 CM CA-3</v>
          </cell>
          <cell r="D227" t="str">
            <v>M</v>
          </cell>
          <cell r="E227" t="str">
            <v>78,68</v>
          </cell>
        </row>
        <row r="228">
          <cell r="B228" t="str">
            <v>13270</v>
          </cell>
          <cell r="C228" t="str">
            <v>TUBO D=100 CM CA-3</v>
          </cell>
          <cell r="D228" t="str">
            <v>M</v>
          </cell>
          <cell r="E228" t="str">
            <v>107,55</v>
          </cell>
        </row>
        <row r="229">
          <cell r="B229" t="str">
            <v>13280</v>
          </cell>
          <cell r="C229" t="str">
            <v>TUBO D=120 CM CA-3</v>
          </cell>
          <cell r="D229" t="str">
            <v>M</v>
          </cell>
          <cell r="E229" t="str">
            <v>143,70</v>
          </cell>
        </row>
        <row r="230">
          <cell r="B230" t="str">
            <v>13282</v>
          </cell>
          <cell r="C230" t="str">
            <v>TUBO D=150 CM CA-3</v>
          </cell>
          <cell r="D230" t="str">
            <v>M</v>
          </cell>
          <cell r="E230" t="str">
            <v>267,18</v>
          </cell>
        </row>
        <row r="231">
          <cell r="B231" t="str">
            <v>13300</v>
          </cell>
          <cell r="C231" t="str">
            <v>CALHA D=30 CM SIMPLES</v>
          </cell>
          <cell r="D231" t="str">
            <v>M</v>
          </cell>
          <cell r="E231" t="str">
            <v>5,70</v>
          </cell>
        </row>
        <row r="232">
          <cell r="B232" t="str">
            <v>13310</v>
          </cell>
          <cell r="C232" t="str">
            <v>CALHA D=40 CM SIMPLES</v>
          </cell>
          <cell r="D232" t="str">
            <v>M</v>
          </cell>
          <cell r="E232" t="str">
            <v>8,10</v>
          </cell>
        </row>
        <row r="233">
          <cell r="B233" t="str">
            <v>13320</v>
          </cell>
          <cell r="C233" t="str">
            <v>CALHA D=60 CM SIMPLES</v>
          </cell>
          <cell r="D233" t="str">
            <v>M</v>
          </cell>
          <cell r="E233" t="str">
            <v>15,00</v>
          </cell>
        </row>
        <row r="234">
          <cell r="B234" t="str">
            <v>13360</v>
          </cell>
          <cell r="C234" t="str">
            <v>TUBO PVC P/DRENO D=100 MM</v>
          </cell>
          <cell r="D234" t="str">
            <v>M</v>
          </cell>
          <cell r="E234" t="str">
            <v>4,75</v>
          </cell>
        </row>
        <row r="235">
          <cell r="B235" t="str">
            <v>13370</v>
          </cell>
          <cell r="C235" t="str">
            <v>TUBO PVC P/DRENO D=150 MM</v>
          </cell>
          <cell r="D235" t="str">
            <v>M</v>
          </cell>
          <cell r="E235" t="str">
            <v>9,25</v>
          </cell>
        </row>
        <row r="236">
          <cell r="B236" t="str">
            <v>13380</v>
          </cell>
          <cell r="C236" t="str">
            <v>TUBO PVC RIGIDO D= 50 MM</v>
          </cell>
          <cell r="D236" t="str">
            <v>M</v>
          </cell>
          <cell r="E236" t="str">
            <v>2,54</v>
          </cell>
        </row>
        <row r="237">
          <cell r="B237" t="str">
            <v>13390</v>
          </cell>
          <cell r="C237" t="str">
            <v>TUBO PVC RIGIDO D=100 MM</v>
          </cell>
          <cell r="D237" t="str">
            <v>M</v>
          </cell>
          <cell r="E237" t="str">
            <v>3,84</v>
          </cell>
        </row>
        <row r="238">
          <cell r="B238" t="str">
            <v>13400</v>
          </cell>
          <cell r="C238" t="str">
            <v>DESMOLDANTE P/ FORMAS</v>
          </cell>
          <cell r="D238" t="str">
            <v>L</v>
          </cell>
          <cell r="E238">
            <v>2.5299999999999998</v>
          </cell>
        </row>
        <row r="239">
          <cell r="B239" t="str">
            <v>13401</v>
          </cell>
          <cell r="C239" t="str">
            <v>MADEIRA DE LEI - SERRADA</v>
          </cell>
          <cell r="D239" t="str">
            <v>M3</v>
          </cell>
          <cell r="E239" t="str">
            <v>500,00</v>
          </cell>
        </row>
        <row r="240">
          <cell r="B240" t="str">
            <v>13405</v>
          </cell>
          <cell r="C240" t="str">
            <v>MADEIRA IV SERRADA - PINUS</v>
          </cell>
          <cell r="D240" t="str">
            <v>M3</v>
          </cell>
          <cell r="E240" t="str">
            <v>200,00</v>
          </cell>
        </row>
        <row r="241">
          <cell r="B241" t="str">
            <v>13407</v>
          </cell>
          <cell r="C241" t="str">
            <v>MADEIRA SERRADA - PINHO 3A INDUSTRIAL</v>
          </cell>
          <cell r="D241" t="str">
            <v>M3</v>
          </cell>
          <cell r="E241">
            <v>230</v>
          </cell>
        </row>
        <row r="242">
          <cell r="B242" t="str">
            <v>13408</v>
          </cell>
          <cell r="C242" t="str">
            <v>MADEIRA SERRADA - ANGICO/CANAFISTULA</v>
          </cell>
          <cell r="D242" t="str">
            <v>M3</v>
          </cell>
          <cell r="E242">
            <v>200</v>
          </cell>
        </row>
        <row r="243">
          <cell r="B243" t="str">
            <v>13409</v>
          </cell>
          <cell r="C243" t="str">
            <v>ESTRONCA DE EUCALIPTO D=0,15M</v>
          </cell>
          <cell r="D243" t="str">
            <v>M</v>
          </cell>
          <cell r="E243">
            <v>3.08</v>
          </cell>
        </row>
        <row r="244">
          <cell r="B244" t="str">
            <v>13430</v>
          </cell>
          <cell r="C244" t="str">
            <v>MULTI PLATE 100 C/EPOXI 2.7MM</v>
          </cell>
          <cell r="D244" t="str">
            <v>KG</v>
          </cell>
          <cell r="E244" t="str">
            <v>3,96</v>
          </cell>
        </row>
        <row r="245">
          <cell r="B245" t="str">
            <v>13450</v>
          </cell>
          <cell r="C245" t="str">
            <v>TUNNEL LINER C/EPOXI 2.7MM</v>
          </cell>
          <cell r="D245" t="str">
            <v>KG</v>
          </cell>
          <cell r="E245" t="str">
            <v>5,82</v>
          </cell>
        </row>
        <row r="246">
          <cell r="B246" t="str">
            <v>13470</v>
          </cell>
          <cell r="C246" t="str">
            <v>CAIBROS 3X 3 - IV</v>
          </cell>
          <cell r="D246" t="str">
            <v>M</v>
          </cell>
          <cell r="E246" t="str">
            <v>1,16</v>
          </cell>
        </row>
        <row r="247">
          <cell r="B247" t="str">
            <v>13500</v>
          </cell>
          <cell r="C247" t="str">
            <v>TRAV. FIXACAO 2X 2.3/4 - LEI</v>
          </cell>
          <cell r="D247" t="str">
            <v>M</v>
          </cell>
          <cell r="E247">
            <v>2.12</v>
          </cell>
        </row>
        <row r="248">
          <cell r="B248" t="str">
            <v>13510</v>
          </cell>
          <cell r="C248" t="str">
            <v>PRANCHAO 2X 12-LEI</v>
          </cell>
          <cell r="D248" t="str">
            <v>M</v>
          </cell>
          <cell r="E248" t="str">
            <v>7,74</v>
          </cell>
        </row>
        <row r="249">
          <cell r="B249" t="str">
            <v>13520</v>
          </cell>
          <cell r="C249" t="str">
            <v>TABUA 1X 12 - LEI</v>
          </cell>
          <cell r="D249" t="str">
            <v>M2</v>
          </cell>
          <cell r="E249" t="str">
            <v>12,71</v>
          </cell>
        </row>
        <row r="250">
          <cell r="B250" t="str">
            <v>13530</v>
          </cell>
          <cell r="C250" t="str">
            <v>TRAVESSAS 1X 6 - LEI</v>
          </cell>
          <cell r="D250" t="str">
            <v>M</v>
          </cell>
          <cell r="E250" t="str">
            <v>1,96</v>
          </cell>
        </row>
        <row r="251">
          <cell r="B251" t="str">
            <v>13540</v>
          </cell>
          <cell r="C251" t="str">
            <v>TRAVESSAS 2X 6 - LEI</v>
          </cell>
          <cell r="D251" t="str">
            <v>M</v>
          </cell>
          <cell r="E251" t="str">
            <v>3,50</v>
          </cell>
        </row>
        <row r="252">
          <cell r="B252" t="str">
            <v>13550</v>
          </cell>
          <cell r="C252" t="str">
            <v>MADEIRA 2X 10 E 3X 3 - LEI</v>
          </cell>
          <cell r="D252" t="str">
            <v>M3</v>
          </cell>
          <cell r="E252" t="str">
            <v>500,00</v>
          </cell>
        </row>
        <row r="253">
          <cell r="B253" t="str">
            <v>13560</v>
          </cell>
          <cell r="C253" t="str">
            <v>MADEIRA DE LEI 3X 4</v>
          </cell>
          <cell r="D253" t="str">
            <v>M</v>
          </cell>
          <cell r="E253" t="str">
            <v>3,87</v>
          </cell>
        </row>
        <row r="254">
          <cell r="B254" t="str">
            <v>13570</v>
          </cell>
          <cell r="C254" t="str">
            <v>MADEIRA DE LEI 6X 1</v>
          </cell>
          <cell r="D254" t="str">
            <v>M</v>
          </cell>
          <cell r="E254" t="str">
            <v>1,96</v>
          </cell>
        </row>
        <row r="255">
          <cell r="B255" t="str">
            <v>13580</v>
          </cell>
          <cell r="C255" t="str">
            <v>MADEIRA DE LEI 6X 6</v>
          </cell>
          <cell r="D255" t="str">
            <v>M</v>
          </cell>
          <cell r="E255" t="str">
            <v>11,63</v>
          </cell>
        </row>
        <row r="256">
          <cell r="B256" t="str">
            <v>13590</v>
          </cell>
          <cell r="C256" t="str">
            <v>MADEIRA DE LEI 8X 3</v>
          </cell>
          <cell r="D256" t="str">
            <v>M</v>
          </cell>
          <cell r="E256" t="str">
            <v>7,74</v>
          </cell>
        </row>
        <row r="257">
          <cell r="B257" t="str">
            <v>13600</v>
          </cell>
          <cell r="C257" t="str">
            <v>MADEIRA DE LEI 8X 8</v>
          </cell>
          <cell r="D257" t="str">
            <v>M</v>
          </cell>
          <cell r="E257" t="str">
            <v>20,67</v>
          </cell>
        </row>
        <row r="258">
          <cell r="B258" t="str">
            <v>13610</v>
          </cell>
          <cell r="C258" t="str">
            <v>VIGA 4X 10X 3.00 M - LEI</v>
          </cell>
          <cell r="D258" t="str">
            <v>M</v>
          </cell>
          <cell r="E258" t="str">
            <v>12,89</v>
          </cell>
        </row>
        <row r="259">
          <cell r="B259" t="str">
            <v>13620</v>
          </cell>
          <cell r="C259" t="str">
            <v>GUIAS 1X 4-IV</v>
          </cell>
          <cell r="D259" t="str">
            <v>M</v>
          </cell>
          <cell r="E259" t="str">
            <v>0,51</v>
          </cell>
        </row>
        <row r="260">
          <cell r="B260" t="str">
            <v>13630</v>
          </cell>
          <cell r="C260" t="str">
            <v>GUIAS 1X 6-IV</v>
          </cell>
          <cell r="D260" t="str">
            <v>M</v>
          </cell>
          <cell r="E260" t="str">
            <v>0,79</v>
          </cell>
        </row>
        <row r="261">
          <cell r="B261" t="str">
            <v>13640</v>
          </cell>
          <cell r="C261" t="str">
            <v>POSTE MADEIRA 3X 3-LEI</v>
          </cell>
          <cell r="D261" t="str">
            <v>M</v>
          </cell>
          <cell r="E261">
            <v>4</v>
          </cell>
        </row>
        <row r="262">
          <cell r="B262" t="str">
            <v>13650</v>
          </cell>
          <cell r="C262" t="str">
            <v>PLACA DE COMPENSADO 18 MM</v>
          </cell>
          <cell r="D262" t="str">
            <v>M2</v>
          </cell>
          <cell r="E262" t="str">
            <v>9,42</v>
          </cell>
        </row>
        <row r="263">
          <cell r="B263" t="str">
            <v>13651</v>
          </cell>
          <cell r="C263" t="str">
            <v>CHAPA COMPENSADA PLASTIF. 17MM</v>
          </cell>
          <cell r="D263" t="str">
            <v>M2</v>
          </cell>
          <cell r="E263" t="str">
            <v>14,88</v>
          </cell>
        </row>
        <row r="264">
          <cell r="B264" t="str">
            <v>13652</v>
          </cell>
          <cell r="C264" t="str">
            <v>CHAPA DE COMPENSADO RESINADO 14MM</v>
          </cell>
          <cell r="D264" t="str">
            <v>M2</v>
          </cell>
          <cell r="E264">
            <v>6.45</v>
          </cell>
        </row>
        <row r="265">
          <cell r="B265" t="str">
            <v>13660</v>
          </cell>
          <cell r="C265" t="str">
            <v>PECA ROLICA D=15 CM</v>
          </cell>
          <cell r="D265" t="str">
            <v>M</v>
          </cell>
          <cell r="E265" t="str">
            <v>2,50</v>
          </cell>
        </row>
        <row r="266">
          <cell r="B266" t="str">
            <v>13670</v>
          </cell>
          <cell r="C266" t="str">
            <v>PECA ROLICA D=20 CM</v>
          </cell>
          <cell r="D266" t="str">
            <v>M</v>
          </cell>
          <cell r="E266" t="str">
            <v>4,00</v>
          </cell>
        </row>
        <row r="267">
          <cell r="B267" t="str">
            <v>13680</v>
          </cell>
          <cell r="C267" t="str">
            <v>PECA ROLICA D=25 CM</v>
          </cell>
          <cell r="D267" t="str">
            <v>M</v>
          </cell>
          <cell r="E267" t="str">
            <v>5,00</v>
          </cell>
        </row>
        <row r="268">
          <cell r="B268" t="str">
            <v>13690</v>
          </cell>
          <cell r="C268" t="str">
            <v>ACO CA 25</v>
          </cell>
          <cell r="D268" t="str">
            <v>KG</v>
          </cell>
          <cell r="E268" t="str">
            <v>1,37</v>
          </cell>
        </row>
        <row r="269">
          <cell r="B269" t="str">
            <v>13700</v>
          </cell>
          <cell r="C269" t="str">
            <v>ACO CA 50</v>
          </cell>
          <cell r="D269" t="str">
            <v>KG</v>
          </cell>
          <cell r="E269" t="str">
            <v>1,37</v>
          </cell>
        </row>
        <row r="270">
          <cell r="B270" t="str">
            <v>13710</v>
          </cell>
          <cell r="C270" t="str">
            <v>ACO CA 60</v>
          </cell>
          <cell r="D270" t="str">
            <v>KG</v>
          </cell>
          <cell r="E270" t="str">
            <v>1,63</v>
          </cell>
        </row>
        <row r="271">
          <cell r="B271" t="str">
            <v>13715</v>
          </cell>
          <cell r="C271" t="str">
            <v>CORDOALHA P/PROTENSÃO - AÇO CP 190 RB</v>
          </cell>
          <cell r="D271" t="str">
            <v>KG</v>
          </cell>
          <cell r="E271">
            <v>2.4500000000000002</v>
          </cell>
        </row>
        <row r="272">
          <cell r="B272" t="str">
            <v>13717</v>
          </cell>
          <cell r="C272" t="str">
            <v>BAINHA METÁLICA GALVANIZADA DN 65 MM</v>
          </cell>
          <cell r="D272" t="str">
            <v>M</v>
          </cell>
          <cell r="E272">
            <v>3.87</v>
          </cell>
        </row>
        <row r="273">
          <cell r="B273" t="str">
            <v>13718</v>
          </cell>
          <cell r="C273" t="str">
            <v>CHUMBADORES SN 1 POL</v>
          </cell>
          <cell r="D273" t="str">
            <v>M</v>
          </cell>
          <cell r="E273">
            <v>9.6999999999999993</v>
          </cell>
        </row>
        <row r="274">
          <cell r="B274" t="str">
            <v>13720</v>
          </cell>
          <cell r="C274" t="str">
            <v>ARAME RECOZIDO</v>
          </cell>
          <cell r="D274" t="str">
            <v>KG</v>
          </cell>
          <cell r="E274" t="str">
            <v>2,44</v>
          </cell>
        </row>
        <row r="275">
          <cell r="B275" t="str">
            <v>13750</v>
          </cell>
          <cell r="C275" t="str">
            <v>CAP 40</v>
          </cell>
          <cell r="D275" t="str">
            <v>T</v>
          </cell>
          <cell r="E275" t="str">
            <v>614,25</v>
          </cell>
        </row>
        <row r="276">
          <cell r="B276" t="str">
            <v>13760</v>
          </cell>
          <cell r="C276" t="str">
            <v>CAP 20</v>
          </cell>
          <cell r="D276" t="str">
            <v>T</v>
          </cell>
          <cell r="E276" t="str">
            <v>642,15</v>
          </cell>
        </row>
        <row r="277">
          <cell r="B277" t="str">
            <v>13765</v>
          </cell>
          <cell r="C277" t="str">
            <v>ASFRIDOPE</v>
          </cell>
          <cell r="D277" t="str">
            <v>T</v>
          </cell>
          <cell r="E277">
            <v>2700</v>
          </cell>
        </row>
        <row r="278">
          <cell r="B278" t="str">
            <v>13770</v>
          </cell>
          <cell r="C278" t="str">
            <v>ASFALTO DILUIDO CM 30</v>
          </cell>
          <cell r="D278" t="str">
            <v>T</v>
          </cell>
          <cell r="E278" t="str">
            <v>882,72</v>
          </cell>
        </row>
        <row r="279">
          <cell r="B279" t="str">
            <v>13780</v>
          </cell>
          <cell r="C279" t="str">
            <v>ASFALTO DILUIDO CR 250</v>
          </cell>
          <cell r="D279" t="str">
            <v>T</v>
          </cell>
          <cell r="E279" t="str">
            <v>882,72</v>
          </cell>
        </row>
        <row r="280">
          <cell r="B280" t="str">
            <v>13790</v>
          </cell>
          <cell r="C280" t="str">
            <v>EMULSAO ASFALTICA RM 1C</v>
          </cell>
          <cell r="D280" t="str">
            <v>T</v>
          </cell>
          <cell r="E280" t="str">
            <v>630,27</v>
          </cell>
        </row>
        <row r="281">
          <cell r="B281" t="str">
            <v>13800</v>
          </cell>
          <cell r="C281" t="str">
            <v>EMULSAO ASFALTICA RM 2C</v>
          </cell>
          <cell r="D281" t="str">
            <v>T</v>
          </cell>
          <cell r="E281" t="str">
            <v>653,94</v>
          </cell>
        </row>
        <row r="282">
          <cell r="B282" t="str">
            <v>13810</v>
          </cell>
          <cell r="C282" t="str">
            <v>EMULSAO ASFALTICA RR 1C</v>
          </cell>
          <cell r="D282" t="str">
            <v>T</v>
          </cell>
          <cell r="E282" t="str">
            <v>513,90</v>
          </cell>
        </row>
        <row r="283">
          <cell r="B283" t="str">
            <v>13820</v>
          </cell>
          <cell r="C283" t="str">
            <v>EMULSAO ASFALTICA RR 2C</v>
          </cell>
          <cell r="D283" t="str">
            <v>T</v>
          </cell>
          <cell r="E283" t="str">
            <v>555,12</v>
          </cell>
        </row>
        <row r="284">
          <cell r="B284" t="str">
            <v>13830</v>
          </cell>
          <cell r="C284" t="str">
            <v>EMULSAO ASFALTICA RL 1C</v>
          </cell>
          <cell r="D284" t="str">
            <v>T</v>
          </cell>
          <cell r="E284" t="str">
            <v>607,32</v>
          </cell>
        </row>
        <row r="285">
          <cell r="B285" t="str">
            <v>13840</v>
          </cell>
          <cell r="C285" t="str">
            <v>FILLER</v>
          </cell>
          <cell r="D285" t="str">
            <v>T</v>
          </cell>
          <cell r="E285" t="str">
            <v>34,00</v>
          </cell>
        </row>
        <row r="286">
          <cell r="B286" t="str">
            <v>13850</v>
          </cell>
          <cell r="C286" t="str">
            <v>CAL HIDRADATA</v>
          </cell>
          <cell r="D286" t="str">
            <v>T</v>
          </cell>
          <cell r="E286" t="str">
            <v>110,00</v>
          </cell>
        </row>
        <row r="287">
          <cell r="B287" t="str">
            <v>13860</v>
          </cell>
          <cell r="C287" t="str">
            <v>GELATINA 60% -   7/8</v>
          </cell>
          <cell r="D287" t="str">
            <v>KG</v>
          </cell>
          <cell r="E287" t="str">
            <v>4,20</v>
          </cell>
        </row>
        <row r="288">
          <cell r="B288" t="str">
            <v>13870</v>
          </cell>
          <cell r="C288" t="str">
            <v>GELATINA 60% - 1</v>
          </cell>
          <cell r="D288" t="str">
            <v>KG</v>
          </cell>
          <cell r="E288" t="str">
            <v>4,20</v>
          </cell>
        </row>
        <row r="289">
          <cell r="B289" t="str">
            <v>13880</v>
          </cell>
          <cell r="C289" t="str">
            <v>GELATINA 60% - 2.1/2</v>
          </cell>
          <cell r="D289" t="str">
            <v>KG</v>
          </cell>
          <cell r="E289" t="str">
            <v>3,50</v>
          </cell>
        </row>
        <row r="290">
          <cell r="B290" t="str">
            <v>13890</v>
          </cell>
          <cell r="C290" t="str">
            <v>GELATINA 60% - 3</v>
          </cell>
          <cell r="D290" t="str">
            <v>KG</v>
          </cell>
          <cell r="E290" t="str">
            <v>3,50</v>
          </cell>
        </row>
        <row r="291">
          <cell r="B291" t="str">
            <v>13900</v>
          </cell>
          <cell r="C291" t="str">
            <v>ESPOLETA SIMPLES</v>
          </cell>
          <cell r="D291" t="str">
            <v>UN</v>
          </cell>
          <cell r="E291">
            <v>0.71</v>
          </cell>
        </row>
        <row r="292">
          <cell r="B292" t="str">
            <v>13910</v>
          </cell>
          <cell r="C292" t="str">
            <v>ESPOLETA ELETRICA C/FIOS</v>
          </cell>
          <cell r="D292" t="str">
            <v>M</v>
          </cell>
          <cell r="E292" t="str">
            <v>9,95</v>
          </cell>
        </row>
        <row r="293">
          <cell r="B293" t="str">
            <v>13920</v>
          </cell>
          <cell r="C293" t="str">
            <v>ESTOPIM SIMPLES</v>
          </cell>
          <cell r="D293" t="str">
            <v>M</v>
          </cell>
          <cell r="E293" t="str">
            <v>0,59</v>
          </cell>
        </row>
        <row r="294">
          <cell r="B294" t="str">
            <v>13930</v>
          </cell>
          <cell r="C294" t="str">
            <v>CORDEL DETONANTE</v>
          </cell>
          <cell r="D294" t="str">
            <v>M</v>
          </cell>
          <cell r="E294" t="str">
            <v>0,50</v>
          </cell>
        </row>
        <row r="295">
          <cell r="B295" t="str">
            <v>13935</v>
          </cell>
          <cell r="C295" t="str">
            <v>RETARDADOR DE CORDEL</v>
          </cell>
          <cell r="D295" t="str">
            <v>UN</v>
          </cell>
          <cell r="E295">
            <v>6.1</v>
          </cell>
        </row>
        <row r="296">
          <cell r="B296" t="str">
            <v>13940</v>
          </cell>
          <cell r="C296" t="str">
            <v>DINAMITE</v>
          </cell>
          <cell r="D296" t="str">
            <v>KG</v>
          </cell>
          <cell r="E296">
            <v>4.3</v>
          </cell>
        </row>
        <row r="297">
          <cell r="B297" t="str">
            <v>13950</v>
          </cell>
          <cell r="C297" t="str">
            <v>TINTA OLEO</v>
          </cell>
          <cell r="D297" t="str">
            <v>L</v>
          </cell>
          <cell r="E297">
            <v>6.15</v>
          </cell>
        </row>
        <row r="298">
          <cell r="B298" t="str">
            <v>13960</v>
          </cell>
          <cell r="C298" t="str">
            <v>TINTA SINALIZ. RODOV. BRANCA</v>
          </cell>
          <cell r="D298" t="str">
            <v>L</v>
          </cell>
          <cell r="E298">
            <v>9</v>
          </cell>
        </row>
        <row r="299">
          <cell r="B299" t="str">
            <v>13961</v>
          </cell>
          <cell r="C299" t="str">
            <v>TINTA SINALIZ. RODOV. AMARELA</v>
          </cell>
          <cell r="D299" t="str">
            <v>L</v>
          </cell>
          <cell r="E299">
            <v>9</v>
          </cell>
        </row>
        <row r="300">
          <cell r="B300" t="str">
            <v>13962</v>
          </cell>
          <cell r="C300" t="str">
            <v>MICROESFERAS DE VIDRO (PREMIX)</v>
          </cell>
          <cell r="D300" t="str">
            <v>KG</v>
          </cell>
          <cell r="E300">
            <v>2.2999999999999998</v>
          </cell>
        </row>
        <row r="301">
          <cell r="B301" t="str">
            <v>13963</v>
          </cell>
          <cell r="C301" t="str">
            <v>MICROESFERAS DE VIDRO (DROPON)</v>
          </cell>
          <cell r="D301" t="str">
            <v>KG</v>
          </cell>
          <cell r="E301">
            <v>2.2999999999999998</v>
          </cell>
        </row>
        <row r="302">
          <cell r="B302" t="str">
            <v>13964</v>
          </cell>
          <cell r="C302" t="str">
            <v>SOLVENTE TINTA SINALIZ. RODOV.</v>
          </cell>
          <cell r="D302" t="str">
            <v>L</v>
          </cell>
          <cell r="E302" t="str">
            <v>2,44</v>
          </cell>
        </row>
        <row r="303">
          <cell r="B303" t="str">
            <v>13965</v>
          </cell>
          <cell r="C303" t="str">
            <v>TINTA PARA PRÉ MARCAÇÃO</v>
          </cell>
          <cell r="D303" t="str">
            <v>L</v>
          </cell>
          <cell r="E303">
            <v>5</v>
          </cell>
        </row>
        <row r="304">
          <cell r="B304" t="str">
            <v>13970</v>
          </cell>
          <cell r="C304" t="str">
            <v>ARAME FARPADO GALV. N.16</v>
          </cell>
          <cell r="D304" t="str">
            <v>M</v>
          </cell>
          <cell r="E304" t="str">
            <v>0,15</v>
          </cell>
        </row>
        <row r="305">
          <cell r="B305" t="str">
            <v>13980</v>
          </cell>
          <cell r="C305" t="str">
            <v>ARAME LISO GALVANIZADO NUM. 16</v>
          </cell>
          <cell r="D305" t="str">
            <v>KG</v>
          </cell>
          <cell r="E305" t="str">
            <v>3,40</v>
          </cell>
        </row>
        <row r="306">
          <cell r="B306" t="str">
            <v>13985</v>
          </cell>
          <cell r="C306" t="str">
            <v>ARAME LISO GALVANIZADO NUM. 10</v>
          </cell>
          <cell r="D306" t="str">
            <v>KG</v>
          </cell>
          <cell r="E306" t="str">
            <v>3,00</v>
          </cell>
        </row>
        <row r="307">
          <cell r="B307" t="str">
            <v>13990</v>
          </cell>
          <cell r="C307" t="str">
            <v>PREGOS 17 x 27</v>
          </cell>
          <cell r="D307" t="str">
            <v>KG</v>
          </cell>
          <cell r="E307" t="str">
            <v>1,92</v>
          </cell>
        </row>
        <row r="308">
          <cell r="B308" t="str">
            <v>13991</v>
          </cell>
          <cell r="C308" t="str">
            <v>PREGOS</v>
          </cell>
          <cell r="D308" t="str">
            <v>KG</v>
          </cell>
          <cell r="E308">
            <v>1.54</v>
          </cell>
        </row>
        <row r="309">
          <cell r="B309" t="str">
            <v>13995</v>
          </cell>
          <cell r="C309" t="str">
            <v>FORMAS METÁLICAS PARA NEW JERSEY</v>
          </cell>
          <cell r="D309" t="str">
            <v>M2</v>
          </cell>
          <cell r="E309">
            <v>12</v>
          </cell>
        </row>
        <row r="310">
          <cell r="B310" t="str">
            <v>14000</v>
          </cell>
          <cell r="C310" t="str">
            <v>DOBRADICAS 3"</v>
          </cell>
          <cell r="D310" t="str">
            <v>UN</v>
          </cell>
          <cell r="E310" t="str">
            <v>2,11</v>
          </cell>
        </row>
        <row r="311">
          <cell r="B311" t="str">
            <v>14010</v>
          </cell>
          <cell r="C311" t="str">
            <v>PARAFUSOS FRANCES 1/4x1.1/2" c/porca/arrula</v>
          </cell>
          <cell r="D311" t="str">
            <v>UN</v>
          </cell>
          <cell r="E311">
            <v>0.38</v>
          </cell>
        </row>
        <row r="312">
          <cell r="B312" t="str">
            <v>14020</v>
          </cell>
          <cell r="C312" t="str">
            <v>GRAMA EM LEIVA</v>
          </cell>
          <cell r="D312" t="str">
            <v>M2</v>
          </cell>
          <cell r="E312" t="str">
            <v>2,50</v>
          </cell>
        </row>
        <row r="313">
          <cell r="B313" t="str">
            <v>14025</v>
          </cell>
          <cell r="C313" t="str">
            <v>DEFENSIVO AGRICOLA</v>
          </cell>
          <cell r="D313" t="str">
            <v>L</v>
          </cell>
          <cell r="E313" t="str">
            <v>14,90</v>
          </cell>
        </row>
        <row r="314">
          <cell r="B314" t="str">
            <v>14030</v>
          </cell>
          <cell r="C314" t="str">
            <v>ADUBO QUIMICO 7-11/9</v>
          </cell>
          <cell r="D314" t="str">
            <v>KG</v>
          </cell>
          <cell r="E314" t="str">
            <v>0,53</v>
          </cell>
        </row>
        <row r="315">
          <cell r="B315" t="str">
            <v>14035</v>
          </cell>
          <cell r="C315" t="str">
            <v>ORGANO MINERAL H2</v>
          </cell>
          <cell r="D315" t="str">
            <v>KG</v>
          </cell>
          <cell r="E315" t="str">
            <v>0,27</v>
          </cell>
        </row>
        <row r="316">
          <cell r="B316" t="str">
            <v>14040</v>
          </cell>
          <cell r="C316" t="str">
            <v>SEMENTES DE GRAMINEAS AZEVEM</v>
          </cell>
          <cell r="D316" t="str">
            <v>KG</v>
          </cell>
          <cell r="E316" t="str">
            <v>1,80</v>
          </cell>
        </row>
        <row r="317">
          <cell r="B317" t="str">
            <v>14045</v>
          </cell>
          <cell r="C317" t="str">
            <v>VEGETAL DECOMPOSTO</v>
          </cell>
          <cell r="D317" t="str">
            <v>KG</v>
          </cell>
          <cell r="E317" t="str">
            <v>0,52</v>
          </cell>
        </row>
        <row r="318">
          <cell r="B318" t="str">
            <v>14047</v>
          </cell>
          <cell r="C318" t="str">
            <v>SIGUNIT</v>
          </cell>
          <cell r="D318" t="str">
            <v>KG</v>
          </cell>
          <cell r="E318">
            <v>1.45</v>
          </cell>
        </row>
        <row r="319">
          <cell r="B319" t="str">
            <v>14050</v>
          </cell>
          <cell r="C319" t="str">
            <v>CELULOSE/ACETAMULCH</v>
          </cell>
          <cell r="D319" t="str">
            <v>KG</v>
          </cell>
          <cell r="E319" t="str">
            <v>0,60</v>
          </cell>
        </row>
        <row r="320">
          <cell r="B320" t="str">
            <v>14055</v>
          </cell>
          <cell r="C320" t="str">
            <v>TURFA CALCITADA</v>
          </cell>
          <cell r="D320" t="str">
            <v>KG</v>
          </cell>
          <cell r="E320" t="str">
            <v>0,34</v>
          </cell>
        </row>
        <row r="321">
          <cell r="B321" t="str">
            <v>14060</v>
          </cell>
          <cell r="C321" t="str">
            <v>EMULSAO AEROSOL P/HIDROSSEM.</v>
          </cell>
          <cell r="D321" t="str">
            <v>L</v>
          </cell>
          <cell r="E321" t="str">
            <v>0,45</v>
          </cell>
        </row>
        <row r="322">
          <cell r="B322" t="str">
            <v>14065</v>
          </cell>
          <cell r="C322" t="str">
            <v>UREIA</v>
          </cell>
          <cell r="D322" t="str">
            <v>KG</v>
          </cell>
          <cell r="E322" t="str">
            <v>0,52</v>
          </cell>
        </row>
        <row r="323">
          <cell r="B323" t="str">
            <v>14070</v>
          </cell>
          <cell r="C323" t="str">
            <v>DEFENSAS SIMPLES C/ACESS.</v>
          </cell>
          <cell r="D323" t="str">
            <v>M</v>
          </cell>
          <cell r="E323" t="str">
            <v>48,00</v>
          </cell>
        </row>
        <row r="324">
          <cell r="B324" t="str">
            <v>14071</v>
          </cell>
          <cell r="C324" t="str">
            <v>DEFENSA DUPLA C/ ACESSÓRIOS</v>
          </cell>
          <cell r="D324" t="str">
            <v>M</v>
          </cell>
          <cell r="E324" t="str">
            <v>88,80</v>
          </cell>
        </row>
        <row r="325">
          <cell r="B325" t="str">
            <v>14075</v>
          </cell>
          <cell r="C325" t="str">
            <v>IMPERMEABILIZANTE HIDRONORTH</v>
          </cell>
          <cell r="D325" t="str">
            <v>L</v>
          </cell>
          <cell r="E325" t="str">
            <v>5,88</v>
          </cell>
        </row>
        <row r="326">
          <cell r="B326" t="str">
            <v>14080</v>
          </cell>
          <cell r="C326" t="str">
            <v>ADITIVO DE CURA CURING</v>
          </cell>
          <cell r="D326" t="str">
            <v>L</v>
          </cell>
          <cell r="E326" t="str">
            <v>2,80</v>
          </cell>
        </row>
        <row r="327">
          <cell r="B327" t="str">
            <v>14084</v>
          </cell>
          <cell r="C327" t="str">
            <v>ADITIVO PLASTIMENT PARA CONCRETO</v>
          </cell>
          <cell r="D327" t="str">
            <v>KG</v>
          </cell>
          <cell r="E327" t="str">
            <v>22,49</v>
          </cell>
        </row>
        <row r="328">
          <cell r="B328" t="str">
            <v>14085</v>
          </cell>
          <cell r="C328" t="str">
            <v>ADESIVO ESTRUTURAL MONTAPOX</v>
          </cell>
          <cell r="D328" t="str">
            <v>KG</v>
          </cell>
          <cell r="E328" t="str">
            <v>22,50</v>
          </cell>
        </row>
        <row r="329">
          <cell r="B329" t="str">
            <v>14086</v>
          </cell>
          <cell r="C329" t="str">
            <v>ADITIVO RETARD VZ</v>
          </cell>
          <cell r="D329" t="str">
            <v>KG</v>
          </cell>
          <cell r="E329" t="str">
            <v>3,68</v>
          </cell>
        </row>
        <row r="330">
          <cell r="B330" t="str">
            <v>14087</v>
          </cell>
          <cell r="C330" t="str">
            <v>ADITIVO FIXADOR BIANCO-FIX</v>
          </cell>
          <cell r="D330" t="str">
            <v>L</v>
          </cell>
          <cell r="E330" t="str">
            <v>2,85</v>
          </cell>
        </row>
        <row r="331">
          <cell r="B331" t="str">
            <v>14090</v>
          </cell>
          <cell r="C331" t="str">
            <v>ADITIVO RETARD</v>
          </cell>
          <cell r="D331" t="str">
            <v>L</v>
          </cell>
          <cell r="E331" t="str">
            <v>2,25</v>
          </cell>
        </row>
        <row r="332">
          <cell r="B332" t="str">
            <v>14100</v>
          </cell>
          <cell r="C332" t="str">
            <v>BIDIM OP20/30/40</v>
          </cell>
          <cell r="D332" t="str">
            <v>KG</v>
          </cell>
          <cell r="E332" t="str">
            <v>8,28</v>
          </cell>
        </row>
        <row r="333">
          <cell r="B333" t="str">
            <v>14101</v>
          </cell>
          <cell r="C333" t="str">
            <v>GEOGRELHA SOLDADA - MACLINK - RESIST 100 KN/M</v>
          </cell>
          <cell r="D333" t="str">
            <v>M2</v>
          </cell>
          <cell r="E333">
            <v>20.9</v>
          </cell>
        </row>
        <row r="334">
          <cell r="B334" t="str">
            <v>14102</v>
          </cell>
          <cell r="C334" t="str">
            <v>GEOGRELHA SOLDADA - MACLINK - RESIST 200 KN/M</v>
          </cell>
          <cell r="D334" t="str">
            <v>M2</v>
          </cell>
          <cell r="E334">
            <v>28.4</v>
          </cell>
        </row>
        <row r="335">
          <cell r="B335" t="str">
            <v>14103</v>
          </cell>
          <cell r="C335" t="str">
            <v>GEOGRELHA SOLDADA - MACLINK - RESIST 300 KN/M</v>
          </cell>
          <cell r="D335" t="str">
            <v>M2</v>
          </cell>
          <cell r="E335">
            <v>37.770000000000003</v>
          </cell>
        </row>
        <row r="336">
          <cell r="B336" t="str">
            <v>14104</v>
          </cell>
          <cell r="C336" t="str">
            <v>GEOGRELHA SOLDADA - MACLINK - RESIST 400 KN/M</v>
          </cell>
          <cell r="D336" t="str">
            <v>M2</v>
          </cell>
          <cell r="E336">
            <v>71.75</v>
          </cell>
        </row>
        <row r="337">
          <cell r="B337" t="str">
            <v>14105</v>
          </cell>
          <cell r="C337" t="str">
            <v>GEOGRELHA SOLDADA - MACLINK - RESIST 500 KN/M</v>
          </cell>
          <cell r="D337" t="str">
            <v>M2</v>
          </cell>
          <cell r="E337">
            <v>85</v>
          </cell>
        </row>
        <row r="338">
          <cell r="B338" t="str">
            <v>14106</v>
          </cell>
          <cell r="C338" t="str">
            <v>GEOGRELHA SOLDADA - MACLINK - RESIST 600 KN/M</v>
          </cell>
          <cell r="D338" t="str">
            <v>M2</v>
          </cell>
          <cell r="E338">
            <v>93</v>
          </cell>
        </row>
        <row r="339">
          <cell r="B339" t="str">
            <v>14107</v>
          </cell>
          <cell r="C339" t="str">
            <v>GEOGRELHA SOLDADA - MACLINK - RESIST 700 KN/M</v>
          </cell>
          <cell r="D339" t="str">
            <v>M2</v>
          </cell>
          <cell r="E339">
            <v>111</v>
          </cell>
        </row>
        <row r="340">
          <cell r="B340" t="str">
            <v>14108</v>
          </cell>
          <cell r="C340" t="str">
            <v>GEOGRELHA SOLDADA - MACLINK - RESIST 800 KN/M</v>
          </cell>
          <cell r="D340" t="str">
            <v>M2</v>
          </cell>
          <cell r="E340">
            <v>129.15</v>
          </cell>
        </row>
        <row r="341">
          <cell r="B341" t="str">
            <v>14110</v>
          </cell>
          <cell r="C341" t="str">
            <v>COLCHAO RENO PVC H=30CM</v>
          </cell>
          <cell r="D341" t="str">
            <v>M2</v>
          </cell>
          <cell r="E341">
            <v>38</v>
          </cell>
        </row>
        <row r="342">
          <cell r="B342" t="str">
            <v>14112</v>
          </cell>
          <cell r="C342" t="str">
            <v>COLCHAO RENO PVC H=23CM</v>
          </cell>
          <cell r="D342" t="str">
            <v>M2</v>
          </cell>
          <cell r="E342">
            <v>32</v>
          </cell>
        </row>
        <row r="343">
          <cell r="B343" t="str">
            <v>14114</v>
          </cell>
          <cell r="C343" t="str">
            <v>COLCHAO RENO PVC H=17CM</v>
          </cell>
          <cell r="D343" t="str">
            <v>M2</v>
          </cell>
          <cell r="E343">
            <v>25.96</v>
          </cell>
        </row>
        <row r="344">
          <cell r="B344" t="str">
            <v>14120</v>
          </cell>
          <cell r="C344" t="str">
            <v>SACOS DE POLIPROPILENO</v>
          </cell>
          <cell r="D344" t="str">
            <v>UN</v>
          </cell>
          <cell r="E344" t="str">
            <v>0,60</v>
          </cell>
        </row>
        <row r="345">
          <cell r="B345" t="str">
            <v>14130</v>
          </cell>
          <cell r="C345" t="str">
            <v>SERIE DE BROCAS 1.1/2</v>
          </cell>
          <cell r="D345" t="str">
            <v>UN</v>
          </cell>
          <cell r="E345" t="str">
            <v>3.099,00</v>
          </cell>
        </row>
        <row r="346">
          <cell r="B346" t="str">
            <v>14140</v>
          </cell>
          <cell r="C346" t="str">
            <v>BROCA INTEGRAL</v>
          </cell>
          <cell r="D346" t="str">
            <v>UN</v>
          </cell>
          <cell r="E346">
            <v>197</v>
          </cell>
        </row>
        <row r="347">
          <cell r="B347" t="str">
            <v>14180</v>
          </cell>
          <cell r="C347" t="str">
            <v>PUNHO,HASTE,LUVA E BITS</v>
          </cell>
          <cell r="D347" t="str">
            <v>UN</v>
          </cell>
          <cell r="E347" t="str">
            <v>0,48</v>
          </cell>
        </row>
        <row r="348">
          <cell r="B348" t="str">
            <v>14181</v>
          </cell>
          <cell r="C348" t="str">
            <v>PUNHO</v>
          </cell>
          <cell r="D348" t="str">
            <v>UN</v>
          </cell>
          <cell r="E348">
            <v>422</v>
          </cell>
        </row>
        <row r="349">
          <cell r="B349" t="str">
            <v>14182</v>
          </cell>
          <cell r="C349" t="str">
            <v>HASTE</v>
          </cell>
          <cell r="D349" t="str">
            <v>UN</v>
          </cell>
          <cell r="E349">
            <v>564</v>
          </cell>
        </row>
        <row r="350">
          <cell r="B350" t="str">
            <v>14183</v>
          </cell>
          <cell r="C350" t="str">
            <v>LUVA</v>
          </cell>
          <cell r="D350" t="str">
            <v>UN</v>
          </cell>
          <cell r="E350">
            <v>145</v>
          </cell>
        </row>
        <row r="351">
          <cell r="B351" t="str">
            <v>14184</v>
          </cell>
          <cell r="C351" t="str">
            <v>BITS</v>
          </cell>
          <cell r="D351" t="str">
            <v>UN</v>
          </cell>
          <cell r="E351">
            <v>570</v>
          </cell>
        </row>
        <row r="352">
          <cell r="B352" t="str">
            <v>14185</v>
          </cell>
          <cell r="C352" t="str">
            <v>GRAXA GRAFITADA</v>
          </cell>
          <cell r="D352" t="str">
            <v>KG</v>
          </cell>
          <cell r="E352">
            <v>10.3</v>
          </cell>
        </row>
        <row r="353">
          <cell r="B353" t="str">
            <v>14190</v>
          </cell>
          <cell r="C353" t="str">
            <v>CHAPA 18 ZINCADA E PRE-PINTADA</v>
          </cell>
          <cell r="D353" t="str">
            <v>M2</v>
          </cell>
          <cell r="E353">
            <v>46.08</v>
          </cell>
        </row>
        <row r="354">
          <cell r="B354" t="str">
            <v>14191</v>
          </cell>
          <cell r="C354" t="str">
            <v>CHAPA ALUMINIO P/PLACAS - 2MM</v>
          </cell>
          <cell r="D354" t="str">
            <v>M2</v>
          </cell>
          <cell r="E354">
            <v>54.85</v>
          </cell>
        </row>
        <row r="355">
          <cell r="B355" t="str">
            <v>14192</v>
          </cell>
          <cell r="C355" t="str">
            <v>ACES. PLACAS ALUM. P/PORTICOS</v>
          </cell>
          <cell r="D355" t="str">
            <v>M2</v>
          </cell>
          <cell r="E355">
            <v>109.7</v>
          </cell>
        </row>
        <row r="356">
          <cell r="B356" t="str">
            <v>14196</v>
          </cell>
          <cell r="C356" t="str">
            <v>PELIC. REFL. ESFERAS INCL. GT</v>
          </cell>
          <cell r="D356" t="str">
            <v>M2</v>
          </cell>
          <cell r="E356">
            <v>71.739999999999995</v>
          </cell>
        </row>
        <row r="357">
          <cell r="B357" t="str">
            <v>14197</v>
          </cell>
          <cell r="C357" t="str">
            <v>PELICULA VINILICA N/REFLETIVA</v>
          </cell>
          <cell r="D357" t="str">
            <v>M2</v>
          </cell>
          <cell r="E357">
            <v>39.14</v>
          </cell>
        </row>
        <row r="358">
          <cell r="B358" t="str">
            <v>14198</v>
          </cell>
          <cell r="C358" t="str">
            <v>PELIC.REFL.ESF.ENCAPSULADAS AI</v>
          </cell>
          <cell r="D358" t="str">
            <v>M2</v>
          </cell>
          <cell r="E358">
            <v>168.97</v>
          </cell>
        </row>
        <row r="359">
          <cell r="B359" t="str">
            <v>14199</v>
          </cell>
          <cell r="C359" t="str">
            <v>PELIC.REFL.LENTES PRISMAT. GD</v>
          </cell>
          <cell r="D359" t="str">
            <v>M2</v>
          </cell>
          <cell r="E359">
            <v>392.84</v>
          </cell>
        </row>
        <row r="360">
          <cell r="B360" t="str">
            <v>14200</v>
          </cell>
          <cell r="C360" t="str">
            <v>BALISADOR DE CONCRETO</v>
          </cell>
          <cell r="D360" t="str">
            <v>UN</v>
          </cell>
          <cell r="E360" t="str">
            <v>26,50</v>
          </cell>
        </row>
        <row r="361">
          <cell r="B361" t="str">
            <v>14210</v>
          </cell>
          <cell r="C361" t="str">
            <v>TACHOES MONO-REFLETIVOS</v>
          </cell>
          <cell r="D361" t="str">
            <v>UN</v>
          </cell>
          <cell r="E361">
            <v>11</v>
          </cell>
        </row>
        <row r="362">
          <cell r="B362" t="str">
            <v>14211</v>
          </cell>
          <cell r="C362" t="str">
            <v>TACHOES BI-REFLETIVOS</v>
          </cell>
          <cell r="D362" t="str">
            <v>UN</v>
          </cell>
          <cell r="E362">
            <v>12</v>
          </cell>
        </row>
        <row r="363">
          <cell r="B363" t="str">
            <v>14212</v>
          </cell>
          <cell r="C363" t="str">
            <v>TACHINHAS MONO-REFLETIVAS</v>
          </cell>
          <cell r="D363" t="str">
            <v>UN</v>
          </cell>
          <cell r="E363">
            <v>4.5999999999999996</v>
          </cell>
        </row>
        <row r="364">
          <cell r="B364" t="str">
            <v>14213</v>
          </cell>
          <cell r="C364" t="str">
            <v>TACHINHAS BI-REFLETIVAS</v>
          </cell>
          <cell r="D364" t="str">
            <v>UN</v>
          </cell>
          <cell r="E364">
            <v>5.6</v>
          </cell>
        </row>
        <row r="365">
          <cell r="B365" t="str">
            <v>14214</v>
          </cell>
          <cell r="C365" t="str">
            <v>COLA PARA TACHINHAS E TACHOES</v>
          </cell>
          <cell r="D365" t="str">
            <v>KG</v>
          </cell>
          <cell r="E365" t="str">
            <v>5,17</v>
          </cell>
        </row>
        <row r="366">
          <cell r="B366" t="str">
            <v>14215</v>
          </cell>
          <cell r="C366" t="str">
            <v>TACHAO NAO REFLETIVO</v>
          </cell>
          <cell r="D366" t="str">
            <v>UN</v>
          </cell>
          <cell r="E366">
            <v>13</v>
          </cell>
        </row>
        <row r="367">
          <cell r="B367" t="str">
            <v>14216</v>
          </cell>
          <cell r="C367" t="str">
            <v>CALOTA ESFERICA D=15CM X 4CM</v>
          </cell>
          <cell r="D367" t="str">
            <v>UN</v>
          </cell>
          <cell r="E367">
            <v>11</v>
          </cell>
        </row>
        <row r="368">
          <cell r="B368" t="str">
            <v>14220</v>
          </cell>
          <cell r="C368" t="str">
            <v>GABIAO CX.GALV.H=0.50 M</v>
          </cell>
          <cell r="D368" t="str">
            <v>M3</v>
          </cell>
          <cell r="E368" t="str">
            <v>80,30</v>
          </cell>
        </row>
        <row r="369">
          <cell r="B369" t="str">
            <v>14225</v>
          </cell>
          <cell r="C369" t="str">
            <v>GABIAO CAIXA PVC H=0.5M</v>
          </cell>
          <cell r="D369" t="str">
            <v>M3</v>
          </cell>
          <cell r="E369" t="str">
            <v>95,70</v>
          </cell>
        </row>
        <row r="370">
          <cell r="B370" t="str">
            <v>14230</v>
          </cell>
          <cell r="C370" t="str">
            <v>GABIAO CX.GALV.H=1.00 M</v>
          </cell>
          <cell r="D370" t="str">
            <v>M3</v>
          </cell>
          <cell r="E370" t="str">
            <v>57,75</v>
          </cell>
        </row>
        <row r="371">
          <cell r="B371" t="str">
            <v>14235</v>
          </cell>
          <cell r="C371" t="str">
            <v>GABIAO CAIXA PVC H=1.0M</v>
          </cell>
          <cell r="D371" t="str">
            <v>M3</v>
          </cell>
          <cell r="E371" t="str">
            <v>66,88</v>
          </cell>
        </row>
        <row r="372">
          <cell r="B372" t="str">
            <v>14250</v>
          </cell>
          <cell r="C372" t="str">
            <v>APARELHO APOIO DE NEOPRENE</v>
          </cell>
          <cell r="D372" t="str">
            <v>KG</v>
          </cell>
          <cell r="E372" t="str">
            <v>17,00</v>
          </cell>
        </row>
        <row r="373">
          <cell r="B373" t="str">
            <v>14255</v>
          </cell>
          <cell r="C373" t="str">
            <v>APARELHOS DE APOIO NEOPRENE</v>
          </cell>
          <cell r="D373" t="str">
            <v>DM</v>
          </cell>
          <cell r="E373" t="str">
            <v>30,00</v>
          </cell>
        </row>
        <row r="374">
          <cell r="B374" t="str">
            <v>14260</v>
          </cell>
          <cell r="C374" t="str">
            <v>OXIGENIO</v>
          </cell>
          <cell r="D374" t="str">
            <v>M3</v>
          </cell>
          <cell r="E374" t="str">
            <v>10,00</v>
          </cell>
        </row>
        <row r="375">
          <cell r="B375" t="str">
            <v>14270</v>
          </cell>
          <cell r="C375" t="str">
            <v>ACETILENO</v>
          </cell>
          <cell r="D375" t="str">
            <v>KG</v>
          </cell>
          <cell r="E375" t="str">
            <v>18,00</v>
          </cell>
        </row>
        <row r="376">
          <cell r="B376" t="str">
            <v>14280</v>
          </cell>
          <cell r="C376" t="str">
            <v>OXIGENIO+ACETILENO</v>
          </cell>
          <cell r="D376" t="str">
            <v>KG</v>
          </cell>
          <cell r="E376" t="str">
            <v>30,00</v>
          </cell>
        </row>
        <row r="377">
          <cell r="B377" t="str">
            <v>14290</v>
          </cell>
          <cell r="C377" t="str">
            <v>CHAPA DE ACO DE 3/8</v>
          </cell>
          <cell r="D377" t="str">
            <v>KG</v>
          </cell>
          <cell r="E377" t="str">
            <v>1,49</v>
          </cell>
        </row>
        <row r="378">
          <cell r="B378" t="str">
            <v>14300</v>
          </cell>
          <cell r="C378" t="str">
            <v>TRILHO TR 32</v>
          </cell>
          <cell r="D378" t="str">
            <v>KG</v>
          </cell>
          <cell r="E378" t="str">
            <v>0,69</v>
          </cell>
        </row>
        <row r="379">
          <cell r="B379" t="str">
            <v>14310</v>
          </cell>
          <cell r="C379" t="str">
            <v>TRILHO TR 37</v>
          </cell>
          <cell r="D379" t="str">
            <v>KG</v>
          </cell>
          <cell r="E379" t="str">
            <v>0,69</v>
          </cell>
        </row>
        <row r="380">
          <cell r="B380" t="str">
            <v>14315</v>
          </cell>
          <cell r="C380" t="str">
            <v>TRILHO TR 45</v>
          </cell>
          <cell r="D380" t="str">
            <v>KG</v>
          </cell>
          <cell r="E380">
            <v>0.69</v>
          </cell>
        </row>
        <row r="381">
          <cell r="B381" t="str">
            <v>14316</v>
          </cell>
          <cell r="C381" t="str">
            <v>PERFIL METÁLICO I 10"/12"</v>
          </cell>
          <cell r="D381" t="str">
            <v>KG</v>
          </cell>
          <cell r="E381">
            <v>1.8</v>
          </cell>
        </row>
        <row r="382">
          <cell r="B382" t="str">
            <v>14320</v>
          </cell>
          <cell r="C382" t="str">
            <v>ELETRODOS P/SOLDA</v>
          </cell>
          <cell r="D382" t="str">
            <v>KG</v>
          </cell>
          <cell r="E382" t="str">
            <v>4,41</v>
          </cell>
        </row>
        <row r="383">
          <cell r="B383" t="str">
            <v>14330</v>
          </cell>
          <cell r="C383" t="str">
            <v>PORTICO V=14,80m - A=&lt;12 m2 - 162Km/h</v>
          </cell>
          <cell r="D383" t="str">
            <v>UN</v>
          </cell>
          <cell r="E383">
            <v>10890</v>
          </cell>
        </row>
        <row r="384">
          <cell r="B384" t="str">
            <v>14333</v>
          </cell>
          <cell r="C384" t="str">
            <v>SEMI-PORTICO V=7.20M-A&lt;=6.0M2 - 162 Km/h</v>
          </cell>
          <cell r="D384" t="str">
            <v>UN</v>
          </cell>
          <cell r="E384">
            <v>6600</v>
          </cell>
        </row>
        <row r="385">
          <cell r="B385" t="str">
            <v>14500</v>
          </cell>
          <cell r="C385" t="str">
            <v>DORMENTE (1,40X0,20X0,15)</v>
          </cell>
          <cell r="D385" t="str">
            <v>UN</v>
          </cell>
          <cell r="E385">
            <v>20</v>
          </cell>
        </row>
        <row r="386">
          <cell r="B386" t="str">
            <v>15100</v>
          </cell>
          <cell r="C386" t="str">
            <v>ARMADURAS NERVURADAS E GALVANIZADAS</v>
          </cell>
          <cell r="D386" t="str">
            <v>KG</v>
          </cell>
          <cell r="E386">
            <v>4.3499999999999996</v>
          </cell>
        </row>
        <row r="387">
          <cell r="B387" t="str">
            <v>15110</v>
          </cell>
          <cell r="C387" t="str">
            <v>PARAFUSOS ESPECIAIS</v>
          </cell>
          <cell r="D387" t="str">
            <v>UN</v>
          </cell>
          <cell r="E387">
            <v>0.74</v>
          </cell>
        </row>
        <row r="388">
          <cell r="B388" t="str">
            <v>15120</v>
          </cell>
          <cell r="C388" t="str">
            <v>APOIOS DE EPDM</v>
          </cell>
          <cell r="D388" t="str">
            <v>UN</v>
          </cell>
          <cell r="E388">
            <v>2.85</v>
          </cell>
        </row>
        <row r="389">
          <cell r="B389" t="str">
            <v>15130</v>
          </cell>
          <cell r="C389" t="str">
            <v>ESPUMA DE POLIURETANO</v>
          </cell>
          <cell r="D389" t="str">
            <v>UN</v>
          </cell>
          <cell r="E389">
            <v>1</v>
          </cell>
        </row>
        <row r="390">
          <cell r="B390" t="str">
            <v>15140</v>
          </cell>
          <cell r="C390" t="str">
            <v>LIGAÇÕES GALVANIZADAS</v>
          </cell>
          <cell r="D390" t="str">
            <v>UN</v>
          </cell>
          <cell r="E390">
            <v>2.17</v>
          </cell>
        </row>
        <row r="391">
          <cell r="B391" t="str">
            <v>15200</v>
          </cell>
          <cell r="C391" t="str">
            <v>CABO DE AÇO D=4,76 MM</v>
          </cell>
          <cell r="D391" t="str">
            <v>M</v>
          </cell>
          <cell r="E391">
            <v>2.5</v>
          </cell>
        </row>
        <row r="392">
          <cell r="B392" t="str">
            <v>15210</v>
          </cell>
          <cell r="C392" t="str">
            <v>OLEO ESP. P/DESMOLDE DE FORMAS METALICAS</v>
          </cell>
          <cell r="D392" t="str">
            <v>L</v>
          </cell>
          <cell r="E392">
            <v>2</v>
          </cell>
        </row>
        <row r="393">
          <cell r="B393" t="str">
            <v>15300</v>
          </cell>
          <cell r="C393" t="str">
            <v>CUNHAS DE MADEIRA</v>
          </cell>
          <cell r="D393" t="str">
            <v>UN</v>
          </cell>
          <cell r="E393">
            <v>0.1</v>
          </cell>
        </row>
        <row r="394">
          <cell r="B394" t="str">
            <v>15310</v>
          </cell>
          <cell r="C394" t="str">
            <v>SARGENTOS</v>
          </cell>
          <cell r="D394" t="str">
            <v>UN</v>
          </cell>
          <cell r="E394">
            <v>20</v>
          </cell>
        </row>
        <row r="395">
          <cell r="B395" t="str">
            <v>15320</v>
          </cell>
          <cell r="C395" t="str">
            <v>TABUAS DE PINHO COM 30CM DE LARGURA</v>
          </cell>
          <cell r="D395" t="str">
            <v>M</v>
          </cell>
          <cell r="E395">
            <v>2.9</v>
          </cell>
        </row>
        <row r="396">
          <cell r="B396" t="str">
            <v>15330</v>
          </cell>
          <cell r="C396" t="str">
            <v>SARRAFOS DE MADEIRA COM 10CM DE LARGURA</v>
          </cell>
          <cell r="D396" t="str">
            <v>M</v>
          </cell>
          <cell r="E396">
            <v>1.6</v>
          </cell>
        </row>
        <row r="397">
          <cell r="B397" t="str">
            <v>15340</v>
          </cell>
          <cell r="C397" t="str">
            <v>ESTACAS DE MADEIRA</v>
          </cell>
          <cell r="D397" t="str">
            <v>UN</v>
          </cell>
          <cell r="E397">
            <v>0.6</v>
          </cell>
        </row>
        <row r="398">
          <cell r="B398" t="str">
            <v>16001</v>
          </cell>
          <cell r="C398" t="str">
            <v>TUBO DE CONCRETO D=50CM - CA1</v>
          </cell>
          <cell r="D398" t="str">
            <v>UN</v>
          </cell>
          <cell r="E398" t="str">
            <v>26,57</v>
          </cell>
        </row>
        <row r="399">
          <cell r="B399" t="str">
            <v>16002</v>
          </cell>
          <cell r="C399" t="str">
            <v>EMENDAS DE ESTACAS 30X30CM</v>
          </cell>
          <cell r="D399" t="str">
            <v>UN</v>
          </cell>
          <cell r="E399">
            <v>74.400000000000006</v>
          </cell>
        </row>
        <row r="400">
          <cell r="B400" t="str">
            <v>16003</v>
          </cell>
          <cell r="C400" t="str">
            <v>ANEL PARA SOLDA 30X30CM</v>
          </cell>
          <cell r="D400" t="str">
            <v>UN</v>
          </cell>
          <cell r="E400">
            <v>29.9</v>
          </cell>
        </row>
        <row r="401">
          <cell r="B401" t="str">
            <v>16004</v>
          </cell>
          <cell r="C401" t="str">
            <v>EMENDAS DE ESTACAS 26X26CM</v>
          </cell>
          <cell r="D401" t="str">
            <v>UN</v>
          </cell>
          <cell r="E401">
            <v>57.4</v>
          </cell>
        </row>
        <row r="402">
          <cell r="B402" t="str">
            <v>16005</v>
          </cell>
          <cell r="C402" t="str">
            <v>ANEL PARA SOLDA 26X26CM</v>
          </cell>
          <cell r="D402" t="str">
            <v>UN</v>
          </cell>
          <cell r="E402">
            <v>28.6</v>
          </cell>
        </row>
        <row r="403">
          <cell r="B403" t="str">
            <v>16006</v>
          </cell>
          <cell r="C403" t="str">
            <v>ESTACAS CONCR.30X30CM  (FORNECIMENTO)</v>
          </cell>
          <cell r="D403" t="str">
            <v>M</v>
          </cell>
          <cell r="E403">
            <v>43.35</v>
          </cell>
        </row>
        <row r="404">
          <cell r="B404" t="str">
            <v>16007</v>
          </cell>
          <cell r="C404" t="str">
            <v>ESTACAS CONCR.26X26CM (FORNECIMENTO)</v>
          </cell>
          <cell r="D404" t="str">
            <v>M</v>
          </cell>
          <cell r="E404">
            <v>35.049999999999997</v>
          </cell>
        </row>
        <row r="405">
          <cell r="B405" t="str">
            <v>16008</v>
          </cell>
          <cell r="C405" t="str">
            <v>TUBO PVC 75MM</v>
          </cell>
          <cell r="D405" t="str">
            <v>M</v>
          </cell>
          <cell r="E405" t="str">
            <v>3,24</v>
          </cell>
        </row>
        <row r="406">
          <cell r="B406" t="str">
            <v>16012</v>
          </cell>
          <cell r="C406" t="str">
            <v>DISCO DE VIDIA 9' P/ESMERILHADEIRA</v>
          </cell>
          <cell r="D406" t="str">
            <v>UN</v>
          </cell>
          <cell r="E406" t="str">
            <v>4,31</v>
          </cell>
        </row>
        <row r="407">
          <cell r="B407" t="str">
            <v>16024</v>
          </cell>
          <cell r="C407" t="str">
            <v>TELA DE ARAME C/FIO 14 DE 2.5</v>
          </cell>
          <cell r="D407" t="str">
            <v>M2</v>
          </cell>
          <cell r="E407" t="str">
            <v>3,28</v>
          </cell>
        </row>
        <row r="408">
          <cell r="B408" t="str">
            <v>16026</v>
          </cell>
          <cell r="C408" t="str">
            <v>MUDA DE ARVORE SELECIONADA</v>
          </cell>
          <cell r="D408" t="str">
            <v>UN</v>
          </cell>
          <cell r="E408" t="str">
            <v>2,00</v>
          </cell>
        </row>
        <row r="409">
          <cell r="B409" t="str">
            <v>16037</v>
          </cell>
          <cell r="C409" t="str">
            <v>TAMPA F. FUND. P/POCO VISITA D=60cm</v>
          </cell>
          <cell r="D409" t="str">
            <v>UN</v>
          </cell>
          <cell r="E409" t="str">
            <v>110,00</v>
          </cell>
        </row>
        <row r="410">
          <cell r="B410" t="str">
            <v>16038</v>
          </cell>
          <cell r="C410" t="str">
            <v>TRILHO TR 57</v>
          </cell>
          <cell r="D410" t="str">
            <v>KG</v>
          </cell>
          <cell r="E410" t="str">
            <v>0,69</v>
          </cell>
        </row>
        <row r="411">
          <cell r="B411" t="str">
            <v>16052</v>
          </cell>
          <cell r="C411" t="str">
            <v>MUDAS DE LIRIO AMARELO</v>
          </cell>
          <cell r="D411" t="str">
            <v>UN</v>
          </cell>
          <cell r="E411" t="str">
            <v>0,40</v>
          </cell>
        </row>
        <row r="412">
          <cell r="B412" t="str">
            <v>16054</v>
          </cell>
          <cell r="C412" t="str">
            <v>GROUT</v>
          </cell>
          <cell r="D412" t="str">
            <v>KG</v>
          </cell>
          <cell r="E412" t="str">
            <v>0,52</v>
          </cell>
        </row>
        <row r="413">
          <cell r="B413" t="str">
            <v>16057</v>
          </cell>
          <cell r="C413" t="str">
            <v>TUBO ACO GALVANIZADO DN 100mm - E=2mm</v>
          </cell>
          <cell r="D413" t="str">
            <v>M</v>
          </cell>
          <cell r="E413" t="str">
            <v>31,00</v>
          </cell>
        </row>
        <row r="414">
          <cell r="B414" t="str">
            <v>16058</v>
          </cell>
          <cell r="C414" t="str">
            <v>CHAPA DE ACO DE 3/16</v>
          </cell>
          <cell r="D414" t="str">
            <v>KG</v>
          </cell>
          <cell r="E414" t="str">
            <v>1,36</v>
          </cell>
        </row>
        <row r="415">
          <cell r="B415" t="str">
            <v>16059</v>
          </cell>
          <cell r="C415" t="str">
            <v>COLCHAO RENO PVC H=0.23M</v>
          </cell>
          <cell r="D415" t="str">
            <v>M2</v>
          </cell>
          <cell r="E415" t="str">
            <v>29,92</v>
          </cell>
        </row>
        <row r="416">
          <cell r="B416" t="str">
            <v>16060</v>
          </cell>
          <cell r="C416" t="str">
            <v>GABIAO SACO PVC DE 5.0 X 0.65M</v>
          </cell>
          <cell r="D416" t="str">
            <v>PC</v>
          </cell>
          <cell r="E416" t="str">
            <v>117,97</v>
          </cell>
        </row>
        <row r="417">
          <cell r="B417" t="str">
            <v>16061</v>
          </cell>
          <cell r="C417" t="str">
            <v>ESTACAS CONCR.23X23CM (FORNECIMENTO)</v>
          </cell>
          <cell r="D417" t="str">
            <v>M</v>
          </cell>
          <cell r="E417">
            <v>28.75</v>
          </cell>
        </row>
        <row r="418">
          <cell r="B418" t="str">
            <v>16062</v>
          </cell>
          <cell r="C418" t="str">
            <v>EMENDA DE ESTACAS 23X23CM</v>
          </cell>
          <cell r="D418" t="str">
            <v>UN</v>
          </cell>
          <cell r="E418">
            <v>46.05</v>
          </cell>
        </row>
        <row r="419">
          <cell r="B419" t="str">
            <v>16063</v>
          </cell>
          <cell r="C419" t="str">
            <v>ANEL PARA SOLDA 23X23CM</v>
          </cell>
          <cell r="D419" t="str">
            <v>UN</v>
          </cell>
          <cell r="E419">
            <v>27.6</v>
          </cell>
        </row>
        <row r="420">
          <cell r="B420" t="str">
            <v>16065</v>
          </cell>
          <cell r="C420" t="str">
            <v>EMENDA (SUPLEMENTO) ESTACA D=17CM</v>
          </cell>
          <cell r="D420" t="str">
            <v>UN</v>
          </cell>
          <cell r="E420">
            <v>12</v>
          </cell>
        </row>
        <row r="421">
          <cell r="B421" t="str">
            <v>16066</v>
          </cell>
          <cell r="C421" t="str">
            <v>ESTACA CONCRETO PRÉ MOLDADA 17 CM 21/23 TON</v>
          </cell>
          <cell r="D421" t="str">
            <v>M</v>
          </cell>
          <cell r="E421">
            <v>8</v>
          </cell>
        </row>
        <row r="422">
          <cell r="B422" t="str">
            <v>16067</v>
          </cell>
          <cell r="C422" t="str">
            <v>ESTACA CONCRETO PRÉ MOLDADA 23 CM 47/50 TON</v>
          </cell>
          <cell r="D422" t="str">
            <v>M</v>
          </cell>
          <cell r="E422">
            <v>14</v>
          </cell>
        </row>
        <row r="423">
          <cell r="B423" t="str">
            <v>16068</v>
          </cell>
          <cell r="C423" t="str">
            <v>ESTACA CONCRETO PRÉ MOLDADA 26 CM 64 TON</v>
          </cell>
          <cell r="D423" t="str">
            <v>M</v>
          </cell>
          <cell r="E423">
            <v>19</v>
          </cell>
        </row>
        <row r="424">
          <cell r="B424" t="str">
            <v>16069</v>
          </cell>
          <cell r="C424" t="str">
            <v>ESTACA CONCRETO PRÉ MOLDADA 33 CM 82 TON</v>
          </cell>
          <cell r="D424" t="str">
            <v>M</v>
          </cell>
          <cell r="E424">
            <v>36</v>
          </cell>
        </row>
        <row r="425">
          <cell r="B425" t="str">
            <v>16070</v>
          </cell>
          <cell r="C425" t="str">
            <v>ESTACA CONCRETO PRÉ MOLDADA 38 CM 100 TON</v>
          </cell>
          <cell r="D425" t="str">
            <v>M</v>
          </cell>
          <cell r="E425">
            <v>45</v>
          </cell>
        </row>
        <row r="426">
          <cell r="B426" t="str">
            <v>16072</v>
          </cell>
          <cell r="C426" t="str">
            <v>TUBO ACO GALVANIZADO DN 50mm - E=2mm</v>
          </cell>
          <cell r="D426" t="str">
            <v>M</v>
          </cell>
          <cell r="E426" t="str">
            <v>12,45</v>
          </cell>
        </row>
        <row r="427">
          <cell r="B427" t="str">
            <v>16120</v>
          </cell>
          <cell r="C427" t="str">
            <v>ESTACAS CONCR.35X35CM (FORNECIMENTO)</v>
          </cell>
          <cell r="D427" t="str">
            <v>M</v>
          </cell>
          <cell r="E427">
            <v>59</v>
          </cell>
        </row>
        <row r="428">
          <cell r="B428" t="str">
            <v>16121</v>
          </cell>
          <cell r="C428" t="str">
            <v>EMENDA DE ESTACAS 35X35CM</v>
          </cell>
          <cell r="D428" t="str">
            <v>UN</v>
          </cell>
          <cell r="E428">
            <v>101.27</v>
          </cell>
        </row>
        <row r="429">
          <cell r="B429" t="str">
            <v>16122</v>
          </cell>
          <cell r="C429" t="str">
            <v>ANEL PARA SOLDA 35X35CM</v>
          </cell>
          <cell r="D429" t="str">
            <v>UN</v>
          </cell>
          <cell r="E429">
            <v>40.700000000000003</v>
          </cell>
        </row>
        <row r="430">
          <cell r="B430" t="str">
            <v>16125</v>
          </cell>
          <cell r="C430" t="str">
            <v>MANTA PAPEL KRAFT</v>
          </cell>
          <cell r="D430" t="str">
            <v>M2</v>
          </cell>
          <cell r="E430">
            <v>0.4</v>
          </cell>
        </row>
        <row r="431">
          <cell r="B431" t="str">
            <v>16128</v>
          </cell>
          <cell r="C431" t="str">
            <v>LONA PLASTICA E = 150 MICRA</v>
          </cell>
          <cell r="D431" t="str">
            <v>M2</v>
          </cell>
          <cell r="E431" t="str">
            <v>0,40</v>
          </cell>
        </row>
        <row r="432">
          <cell r="B432" t="str">
            <v>16129</v>
          </cell>
          <cell r="C432" t="str">
            <v>SELA JUNTA DE POLIURETANO</v>
          </cell>
          <cell r="D432" t="str">
            <v>L</v>
          </cell>
          <cell r="E432" t="str">
            <v>47,87</v>
          </cell>
        </row>
        <row r="433">
          <cell r="B433" t="str">
            <v>16130</v>
          </cell>
          <cell r="C433" t="str">
            <v>ISOPOR DE ESPESSURA 10 MM</v>
          </cell>
          <cell r="D433" t="str">
            <v>M2</v>
          </cell>
          <cell r="E433" t="str">
            <v>1,75</v>
          </cell>
        </row>
        <row r="434">
          <cell r="B434" t="str">
            <v>16131</v>
          </cell>
          <cell r="C434" t="str">
            <v>PROJETO DE O.A.E.</v>
          </cell>
          <cell r="D434" t="str">
            <v>R$</v>
          </cell>
          <cell r="E434" t="str">
            <v>1,00</v>
          </cell>
        </row>
        <row r="435">
          <cell r="B435" t="str">
            <v>16148</v>
          </cell>
          <cell r="C435" t="str">
            <v>PORTA DENTE P/FRESADORA 1000C</v>
          </cell>
          <cell r="D435" t="str">
            <v>UN</v>
          </cell>
          <cell r="E435" t="str">
            <v>35,00</v>
          </cell>
        </row>
        <row r="436">
          <cell r="B436" t="str">
            <v>16149</v>
          </cell>
          <cell r="C436" t="str">
            <v>DENTE P/FRESADORA SF 1000C</v>
          </cell>
          <cell r="D436" t="str">
            <v>UN</v>
          </cell>
          <cell r="E436" t="str">
            <v>18,90</v>
          </cell>
        </row>
        <row r="437">
          <cell r="B437" t="str">
            <v>16150</v>
          </cell>
          <cell r="C437" t="str">
            <v>BROCA DE VIDIA D=12MM SDC PLUS</v>
          </cell>
          <cell r="D437" t="str">
            <v>UN</v>
          </cell>
          <cell r="E437" t="str">
            <v>6,20</v>
          </cell>
        </row>
        <row r="438">
          <cell r="B438" t="str">
            <v>16154</v>
          </cell>
          <cell r="C438" t="str">
            <v>MUDA DE ARBUSTOS</v>
          </cell>
          <cell r="D438" t="str">
            <v>UN</v>
          </cell>
          <cell r="E438" t="str">
            <v>2,50</v>
          </cell>
        </row>
        <row r="439">
          <cell r="B439" t="str">
            <v>16163</v>
          </cell>
          <cell r="C439" t="str">
            <v>EMULSAO  C/POLIMEROS</v>
          </cell>
          <cell r="D439" t="str">
            <v>L</v>
          </cell>
          <cell r="E439" t="str">
            <v>0,82</v>
          </cell>
        </row>
        <row r="440">
          <cell r="B440" t="str">
            <v>16255</v>
          </cell>
          <cell r="C440" t="str">
            <v>TUBO ACO ZINC C/COSTURA D=75MM</v>
          </cell>
          <cell r="D440" t="str">
            <v>M</v>
          </cell>
          <cell r="E440" t="str">
            <v>10,28</v>
          </cell>
        </row>
        <row r="441">
          <cell r="B441" t="str">
            <v>16257</v>
          </cell>
          <cell r="C441" t="str">
            <v>TUBO ACO ZINC C/COSTURA D=50MM</v>
          </cell>
          <cell r="D441" t="str">
            <v>M</v>
          </cell>
          <cell r="E441" t="str">
            <v>6,69</v>
          </cell>
        </row>
        <row r="442">
          <cell r="B442" t="str">
            <v>16258</v>
          </cell>
          <cell r="C442" t="str">
            <v>MATERIAL/MO P/ILUMINACAO</v>
          </cell>
          <cell r="D442" t="str">
            <v>VB</v>
          </cell>
          <cell r="E442" t="str">
            <v>1,00</v>
          </cell>
        </row>
        <row r="443">
          <cell r="B443" t="str">
            <v>16259</v>
          </cell>
          <cell r="C443" t="str">
            <v>TELA ARAME GALV. FIO 14 DE 2</v>
          </cell>
          <cell r="D443" t="str">
            <v>M2</v>
          </cell>
          <cell r="E443" t="str">
            <v>4,04</v>
          </cell>
        </row>
        <row r="444">
          <cell r="B444" t="str">
            <v>16260</v>
          </cell>
          <cell r="C444" t="str">
            <v>GRELHA FOFO 70X40 CM</v>
          </cell>
          <cell r="D444" t="str">
            <v>UN</v>
          </cell>
          <cell r="E444" t="str">
            <v>35,00</v>
          </cell>
        </row>
        <row r="445">
          <cell r="B445" t="str">
            <v>16264</v>
          </cell>
          <cell r="C445" t="str">
            <v>TUBO PVC DN=150MM ESGOTO VINIL</v>
          </cell>
          <cell r="D445" t="str">
            <v>M</v>
          </cell>
          <cell r="E445" t="str">
            <v>11,79</v>
          </cell>
        </row>
        <row r="446">
          <cell r="B446" t="str">
            <v>16265</v>
          </cell>
          <cell r="C446" t="str">
            <v>TUBO PVC DN=60MM AGUA C15 JE</v>
          </cell>
          <cell r="D446" t="str">
            <v>M</v>
          </cell>
          <cell r="E446" t="str">
            <v>3,80</v>
          </cell>
        </row>
        <row r="447">
          <cell r="B447" t="str">
            <v>16300</v>
          </cell>
          <cell r="C447" t="str">
            <v>AP. ANCORAGEM ATIVA P/CABO - 04 CABOS</v>
          </cell>
          <cell r="D447" t="str">
            <v>UN</v>
          </cell>
          <cell r="E447">
            <v>111.73</v>
          </cell>
        </row>
        <row r="448">
          <cell r="B448" t="str">
            <v>16310</v>
          </cell>
          <cell r="C448" t="str">
            <v>AP. ANCORAGEM ATIVA P/CABO - 06 CABOS</v>
          </cell>
          <cell r="D448" t="str">
            <v>UN</v>
          </cell>
          <cell r="E448">
            <v>161.62</v>
          </cell>
        </row>
        <row r="449">
          <cell r="B449" t="str">
            <v>16320</v>
          </cell>
          <cell r="C449" t="str">
            <v>AP. ANCORAGEM ATIVA P/CABO - 12 CABOS</v>
          </cell>
          <cell r="D449" t="str">
            <v>UN</v>
          </cell>
          <cell r="E449">
            <v>449.28</v>
          </cell>
        </row>
        <row r="450">
          <cell r="B450" t="str">
            <v>16330</v>
          </cell>
          <cell r="C450" t="str">
            <v>AP. ANCORAGEM ATIVA P/CABO - 19 CABOS</v>
          </cell>
          <cell r="D450" t="str">
            <v>UN</v>
          </cell>
          <cell r="E450">
            <v>851</v>
          </cell>
        </row>
        <row r="451">
          <cell r="B451" t="str">
            <v>16340</v>
          </cell>
          <cell r="C451" t="str">
            <v>AP. ANCORAGEM ATIVA P/CABO - 22 CABOS</v>
          </cell>
          <cell r="D451" t="str">
            <v>UN</v>
          </cell>
          <cell r="E451">
            <v>1063.08</v>
          </cell>
        </row>
        <row r="452">
          <cell r="B452" t="str">
            <v>16350</v>
          </cell>
          <cell r="C452" t="str">
            <v>AP. ANCORAGEM PASSIVA P/CABO - 04 CABOS</v>
          </cell>
          <cell r="D452" t="str">
            <v>UN</v>
          </cell>
          <cell r="E452">
            <v>18.62</v>
          </cell>
        </row>
        <row r="453">
          <cell r="B453" t="str">
            <v>16360</v>
          </cell>
          <cell r="C453" t="str">
            <v>AP. ANCORAGEM PASSIVA P/CABO - 06 CABOS</v>
          </cell>
          <cell r="D453" t="str">
            <v>UN</v>
          </cell>
          <cell r="E453">
            <v>26.94</v>
          </cell>
        </row>
        <row r="454">
          <cell r="B454" t="str">
            <v>16370</v>
          </cell>
          <cell r="C454" t="str">
            <v>AP. ANCORAGEM PASSIVA P/CABO - 12 CABOS</v>
          </cell>
          <cell r="D454" t="str">
            <v>UN</v>
          </cell>
          <cell r="E454">
            <v>74.88</v>
          </cell>
        </row>
        <row r="455">
          <cell r="B455" t="str">
            <v>16380</v>
          </cell>
          <cell r="C455" t="str">
            <v>AP. ANCORAGEM PASSIVA P/CABO - 19 CABOS</v>
          </cell>
          <cell r="D455" t="str">
            <v>UN</v>
          </cell>
          <cell r="E455">
            <v>141.83000000000001</v>
          </cell>
        </row>
        <row r="456">
          <cell r="B456" t="str">
            <v>17500</v>
          </cell>
          <cell r="C456" t="str">
            <v>SEM MATERIAIS</v>
          </cell>
          <cell r="D456" t="str">
            <v xml:space="preserve"> </v>
          </cell>
          <cell r="E456" t="str">
            <v>0,00</v>
          </cell>
        </row>
        <row r="457">
          <cell r="B457" t="str">
            <v>17505</v>
          </cell>
          <cell r="C457" t="str">
            <v>COROA DE WIDIA - A</v>
          </cell>
          <cell r="D457" t="str">
            <v>UN</v>
          </cell>
          <cell r="E457" t="str">
            <v>75,60</v>
          </cell>
        </row>
        <row r="458">
          <cell r="B458" t="str">
            <v>17506</v>
          </cell>
          <cell r="C458" t="str">
            <v>COROA DE WIDIA - B</v>
          </cell>
          <cell r="D458" t="str">
            <v>UN</v>
          </cell>
          <cell r="E458" t="str">
            <v>95,58</v>
          </cell>
        </row>
        <row r="459">
          <cell r="B459" t="str">
            <v>17507</v>
          </cell>
          <cell r="C459" t="str">
            <v>COROA DE WIDIA - N</v>
          </cell>
          <cell r="D459" t="str">
            <v>UN</v>
          </cell>
          <cell r="E459" t="str">
            <v>137,16</v>
          </cell>
        </row>
        <row r="460">
          <cell r="B460" t="str">
            <v>17508</v>
          </cell>
          <cell r="C460" t="str">
            <v>COROA DE WIDIA - H</v>
          </cell>
          <cell r="D460" t="str">
            <v>UN</v>
          </cell>
          <cell r="E460" t="str">
            <v>149,04</v>
          </cell>
        </row>
        <row r="461">
          <cell r="B461" t="str">
            <v>17510</v>
          </cell>
          <cell r="C461" t="str">
            <v>CALIBRADOR DE WIDIA - A</v>
          </cell>
          <cell r="D461" t="str">
            <v>UN</v>
          </cell>
          <cell r="E461" t="str">
            <v>110,00</v>
          </cell>
        </row>
        <row r="462">
          <cell r="B462" t="str">
            <v>17511</v>
          </cell>
          <cell r="C462" t="str">
            <v>CALIBRADOR DE WIDIA - B</v>
          </cell>
          <cell r="D462" t="str">
            <v>UN</v>
          </cell>
          <cell r="E462" t="str">
            <v>132,00</v>
          </cell>
        </row>
        <row r="463">
          <cell r="B463" t="str">
            <v>17512</v>
          </cell>
          <cell r="C463" t="str">
            <v>CALIBRADOR DE WIDIA - N</v>
          </cell>
          <cell r="D463" t="str">
            <v>UN</v>
          </cell>
          <cell r="E463" t="str">
            <v>147,42</v>
          </cell>
        </row>
        <row r="464">
          <cell r="B464" t="str">
            <v>17513</v>
          </cell>
          <cell r="C464" t="str">
            <v>CALIBRADOR DE WIDIA - H</v>
          </cell>
          <cell r="D464" t="str">
            <v>UN</v>
          </cell>
          <cell r="E464" t="str">
            <v>168,97</v>
          </cell>
        </row>
        <row r="465">
          <cell r="B465" t="str">
            <v>17515</v>
          </cell>
          <cell r="C465" t="str">
            <v>SAPATA DE WIDIA - A</v>
          </cell>
          <cell r="D465" t="str">
            <v>UN</v>
          </cell>
          <cell r="E465" t="str">
            <v>77,76</v>
          </cell>
        </row>
        <row r="466">
          <cell r="B466" t="str">
            <v>17516</v>
          </cell>
          <cell r="C466" t="str">
            <v>SAPATA DE WIDIA - B</v>
          </cell>
          <cell r="D466" t="str">
            <v>UN</v>
          </cell>
          <cell r="E466" t="str">
            <v>97,20</v>
          </cell>
        </row>
        <row r="467">
          <cell r="B467" t="str">
            <v>17517</v>
          </cell>
          <cell r="C467" t="str">
            <v>SAPATA DE WIDIA - N</v>
          </cell>
          <cell r="D467" t="str">
            <v>UN</v>
          </cell>
          <cell r="E467" t="str">
            <v>117,72</v>
          </cell>
        </row>
        <row r="468">
          <cell r="B468" t="str">
            <v>17518</v>
          </cell>
          <cell r="C468" t="str">
            <v>SAPATA DE WIDIA - H</v>
          </cell>
          <cell r="D468" t="str">
            <v>UN</v>
          </cell>
          <cell r="E468" t="str">
            <v>156,60</v>
          </cell>
        </row>
        <row r="469">
          <cell r="B469" t="str">
            <v>17520</v>
          </cell>
          <cell r="C469" t="str">
            <v>COROA DIAMANTADA-A - 20/30PPQ</v>
          </cell>
          <cell r="D469" t="str">
            <v>UN</v>
          </cell>
          <cell r="E469" t="str">
            <v>135,00</v>
          </cell>
        </row>
        <row r="470">
          <cell r="B470" t="str">
            <v>17521</v>
          </cell>
          <cell r="C470" t="str">
            <v>COROA DIAMANTADA-A - 40/60PPQ</v>
          </cell>
          <cell r="D470" t="str">
            <v>UN</v>
          </cell>
          <cell r="E470" t="str">
            <v>135,00</v>
          </cell>
        </row>
        <row r="471">
          <cell r="B471" t="str">
            <v>17522</v>
          </cell>
          <cell r="C471" t="str">
            <v>COROA DIAMANTADA-A - 60/80PPQ</v>
          </cell>
          <cell r="D471" t="str">
            <v>UN</v>
          </cell>
          <cell r="E471" t="str">
            <v>132,84</v>
          </cell>
        </row>
        <row r="472">
          <cell r="B472" t="str">
            <v>17525</v>
          </cell>
          <cell r="C472" t="str">
            <v>COROA DIAMANTADA-B - 20/30PPQ</v>
          </cell>
          <cell r="D472" t="str">
            <v>UN</v>
          </cell>
          <cell r="E472" t="str">
            <v>169,56</v>
          </cell>
        </row>
        <row r="473">
          <cell r="B473" t="str">
            <v>17526</v>
          </cell>
          <cell r="C473" t="str">
            <v>COROA DIAMANTADA-B - 40/60PPQ</v>
          </cell>
          <cell r="D473" t="str">
            <v>UN</v>
          </cell>
          <cell r="E473" t="str">
            <v>169,56</v>
          </cell>
        </row>
        <row r="474">
          <cell r="B474" t="str">
            <v>17527</v>
          </cell>
          <cell r="C474" t="str">
            <v>COROA DIAMANTADA-B - 60/80PPQ</v>
          </cell>
          <cell r="D474" t="str">
            <v>UN</v>
          </cell>
          <cell r="E474" t="str">
            <v>166,32</v>
          </cell>
        </row>
        <row r="475">
          <cell r="B475" t="str">
            <v>17530</v>
          </cell>
          <cell r="C475" t="str">
            <v>COROA DIAMANTADA-N - 20/30PPQ</v>
          </cell>
          <cell r="D475" t="str">
            <v>UN</v>
          </cell>
          <cell r="E475" t="str">
            <v>248,40</v>
          </cell>
        </row>
        <row r="476">
          <cell r="B476" t="str">
            <v>17531</v>
          </cell>
          <cell r="C476" t="str">
            <v>COROA DIAMANTADA-N - 40/60PPQ</v>
          </cell>
          <cell r="D476" t="str">
            <v>UN</v>
          </cell>
          <cell r="E476" t="str">
            <v>248,40</v>
          </cell>
        </row>
        <row r="477">
          <cell r="B477" t="str">
            <v>17532</v>
          </cell>
          <cell r="C477" t="str">
            <v>COROA DIAMANTADA-N - 60/80PPQ</v>
          </cell>
          <cell r="D477" t="str">
            <v>UN</v>
          </cell>
          <cell r="E477" t="str">
            <v>220,45</v>
          </cell>
        </row>
        <row r="478">
          <cell r="B478" t="str">
            <v>17535</v>
          </cell>
          <cell r="C478" t="str">
            <v>COROA DIAMANTADA-H - 20/30PPQ</v>
          </cell>
          <cell r="D478" t="str">
            <v>UN</v>
          </cell>
          <cell r="E478" t="str">
            <v>335,92</v>
          </cell>
        </row>
        <row r="479">
          <cell r="B479" t="str">
            <v>17536</v>
          </cell>
          <cell r="C479" t="str">
            <v>COROA DIAMANTADA-H - 40/60PPQ</v>
          </cell>
          <cell r="D479" t="str">
            <v>NU</v>
          </cell>
          <cell r="E479" t="str">
            <v>307,93</v>
          </cell>
        </row>
        <row r="480">
          <cell r="B480" t="str">
            <v>17537</v>
          </cell>
          <cell r="C480" t="str">
            <v>COROA DIAMANTADA-H - 60/80PPQ</v>
          </cell>
          <cell r="D480" t="str">
            <v>UN</v>
          </cell>
          <cell r="E480" t="str">
            <v>272,94</v>
          </cell>
        </row>
        <row r="481">
          <cell r="B481" t="str">
            <v>17539</v>
          </cell>
          <cell r="C481" t="str">
            <v>CALIBRADOR DIAMANTADO - A</v>
          </cell>
          <cell r="D481" t="str">
            <v>UN</v>
          </cell>
          <cell r="E481" t="str">
            <v>118,80</v>
          </cell>
        </row>
        <row r="482">
          <cell r="B482" t="str">
            <v>17540</v>
          </cell>
          <cell r="C482" t="str">
            <v>CALIBRADOR DIAMANTADO - B</v>
          </cell>
          <cell r="D482" t="str">
            <v>UN</v>
          </cell>
          <cell r="E482" t="str">
            <v>144,72</v>
          </cell>
        </row>
        <row r="483">
          <cell r="B483" t="str">
            <v>17545</v>
          </cell>
          <cell r="C483" t="str">
            <v>CALIBRADOR DIAMANTADO - N</v>
          </cell>
          <cell r="D483" t="str">
            <v>UN</v>
          </cell>
          <cell r="E483" t="str">
            <v>207,36</v>
          </cell>
        </row>
        <row r="484">
          <cell r="B484" t="str">
            <v>17550</v>
          </cell>
          <cell r="C484" t="str">
            <v>CALIBRADOR DIAMANTADO - H</v>
          </cell>
          <cell r="D484" t="str">
            <v>UN</v>
          </cell>
          <cell r="E484" t="str">
            <v>255,44</v>
          </cell>
        </row>
        <row r="485">
          <cell r="B485" t="str">
            <v>17553</v>
          </cell>
          <cell r="C485" t="str">
            <v>SAPATA DIAMANTADA - A</v>
          </cell>
          <cell r="D485" t="str">
            <v>UN</v>
          </cell>
          <cell r="E485" t="str">
            <v>122,04</v>
          </cell>
        </row>
        <row r="486">
          <cell r="B486" t="str">
            <v>17555</v>
          </cell>
          <cell r="C486" t="str">
            <v>SAPATA DIAMANTADA - B</v>
          </cell>
          <cell r="D486" t="str">
            <v>UN</v>
          </cell>
          <cell r="E486" t="str">
            <v>169,56</v>
          </cell>
        </row>
        <row r="487">
          <cell r="B487" t="str">
            <v>17560</v>
          </cell>
          <cell r="C487" t="str">
            <v>SAPATA DIAMANTADA - N</v>
          </cell>
          <cell r="D487" t="str">
            <v>UN</v>
          </cell>
          <cell r="E487" t="str">
            <v>235,44</v>
          </cell>
        </row>
        <row r="488">
          <cell r="B488" t="str">
            <v>17562</v>
          </cell>
          <cell r="C488" t="str">
            <v>SAPATA DIAMANTADA - H</v>
          </cell>
          <cell r="D488" t="str">
            <v>UN</v>
          </cell>
          <cell r="E488" t="str">
            <v>306,72</v>
          </cell>
        </row>
        <row r="489">
          <cell r="B489" t="str">
            <v>17565</v>
          </cell>
          <cell r="C489" t="str">
            <v>HASTE C/NIPLE - SONDA ROTATIVA</v>
          </cell>
          <cell r="D489" t="str">
            <v>M</v>
          </cell>
          <cell r="E489" t="str">
            <v>93,09</v>
          </cell>
        </row>
        <row r="490">
          <cell r="B490" t="str">
            <v>17570</v>
          </cell>
          <cell r="C490" t="str">
            <v>REVESTIMENTO - A</v>
          </cell>
          <cell r="D490" t="str">
            <v>M</v>
          </cell>
          <cell r="E490" t="str">
            <v>57,12</v>
          </cell>
        </row>
        <row r="491">
          <cell r="B491" t="str">
            <v>17571</v>
          </cell>
          <cell r="C491" t="str">
            <v>REVESTIMENTO - B</v>
          </cell>
          <cell r="D491" t="str">
            <v>M</v>
          </cell>
          <cell r="E491" t="str">
            <v>68,47</v>
          </cell>
        </row>
        <row r="492">
          <cell r="B492" t="str">
            <v>17572</v>
          </cell>
          <cell r="C492" t="str">
            <v>REVESTIMENTO - N</v>
          </cell>
          <cell r="D492" t="str">
            <v>M</v>
          </cell>
          <cell r="E492" t="str">
            <v>99,08</v>
          </cell>
        </row>
        <row r="493">
          <cell r="B493" t="str">
            <v>17573</v>
          </cell>
          <cell r="C493" t="str">
            <v>REVESTIMENTO - H</v>
          </cell>
          <cell r="D493" t="str">
            <v>M</v>
          </cell>
          <cell r="E493" t="str">
            <v>125,92</v>
          </cell>
        </row>
        <row r="494">
          <cell r="B494" t="str">
            <v>17575</v>
          </cell>
          <cell r="C494" t="str">
            <v>BARRILETE SIMPLES - A</v>
          </cell>
          <cell r="D494" t="str">
            <v>UN</v>
          </cell>
          <cell r="E494" t="str">
            <v>217,50</v>
          </cell>
        </row>
        <row r="495">
          <cell r="B495" t="str">
            <v>17576</v>
          </cell>
          <cell r="C495" t="str">
            <v>BARRILETE SIMPLES - B</v>
          </cell>
          <cell r="D495" t="str">
            <v>UN</v>
          </cell>
          <cell r="E495" t="str">
            <v>240,55</v>
          </cell>
        </row>
        <row r="496">
          <cell r="B496" t="str">
            <v>17577</v>
          </cell>
          <cell r="C496" t="str">
            <v>BARRILETE SIMPLES - N</v>
          </cell>
          <cell r="D496" t="str">
            <v>UN</v>
          </cell>
          <cell r="E496" t="str">
            <v>326,45</v>
          </cell>
        </row>
        <row r="497">
          <cell r="B497" t="str">
            <v>17578</v>
          </cell>
          <cell r="C497" t="str">
            <v>BARRILETE SIMPLES - H</v>
          </cell>
          <cell r="D497" t="str">
            <v>UN</v>
          </cell>
          <cell r="E497" t="str">
            <v>509,10</v>
          </cell>
        </row>
        <row r="498">
          <cell r="B498" t="str">
            <v>17580</v>
          </cell>
          <cell r="C498" t="str">
            <v>BARRILETE DUPLO MOVEL - A</v>
          </cell>
          <cell r="D498" t="str">
            <v>UN</v>
          </cell>
          <cell r="E498" t="str">
            <v>422,60</v>
          </cell>
        </row>
        <row r="499">
          <cell r="B499" t="str">
            <v>17581</v>
          </cell>
          <cell r="C499" t="str">
            <v>BARRILETE DUPLO MOVEL - B</v>
          </cell>
          <cell r="D499" t="str">
            <v>UN</v>
          </cell>
          <cell r="E499" t="str">
            <v>507,28</v>
          </cell>
        </row>
        <row r="500">
          <cell r="B500" t="str">
            <v>17582</v>
          </cell>
          <cell r="C500" t="str">
            <v>BARRILETE DUPLO MOVEL - N</v>
          </cell>
          <cell r="D500" t="str">
            <v>UN</v>
          </cell>
          <cell r="E500" t="str">
            <v>664,90</v>
          </cell>
        </row>
        <row r="501">
          <cell r="B501" t="str">
            <v>17583</v>
          </cell>
          <cell r="C501" t="str">
            <v>BARRILETE DUPLO MOVEL - H</v>
          </cell>
          <cell r="D501" t="str">
            <v>UN</v>
          </cell>
          <cell r="E501" t="str">
            <v>850,12</v>
          </cell>
        </row>
        <row r="502">
          <cell r="B502" t="str">
            <v>17585</v>
          </cell>
          <cell r="C502" t="str">
            <v>HASTE - SONDA PERCUSSAO</v>
          </cell>
          <cell r="D502" t="str">
            <v>M</v>
          </cell>
          <cell r="E502" t="str">
            <v>30,05</v>
          </cell>
        </row>
        <row r="503">
          <cell r="B503" t="str">
            <v>17586</v>
          </cell>
          <cell r="C503" t="str">
            <v>REVEST.-SONDA PERC.-21/2 X 1M</v>
          </cell>
          <cell r="D503" t="str">
            <v>M</v>
          </cell>
          <cell r="E503" t="str">
            <v>66,18</v>
          </cell>
        </row>
        <row r="504">
          <cell r="B504" t="str">
            <v>17600</v>
          </cell>
          <cell r="C504" t="str">
            <v>SACO PLASTICO DE 5 LITROS</v>
          </cell>
          <cell r="D504" t="str">
            <v>UN</v>
          </cell>
          <cell r="E504" t="str">
            <v>0,08</v>
          </cell>
        </row>
        <row r="505">
          <cell r="B505" t="str">
            <v>17601</v>
          </cell>
          <cell r="C505" t="str">
            <v>ETIQUETA DE PAPEL CARTAO</v>
          </cell>
          <cell r="D505" t="str">
            <v>UN</v>
          </cell>
          <cell r="E505" t="str">
            <v>0,01</v>
          </cell>
        </row>
        <row r="506">
          <cell r="B506" t="str">
            <v>17603</v>
          </cell>
          <cell r="C506" t="str">
            <v>TUBO DE PVC - RIGIDO SOLDAVEL (32MM)</v>
          </cell>
          <cell r="D506" t="str">
            <v>M</v>
          </cell>
          <cell r="E506">
            <v>1.19</v>
          </cell>
        </row>
        <row r="507">
          <cell r="B507" t="str">
            <v>17605</v>
          </cell>
          <cell r="C507" t="str">
            <v>TUBO DE PVC - SOLDAVEL (40MM)</v>
          </cell>
          <cell r="D507" t="str">
            <v>M</v>
          </cell>
          <cell r="E507" t="str">
            <v>1,42</v>
          </cell>
        </row>
        <row r="508">
          <cell r="B508" t="str">
            <v>17606</v>
          </cell>
          <cell r="C508" t="str">
            <v>LUVA DE PVC - SOLDAVEL (40MM)</v>
          </cell>
          <cell r="D508" t="str">
            <v>UN</v>
          </cell>
          <cell r="E508" t="str">
            <v>0,80</v>
          </cell>
        </row>
        <row r="509">
          <cell r="B509" t="str">
            <v>17607</v>
          </cell>
          <cell r="C509" t="str">
            <v>MANTA SINTETICA (BIDIM) OP-20</v>
          </cell>
          <cell r="D509" t="str">
            <v>KG</v>
          </cell>
          <cell r="E509" t="str">
            <v>8,27</v>
          </cell>
        </row>
        <row r="510">
          <cell r="B510" t="str">
            <v>17610</v>
          </cell>
          <cell r="C510" t="str">
            <v>MADEIRA LEI APLAINADA (30 X 1)</v>
          </cell>
          <cell r="D510" t="str">
            <v>M2</v>
          </cell>
          <cell r="E510" t="str">
            <v>8,33</v>
          </cell>
        </row>
        <row r="511">
          <cell r="B511" t="str">
            <v>17611</v>
          </cell>
          <cell r="C511" t="str">
            <v>MADEIRA LEI APLAINADA C/5.0CM</v>
          </cell>
          <cell r="D511" t="str">
            <v>M</v>
          </cell>
          <cell r="E511" t="str">
            <v>0,50</v>
          </cell>
        </row>
        <row r="512">
          <cell r="B512" t="str">
            <v>17615</v>
          </cell>
          <cell r="C512" t="str">
            <v>DOBRADICA DE 2" C/4 PARAFUSOS</v>
          </cell>
          <cell r="D512" t="str">
            <v>UN</v>
          </cell>
          <cell r="E512" t="str">
            <v>2,30</v>
          </cell>
        </row>
        <row r="513">
          <cell r="B513" t="str">
            <v>17616</v>
          </cell>
          <cell r="C513" t="str">
            <v>PARAFUSOS</v>
          </cell>
          <cell r="D513" t="str">
            <v>UN</v>
          </cell>
          <cell r="E513" t="str">
            <v>0,16</v>
          </cell>
        </row>
        <row r="514">
          <cell r="B514" t="str">
            <v>17617</v>
          </cell>
          <cell r="C514" t="str">
            <v>PREGO (13 X 15)</v>
          </cell>
          <cell r="D514" t="str">
            <v>KG</v>
          </cell>
          <cell r="E514" t="str">
            <v>1,92</v>
          </cell>
        </row>
        <row r="515">
          <cell r="B515" t="str">
            <v>17618</v>
          </cell>
          <cell r="C515" t="str">
            <v>ALDRAVA P/CAIXA DE SONDAGEM</v>
          </cell>
          <cell r="D515" t="str">
            <v>UN</v>
          </cell>
          <cell r="E515" t="str">
            <v>0,40</v>
          </cell>
        </row>
        <row r="516">
          <cell r="B516" t="str">
            <v>17619</v>
          </cell>
          <cell r="C516" t="str">
            <v>COLA PARA MADEIRA</v>
          </cell>
          <cell r="D516" t="str">
            <v>KG</v>
          </cell>
          <cell r="E516" t="str">
            <v>6,00</v>
          </cell>
        </row>
        <row r="517">
          <cell r="B517" t="str">
            <v>17620</v>
          </cell>
          <cell r="C517" t="str">
            <v>JIMO CUPIM</v>
          </cell>
          <cell r="D517" t="str">
            <v>L</v>
          </cell>
          <cell r="E517" t="str">
            <v>6,00</v>
          </cell>
        </row>
        <row r="518">
          <cell r="B518" t="str">
            <v>17621</v>
          </cell>
          <cell r="C518" t="str">
            <v>TINTA ESMALTE BRANCA</v>
          </cell>
          <cell r="D518" t="str">
            <v>L</v>
          </cell>
          <cell r="E518" t="str">
            <v>8,30</v>
          </cell>
        </row>
        <row r="519">
          <cell r="B519" t="str">
            <v>17625</v>
          </cell>
          <cell r="C519" t="str">
            <v>FOTOGRAFIA CAIXA TESTEMUNHO</v>
          </cell>
          <cell r="D519" t="str">
            <v>UN</v>
          </cell>
          <cell r="E519" t="str">
            <v>4,70</v>
          </cell>
        </row>
        <row r="520">
          <cell r="B520" t="str">
            <v>17626</v>
          </cell>
          <cell r="C520" t="str">
            <v>MARCO DE CONCRETO</v>
          </cell>
          <cell r="D520" t="str">
            <v>UN</v>
          </cell>
          <cell r="E520" t="str">
            <v>4,87</v>
          </cell>
        </row>
        <row r="521">
          <cell r="B521" t="str">
            <v>17700</v>
          </cell>
          <cell r="C521" t="str">
            <v>DIARIA</v>
          </cell>
          <cell r="D521" t="str">
            <v>DI</v>
          </cell>
          <cell r="E521" t="str">
            <v>33,00</v>
          </cell>
        </row>
        <row r="522">
          <cell r="B522" t="str">
            <v>18010</v>
          </cell>
          <cell r="C522" t="str">
            <v>CIMENTO</v>
          </cell>
          <cell r="D522" t="str">
            <v>KG</v>
          </cell>
          <cell r="E522" t="str">
            <v>0,26</v>
          </cell>
        </row>
        <row r="523">
          <cell r="B523" t="str">
            <v>18030</v>
          </cell>
          <cell r="C523" t="str">
            <v>LEIVA</v>
          </cell>
          <cell r="D523" t="str">
            <v>M2</v>
          </cell>
          <cell r="E523" t="str">
            <v>2,50</v>
          </cell>
        </row>
        <row r="524">
          <cell r="B524" t="str">
            <v>18031</v>
          </cell>
          <cell r="C524" t="str">
            <v>CALCÁREO DOLOMÍTICO</v>
          </cell>
          <cell r="D524" t="str">
            <v>KG</v>
          </cell>
          <cell r="E524">
            <v>0.11</v>
          </cell>
        </row>
        <row r="525">
          <cell r="B525" t="str">
            <v>18032</v>
          </cell>
          <cell r="C525" t="str">
            <v>FOSFATO DE ROCHAS</v>
          </cell>
          <cell r="D525" t="str">
            <v>KG</v>
          </cell>
          <cell r="E525">
            <v>0.8</v>
          </cell>
        </row>
        <row r="526">
          <cell r="B526" t="str">
            <v>18040</v>
          </cell>
          <cell r="C526" t="str">
            <v>TUBO D= 20 CM  -  SIMPLES</v>
          </cell>
          <cell r="D526" t="str">
            <v>M</v>
          </cell>
          <cell r="E526" t="str">
            <v>5,70</v>
          </cell>
        </row>
        <row r="527">
          <cell r="B527" t="str">
            <v>18050</v>
          </cell>
          <cell r="C527" t="str">
            <v>TUBO D= 30 CM  -  SIMPLES</v>
          </cell>
          <cell r="D527" t="str">
            <v>M</v>
          </cell>
          <cell r="E527" t="str">
            <v>7,07</v>
          </cell>
        </row>
        <row r="528">
          <cell r="B528" t="str">
            <v>18060</v>
          </cell>
          <cell r="C528" t="str">
            <v>TUBO D= 40 CM  -  SIMPLES</v>
          </cell>
          <cell r="D528" t="str">
            <v>M</v>
          </cell>
          <cell r="E528" t="str">
            <v>12,00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U-LOTE 30"/>
      <sheetName val="Dados"/>
      <sheetName val="CPU-Lote 30-básico"/>
      <sheetName val="Plan2"/>
      <sheetName val="Cpu"/>
      <sheetName val="CHE"/>
      <sheetName val="MObra"/>
      <sheetName val="Crono"/>
      <sheetName val="BDI"/>
      <sheetName val="EncSoc"/>
      <sheetName val="Cadastros"/>
      <sheetName val="QTR"/>
      <sheetName val="Resumo"/>
      <sheetName val="Planilha"/>
      <sheetName val="TABELA"/>
      <sheetName val="Sub-base"/>
      <sheetName val="Regula"/>
      <sheetName val="RESUMO-DVOP"/>
      <sheetName val="Quadro Geral"/>
      <sheetName val="PROJETO"/>
      <sheetName val="PQ"/>
      <sheetName val="Localização"/>
      <sheetName val="Gráfico Linear"/>
      <sheetName val="KM 455,2 AO 506,2 E 518 A 525,2"/>
      <sheetName val="569,2 AO 539,1"/>
      <sheetName val="PATO GERAL"/>
      <sheetName val="QUADRO DE QUANTIDADES"/>
      <sheetName val="CRONOGRAMAFISICOFINANCEIRO"/>
      <sheetName val="Quadro Gerest BR_146"/>
      <sheetName val="Transporte Mat Bet. - NOVO "/>
      <sheetName val="Preços Mat. Betuminoso"/>
      <sheetName val="Mob_ e Desm_MODELO_2"/>
      <sheetName val="Instalação Provisória BR-146"/>
      <sheetName val="PROJETO BR_146 (2)"/>
      <sheetName val="Transp.LocalBasc BR-146"/>
      <sheetName val="T_MATERIAL REMENDOS BR_146"/>
      <sheetName val="TranspComercialBascRod.P BR-146"/>
      <sheetName val="TranspComercBascRod.NãoPaBR-146"/>
      <sheetName val="TranspComercialCarroBR-146"/>
      <sheetName val="TranspLocalCarroceriaBR-146"/>
      <sheetName val="INVENTÁRIOS"/>
      <sheetName val="Recomp_ Correção Defeito BR146"/>
      <sheetName val="_Remoção Manual Barreira BR146"/>
      <sheetName val="recomp manual aterro BR146"/>
      <sheetName val="Defensa Metálica BR146"/>
      <sheetName val="Descida dagua BR146"/>
      <sheetName val="GRAMA EM LEIVAS BR146"/>
      <sheetName val="Escavação Manual BR146"/>
      <sheetName val="Limpeza de Valeta de Corte"/>
      <sheetName val="Concreto e Forma BR146"/>
      <sheetName val="Recomp Camad Granular Pav BR146"/>
      <sheetName val="PONTES 146"/>
      <sheetName val="limpeza_Desobst146"/>
      <sheetName val="QUADRORESUMONÃO"/>
      <sheetName val="assentamento dreno profundo NÃO"/>
    </sheetNames>
    <sheetDataSet>
      <sheetData sheetId="0" refreshError="1"/>
      <sheetData sheetId="1" refreshError="1">
        <row r="1">
          <cell r="B1" t="str">
            <v>035/2004-08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de Entrada 1"/>
      <sheetName val="Dados de Entrada 2"/>
      <sheetName val="Dados de Entrada 3"/>
      <sheetName val="Dados de Entrada 4"/>
      <sheetName val="Capa"/>
      <sheetName val="Página 1"/>
      <sheetName val="Página 2"/>
      <sheetName val="Página 3"/>
      <sheetName val="Página 4"/>
      <sheetName val="Página 5"/>
      <sheetName val="Página 6"/>
      <sheetName val="Página 7"/>
      <sheetName val="Página 8"/>
      <sheetName val="Página 9"/>
      <sheetName val="Página 10"/>
      <sheetName val="Página 11"/>
      <sheetName val="Página 12"/>
      <sheetName val="Página 13"/>
      <sheetName val="Página 14"/>
      <sheetName val="RESULFINAL"/>
      <sheetName val="Página 16"/>
      <sheetName val="DENAGREGRAUDO"/>
      <sheetName val="DENSAGRMIUDO"/>
      <sheetName val="MASESPFINPULV"/>
      <sheetName val="Traço da Mist.+Filler."/>
      <sheetName val="Traço da Mist. Bet."/>
      <sheetName val="E. Areia"/>
      <sheetName val="E. Areia (2)"/>
      <sheetName val="Pes Agr Silos Frio 3.4&quot;"/>
      <sheetName val="Pes Agr Silos Frio Areia méd"/>
      <sheetName val="Pes Agr Silos Frio 3.8&quot;+pó"/>
      <sheetName val="Até Aqui"/>
      <sheetName val="DETDENSCAP20"/>
      <sheetName val="DENSCORPROVA"/>
      <sheetName val="GRAFTEMPVISC1"/>
      <sheetName val="CALIBRAGEM"/>
      <sheetName val="CALIBRAGEM-II"/>
      <sheetName val="CALIBRAGEM1"/>
      <sheetName val="CALIBRAGEM2"/>
      <sheetName val="SILOFR4"/>
      <sheetName val="SILOFR3"/>
      <sheetName val="SILOFR2"/>
      <sheetName val="SILOFR1"/>
      <sheetName val="Dosador"/>
      <sheetName val="BALANÇA"/>
      <sheetName val="Filler"/>
      <sheetName val="Analise SF 4"/>
      <sheetName val="Analise SF 3"/>
      <sheetName val="Analise SF 2"/>
      <sheetName val="Analise SF 1"/>
      <sheetName val="Analise SF Filler"/>
      <sheetName val="Analise SQ 3"/>
      <sheetName val="Analise SQ 2"/>
      <sheetName val="Analise SQ 1"/>
      <sheetName val="DURABILIDADE"/>
      <sheetName val="INDICE FORMA"/>
      <sheetName val="ABRASÃO"/>
      <sheetName val="ADESIVIDADE"/>
      <sheetName val="Teor"/>
      <sheetName val="P A T O 99 B"/>
      <sheetName val="RESUMO_AUT1"/>
      <sheetName val="BSTC 0,60"/>
      <sheetName val="BOCA BSTC 0,60"/>
      <sheetName val="traço cbuq faixa c Carpizza CON"/>
      <sheetName val="Vínculo (2)"/>
      <sheetName val="Resumo Financeiro"/>
      <sheetName val="OAC_NPAV"/>
      <sheetName val="Mat As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3">
          <cell r="A3">
            <v>4.5</v>
          </cell>
          <cell r="B3">
            <v>6.6202348981163466</v>
          </cell>
          <cell r="C3">
            <v>60.964134991383446</v>
          </cell>
          <cell r="D3">
            <v>1025.855</v>
          </cell>
          <cell r="E3">
            <v>8.6999999999999993</v>
          </cell>
          <cell r="F3">
            <v>2.3529999999999998</v>
          </cell>
          <cell r="G3">
            <v>16.963493472502915</v>
          </cell>
        </row>
        <row r="4">
          <cell r="A4">
            <v>5</v>
          </cell>
          <cell r="B4">
            <v>5.5001923970155246</v>
          </cell>
          <cell r="C4">
            <v>67.747806208191548</v>
          </cell>
          <cell r="D4">
            <v>1094.5825</v>
          </cell>
          <cell r="E4">
            <v>9.5749999999999993</v>
          </cell>
          <cell r="F4">
            <v>2.3630000000000004</v>
          </cell>
          <cell r="G4">
            <v>17.047556761540491</v>
          </cell>
        </row>
        <row r="5">
          <cell r="A5">
            <v>5.5</v>
          </cell>
          <cell r="B5">
            <v>4.4232587303692874</v>
          </cell>
          <cell r="C5">
            <v>74.264023326736492</v>
          </cell>
          <cell r="D5">
            <v>879.57749999999999</v>
          </cell>
          <cell r="E5">
            <v>10.725000000000001</v>
          </cell>
          <cell r="F5">
            <v>2.37175</v>
          </cell>
          <cell r="G5">
            <v>17.178598970077541</v>
          </cell>
        </row>
        <row r="6">
          <cell r="A6">
            <v>6</v>
          </cell>
          <cell r="B6">
            <v>4.0007841277410066</v>
          </cell>
          <cell r="C6">
            <v>77.635106010695324</v>
          </cell>
          <cell r="D6">
            <v>567.98</v>
          </cell>
          <cell r="E6">
            <v>13.6</v>
          </cell>
          <cell r="F6">
            <v>2.3642500000000002</v>
          </cell>
          <cell r="G6">
            <v>17.877321384085253</v>
          </cell>
        </row>
        <row r="7">
          <cell r="A7">
            <v>6.5</v>
          </cell>
          <cell r="B7">
            <v>4.0533844045161054</v>
          </cell>
          <cell r="C7">
            <v>78.676681324823704</v>
          </cell>
          <cell r="D7">
            <v>529.86500000000001</v>
          </cell>
          <cell r="E7">
            <v>19.450000000000003</v>
          </cell>
          <cell r="F7">
            <v>2.3452500000000001</v>
          </cell>
          <cell r="G7">
            <v>18.970602326582025</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API-SERVIÇOS"/>
      <sheetName val="SINAPI-INSUMOS"/>
      <sheetName val="SICRO-SERVIÇOS"/>
      <sheetName val="SICRO-SERVIÇOS-DESONERADO"/>
      <sheetName val="SICRO-EQUIP."/>
      <sheetName val="SICRO-MÃO DE OBRA"/>
      <sheetName val="SICRO-MATERIAIS"/>
      <sheetName val="ANEXO 02.2023"/>
      <sheetName val="CPAV001-ADM"/>
      <sheetName val="CPAV002-PLACA DE OBRA"/>
      <sheetName val="CPAV004-IMPRIMAÇÃO"/>
      <sheetName val="CPAV005-TSD-104389"/>
      <sheetName val="CPAV006-PISO TATIL"/>
      <sheetName val="CPAV009- MOB_DESMOB"/>
      <sheetName val="103689-PLACA DE OBRA"/>
      <sheetName val="2003850"/>
      <sheetName val="5213444"/>
      <sheetName val="5213414"/>
      <sheetName val="5212552"/>
      <sheetName val="5213440"/>
      <sheetName val="5213464"/>
      <sheetName val="5213855"/>
      <sheetName val="4805750"/>
      <sheetName val="1107892"/>
      <sheetName val="5213863"/>
      <sheetName val="5213401"/>
      <sheetName val="5213405"/>
      <sheetName val="COMPOSIÇÕES"/>
      <sheetName val="COMPOSIÇÕES-EXEC."/>
      <sheetName val="TRANSPORTE"/>
      <sheetName val="BDI-SERVIÇOS"/>
      <sheetName val="RESUMO-EXEC."/>
      <sheetName val="ORÇAMENTO EXECUÇÃO"/>
      <sheetName val="CRONOGRAMA-EXEC."/>
      <sheetName val="CRONOGRAMA  - MATERIAIS"/>
      <sheetName val="QCI"/>
      <sheetName val="EQUIPAMENTOS"/>
      <sheetName val="ORÇ. ÓLEO DIESEL"/>
      <sheetName val="CPAV005-TSD2"/>
      <sheetName val="CPAV007-PLACA RUA"/>
      <sheetName val="CPAV008-POSTE"/>
      <sheetName val="CPAV012-CANTEIRO DE OBRAS"/>
      <sheetName val="ORÇAMENTO (2)"/>
      <sheetName val="ANP"/>
      <sheetName val="COTAÇÃOBRITA"/>
      <sheetName val="COTAÇÃO PISO TATIL"/>
      <sheetName val="RESUMO MATERIAIS"/>
      <sheetName val="RESUMO MATERIAIS FINAL"/>
      <sheetName val="ORÇ. MATERIAL"/>
      <sheetName val="DMT"/>
      <sheetName val="RUAS"/>
      <sheetName val="TERRAPLENAGEM"/>
      <sheetName val="SUBLEITO-BASE-SUB."/>
      <sheetName val="PAVIMENTO"/>
      <sheetName val="TRANSP. MAT.PAV"/>
      <sheetName val="TRANSP.PASSEIO "/>
      <sheetName val="CALÇADA"/>
      <sheetName val="PISO TATIL SÓ RAMPA"/>
      <sheetName val="SIN. VERTICAL"/>
      <sheetName val="SIN. HORIZONTAL "/>
      <sheetName val="MEIO-FIO E SARJETA"/>
      <sheetName val="DREN. SARJETA"/>
      <sheetName val="DREN. REDE"/>
      <sheetName val="DREN. MEM. CAL."/>
      <sheetName val="TRANSP. DRENAGEM"/>
      <sheetName val="SUB-BASE"/>
      <sheetName val="BASE"/>
      <sheetName val="brita"/>
      <sheetName val="2"/>
    </sheetNames>
    <definedNames>
      <definedName name="a022e"/>
      <definedName name="PassaExtenso_5" refersTo="#REF!"/>
      <definedName name="TotalPorEvent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_ORIGINAL"/>
      <sheetName val="RESUMO_AUT1"/>
      <sheetName val="RELAT610"/>
      <sheetName val="PQ"/>
      <sheetName val="PROJETO BR_146 (2)"/>
      <sheetName val="CARTA PROPOSTA"/>
      <sheetName val="TABELA"/>
      <sheetName val="PLANILHA CONTRATUAL"/>
      <sheetName val="PROJETO"/>
      <sheetName val="Teor"/>
      <sheetName val="lista_comp"/>
      <sheetName val="Serviços"/>
      <sheetName val="Página 16"/>
      <sheetName val="QuQuant"/>
      <sheetName val="Planilha Original"/>
      <sheetName val="DADOS"/>
      <sheetName val="TransComerc_Basc10m³"/>
      <sheetName val="TapaBuraco"/>
      <sheetName val="eq"/>
      <sheetName val="mo"/>
      <sheetName val="Medição"/>
      <sheetName val="Quadro de qntd"/>
      <sheetName val="FIDENS-R$mil"/>
      <sheetName val="8ª MP_BR_459"/>
      <sheetName val="8ª MP_BR-459"/>
      <sheetName val="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SUMO_AUT1"/>
      <sheetName val="PT"/>
      <sheetName val="CANAA"/>
      <sheetName val="PROJETO"/>
      <sheetName val="Orçamento"/>
      <sheetName val="PRO-08"/>
      <sheetName val="RESUMO DE MEDIÇÃO"/>
      <sheetName val="PATO"/>
      <sheetName val="Medição"/>
      <sheetName val="Medição Completa"/>
      <sheetName val="QQuant-Vol1_(2)"/>
      <sheetName val="RECOMPOSIÇÃO MAN"/>
      <sheetName val="MATRIZ"/>
      <sheetName val="CANAA.XLS"/>
      <sheetName val="\G\Users\eduardoiunes\Documents"/>
      <sheetName val="CAPACIDADES"/>
      <sheetName val="PROJETO BR_146 (2)"/>
      <sheetName val="P AUX 01-FERRAGENS"/>
      <sheetName val="P AUX 02-PINTURA"/>
      <sheetName val="BD Equip."/>
      <sheetName val="8ª MP_BR-459"/>
      <sheetName val="8ª MP_BR_459"/>
      <sheetName val="[CANAA.XLS][CANAA.XLS][CANAA.XL"/>
      <sheetName val="[CANAA.XLS][CANAA.XLS]\G\Users\"/>
      <sheetName val="[CANAA.XLS]\G\Users\eduardoiune"/>
      <sheetName val="TPU-MARÇO_2002"/>
      <sheetName val="C"/>
      <sheetName val="PQ"/>
      <sheetName val="CBUQ DRENO LONGIT RECOBRIMENTO"/>
      <sheetName val="DAR-01"/>
      <sheetName val="QUADRO COMPARATIVO"/>
      <sheetName val="MB"/>
      <sheetName val="CORDEF-163"/>
      <sheetName val="QQuant-Vol1_(2)6"/>
      <sheetName val="NumerN_(2)6"/>
      <sheetName val="Dimens_(2)6"/>
      <sheetName val="QuantPav_(2)6"/>
      <sheetName val="QQuant-Vol1_(2)1"/>
      <sheetName val="NumerN_(2)1"/>
      <sheetName val="Dimens_(2)1"/>
      <sheetName val="QuantPav_(2)1"/>
      <sheetName val="NumerN_(2)"/>
      <sheetName val="Dimens_(2)"/>
      <sheetName val="QuantPav_(2)"/>
      <sheetName val="QQuant-Vol1_(2)2"/>
      <sheetName val="NumerN_(2)2"/>
      <sheetName val="Dimens_(2)2"/>
      <sheetName val="QuantPav_(2)2"/>
      <sheetName val="QQuant-Vol1_(2)3"/>
      <sheetName val="NumerN_(2)3"/>
      <sheetName val="Dimens_(2)3"/>
      <sheetName val="QuantPav_(2)3"/>
      <sheetName val="QQuant-Vol1_(2)4"/>
      <sheetName val="NumerN_(2)4"/>
      <sheetName val="Dimens_(2)4"/>
      <sheetName val="QuantPav_(2)4"/>
      <sheetName val="QQuant-Vol1_(2)5"/>
      <sheetName val="NumerN_(2)5"/>
      <sheetName val="Dimens_(2)5"/>
      <sheetName val="QuantPav_(2)5"/>
      <sheetName val="QQuant-Vol1_(2)7"/>
      <sheetName val="NumerN_(2)7"/>
      <sheetName val="Dimens_(2)7"/>
      <sheetName val="QuantPav_(2)7"/>
      <sheetName val="QQuant-Vol1_(2)8"/>
      <sheetName val="NumerN_(2)8"/>
      <sheetName val="Dimens_(2)8"/>
      <sheetName val="QuantPav_(2)8"/>
      <sheetName val="QQuant-Vol1_(2)9"/>
      <sheetName val="NumerN_(2)9"/>
      <sheetName val="Dimens_(2)9"/>
      <sheetName val="QuantPav_(2)9"/>
      <sheetName val="Teor"/>
      <sheetName val="Equipamentos"/>
      <sheetName val="CADASTRO"/>
      <sheetName val="[CANAA.XLS]_G_Users_eduardoiu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TRANSPORTE"/>
      <sheetName val="DRENAGEM"/>
      <sheetName val="quadro 08 - composições"/>
      <sheetName val="dados de entrada concorrência"/>
      <sheetName val="utr 2"/>
    </sheetNames>
    <sheetDataSet>
      <sheetData sheetId="0" refreshError="1"/>
      <sheetData sheetId="1">
        <row r="17">
          <cell r="B17" t="str">
            <v>TERRAPLENAGEM</v>
          </cell>
          <cell r="C17" t="str">
            <v/>
          </cell>
        </row>
        <row r="18">
          <cell r="A18" t="str">
            <v>2 S 01 000 00</v>
          </cell>
          <cell r="B18" t="str">
            <v>Desm. dest. limpeza áreas c/arv. diam. até 0,15 m</v>
          </cell>
          <cell r="C18" t="str">
            <v>m2</v>
          </cell>
          <cell r="D18">
            <v>574000</v>
          </cell>
        </row>
        <row r="19">
          <cell r="A19" t="str">
            <v>2 S 01 100 03</v>
          </cell>
          <cell r="B19" t="str">
            <v>Esc. carga transp. mat 1ª cat DMT 200 a 400m c/m</v>
          </cell>
          <cell r="C19" t="str">
            <v>m3</v>
          </cell>
          <cell r="D19">
            <v>120254.129</v>
          </cell>
        </row>
        <row r="20">
          <cell r="A20" t="str">
            <v>2 S 01 100 06</v>
          </cell>
          <cell r="B20" t="str">
            <v>Esc. carga transp. mat 1ª cat DMT 800 a 1000m c/m</v>
          </cell>
          <cell r="C20" t="str">
            <v>m3</v>
          </cell>
          <cell r="D20">
            <v>240508.258</v>
          </cell>
        </row>
        <row r="21">
          <cell r="A21" t="str">
            <v>2 S 01 100 08</v>
          </cell>
          <cell r="B21" t="str">
            <v>Esc. carga transp. mat 1ª cat DMT 1200 a 1400m c/m</v>
          </cell>
          <cell r="C21" t="str">
            <v>m3</v>
          </cell>
          <cell r="D21">
            <v>90190.596999999994</v>
          </cell>
        </row>
        <row r="22">
          <cell r="A22" t="str">
            <v>2 S 01 100 18</v>
          </cell>
          <cell r="B22" t="str">
            <v>Esc. carga tr. mat 1ª c. DMT 1800 a 2000m c/carreg</v>
          </cell>
          <cell r="C22" t="str">
            <v>m3</v>
          </cell>
          <cell r="D22">
            <v>150317.66</v>
          </cell>
        </row>
        <row r="23">
          <cell r="A23" t="str">
            <v>2 S 01 510 00</v>
          </cell>
          <cell r="B23" t="str">
            <v>Compactação de aterros a 95% proctor normal</v>
          </cell>
          <cell r="C23" t="str">
            <v>m3</v>
          </cell>
          <cell r="D23">
            <v>181715.88</v>
          </cell>
        </row>
        <row r="24">
          <cell r="A24" t="str">
            <v>2 S 01 511 00</v>
          </cell>
          <cell r="B24" t="str">
            <v>Compactação de aterros a 100% proctor normal</v>
          </cell>
          <cell r="C24" t="str">
            <v>m3</v>
          </cell>
          <cell r="D24">
            <v>280800</v>
          </cell>
        </row>
        <row r="25">
          <cell r="B25" t="str">
            <v>PAVIMENTAÇÃO</v>
          </cell>
          <cell r="C25" t="str">
            <v/>
          </cell>
        </row>
        <row r="26">
          <cell r="A26" t="str">
            <v>2 S 02 110 00</v>
          </cell>
          <cell r="B26" t="str">
            <v>Regularização do subleito</v>
          </cell>
          <cell r="C26" t="str">
            <v>m2</v>
          </cell>
          <cell r="D26">
            <v>459270</v>
          </cell>
        </row>
        <row r="27">
          <cell r="A27" t="str">
            <v>2 S 02 200 00</v>
          </cell>
          <cell r="B27" t="str">
            <v>Sub-base solo estabilizado granul. s/ mistura</v>
          </cell>
          <cell r="C27" t="str">
            <v>m3</v>
          </cell>
          <cell r="D27">
            <v>157464</v>
          </cell>
        </row>
        <row r="28">
          <cell r="A28" t="str">
            <v>2 S 02 200 01</v>
          </cell>
          <cell r="B28" t="str">
            <v>Base solo estabilizado granul. s/ mistura</v>
          </cell>
          <cell r="C28" t="str">
            <v>m3</v>
          </cell>
          <cell r="D28">
            <v>88476.3</v>
          </cell>
        </row>
        <row r="29">
          <cell r="A29" t="str">
            <v>2 S 02 300 00</v>
          </cell>
          <cell r="B29" t="str">
            <v>Imprimação</v>
          </cell>
          <cell r="C29" t="str">
            <v>m2</v>
          </cell>
          <cell r="D29">
            <v>364500</v>
          </cell>
        </row>
        <row r="30">
          <cell r="A30" t="str">
            <v>2 S 02 500 01</v>
          </cell>
          <cell r="B30" t="str">
            <v>Tratamento superficial simples c/ emulsão</v>
          </cell>
          <cell r="C30" t="str">
            <v>m2</v>
          </cell>
          <cell r="D30">
            <v>81000</v>
          </cell>
        </row>
        <row r="31">
          <cell r="A31" t="str">
            <v>2 S 02 501 01</v>
          </cell>
          <cell r="B31" t="str">
            <v>Tratamento superficial duplo c/ emulsão</v>
          </cell>
          <cell r="C31" t="str">
            <v>m2</v>
          </cell>
          <cell r="D31">
            <v>283500</v>
          </cell>
        </row>
        <row r="32">
          <cell r="A32" t="str">
            <v>M103</v>
          </cell>
          <cell r="B32" t="str">
            <v>Asfalto diluído CM-30</v>
          </cell>
          <cell r="C32" t="str">
            <v>t</v>
          </cell>
          <cell r="D32">
            <v>438</v>
          </cell>
        </row>
        <row r="33">
          <cell r="A33" t="str">
            <v>M105</v>
          </cell>
          <cell r="B33" t="str">
            <v>Emulsão asfáltica RR-2C</v>
          </cell>
          <cell r="C33" t="str">
            <v>t</v>
          </cell>
          <cell r="D33">
            <v>966</v>
          </cell>
        </row>
        <row r="34">
          <cell r="A34" t="str">
            <v>2 S 09 002 05</v>
          </cell>
          <cell r="B34" t="str">
            <v>Transporte Local em Rodovia Pavimentada (Brita)</v>
          </cell>
          <cell r="C34" t="str">
            <v>tkm</v>
          </cell>
          <cell r="D34">
            <v>1183519.3500000001</v>
          </cell>
        </row>
        <row r="35">
          <cell r="A35" t="str">
            <v>2 S 09 001 05</v>
          </cell>
          <cell r="B35" t="str">
            <v>Transporte Local em Rodovia Não Pavimentada (Brita)</v>
          </cell>
          <cell r="C35" t="str">
            <v>tkm</v>
          </cell>
          <cell r="D35">
            <v>191183.89499999999</v>
          </cell>
        </row>
        <row r="36">
          <cell r="A36" t="str">
            <v>2 S 09 001 05</v>
          </cell>
          <cell r="B36" t="str">
            <v>Transporte Local em Rodovia Não Pavimentada (Base)</v>
          </cell>
          <cell r="C36" t="str">
            <v>tkm</v>
          </cell>
          <cell r="D36">
            <v>131908.864</v>
          </cell>
        </row>
        <row r="37">
          <cell r="A37" t="str">
            <v>2 S 09 001 05</v>
          </cell>
          <cell r="B37" t="str">
            <v>Transporte Local em Rodovia Não Pavimentada (Sub-Base)</v>
          </cell>
          <cell r="C37" t="str">
            <v>tkm</v>
          </cell>
          <cell r="D37">
            <v>82005.900160000005</v>
          </cell>
        </row>
        <row r="38">
          <cell r="A38" t="str">
            <v>M103</v>
          </cell>
          <cell r="B38" t="str">
            <v>Transporte de Asfalto Diluído CM-30</v>
          </cell>
          <cell r="C38" t="str">
            <v>t</v>
          </cell>
          <cell r="D38">
            <v>438</v>
          </cell>
        </row>
        <row r="39">
          <cell r="A39" t="str">
            <v>M105</v>
          </cell>
          <cell r="B39" t="str">
            <v>Transporte de Emulsão Asfáltica RR-2C</v>
          </cell>
          <cell r="C39" t="str">
            <v>t</v>
          </cell>
          <cell r="D39">
            <v>966</v>
          </cell>
        </row>
        <row r="40">
          <cell r="B40" t="str">
            <v>TOTAL</v>
          </cell>
        </row>
        <row r="44">
          <cell r="B44" t="str">
            <v>DRENAGEM</v>
          </cell>
          <cell r="C44" t="str">
            <v/>
          </cell>
        </row>
        <row r="45">
          <cell r="A45" t="str">
            <v>2 S 04 100 03</v>
          </cell>
          <cell r="B45" t="str">
            <v>Corpo BSTC D=1,00m</v>
          </cell>
          <cell r="C45" t="str">
            <v>m</v>
          </cell>
          <cell r="D45">
            <v>736</v>
          </cell>
        </row>
        <row r="46">
          <cell r="A46" t="str">
            <v>2 S 04 101 03</v>
          </cell>
          <cell r="B46" t="str">
            <v>Boca BSTC D=1,00m normal</v>
          </cell>
          <cell r="C46" t="str">
            <v>und</v>
          </cell>
          <cell r="D46">
            <v>84</v>
          </cell>
        </row>
        <row r="47">
          <cell r="A47" t="str">
            <v>2 S 04 110 01</v>
          </cell>
          <cell r="B47" t="str">
            <v>Corpo BDTC D=1,00m</v>
          </cell>
          <cell r="C47" t="str">
            <v>m</v>
          </cell>
          <cell r="D47">
            <v>107</v>
          </cell>
        </row>
        <row r="48">
          <cell r="A48" t="str">
            <v>2 S 04 111 01</v>
          </cell>
          <cell r="B48" t="str">
            <v>Boca BDTC D=1,00m normal</v>
          </cell>
          <cell r="C48" t="str">
            <v>und</v>
          </cell>
          <cell r="D48">
            <v>10</v>
          </cell>
        </row>
        <row r="49">
          <cell r="A49" t="str">
            <v>2 S 04 120 01</v>
          </cell>
          <cell r="B49" t="str">
            <v>Corpo BTTC D=1,00m</v>
          </cell>
          <cell r="C49" t="str">
            <v>m</v>
          </cell>
          <cell r="D49">
            <v>165</v>
          </cell>
        </row>
        <row r="50">
          <cell r="A50" t="str">
            <v>2 S 04 121 01</v>
          </cell>
          <cell r="B50" t="str">
            <v>Boca BTTC D=1,00m normal</v>
          </cell>
          <cell r="C50" t="str">
            <v>und</v>
          </cell>
          <cell r="D50">
            <v>16</v>
          </cell>
        </row>
        <row r="51">
          <cell r="A51" t="str">
            <v>2 S 04 220 08</v>
          </cell>
          <cell r="B51" t="str">
            <v>Corpo BTCC 3,00 x 3,00 m alt. 1,00 a 2,50 m</v>
          </cell>
          <cell r="C51" t="str">
            <v>m</v>
          </cell>
          <cell r="D51">
            <v>18</v>
          </cell>
        </row>
        <row r="52">
          <cell r="A52" t="str">
            <v>2 S 04 221 04</v>
          </cell>
          <cell r="B52" t="str">
            <v>Boca BTCC 3,00 x 3,00 m normal</v>
          </cell>
          <cell r="C52" t="str">
            <v>und</v>
          </cell>
          <cell r="D52">
            <v>2</v>
          </cell>
        </row>
        <row r="53">
          <cell r="A53" t="str">
            <v>2 S 04 942 01</v>
          </cell>
          <cell r="B53" t="str">
            <v>Entrada d'água - EDA 01</v>
          </cell>
          <cell r="C53" t="str">
            <v>und</v>
          </cell>
          <cell r="D53">
            <v>30</v>
          </cell>
        </row>
        <row r="54">
          <cell r="A54" t="str">
            <v>2 S 04 942 02</v>
          </cell>
          <cell r="B54" t="str">
            <v>Entrada d'água - EDA 02</v>
          </cell>
          <cell r="C54" t="str">
            <v>und</v>
          </cell>
          <cell r="D54">
            <v>8</v>
          </cell>
        </row>
        <row r="55">
          <cell r="A55" t="str">
            <v>2 S 04 940 01</v>
          </cell>
          <cell r="B55" t="str">
            <v>Descida d'água tipo rap. - calha concr. - DAR 01</v>
          </cell>
          <cell r="C55" t="str">
            <v>m</v>
          </cell>
          <cell r="D55">
            <v>112</v>
          </cell>
        </row>
        <row r="56">
          <cell r="A56" t="str">
            <v>2 S 09 001 05</v>
          </cell>
          <cell r="B56" t="str">
            <v>Transporte local em rod. Não  Pav. (Brita)</v>
          </cell>
          <cell r="C56" t="str">
            <v>tkm</v>
          </cell>
          <cell r="D56">
            <v>27920.860800000002</v>
          </cell>
        </row>
        <row r="57">
          <cell r="A57" t="str">
            <v>2 S 09 001 05</v>
          </cell>
          <cell r="B57" t="str">
            <v>Transporte local em rod. Não  Pav. (Areia)</v>
          </cell>
          <cell r="C57" t="str">
            <v>tkm</v>
          </cell>
          <cell r="D57">
            <v>19522.944</v>
          </cell>
        </row>
        <row r="58">
          <cell r="A58" t="str">
            <v>2 S 09 001 05</v>
          </cell>
          <cell r="B58" t="str">
            <v>Transporte local em rod. Não Pav. (Cimento)</v>
          </cell>
          <cell r="C58" t="str">
            <v>tkm</v>
          </cell>
          <cell r="D58">
            <v>19113.194100000001</v>
          </cell>
        </row>
        <row r="59">
          <cell r="A59" t="str">
            <v>2 S 09 001 05</v>
          </cell>
          <cell r="B59" t="str">
            <v>Transporte local em rod. Não Pav. (Madeira)</v>
          </cell>
          <cell r="C59" t="str">
            <v>tkm</v>
          </cell>
          <cell r="D59">
            <v>639.24419999999998</v>
          </cell>
        </row>
        <row r="60">
          <cell r="A60" t="str">
            <v>2 S 09 002 05</v>
          </cell>
          <cell r="B60" t="str">
            <v>Transporte local em rod.  Pav. (Brita)</v>
          </cell>
          <cell r="C60" t="str">
            <v>tkm</v>
          </cell>
          <cell r="D60">
            <v>118319.77299999997</v>
          </cell>
        </row>
        <row r="61">
          <cell r="B61" t="str">
            <v>OBRAS COMPLEMENTARES</v>
          </cell>
          <cell r="C61" t="str">
            <v/>
          </cell>
        </row>
        <row r="62">
          <cell r="A62" t="str">
            <v>4 S 06 010 01</v>
          </cell>
          <cell r="B62" t="str">
            <v>Defensa semi-maleável simples (forn./ impl.)</v>
          </cell>
          <cell r="C62" t="str">
            <v>m</v>
          </cell>
          <cell r="D62">
            <v>720</v>
          </cell>
        </row>
        <row r="63">
          <cell r="A63" t="str">
            <v>4 S 06 010 02</v>
          </cell>
          <cell r="B63" t="str">
            <v>Ancoragem defensa semi-maleável simples (forn/imp)</v>
          </cell>
          <cell r="C63" t="str">
            <v>m</v>
          </cell>
          <cell r="D63">
            <v>270</v>
          </cell>
        </row>
        <row r="64">
          <cell r="A64" t="str">
            <v>4 S 06 100 21</v>
          </cell>
          <cell r="B64" t="str">
            <v>Pintura faixa - tinta durabilidade - 2 anos</v>
          </cell>
          <cell r="C64" t="str">
            <v>m2</v>
          </cell>
          <cell r="D64">
            <v>1677</v>
          </cell>
        </row>
        <row r="65">
          <cell r="A65" t="str">
            <v>4 S 06 100 22</v>
          </cell>
          <cell r="B65" t="str">
            <v>Pintura setas e zebrado - 2 anos</v>
          </cell>
          <cell r="C65" t="str">
            <v>m2</v>
          </cell>
          <cell r="D65">
            <v>48.5</v>
          </cell>
        </row>
        <row r="66">
          <cell r="A66" t="str">
            <v>4 S 06 200 02</v>
          </cell>
          <cell r="B66" t="str">
            <v>Forn. e implantação placa sinaliz. tot.refletiva</v>
          </cell>
          <cell r="C66" t="str">
            <v>m2</v>
          </cell>
          <cell r="D66">
            <v>113.26</v>
          </cell>
        </row>
        <row r="67">
          <cell r="A67" t="str">
            <v>4 S 06 121 01</v>
          </cell>
          <cell r="B67" t="str">
            <v>Forn. e colocação de tacha reflet. bidirecional</v>
          </cell>
          <cell r="C67" t="str">
            <v>und</v>
          </cell>
          <cell r="D67">
            <v>12185</v>
          </cell>
        </row>
        <row r="68">
          <cell r="B68" t="str">
            <v>PROJETO DE RECUPERAÇÃO AMBIENTAL</v>
          </cell>
        </row>
        <row r="69">
          <cell r="A69" t="str">
            <v>2 S 05 102 00</v>
          </cell>
          <cell r="B69" t="str">
            <v>Hidrossemeadura - Area de Aterro</v>
          </cell>
          <cell r="C69" t="str">
            <v>m2</v>
          </cell>
          <cell r="D69">
            <v>14868</v>
          </cell>
        </row>
        <row r="70">
          <cell r="A70" t="str">
            <v>2 S 01 100 01</v>
          </cell>
          <cell r="B70" t="str">
            <v>Reconformação de Área de Jazida de Base e Sub-Base  (Modelagem)</v>
          </cell>
          <cell r="C70" t="str">
            <v>m3</v>
          </cell>
          <cell r="D70">
            <v>35640</v>
          </cell>
        </row>
        <row r="71">
          <cell r="A71" t="str">
            <v>2 S 05 102 00</v>
          </cell>
          <cell r="B71" t="str">
            <v>Hidrossemeadura - Area  de Jazida de Base e Sub-Base</v>
          </cell>
          <cell r="C71" t="str">
            <v>m2</v>
          </cell>
          <cell r="D71">
            <v>237600</v>
          </cell>
        </row>
        <row r="72">
          <cell r="A72" t="str">
            <v>3 S 01 930 00</v>
          </cell>
          <cell r="B72" t="str">
            <v>Regul. e espalhamento de mat. orgânico-Area de Base e Sub-Base</v>
          </cell>
          <cell r="C72" t="str">
            <v>m2</v>
          </cell>
          <cell r="D72">
            <v>237600</v>
          </cell>
        </row>
        <row r="73">
          <cell r="B73" t="str">
            <v>TOTAL</v>
          </cell>
        </row>
        <row r="75">
          <cell r="B75" t="str">
            <v>Importa o presente orçamento em: (       )</v>
          </cell>
        </row>
      </sheetData>
      <sheetData sheetId="2"/>
      <sheetData sheetId="3" refreshError="1"/>
      <sheetData sheetId="4" refreshError="1"/>
      <sheetData sheetId="5" refreshError="1"/>
      <sheetData sheetId="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LE157"/>
      <sheetName val="Implantação"/>
      <sheetName val="Celas RF"/>
      <sheetName val="ESTUDOS E REFEITÓRIO"/>
      <sheetName val="Apoio RF"/>
      <sheetName val="Oficina e auditório"/>
      <sheetName val="Plan2"/>
      <sheetName val="Plan3"/>
      <sheetName val="RESUMO_AUT1"/>
      <sheetName val="QuQuant"/>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AVANÇO FISICO"/>
      <sheetName val="AVANÇO FISICO 2 (2)"/>
      <sheetName val="AVANÇO FISICO 2"/>
      <sheetName val="BOLETIM"/>
      <sheetName val="CHUVAS"/>
      <sheetName val=" INDFIS"/>
      <sheetName val="RELATÓRIO DE SUPERVISÀO "/>
      <sheetName val="9ª MP_BR-459"/>
      <sheetName val="memobranco"/>
      <sheetName val="JUSTIFICATIVA"/>
      <sheetName val="8ª MP_BR-459"/>
      <sheetName val="8ª MP_BR_459"/>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âncias"/>
      <sheetName val="Quantificação"/>
      <sheetName val="Coord. G BJA"/>
      <sheetName val="Guerreiro - BJA"/>
      <sheetName val="Coord. G RC"/>
      <sheetName val="Guerreiro - RC"/>
      <sheetName val="Macife 1- RC"/>
    </sheetNames>
    <sheetDataSet>
      <sheetData sheetId="0"/>
      <sheetData sheetId="1"/>
      <sheetData sheetId="2"/>
      <sheetData sheetId="3"/>
      <sheetData sheetId="4"/>
      <sheetData sheetId="5"/>
      <sheetData sheetId="6"/>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B PESSOAL"/>
      <sheetName val="ch eqto ADOTADO"/>
      <sheetName val="lote 02"/>
      <sheetName val="lote 04"/>
      <sheetName val="Tab. Rec."/>
      <sheetName val="BD Equip."/>
      <sheetName val="desp"/>
      <sheetName val="PU CONTAS"/>
      <sheetName val="Flux Obra"/>
      <sheetName val="Crono"/>
      <sheetName val="Res ABC"/>
      <sheetName val="ABC-MO"/>
      <sheetName val="ABC-Eq1"/>
      <sheetName val="ABC-Eq2"/>
      <sheetName val="ABC-Mat"/>
      <sheetName val="ABC-Cx"/>
      <sheetName val="ABC-Sub"/>
      <sheetName val="RES EQUIP"/>
      <sheetName val="RES PESSOAL"/>
      <sheetName val="CS"/>
      <sheetName val="RC"/>
      <sheetName val="PU"/>
      <sheetName val="Sup"/>
      <sheetName val="Adm"/>
      <sheetName val="Cant"/>
      <sheetName val="SG"/>
      <sheetName val="T-ST-L"/>
      <sheetName val="Sinal"/>
      <sheetName val="INV"/>
      <sheetName val="Man"/>
      <sheetName val="Mob-Des"/>
      <sheetName val="x1"/>
      <sheetName val="x4"/>
      <sheetName val="x2"/>
      <sheetName val="x3"/>
      <sheetName val="x7"/>
      <sheetName val="x5"/>
      <sheetName val="x10"/>
      <sheetName val="x11"/>
      <sheetName val="x12"/>
      <sheetName val="x23"/>
      <sheetName val="x24"/>
      <sheetName val="x25"/>
      <sheetName val="x15"/>
      <sheetName val="x27"/>
      <sheetName val="x17"/>
      <sheetName val="x20"/>
      <sheetName val="16"/>
      <sheetName val="dren"/>
      <sheetName val="oac"/>
      <sheetName val="18"/>
      <sheetName val="prot amb"/>
      <sheetName val="oc sin"/>
      <sheetName val="Custo da Areia"/>
      <sheetName val="9"/>
      <sheetName val="IN"/>
      <sheetName val="bt"/>
      <sheetName val="6"/>
      <sheetName val="21 (2)"/>
      <sheetName val="26"/>
      <sheetName val="XX"/>
      <sheetName val="26 (2)"/>
      <sheetName val="16 (2)"/>
      <sheetName val="resumo de medição"/>
      <sheetName val="projeto"/>
    </sheetNames>
    <sheetDataSet>
      <sheetData sheetId="0" refreshError="1"/>
      <sheetData sheetId="1" refreshError="1"/>
      <sheetData sheetId="2" refreshError="1"/>
      <sheetData sheetId="3" refreshError="1"/>
      <sheetData sheetId="4"/>
      <sheetData sheetId="5">
        <row r="1">
          <cell r="A1" t="str">
            <v>BANCO DE DADOS</v>
          </cell>
        </row>
        <row r="2">
          <cell r="A2" t="str">
            <v>PARA DETERMINAÇÃO DA QUANTIDADE</v>
          </cell>
        </row>
        <row r="3">
          <cell r="A3" t="str">
            <v xml:space="preserve">DE EQUIPAMENTOS DE ACORDO COM </v>
          </cell>
        </row>
        <row r="4">
          <cell r="A4" t="str">
            <v>HORAS TRABALHADAS E TURNO</v>
          </cell>
        </row>
        <row r="5">
          <cell r="A5" t="str">
            <v>PARA 01 TURNO</v>
          </cell>
        </row>
        <row r="6">
          <cell r="A6" t="str">
            <v>HORAS TRAB.</v>
          </cell>
          <cell r="B6" t="str">
            <v>N° EQUIP.</v>
          </cell>
        </row>
        <row r="7">
          <cell r="A7">
            <v>0</v>
          </cell>
          <cell r="B7">
            <v>0</v>
          </cell>
        </row>
        <row r="8">
          <cell r="A8">
            <v>10</v>
          </cell>
          <cell r="B8">
            <v>1</v>
          </cell>
        </row>
        <row r="9">
          <cell r="A9">
            <v>100</v>
          </cell>
          <cell r="B9">
            <v>1</v>
          </cell>
        </row>
        <row r="10">
          <cell r="A10">
            <v>200</v>
          </cell>
          <cell r="B10">
            <v>1</v>
          </cell>
        </row>
        <row r="11">
          <cell r="A11">
            <v>220</v>
          </cell>
          <cell r="B11">
            <v>1</v>
          </cell>
        </row>
        <row r="12">
          <cell r="A12">
            <v>225</v>
          </cell>
          <cell r="B12">
            <v>2</v>
          </cell>
        </row>
        <row r="13">
          <cell r="A13">
            <v>300</v>
          </cell>
          <cell r="B13">
            <v>2</v>
          </cell>
        </row>
        <row r="14">
          <cell r="A14">
            <v>400</v>
          </cell>
          <cell r="B14">
            <v>2</v>
          </cell>
        </row>
        <row r="15">
          <cell r="A15">
            <v>440</v>
          </cell>
          <cell r="B15">
            <v>2</v>
          </cell>
        </row>
        <row r="16">
          <cell r="A16">
            <v>450</v>
          </cell>
          <cell r="B16">
            <v>3</v>
          </cell>
        </row>
        <row r="17">
          <cell r="A17">
            <v>460</v>
          </cell>
          <cell r="B17">
            <v>3</v>
          </cell>
        </row>
        <row r="18">
          <cell r="A18">
            <v>470</v>
          </cell>
          <cell r="B18">
            <v>3</v>
          </cell>
        </row>
        <row r="19">
          <cell r="A19">
            <v>480</v>
          </cell>
          <cell r="B19">
            <v>3</v>
          </cell>
        </row>
        <row r="20">
          <cell r="A20">
            <v>490</v>
          </cell>
          <cell r="B20">
            <v>3</v>
          </cell>
        </row>
        <row r="21">
          <cell r="A21">
            <v>500</v>
          </cell>
          <cell r="B21">
            <v>3</v>
          </cell>
        </row>
        <row r="22">
          <cell r="A22">
            <v>600</v>
          </cell>
          <cell r="B22">
            <v>3</v>
          </cell>
        </row>
        <row r="23">
          <cell r="A23">
            <v>660</v>
          </cell>
          <cell r="B23">
            <v>3</v>
          </cell>
        </row>
        <row r="24">
          <cell r="A24">
            <v>675</v>
          </cell>
          <cell r="B24">
            <v>4</v>
          </cell>
        </row>
        <row r="25">
          <cell r="A25">
            <v>680</v>
          </cell>
          <cell r="B25">
            <v>4</v>
          </cell>
        </row>
        <row r="26">
          <cell r="A26">
            <v>690</v>
          </cell>
          <cell r="B26">
            <v>4</v>
          </cell>
        </row>
        <row r="27">
          <cell r="A27">
            <v>700</v>
          </cell>
          <cell r="B27">
            <v>4</v>
          </cell>
        </row>
        <row r="28">
          <cell r="A28">
            <v>800</v>
          </cell>
          <cell r="B28">
            <v>4</v>
          </cell>
        </row>
        <row r="29">
          <cell r="A29">
            <v>880</v>
          </cell>
          <cell r="B29">
            <v>4</v>
          </cell>
        </row>
        <row r="30">
          <cell r="A30">
            <v>890</v>
          </cell>
          <cell r="B30">
            <v>4</v>
          </cell>
        </row>
        <row r="31">
          <cell r="A31">
            <v>900</v>
          </cell>
          <cell r="B31">
            <v>5</v>
          </cell>
        </row>
        <row r="32">
          <cell r="A32">
            <v>1000</v>
          </cell>
          <cell r="B32">
            <v>5</v>
          </cell>
        </row>
        <row r="33">
          <cell r="A33">
            <v>1100</v>
          </cell>
          <cell r="B33">
            <v>5</v>
          </cell>
        </row>
        <row r="34">
          <cell r="A34">
            <v>1110</v>
          </cell>
          <cell r="B34">
            <v>6</v>
          </cell>
        </row>
        <row r="35">
          <cell r="A35">
            <v>1120</v>
          </cell>
          <cell r="B35">
            <v>6</v>
          </cell>
        </row>
        <row r="36">
          <cell r="A36">
            <v>1130</v>
          </cell>
          <cell r="B36">
            <v>6</v>
          </cell>
        </row>
        <row r="37">
          <cell r="A37">
            <v>1140</v>
          </cell>
          <cell r="B37">
            <v>6</v>
          </cell>
        </row>
        <row r="38">
          <cell r="A38">
            <v>1150</v>
          </cell>
          <cell r="B38">
            <v>6</v>
          </cell>
        </row>
        <row r="39">
          <cell r="A39">
            <v>1160</v>
          </cell>
          <cell r="B39">
            <v>6</v>
          </cell>
        </row>
        <row r="40">
          <cell r="A40">
            <v>1170</v>
          </cell>
          <cell r="B40">
            <v>6</v>
          </cell>
        </row>
        <row r="41">
          <cell r="A41">
            <v>1180</v>
          </cell>
          <cell r="B41">
            <v>6</v>
          </cell>
        </row>
        <row r="42">
          <cell r="A42">
            <v>1190</v>
          </cell>
          <cell r="B42">
            <v>6</v>
          </cell>
        </row>
        <row r="43">
          <cell r="A43">
            <v>1200</v>
          </cell>
          <cell r="B43">
            <v>6</v>
          </cell>
        </row>
        <row r="44">
          <cell r="A44">
            <v>1320</v>
          </cell>
          <cell r="B44">
            <v>6</v>
          </cell>
        </row>
        <row r="45">
          <cell r="A45">
            <v>1400</v>
          </cell>
          <cell r="B45">
            <v>7</v>
          </cell>
        </row>
        <row r="46">
          <cell r="A46">
            <v>1500</v>
          </cell>
          <cell r="B46">
            <v>8</v>
          </cell>
        </row>
        <row r="47">
          <cell r="A47">
            <v>1600</v>
          </cell>
          <cell r="B47">
            <v>8</v>
          </cell>
        </row>
        <row r="48">
          <cell r="A48">
            <v>1700</v>
          </cell>
          <cell r="B48">
            <v>9</v>
          </cell>
        </row>
        <row r="49">
          <cell r="A49">
            <v>1800</v>
          </cell>
          <cell r="B49">
            <v>9</v>
          </cell>
        </row>
        <row r="50">
          <cell r="A50">
            <v>1900</v>
          </cell>
          <cell r="B50">
            <v>10</v>
          </cell>
        </row>
        <row r="51">
          <cell r="A51">
            <v>2000</v>
          </cell>
          <cell r="B51">
            <v>10</v>
          </cell>
        </row>
        <row r="52">
          <cell r="A52">
            <v>2100</v>
          </cell>
          <cell r="B52">
            <v>11</v>
          </cell>
        </row>
        <row r="53">
          <cell r="A53">
            <v>2200</v>
          </cell>
          <cell r="B53">
            <v>11</v>
          </cell>
        </row>
        <row r="54">
          <cell r="A54">
            <v>2300</v>
          </cell>
          <cell r="B54">
            <v>12</v>
          </cell>
        </row>
        <row r="55">
          <cell r="A55">
            <v>2400</v>
          </cell>
          <cell r="B55">
            <v>12</v>
          </cell>
        </row>
        <row r="56">
          <cell r="A56">
            <v>2500</v>
          </cell>
          <cell r="B56">
            <v>13</v>
          </cell>
        </row>
        <row r="57">
          <cell r="A57">
            <v>2600</v>
          </cell>
          <cell r="B57">
            <v>13</v>
          </cell>
        </row>
        <row r="58">
          <cell r="A58">
            <v>2700</v>
          </cell>
          <cell r="B58">
            <v>14</v>
          </cell>
        </row>
        <row r="59">
          <cell r="A59">
            <v>2800</v>
          </cell>
          <cell r="B59">
            <v>14</v>
          </cell>
        </row>
        <row r="60">
          <cell r="A60">
            <v>2900</v>
          </cell>
          <cell r="B60">
            <v>15</v>
          </cell>
        </row>
        <row r="61">
          <cell r="A61">
            <v>3000</v>
          </cell>
          <cell r="B61">
            <v>15</v>
          </cell>
        </row>
        <row r="62">
          <cell r="A62">
            <v>3100</v>
          </cell>
          <cell r="B62">
            <v>16</v>
          </cell>
        </row>
        <row r="63">
          <cell r="A63">
            <v>3200</v>
          </cell>
          <cell r="B63">
            <v>16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Eventograma_e_Quantitativos"/>
      <sheetName val="Detalhamento"/>
      <sheetName val="Cronograma"/>
      <sheetName val="PLE"/>
      <sheetName val="Resumo_de_Acompanhamento"/>
      <sheetName val="CronoPrev"/>
    </sheetNames>
    <sheetDataSet>
      <sheetData sheetId="0" refreshError="1"/>
      <sheetData sheetId="1" refreshError="1"/>
      <sheetData sheetId="2"/>
      <sheetData sheetId="3" refreshError="1"/>
      <sheetData sheetId="4">
        <row r="28">
          <cell r="AX28">
            <v>4</v>
          </cell>
        </row>
      </sheetData>
      <sheetData sheetId="5" refreshError="1"/>
      <sheetData sheetId="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 val="QuQuant"/>
      <sheetName val="Tabela Abril 2000"/>
      <sheetName val="TABELA"/>
      <sheetName val="PSCEGERAL"/>
      <sheetName val="Dados"/>
      <sheetName val="Planilha"/>
      <sheetName val="Page 1"/>
      <sheetName val="CRECHES"/>
      <sheetName val="MOBILIZ-CANTEIRO"/>
      <sheetName val="8ª MP_BR_459"/>
      <sheetName val="PQ"/>
      <sheetName val="PROJETO"/>
      <sheetName val="qorcamentodnerL1"/>
      <sheetName val="Medição"/>
      <sheetName val="INVENTÁRIO"/>
      <sheetName val="DRANPX14"/>
      <sheetName val="Resumo"/>
      <sheetName val="DG"/>
      <sheetName val="RESUMO_AUT1"/>
      <sheetName val="PT"/>
      <sheetName val="Mão de Obra"/>
      <sheetName val="Quadro Geral"/>
      <sheetName val="Plan1"/>
      <sheetName val="REAJU"/>
      <sheetName val="alphaville"/>
      <sheetName val="planilha contratual"/>
      <sheetName val="CHE"/>
      <sheetName val="Anexos_PGQ"/>
      <sheetName val="tabela DER julho97"/>
      <sheetName val="Mat Asf"/>
      <sheetName val="Página 16"/>
      <sheetName val="Desmat 0,15"/>
      <sheetName val="RELATÓRIO"/>
      <sheetName val="p a t o 99 b"/>
      <sheetName val="eq"/>
      <sheetName val="mo"/>
      <sheetName val="planilha de quant. e custos a"/>
      <sheetName val="PATO"/>
      <sheetName val="PACAJUS"/>
      <sheetName val="P A T O"/>
      <sheetName val="Pavim-preços"/>
      <sheetName val="Assumptions"/>
      <sheetName val="Recmecater"/>
      <sheetName val="RECREV"/>
      <sheetName val="Taludes"/>
      <sheetName val="Trecho"/>
      <sheetName val="transporte dupl pr151"/>
      <sheetName val="compos1"/>
      <sheetName val="Paramen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s09.009.03"/>
      <sheetName val="2s09.009.05"/>
      <sheetName val="2S02.999.05"/>
      <sheetName val="2S02.999.03"/>
      <sheetName val="2S01.001.01"/>
      <sheetName val="1A00.902.01"/>
      <sheetName val="1A01.603.01"/>
      <sheetName val="CX COL"/>
      <sheetName val="1A00.901.51"/>
      <sheetName val="2S04.950.71"/>
      <sheetName val="2S04.942.52"/>
      <sheetName val="2S04.940.51"/>
      <sheetName val="2S04.940.52"/>
      <sheetName val="2S04.910.55"/>
      <sheetName val="1A01.894.51"/>
      <sheetName val="1A01.415.51"/>
      <sheetName val="1A01.410.51"/>
      <sheetName val="1A01.412.51"/>
      <sheetName val="2S04.910.53"/>
      <sheetName val="2S04.910.51"/>
      <sheetName val="2S04.111.51"/>
      <sheetName val="1A00.903.51"/>
      <sheetName val="2S04.110.71"/>
      <sheetName val="2S04.101.53"/>
      <sheetName val="1A01.765.51"/>
      <sheetName val="1A00.908.51"/>
      <sheetName val="2S04.100.73"/>
      <sheetName val="1A01.603.51"/>
      <sheetName val="2S04.101.52"/>
      <sheetName val="1A00.418.51"/>
      <sheetName val="1A00.717.00"/>
      <sheetName val="1A00.716.00"/>
      <sheetName val="1A01.760.51"/>
      <sheetName val="1A01.604.51"/>
      <sheetName val="1A01.401.01"/>
      <sheetName val="1A00.907.51"/>
      <sheetName val="1A01.512.60"/>
      <sheetName val="2 S 01.100.72"/>
      <sheetName val="1A01.893.01"/>
      <sheetName val="1A01.891.01"/>
      <sheetName val="2S04.400.01"/>
      <sheetName val="1A01.890.01"/>
      <sheetName val="1A01.780.01"/>
      <sheetName val="1A01.120.01"/>
      <sheetName val="1A01.105.01"/>
      <sheetName val="1A01.100.01"/>
      <sheetName val="3S01.930.00"/>
      <sheetName val="2S05.120.01"/>
      <sheetName val="2S01.100.01c"/>
      <sheetName val="2S01.100.01B"/>
      <sheetName val="2S05.102.00"/>
      <sheetName val="2S05.100.00"/>
      <sheetName val="4S06.121.01"/>
      <sheetName val="4S06.121.11"/>
      <sheetName val="4S06.200.01"/>
      <sheetName val="4S06.110.22"/>
      <sheetName val="4S06.100.21"/>
      <sheetName val="2S09.002.05"/>
      <sheetName val="2S02.501.52"/>
      <sheetName val="2S02.500.51"/>
      <sheetName val="2S02.300.00"/>
      <sheetName val="2S09.001.05"/>
      <sheetName val="2S02.200.01"/>
      <sheetName val="2S02.200.00"/>
      <sheetName val="2S02.110.00"/>
      <sheetName val="2S01.511.00"/>
      <sheetName val="2S01.100.10"/>
      <sheetName val="2S01.100.09"/>
      <sheetName val="2S01.100.01"/>
      <sheetName val="2S01.005.00"/>
      <sheetName val="DADOS"/>
      <sheetName val="eq"/>
      <sheetName val="mo"/>
      <sheetName val="mat"/>
      <sheetName val="plan"/>
      <sheetName val="mão de obra_leis e bdi"/>
      <sheetName val="mão de obra,leis e bdi"/>
      <sheetName val="Mat. Bet."/>
      <sheetName val="RESUMO"/>
      <sheetName val="Página 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row r="4">
          <cell r="B4">
            <v>25</v>
          </cell>
        </row>
      </sheetData>
      <sheetData sheetId="71"/>
      <sheetData sheetId="72"/>
      <sheetData sheetId="73" refreshError="1">
        <row r="2">
          <cell r="A2" t="str">
            <v>M105</v>
          </cell>
          <cell r="B2" t="str">
            <v>Emulsão asfática RR-2C</v>
          </cell>
          <cell r="C2">
            <v>0</v>
          </cell>
        </row>
        <row r="3">
          <cell r="A3" t="str">
            <v>M101</v>
          </cell>
          <cell r="B3" t="str">
            <v>Cimento asfáltico CAP-20</v>
          </cell>
          <cell r="C3">
            <v>0</v>
          </cell>
        </row>
        <row r="4">
          <cell r="A4" t="str">
            <v>M103</v>
          </cell>
          <cell r="B4" t="str">
            <v>Asfalto diluído CM-30</v>
          </cell>
          <cell r="C4">
            <v>0</v>
          </cell>
        </row>
        <row r="5">
          <cell r="A5" t="str">
            <v>M202</v>
          </cell>
          <cell r="B5" t="str">
            <v>Cimento pothand CP-32</v>
          </cell>
          <cell r="C5">
            <v>0.26</v>
          </cell>
        </row>
        <row r="6">
          <cell r="A6" t="str">
            <v>M302</v>
          </cell>
          <cell r="B6" t="str">
            <v>Pregos de ferro (18x30)</v>
          </cell>
          <cell r="C6">
            <v>3.99</v>
          </cell>
        </row>
        <row r="7">
          <cell r="A7" t="str">
            <v>M321</v>
          </cell>
          <cell r="B7" t="str">
            <v>Arama farpado n°. 16 galv. simples</v>
          </cell>
          <cell r="C7">
            <v>0.4</v>
          </cell>
        </row>
        <row r="8">
          <cell r="A8" t="str">
            <v>M322</v>
          </cell>
          <cell r="B8" t="str">
            <v>Grampo para cerca galvanizado 1 x 9</v>
          </cell>
          <cell r="C8">
            <v>6.5</v>
          </cell>
        </row>
        <row r="9">
          <cell r="A9" t="str">
            <v>M334</v>
          </cell>
          <cell r="B9" t="str">
            <v>Paraf. Zinc. c/fenda 1 1/2" x 3/16"</v>
          </cell>
          <cell r="C9">
            <v>0.2</v>
          </cell>
        </row>
        <row r="10">
          <cell r="A10" t="str">
            <v>M335</v>
          </cell>
          <cell r="B10" t="str">
            <v>Paraf. Zinc. Francês 4" x 5/16"</v>
          </cell>
          <cell r="C10">
            <v>0.39</v>
          </cell>
        </row>
        <row r="11">
          <cell r="A11" t="str">
            <v>M403</v>
          </cell>
          <cell r="B11" t="str">
            <v>Mourão madeira H=2,15 m D=12 cm</v>
          </cell>
          <cell r="C11">
            <v>12</v>
          </cell>
        </row>
        <row r="12">
          <cell r="A12" t="str">
            <v>M403</v>
          </cell>
          <cell r="B12" t="str">
            <v>Mourão madeira H=2,15 m D=9 cm</v>
          </cell>
          <cell r="C12">
            <v>10</v>
          </cell>
        </row>
        <row r="13">
          <cell r="A13" t="str">
            <v>M406</v>
          </cell>
          <cell r="B13" t="str">
            <v>Caibros de 7,5 cm x 7,5 cm</v>
          </cell>
          <cell r="C13">
            <v>3.1</v>
          </cell>
        </row>
        <row r="14">
          <cell r="A14" t="str">
            <v>M408</v>
          </cell>
          <cell r="B14" t="str">
            <v>Tábua de 5ª 2,5 cm x 30,0 cm</v>
          </cell>
          <cell r="C14">
            <v>4</v>
          </cell>
        </row>
        <row r="15">
          <cell r="A15" t="str">
            <v>M413</v>
          </cell>
          <cell r="B15" t="str">
            <v>Gastalho 10 x 2,5 cm</v>
          </cell>
          <cell r="C15">
            <v>1.9</v>
          </cell>
        </row>
        <row r="16">
          <cell r="A16" t="str">
            <v>M601</v>
          </cell>
          <cell r="B16" t="str">
            <v>Tinta refletiva acrílica p/2 anos</v>
          </cell>
          <cell r="C16">
            <v>12.22</v>
          </cell>
        </row>
        <row r="17">
          <cell r="A17" t="str">
            <v>M602</v>
          </cell>
          <cell r="B17" t="str">
            <v>Adubo NPK (4.14.8)</v>
          </cell>
          <cell r="C17">
            <v>1.8</v>
          </cell>
        </row>
        <row r="18">
          <cell r="A18" t="str">
            <v>M603</v>
          </cell>
          <cell r="B18" t="str">
            <v>Inseticida</v>
          </cell>
          <cell r="C18">
            <v>31</v>
          </cell>
        </row>
        <row r="19">
          <cell r="A19" t="str">
            <v>M611</v>
          </cell>
          <cell r="B19" t="str">
            <v>Redutor tipo 2002 prim. Qualidade</v>
          </cell>
          <cell r="C19">
            <v>6.82</v>
          </cell>
        </row>
        <row r="20">
          <cell r="A20" t="str">
            <v>M615</v>
          </cell>
          <cell r="B20" t="str">
            <v>Microesfera PRE-MIX</v>
          </cell>
          <cell r="C20">
            <v>4.8</v>
          </cell>
        </row>
        <row r="21">
          <cell r="A21" t="str">
            <v>M616</v>
          </cell>
          <cell r="B21" t="str">
            <v>Microesfera DROP-ON</v>
          </cell>
          <cell r="C21">
            <v>4.8</v>
          </cell>
        </row>
        <row r="22">
          <cell r="A22" t="str">
            <v>M618</v>
          </cell>
          <cell r="B22" t="str">
            <v>Massa termoplástica para aspersão</v>
          </cell>
          <cell r="C22">
            <v>6.82</v>
          </cell>
        </row>
        <row r="23">
          <cell r="A23" t="str">
            <v>M619</v>
          </cell>
          <cell r="B23" t="str">
            <v>Cola poliester</v>
          </cell>
          <cell r="C23">
            <v>12</v>
          </cell>
        </row>
        <row r="24">
          <cell r="A24" t="str">
            <v>M621</v>
          </cell>
          <cell r="B24" t="str">
            <v>Desmoldante</v>
          </cell>
          <cell r="C24">
            <v>4.2</v>
          </cell>
        </row>
        <row r="25">
          <cell r="A25" t="str">
            <v>M624</v>
          </cell>
          <cell r="B25" t="str">
            <v>Tinta para pré-marcação</v>
          </cell>
          <cell r="C25">
            <v>11.77</v>
          </cell>
        </row>
        <row r="26">
          <cell r="A26" t="str">
            <v>M710</v>
          </cell>
          <cell r="B26" t="str">
            <v>Pedra-de-mão ou Rochão Comercial</v>
          </cell>
          <cell r="C26">
            <v>24</v>
          </cell>
        </row>
        <row r="27">
          <cell r="A27" t="str">
            <v>M715</v>
          </cell>
          <cell r="B27" t="str">
            <v>Pó calcário dolomítico</v>
          </cell>
          <cell r="C27">
            <v>0.06</v>
          </cell>
        </row>
        <row r="28">
          <cell r="A28" t="str">
            <v>M906</v>
          </cell>
          <cell r="B28" t="str">
            <v>Sementes p/ hidrossemeadura</v>
          </cell>
          <cell r="C28">
            <v>12</v>
          </cell>
        </row>
        <row r="29">
          <cell r="A29" t="str">
            <v>M907</v>
          </cell>
          <cell r="B29" t="str">
            <v>Adulbo Orgânico</v>
          </cell>
          <cell r="C29">
            <v>0.2</v>
          </cell>
        </row>
        <row r="30">
          <cell r="A30" t="str">
            <v>M915</v>
          </cell>
          <cell r="B30" t="str">
            <v>Muda de arbusto - califa; espirradeira ou similar (h=0,50m)</v>
          </cell>
          <cell r="C30">
            <v>7</v>
          </cell>
        </row>
        <row r="31">
          <cell r="A31" t="str">
            <v>M916</v>
          </cell>
          <cell r="B31" t="str">
            <v>Terra preta vegetal</v>
          </cell>
          <cell r="C31">
            <v>35</v>
          </cell>
        </row>
        <row r="32">
          <cell r="A32" t="str">
            <v>M973</v>
          </cell>
          <cell r="B32" t="str">
            <v>Tacha refletiva bidirecional</v>
          </cell>
          <cell r="C32">
            <v>7.87</v>
          </cell>
        </row>
        <row r="33">
          <cell r="A33" t="str">
            <v>M980</v>
          </cell>
          <cell r="B33" t="str">
            <v>Indenização de jazida</v>
          </cell>
          <cell r="C33">
            <v>1.1000000000000001</v>
          </cell>
        </row>
      </sheetData>
      <sheetData sheetId="74"/>
      <sheetData sheetId="75" refreshError="1"/>
      <sheetData sheetId="76" refreshError="1"/>
      <sheetData sheetId="77" refreshError="1"/>
      <sheetData sheetId="78" refreshError="1"/>
      <sheetData sheetId="7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s09.009.03"/>
      <sheetName val="2s09.009.05"/>
      <sheetName val="2S02.999.05"/>
      <sheetName val="2S02.999.03"/>
      <sheetName val="2S01.001.01"/>
      <sheetName val="1A00.902.01"/>
      <sheetName val="1A01.603.01"/>
      <sheetName val="CX COL"/>
      <sheetName val="1A00.901.51"/>
      <sheetName val="2S04.950.71"/>
      <sheetName val="2S04.942.52"/>
      <sheetName val="2S04.940.51"/>
      <sheetName val="2S04.940.52"/>
      <sheetName val="2S04.910.55"/>
      <sheetName val="1A01.894.51"/>
      <sheetName val="1A01.415.51"/>
      <sheetName val="1A01.410.51"/>
      <sheetName val="1A01.412.51"/>
      <sheetName val="2S04.910.53"/>
      <sheetName val="2S04.910.51"/>
      <sheetName val="2S04.111.51"/>
      <sheetName val="1A00.903.51"/>
      <sheetName val="2S04.110.71"/>
      <sheetName val="2S04.101.53"/>
      <sheetName val="1A01.765.51"/>
      <sheetName val="1A00.908.51"/>
      <sheetName val="2S04.100.73"/>
      <sheetName val="1A01.603.51"/>
      <sheetName val="2S04.101.52"/>
      <sheetName val="1A00.418.51"/>
      <sheetName val="1A00.717.00"/>
      <sheetName val="1A00.716.00"/>
      <sheetName val="1A01.760.51"/>
      <sheetName val="1A01.604.51"/>
      <sheetName val="1A01.401.01"/>
      <sheetName val="1A00.907.51"/>
      <sheetName val="1A01.512.60"/>
      <sheetName val="2 S 01.100.72"/>
      <sheetName val="1A01.893.01"/>
      <sheetName val="1A01.891.01"/>
      <sheetName val="2S04.400.01"/>
      <sheetName val="1A01.890.01"/>
      <sheetName val="1A01.780.01"/>
      <sheetName val="1A01.120.01"/>
      <sheetName val="1A01.105.01"/>
      <sheetName val="1A01.100.01"/>
      <sheetName val="3S01.930.00"/>
      <sheetName val="2S05.120.01"/>
      <sheetName val="2S01.100.01c"/>
      <sheetName val="2S01.100.01B"/>
      <sheetName val="2S05.102.00"/>
      <sheetName val="2S05.100.00"/>
      <sheetName val="4S06.121.01"/>
      <sheetName val="4S06.121.11"/>
      <sheetName val="4S06.200.01"/>
      <sheetName val="4S06.110.22"/>
      <sheetName val="4S06.100.21"/>
      <sheetName val="2S09.002.05"/>
      <sheetName val="2S02.501.52"/>
      <sheetName val="2S02.500.51"/>
      <sheetName val="2S02.300.00"/>
      <sheetName val="2S09.001.05"/>
      <sheetName val="2S02.200.01"/>
      <sheetName val="2S02.200.00"/>
      <sheetName val="2S02.110.00"/>
      <sheetName val="2S01.511.00"/>
      <sheetName val="2S01.100.10"/>
      <sheetName val="2S01.100.09"/>
      <sheetName val="2S01.100.01"/>
      <sheetName val="2S01.005.00"/>
      <sheetName val="DADOS"/>
      <sheetName val="eq"/>
      <sheetName val="mo"/>
      <sheetName val="mat"/>
      <sheetName val="plan"/>
      <sheetName val="Teor"/>
      <sheetName val="Equipamentos"/>
      <sheetName val="Medição"/>
      <sheetName val="RESUMO-SINFRA"/>
      <sheetName val="Mat Asf"/>
      <sheetName val="orcID nº1"/>
      <sheetName val="orc ID nº 15"/>
      <sheetName val="orc ID nº17"/>
      <sheetName val="orc ID nº 18"/>
      <sheetName val="orc ID nº19"/>
      <sheetName val="orc ID nº2 "/>
      <sheetName val="orc ID nº3"/>
      <sheetName val="orcID nº4"/>
      <sheetName val="orcID nº5"/>
      <sheetName val="orcID nº6"/>
      <sheetName val="orcID nº7"/>
      <sheetName val="orc ID nº8"/>
      <sheetName val="orc ID nº9"/>
      <sheetName val="orc ID nº12"/>
      <sheetName val="orc ID nº13"/>
      <sheetName val="orc ID nº 14"/>
      <sheetName val="orc ID nº16"/>
      <sheetName val="RESUMO-DVOP_JBS"/>
      <sheetName val="Rel-19ª med."/>
      <sheetName val="RELATÓRIO"/>
      <sheetName val="resumo_au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row r="8">
          <cell r="B8" t="str">
            <v>Mês: Maio/2005</v>
          </cell>
        </row>
      </sheetData>
      <sheetData sheetId="71" refreshError="1">
        <row r="2">
          <cell r="A2" t="str">
            <v>E001</v>
          </cell>
          <cell r="B2" t="str">
            <v>Trator de Esteiras-D41E-6- com lâmina (82 Kw)</v>
          </cell>
          <cell r="C2">
            <v>103.7694</v>
          </cell>
          <cell r="D2">
            <v>10.849399999999999</v>
          </cell>
        </row>
        <row r="3">
          <cell r="A3" t="str">
            <v>E002</v>
          </cell>
          <cell r="B3" t="str">
            <v>Trator de Esteiras D6M - com lâmina (104 kW)</v>
          </cell>
          <cell r="C3">
            <v>150.8794</v>
          </cell>
          <cell r="D3">
            <v>10.849399999999999</v>
          </cell>
        </row>
        <row r="4">
          <cell r="A4" t="str">
            <v>E003</v>
          </cell>
          <cell r="B4" t="str">
            <v>Trator de Esteiras D8R - com lâmina ( 228 kW)</v>
          </cell>
          <cell r="C4">
            <v>282.21390000000002</v>
          </cell>
          <cell r="D4">
            <v>10.849399999999999</v>
          </cell>
        </row>
        <row r="5">
          <cell r="A5" t="str">
            <v>E006</v>
          </cell>
          <cell r="B5" t="str">
            <v>Motoniveladora - 120H - (104 kW)</v>
          </cell>
          <cell r="C5">
            <v>110.3526</v>
          </cell>
          <cell r="D5">
            <v>11.4693</v>
          </cell>
        </row>
        <row r="6">
          <cell r="A6" t="str">
            <v>E007</v>
          </cell>
          <cell r="B6" t="str">
            <v>Trator Agricola - MF 292/4 - (77 kW)</v>
          </cell>
          <cell r="C6">
            <v>52.975200000000001</v>
          </cell>
          <cell r="D6">
            <v>8.3695000000000004</v>
          </cell>
        </row>
        <row r="7">
          <cell r="A7" t="str">
            <v>E010</v>
          </cell>
          <cell r="B7" t="str">
            <v>Carregadeira de Pneus - 950G - 3,1 m³ (135 kw)</v>
          </cell>
          <cell r="C7">
            <v>141.58940000000001</v>
          </cell>
          <cell r="D7">
            <v>10.849399999999999</v>
          </cell>
        </row>
        <row r="8">
          <cell r="A8" t="str">
            <v>E011</v>
          </cell>
          <cell r="B8" t="str">
            <v>Retroescavadeira - MF 86HF (57KW)</v>
          </cell>
          <cell r="C8">
            <v>52.539400000000001</v>
          </cell>
          <cell r="D8">
            <v>10.849399999999999</v>
          </cell>
        </row>
        <row r="9">
          <cell r="A9" t="str">
            <v>E013</v>
          </cell>
          <cell r="B9" t="str">
            <v>Rolo Compactador-CA-25-PP-pé de carneiro autop. 11,25t vibrat (85 kW)</v>
          </cell>
          <cell r="C9">
            <v>81.165000000000006</v>
          </cell>
          <cell r="D9">
            <v>8.3695000000000004</v>
          </cell>
        </row>
        <row r="10">
          <cell r="A10" t="str">
            <v>E016</v>
          </cell>
          <cell r="B10" t="str">
            <v>Carregadeira de Pneus - W-20 - 1,33 m³ (79 kW)</v>
          </cell>
          <cell r="C10">
            <v>80.969399999999993</v>
          </cell>
          <cell r="D10">
            <v>10.849399999999999</v>
          </cell>
        </row>
        <row r="11">
          <cell r="A11" t="str">
            <v>E062</v>
          </cell>
          <cell r="B11" t="str">
            <v>Escavadeira Hidráulica - 330 CL - com esteira - cap. 1,7 m³ (184 kM)</v>
          </cell>
          <cell r="C11">
            <v>254.59630000000001</v>
          </cell>
          <cell r="D11">
            <v>11.4693</v>
          </cell>
        </row>
        <row r="12">
          <cell r="A12" t="str">
            <v>E101</v>
          </cell>
          <cell r="B12" t="str">
            <v>Grade de Discos - GA 24 x 24</v>
          </cell>
          <cell r="C12">
            <v>1.8445</v>
          </cell>
          <cell r="D12">
            <v>0</v>
          </cell>
        </row>
        <row r="13">
          <cell r="A13" t="str">
            <v>E105</v>
          </cell>
          <cell r="B13" t="str">
            <v>Rolo Compactador-SP 8000 de pneus autoprop. 21 t (97kW)</v>
          </cell>
          <cell r="C13">
            <v>78.503500000000003</v>
          </cell>
          <cell r="D13">
            <v>8.3695000000000004</v>
          </cell>
        </row>
        <row r="14">
          <cell r="A14" t="str">
            <v>E107</v>
          </cell>
          <cell r="B14" t="str">
            <v>Vassoura Mecânica : - rebocável</v>
          </cell>
          <cell r="C14">
            <v>3.7631999999999999</v>
          </cell>
          <cell r="D14">
            <v>0</v>
          </cell>
        </row>
        <row r="15">
          <cell r="A15" t="str">
            <v>E108</v>
          </cell>
          <cell r="B15" t="str">
            <v>Distruidor de Agregados : - rebocável</v>
          </cell>
          <cell r="C15">
            <v>3.1970999999999998</v>
          </cell>
          <cell r="D15">
            <v>0</v>
          </cell>
        </row>
        <row r="16">
          <cell r="A16" t="str">
            <v>E110</v>
          </cell>
          <cell r="B16" t="str">
            <v>Tanque de Estocagem de Asfalto : - 20.000 1</v>
          </cell>
          <cell r="C16">
            <v>3.15</v>
          </cell>
          <cell r="D16">
            <v>0</v>
          </cell>
        </row>
        <row r="17">
          <cell r="A17" t="str">
            <v>E111</v>
          </cell>
          <cell r="B17" t="str">
            <v>Equip. Distribuição de Asfalto : - montado em caminhão (150 KW)</v>
          </cell>
          <cell r="C17">
            <v>90.014600000000002</v>
          </cell>
          <cell r="D17">
            <v>9.9193999999999996</v>
          </cell>
        </row>
        <row r="18">
          <cell r="A18" t="str">
            <v>E112</v>
          </cell>
          <cell r="B18" t="str">
            <v>Aquecedor de Fluido Térmico : TH III - (8 kW)</v>
          </cell>
          <cell r="C18">
            <v>14.9025</v>
          </cell>
          <cell r="D18">
            <v>0</v>
          </cell>
        </row>
        <row r="19">
          <cell r="A19" t="str">
            <v>E302</v>
          </cell>
          <cell r="B19" t="str">
            <v>Betoneira: - 320 1 (elétrica) (4 kW)</v>
          </cell>
          <cell r="C19">
            <v>8.6752000000000002</v>
          </cell>
          <cell r="D19">
            <v>8.3695000000000004</v>
          </cell>
        </row>
        <row r="20">
          <cell r="A20" t="str">
            <v>E304</v>
          </cell>
          <cell r="B20" t="str">
            <v>Transporte Manual : - carrinho de mão 80 1</v>
          </cell>
          <cell r="C20">
            <v>0.1421</v>
          </cell>
          <cell r="D20">
            <v>0</v>
          </cell>
        </row>
        <row r="21">
          <cell r="A21" t="str">
            <v>E306</v>
          </cell>
          <cell r="B21" t="str">
            <v>Vibrador de Concreto : VIP45/MT2 - de imersão (2 kW)</v>
          </cell>
          <cell r="C21">
            <v>7.8125</v>
          </cell>
          <cell r="D21">
            <v>7.4396000000000004</v>
          </cell>
        </row>
        <row r="22">
          <cell r="A22" t="str">
            <v>E311</v>
          </cell>
          <cell r="B22" t="str">
            <v>Fábric. Pré-Moldado Concreto : - tubos D=0,8m M / F (2 kW)</v>
          </cell>
          <cell r="C22">
            <v>5.0774999999999997</v>
          </cell>
          <cell r="D22">
            <v>0</v>
          </cell>
        </row>
        <row r="23">
          <cell r="A23" t="str">
            <v>E312</v>
          </cell>
          <cell r="B23" t="str">
            <v>Fábric. Pré-Moldado Concreto : - tubos D=1,00m M / F (2 kW)</v>
          </cell>
          <cell r="C23">
            <v>5.4814999999999996</v>
          </cell>
          <cell r="D23">
            <v>0</v>
          </cell>
        </row>
        <row r="24">
          <cell r="A24" t="str">
            <v>E402</v>
          </cell>
          <cell r="B24" t="str">
            <v>Caminhão Carroceria : - de madeira 15 t (170kW)</v>
          </cell>
          <cell r="C24">
            <v>88.628699999999995</v>
          </cell>
          <cell r="D24">
            <v>9.9193999999999996</v>
          </cell>
        </row>
        <row r="25">
          <cell r="A25" t="str">
            <v>E403</v>
          </cell>
          <cell r="B25" t="str">
            <v>Caminhão Carroceria : - de madeira 15 t (170 kW)</v>
          </cell>
          <cell r="C25">
            <v>88.628699999999995</v>
          </cell>
          <cell r="D25">
            <v>9.9193999999999996</v>
          </cell>
        </row>
        <row r="26">
          <cell r="A26" t="str">
            <v>E404</v>
          </cell>
          <cell r="B26" t="str">
            <v>Caminhão Basculante 2423 K - 10 m³ - 15 t (170 kW)</v>
          </cell>
          <cell r="C26">
            <v>92.033699999999996</v>
          </cell>
          <cell r="D26">
            <v>9.9193999999999996</v>
          </cell>
        </row>
        <row r="27">
          <cell r="A27" t="str">
            <v>E406</v>
          </cell>
          <cell r="B27" t="str">
            <v>Caminhão Tanque : L162/51 - 6.000 1 (150 kW)</v>
          </cell>
          <cell r="C27">
            <v>78.231999999999999</v>
          </cell>
          <cell r="D27">
            <v>9.9193999999999996</v>
          </cell>
        </row>
        <row r="28">
          <cell r="A28" t="str">
            <v>E407</v>
          </cell>
          <cell r="B28" t="str">
            <v>Caminhão Tanque : 2423 K - 10.000 1 (170 kW)</v>
          </cell>
          <cell r="C28">
            <v>89.6374</v>
          </cell>
          <cell r="D28">
            <v>9.9193999999999996</v>
          </cell>
        </row>
        <row r="29">
          <cell r="A29" t="str">
            <v>E408</v>
          </cell>
          <cell r="B29" t="str">
            <v>Caminhão carroceria : 710 / 37 - fixa 4 t (80 kW)</v>
          </cell>
          <cell r="C29">
            <v>45.011400000000002</v>
          </cell>
          <cell r="D29">
            <v>9.9193999999999996</v>
          </cell>
        </row>
        <row r="30">
          <cell r="A30" t="str">
            <v>E409</v>
          </cell>
          <cell r="B30" t="str">
            <v>Caminhão Carroceria : L1620/51 - fixa 9 t (150 kW)</v>
          </cell>
          <cell r="C30">
            <v>77.797700000000006</v>
          </cell>
          <cell r="D30">
            <v>9.9193999999999996</v>
          </cell>
        </row>
        <row r="31">
          <cell r="A31" t="str">
            <v>E416</v>
          </cell>
          <cell r="B31" t="str">
            <v>Veiculo Leve : - pick up (4 x 4) (97 kW)</v>
          </cell>
          <cell r="C31">
            <v>56.171999999999997</v>
          </cell>
          <cell r="D31">
            <v>8.9894999999999996</v>
          </cell>
        </row>
        <row r="32">
          <cell r="A32" t="str">
            <v>E432</v>
          </cell>
          <cell r="B32" t="str">
            <v>Caminhão Basculante: FM 12 6x4 - 20 t (279 kW)</v>
          </cell>
          <cell r="C32">
            <v>150.5478</v>
          </cell>
          <cell r="D32">
            <v>9.9193999999999996</v>
          </cell>
        </row>
        <row r="33">
          <cell r="A33" t="str">
            <v>E434</v>
          </cell>
          <cell r="B33" t="str">
            <v>Caminhão Carroceria : L 1620/51 - c/guindaste 6 t x m (150 kW)</v>
          </cell>
          <cell r="C33">
            <v>85.024199999999993</v>
          </cell>
          <cell r="D33">
            <v>9.9193999999999996</v>
          </cell>
        </row>
        <row r="34">
          <cell r="A34" t="str">
            <v>E508</v>
          </cell>
          <cell r="B34" t="str">
            <v>Grupo Gerador : GEHY-3 - 2,5 / 3,0 KVA (3kW)</v>
          </cell>
          <cell r="C34">
            <v>10.6907</v>
          </cell>
          <cell r="D34">
            <v>8.3695000000000004</v>
          </cell>
        </row>
        <row r="35">
          <cell r="A35" t="str">
            <v>E509</v>
          </cell>
          <cell r="B35" t="str">
            <v>Grupo Gerador : - GEHY - 18 - 16,8 / 18,5 KVA (15 kW)</v>
          </cell>
          <cell r="C35">
            <v>16.018699999999999</v>
          </cell>
          <cell r="D35">
            <v>8.3695000000000004</v>
          </cell>
        </row>
        <row r="36">
          <cell r="A36" t="str">
            <v>E904</v>
          </cell>
          <cell r="B36" t="str">
            <v>Máquina de Bancada : - serra circular de 12"</v>
          </cell>
          <cell r="C36">
            <v>0.15859999999999999</v>
          </cell>
          <cell r="D36">
            <v>0</v>
          </cell>
        </row>
        <row r="37">
          <cell r="A37" t="str">
            <v>E906</v>
          </cell>
          <cell r="B37" t="str">
            <v>Compactador Manual : ES 600 - soquete vibratório (2 kW)</v>
          </cell>
          <cell r="C37">
            <v>13.7362</v>
          </cell>
          <cell r="D37">
            <v>7.4396000000000004</v>
          </cell>
        </row>
        <row r="38">
          <cell r="A38" t="str">
            <v>E908</v>
          </cell>
          <cell r="B38" t="str">
            <v>Máquina para Pintura : - demarcação de faixas autoprop.(44 kW)</v>
          </cell>
          <cell r="C38">
            <v>52.059310000000004</v>
          </cell>
          <cell r="D38">
            <v>11.4693</v>
          </cell>
        </row>
        <row r="39">
          <cell r="A39" t="str">
            <v>E909</v>
          </cell>
          <cell r="B39" t="str">
            <v>Equip. para Hidrossemeadura : - 5.500 1 (125 kW)</v>
          </cell>
          <cell r="C39">
            <v>99.427700000000002</v>
          </cell>
          <cell r="D39">
            <v>9.9193999999999996</v>
          </cell>
        </row>
        <row r="40">
          <cell r="A40" t="str">
            <v>E920</v>
          </cell>
          <cell r="B40" t="str">
            <v>Máquina para Pintura : - de faixa a quente p/ mat. Termop. (22 kW)</v>
          </cell>
          <cell r="C40">
            <v>48.274099999999997</v>
          </cell>
          <cell r="D40">
            <v>11.4693</v>
          </cell>
        </row>
        <row r="41">
          <cell r="A41" t="str">
            <v>E921</v>
          </cell>
          <cell r="B41" t="str">
            <v>Fusor : - 600 1 (10kW)</v>
          </cell>
          <cell r="C41">
            <v>19.627500000000001</v>
          </cell>
          <cell r="D41">
            <v>0</v>
          </cell>
        </row>
        <row r="42">
          <cell r="A42" t="str">
            <v>E922</v>
          </cell>
          <cell r="B42" t="str">
            <v>Martelete : - perfurador/rompedor elétrico 11316 (1 KW)</v>
          </cell>
          <cell r="C42">
            <v>7.9108999999999998</v>
          </cell>
          <cell r="D42">
            <v>7.4396000000000004</v>
          </cell>
        </row>
      </sheetData>
      <sheetData sheetId="72" refreshError="1">
        <row r="2">
          <cell r="A2" t="str">
            <v>T314</v>
          </cell>
          <cell r="B2" t="str">
            <v>Operador de equp. Especial</v>
          </cell>
          <cell r="C2">
            <v>11.4693</v>
          </cell>
        </row>
        <row r="3">
          <cell r="A3" t="str">
            <v>T401</v>
          </cell>
          <cell r="B3" t="str">
            <v>Pré-marcador</v>
          </cell>
          <cell r="C3">
            <v>11.4693</v>
          </cell>
        </row>
        <row r="4">
          <cell r="A4" t="str">
            <v>T501</v>
          </cell>
          <cell r="B4" t="str">
            <v>Encarregado de turma</v>
          </cell>
          <cell r="C4">
            <v>10.2294</v>
          </cell>
        </row>
        <row r="5">
          <cell r="A5" t="str">
            <v>T511</v>
          </cell>
          <cell r="B5" t="str">
            <v>Encarregado De Pavimentação</v>
          </cell>
          <cell r="C5">
            <v>21.698699999999999</v>
          </cell>
        </row>
        <row r="7">
          <cell r="A7" t="str">
            <v>T602</v>
          </cell>
          <cell r="B7" t="str">
            <v>Montador</v>
          </cell>
          <cell r="C7">
            <v>7.4394999999999998</v>
          </cell>
        </row>
        <row r="8">
          <cell r="A8" t="str">
            <v>T603</v>
          </cell>
          <cell r="B8" t="str">
            <v>Carpinteiro</v>
          </cell>
          <cell r="C8">
            <v>7.4394999999999998</v>
          </cell>
        </row>
        <row r="9">
          <cell r="A9" t="str">
            <v>T604</v>
          </cell>
          <cell r="B9" t="str">
            <v>Pedreiro</v>
          </cell>
          <cell r="C9">
            <v>7.4394999999999998</v>
          </cell>
        </row>
        <row r="10">
          <cell r="A10" t="str">
            <v>T701</v>
          </cell>
          <cell r="B10" t="str">
            <v>Servente</v>
          </cell>
          <cell r="C10">
            <v>5.2697000000000003</v>
          </cell>
        </row>
      </sheetData>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DADOS PARA PASTAS"/>
      <sheetName val="materiais"/>
      <sheetName val="composições"/>
      <sheetName val="DIAGRAMA"/>
      <sheetName val="INVEN."/>
      <sheetName val="SERVIÇOS (MATRIZ)"/>
      <sheetName val="SERVIÇOS digitado"/>
      <sheetName val="ORÇAMENTO 01"/>
      <sheetName val="justificativa"/>
      <sheetName val="instalação"/>
      <sheetName val="mobilização"/>
      <sheetName val="Cronograma "/>
      <sheetName val="TLCB5"/>
      <sheetName val="TLMR"/>
      <sheetName val="TLMB"/>
      <sheetName val="TCCB10"/>
      <sheetName val="TCC4"/>
      <sheetName val="TLCB10"/>
      <sheetName val="Dados Edital"/>
      <sheetName val="calc. transporte"/>
      <sheetName val="CROQUI"/>
      <sheetName val="Q.R.DIST.TRANSP."/>
      <sheetName val="D. CUST. M."/>
      <sheetName val="comparativo mat"/>
      <sheetName val="D.CONS.M"/>
      <sheetName val="DIVISÓRIAS"/>
      <sheetName val="MAT BET"/>
      <sheetName val="ORÇAMENTO 01 (2)"/>
      <sheetName val="Plan1"/>
      <sheetName val="IDENTIFICAÇÃO"/>
      <sheetName val="COMP_ROLO"/>
      <sheetName val="REAJU"/>
      <sheetName val="DADOS"/>
      <sheetName val="eq"/>
      <sheetName val="mo"/>
      <sheetName val="Te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D6" t="str">
            <v>Euro Nunes Varanis Jr.</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Página 16"/>
    </sheetNames>
    <sheetDataSet>
      <sheetData sheetId="0"/>
      <sheetData sheetId="1"/>
      <sheetData sheetId="2"/>
      <sheetData sheetId="3"/>
      <sheetData sheetId="4">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 val="Croqui"/>
      <sheetName val="CALCULOS AUXILIARES"/>
      <sheetName val="Pato"/>
      <sheetName val="CANT_OBRAS"/>
      <sheetName val="AQU TERRENO-"/>
      <sheetName val="ESTA ELEVATÓRIA_"/>
      <sheetName val="EMISSÁRIO_"/>
      <sheetName val="ligação predial"/>
      <sheetName val="REDE COLETORA"/>
      <sheetName val="aterro"/>
      <sheetName val="tsd"/>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refreshError="1"/>
      <sheetData sheetId="2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TCB5"/>
      <sheetName val="TEB4"/>
      <sheetName val="TCC4"/>
      <sheetName val="TCB10"/>
      <sheetName val="COMP_ROLO"/>
      <sheetName val="ORÇAMENTO 01"/>
      <sheetName val="CAPA"/>
      <sheetName val="Serviços Rodoviários"/>
      <sheetName val="Teor"/>
      <sheetName val="Equipamentos"/>
      <sheetName val="IDENTIFICAÇÃO"/>
      <sheetName val="Calendário"/>
      <sheetName val="Mão de Obra"/>
      <sheetName val="Mão_de_Obra"/>
      <sheetName val="Mão_de_Obra1"/>
      <sheetName val="REM.MAN MAT.BET.REC(N) "/>
      <sheetName val="ROÇCOL"/>
      <sheetName val="MB"/>
      <sheetName val="RESUMO-DVOP 4ª MED"/>
      <sheetName val="relatório"/>
      <sheetName val="Orçam. AET"/>
      <sheetName val="resumo financeiro"/>
      <sheetName val="ORÇAMENTO"/>
      <sheetName val="CADASTRO"/>
      <sheetName val="medição"/>
      <sheetName val="CUSTO EQUIP"/>
      <sheetName val="Comp P Unit "/>
      <sheetName val="CALCULOS AUXILIARES"/>
      <sheetName val="CUSTO MATERIAL"/>
      <sheetName val="Croqui"/>
      <sheetName val="C MÃO OBRA"/>
      <sheetName val="plan1"/>
      <sheetName val="qtt  betum"/>
    </sheetNames>
    <sheetDataSet>
      <sheetData sheetId="0" refreshError="1">
        <row r="11">
          <cell r="G11">
            <v>300</v>
          </cell>
        </row>
        <row r="12">
          <cell r="G12">
            <v>370</v>
          </cell>
        </row>
        <row r="59">
          <cell r="G59">
            <v>296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 val="7-TSD"/>
      <sheetName val="APONT"/>
      <sheetName val="DMT MEDIÇÃO"/>
      <sheetName val="DADOS"/>
      <sheetName val="mat"/>
      <sheetName val="desm"/>
      <sheetName val="Croqui"/>
      <sheetName val="CALCULOS AUXILIARES"/>
      <sheetName val="Pato"/>
      <sheetName val="DMT modelo"/>
      <sheetName val="Mat Asf"/>
      <sheetName val="planilha-alta"/>
      <sheetName val="resumo-medição"/>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 Dren."/>
      <sheetName val="Transporte "/>
      <sheetName val="Plan1"/>
      <sheetName val="Plan2"/>
      <sheetName val=""/>
      <sheetName val="CUSTO HORÁRIO"/>
      <sheetName val="Mão de obra"/>
      <sheetName val="Material"/>
      <sheetName val="Mat Asf"/>
      <sheetName val="DMT MEDIÇÃO"/>
      <sheetName val="aterro"/>
      <sheetName val="tsd"/>
      <sheetName val="RESUMO_DVOP"/>
      <sheetName val="Cabeçalho"/>
      <sheetName val="61M-CBMI"/>
      <sheetName val="DADOS"/>
      <sheetName val="mat"/>
      <sheetName val="insumos básicos"/>
      <sheetName val="RESUMO-DVOP"/>
      <sheetName val="quadro 04 - planilhas preços"/>
      <sheetName val="Imprimação"/>
      <sheetName val="DMT"/>
      <sheetName val="SUBCONTRATOS"/>
      <sheetName val="RELATÓRIO"/>
      <sheetName val="RESUMO-Medição"/>
      <sheetName val="rel-19ª med."/>
      <sheetName val="1.6"/>
      <sheetName val="mem da 22ª"/>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quadro 09 - equipamentos dner"/>
      <sheetName val="QUADRO 10 - C. H. PESSOAL"/>
      <sheetName val="CUSTO HORÁRIO"/>
      <sheetName val="Mão de obra"/>
      <sheetName val="Material"/>
      <sheetName val="Serviços"/>
      <sheetName val="RESUMO_DVOP"/>
      <sheetName val="DMT MEDIÇÃO"/>
    </sheetNames>
    <sheetDataSet>
      <sheetData sheetId="0" refreshError="1">
        <row r="5">
          <cell r="B5" t="str">
            <v>SEGMENTO: Km 11,00 - Km 197,15</v>
          </cell>
        </row>
      </sheetData>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 val="DMT MEDIÇÃO"/>
      <sheetName val="dados"/>
      <sheetName val="utr 2"/>
      <sheetName val="CUSTO HORÁRIO"/>
      <sheetName val="Mão de obra"/>
      <sheetName val="Material"/>
      <sheetName val="RESUMO_DVOP"/>
      <sheetName val="Desmatamento "/>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QUANTITATIVO"/>
      <sheetName val="Orçamento"/>
      <sheetName val="Transporte"/>
      <sheetName val="DRENAGEM"/>
      <sheetName val="INST MOB"/>
      <sheetName val="DESMAT. DEST. LIMP. AREA"/>
      <sheetName val="REGULARIZAÇÃO DO SUBLEITO"/>
      <sheetName val="BASE"/>
      <sheetName val="SUB-BASE"/>
      <sheetName val="IMPRIMAÇÃO  E CM-30"/>
      <sheetName val="TSS E RR-2C"/>
      <sheetName val="TSD E RR-2C"/>
      <sheetName val="insumos básicos"/>
      <sheetName val="RESUMO-DVOP"/>
      <sheetName val="quadro 04 - planilhas preços"/>
      <sheetName val="diagrama"/>
      <sheetName val="cubação"/>
      <sheetName val="PLE"/>
      <sheetName val="Eventograma_e_Quantitativos"/>
      <sheetName val="rel-19ª med."/>
      <sheetName val="mão de obra,leis e bdi"/>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vmlDrawing" Target="../drawings/vmlDrawing18.vml"/><Relationship Id="rId1" Type="http://schemas.openxmlformats.org/officeDocument/2006/relationships/printerSettings" Target="../printerSettings/printerSettings18.bin"/><Relationship Id="rId4"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8.xml"/><Relationship Id="rId1" Type="http://schemas.openxmlformats.org/officeDocument/2006/relationships/printerSettings" Target="../printerSettings/printerSettings25.bin"/><Relationship Id="rId6" Type="http://schemas.openxmlformats.org/officeDocument/2006/relationships/image" Target="../media/image6.emf"/><Relationship Id="rId5" Type="http://schemas.openxmlformats.org/officeDocument/2006/relationships/oleObject" Target="../embeddings/oleObject1.bin"/><Relationship Id="rId4" Type="http://schemas.openxmlformats.org/officeDocument/2006/relationships/vmlDrawing" Target="../drawings/vmlDrawing27.v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1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11.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D4F90-B3E7-4A48-9B40-B180CBAEF131}">
  <sheetPr codeName="Plan74">
    <tabColor rgb="FF0070C0"/>
    <pageSetUpPr fitToPage="1"/>
  </sheetPr>
  <dimension ref="A1:S18"/>
  <sheetViews>
    <sheetView showGridLines="0" showZeros="0" view="pageLayout" zoomScaleNormal="85" zoomScaleSheetLayoutView="85" workbookViewId="0">
      <selection activeCell="C20" sqref="C20"/>
    </sheetView>
  </sheetViews>
  <sheetFormatPr defaultColWidth="11.42578125" defaultRowHeight="14.25" x14ac:dyDescent="0.25"/>
  <cols>
    <col min="1" max="1" width="15.140625" style="6" customWidth="1"/>
    <col min="2" max="2" width="16.5703125" style="6" customWidth="1"/>
    <col min="3" max="3" width="66.85546875" style="6" customWidth="1"/>
    <col min="4" max="7" width="12.7109375" style="53" customWidth="1"/>
    <col min="8" max="8" width="1.5703125" style="53" customWidth="1"/>
    <col min="9" max="9" width="16.7109375" style="53" customWidth="1"/>
    <col min="10" max="11" width="7.42578125" style="53" customWidth="1"/>
    <col min="12" max="12" width="19.5703125" style="53" customWidth="1"/>
    <col min="13" max="13" width="14.28515625" style="6" customWidth="1"/>
    <col min="14" max="42" width="11.42578125" style="6"/>
    <col min="43" max="43" width="0.7109375" style="6" customWidth="1"/>
    <col min="44" max="44" width="15.140625" style="6" customWidth="1"/>
    <col min="45" max="45" width="0.7109375" style="6" customWidth="1"/>
    <col min="46" max="46" width="56.140625" style="6" customWidth="1"/>
    <col min="47" max="47" width="0.7109375" style="6" customWidth="1"/>
    <col min="48" max="48" width="9.140625" style="6" customWidth="1"/>
    <col min="49" max="49" width="6" style="6" customWidth="1"/>
    <col min="50" max="50" width="0.7109375" style="6" customWidth="1"/>
    <col min="51" max="51" width="7.140625" style="6" customWidth="1"/>
    <col min="52" max="52" width="6.5703125" style="6" customWidth="1"/>
    <col min="53" max="53" width="0.7109375" style="6" customWidth="1"/>
    <col min="54" max="54" width="7.85546875" style="6" customWidth="1"/>
    <col min="55" max="55" width="10.5703125" style="6" customWidth="1"/>
    <col min="56" max="56" width="0.7109375" style="6" customWidth="1"/>
    <col min="57" max="298" width="11.42578125" style="6"/>
    <col min="299" max="299" width="0.7109375" style="6" customWidth="1"/>
    <col min="300" max="300" width="15.140625" style="6" customWidth="1"/>
    <col min="301" max="301" width="0.7109375" style="6" customWidth="1"/>
    <col min="302" max="302" width="56.140625" style="6" customWidth="1"/>
    <col min="303" max="303" width="0.7109375" style="6" customWidth="1"/>
    <col min="304" max="304" width="9.140625" style="6" customWidth="1"/>
    <col min="305" max="305" width="6" style="6" customWidth="1"/>
    <col min="306" max="306" width="0.7109375" style="6" customWidth="1"/>
    <col min="307" max="307" width="7.140625" style="6" customWidth="1"/>
    <col min="308" max="308" width="6.5703125" style="6" customWidth="1"/>
    <col min="309" max="309" width="0.7109375" style="6" customWidth="1"/>
    <col min="310" max="310" width="7.85546875" style="6" customWidth="1"/>
    <col min="311" max="311" width="10.5703125" style="6" customWidth="1"/>
    <col min="312" max="312" width="0.7109375" style="6" customWidth="1"/>
    <col min="313" max="554" width="11.42578125" style="6"/>
    <col min="555" max="555" width="0.7109375" style="6" customWidth="1"/>
    <col min="556" max="556" width="15.140625" style="6" customWidth="1"/>
    <col min="557" max="557" width="0.7109375" style="6" customWidth="1"/>
    <col min="558" max="558" width="56.140625" style="6" customWidth="1"/>
    <col min="559" max="559" width="0.7109375" style="6" customWidth="1"/>
    <col min="560" max="560" width="9.140625" style="6" customWidth="1"/>
    <col min="561" max="561" width="6" style="6" customWidth="1"/>
    <col min="562" max="562" width="0.7109375" style="6" customWidth="1"/>
    <col min="563" max="563" width="7.140625" style="6" customWidth="1"/>
    <col min="564" max="564" width="6.5703125" style="6" customWidth="1"/>
    <col min="565" max="565" width="0.7109375" style="6" customWidth="1"/>
    <col min="566" max="566" width="7.85546875" style="6" customWidth="1"/>
    <col min="567" max="567" width="10.5703125" style="6" customWidth="1"/>
    <col min="568" max="568" width="0.7109375" style="6" customWidth="1"/>
    <col min="569" max="810" width="11.42578125" style="6"/>
    <col min="811" max="811" width="0.7109375" style="6" customWidth="1"/>
    <col min="812" max="812" width="15.140625" style="6" customWidth="1"/>
    <col min="813" max="813" width="0.7109375" style="6" customWidth="1"/>
    <col min="814" max="814" width="56.140625" style="6" customWidth="1"/>
    <col min="815" max="815" width="0.7109375" style="6" customWidth="1"/>
    <col min="816" max="816" width="9.140625" style="6" customWidth="1"/>
    <col min="817" max="817" width="6" style="6" customWidth="1"/>
    <col min="818" max="818" width="0.7109375" style="6" customWidth="1"/>
    <col min="819" max="819" width="7.140625" style="6" customWidth="1"/>
    <col min="820" max="820" width="6.5703125" style="6" customWidth="1"/>
    <col min="821" max="821" width="0.7109375" style="6" customWidth="1"/>
    <col min="822" max="822" width="7.85546875" style="6" customWidth="1"/>
    <col min="823" max="823" width="10.5703125" style="6" customWidth="1"/>
    <col min="824" max="824" width="0.7109375" style="6" customWidth="1"/>
    <col min="825" max="1066" width="11.42578125" style="6"/>
    <col min="1067" max="1067" width="0.7109375" style="6" customWidth="1"/>
    <col min="1068" max="1068" width="15.140625" style="6" customWidth="1"/>
    <col min="1069" max="1069" width="0.7109375" style="6" customWidth="1"/>
    <col min="1070" max="1070" width="56.140625" style="6" customWidth="1"/>
    <col min="1071" max="1071" width="0.7109375" style="6" customWidth="1"/>
    <col min="1072" max="1072" width="9.140625" style="6" customWidth="1"/>
    <col min="1073" max="1073" width="6" style="6" customWidth="1"/>
    <col min="1074" max="1074" width="0.7109375" style="6" customWidth="1"/>
    <col min="1075" max="1075" width="7.140625" style="6" customWidth="1"/>
    <col min="1076" max="1076" width="6.5703125" style="6" customWidth="1"/>
    <col min="1077" max="1077" width="0.7109375" style="6" customWidth="1"/>
    <col min="1078" max="1078" width="7.85546875" style="6" customWidth="1"/>
    <col min="1079" max="1079" width="10.5703125" style="6" customWidth="1"/>
    <col min="1080" max="1080" width="0.7109375" style="6" customWidth="1"/>
    <col min="1081" max="1322" width="11.42578125" style="6"/>
    <col min="1323" max="1323" width="0.7109375" style="6" customWidth="1"/>
    <col min="1324" max="1324" width="15.140625" style="6" customWidth="1"/>
    <col min="1325" max="1325" width="0.7109375" style="6" customWidth="1"/>
    <col min="1326" max="1326" width="56.140625" style="6" customWidth="1"/>
    <col min="1327" max="1327" width="0.7109375" style="6" customWidth="1"/>
    <col min="1328" max="1328" width="9.140625" style="6" customWidth="1"/>
    <col min="1329" max="1329" width="6" style="6" customWidth="1"/>
    <col min="1330" max="1330" width="0.7109375" style="6" customWidth="1"/>
    <col min="1331" max="1331" width="7.140625" style="6" customWidth="1"/>
    <col min="1332" max="1332" width="6.5703125" style="6" customWidth="1"/>
    <col min="1333" max="1333" width="0.7109375" style="6" customWidth="1"/>
    <col min="1334" max="1334" width="7.85546875" style="6" customWidth="1"/>
    <col min="1335" max="1335" width="10.5703125" style="6" customWidth="1"/>
    <col min="1336" max="1336" width="0.7109375" style="6" customWidth="1"/>
    <col min="1337" max="1578" width="11.42578125" style="6"/>
    <col min="1579" max="1579" width="0.7109375" style="6" customWidth="1"/>
    <col min="1580" max="1580" width="15.140625" style="6" customWidth="1"/>
    <col min="1581" max="1581" width="0.7109375" style="6" customWidth="1"/>
    <col min="1582" max="1582" width="56.140625" style="6" customWidth="1"/>
    <col min="1583" max="1583" width="0.7109375" style="6" customWidth="1"/>
    <col min="1584" max="1584" width="9.140625" style="6" customWidth="1"/>
    <col min="1585" max="1585" width="6" style="6" customWidth="1"/>
    <col min="1586" max="1586" width="0.7109375" style="6" customWidth="1"/>
    <col min="1587" max="1587" width="7.140625" style="6" customWidth="1"/>
    <col min="1588" max="1588" width="6.5703125" style="6" customWidth="1"/>
    <col min="1589" max="1589" width="0.7109375" style="6" customWidth="1"/>
    <col min="1590" max="1590" width="7.85546875" style="6" customWidth="1"/>
    <col min="1591" max="1591" width="10.5703125" style="6" customWidth="1"/>
    <col min="1592" max="1592" width="0.7109375" style="6" customWidth="1"/>
    <col min="1593" max="1834" width="11.42578125" style="6"/>
    <col min="1835" max="1835" width="0.7109375" style="6" customWidth="1"/>
    <col min="1836" max="1836" width="15.140625" style="6" customWidth="1"/>
    <col min="1837" max="1837" width="0.7109375" style="6" customWidth="1"/>
    <col min="1838" max="1838" width="56.140625" style="6" customWidth="1"/>
    <col min="1839" max="1839" width="0.7109375" style="6" customWidth="1"/>
    <col min="1840" max="1840" width="9.140625" style="6" customWidth="1"/>
    <col min="1841" max="1841" width="6" style="6" customWidth="1"/>
    <col min="1842" max="1842" width="0.7109375" style="6" customWidth="1"/>
    <col min="1843" max="1843" width="7.140625" style="6" customWidth="1"/>
    <col min="1844" max="1844" width="6.5703125" style="6" customWidth="1"/>
    <col min="1845" max="1845" width="0.7109375" style="6" customWidth="1"/>
    <col min="1846" max="1846" width="7.85546875" style="6" customWidth="1"/>
    <col min="1847" max="1847" width="10.5703125" style="6" customWidth="1"/>
    <col min="1848" max="1848" width="0.7109375" style="6" customWidth="1"/>
    <col min="1849" max="2090" width="11.42578125" style="6"/>
    <col min="2091" max="2091" width="0.7109375" style="6" customWidth="1"/>
    <col min="2092" max="2092" width="15.140625" style="6" customWidth="1"/>
    <col min="2093" max="2093" width="0.7109375" style="6" customWidth="1"/>
    <col min="2094" max="2094" width="56.140625" style="6" customWidth="1"/>
    <col min="2095" max="2095" width="0.7109375" style="6" customWidth="1"/>
    <col min="2096" max="2096" width="9.140625" style="6" customWidth="1"/>
    <col min="2097" max="2097" width="6" style="6" customWidth="1"/>
    <col min="2098" max="2098" width="0.7109375" style="6" customWidth="1"/>
    <col min="2099" max="2099" width="7.140625" style="6" customWidth="1"/>
    <col min="2100" max="2100" width="6.5703125" style="6" customWidth="1"/>
    <col min="2101" max="2101" width="0.7109375" style="6" customWidth="1"/>
    <col min="2102" max="2102" width="7.85546875" style="6" customWidth="1"/>
    <col min="2103" max="2103" width="10.5703125" style="6" customWidth="1"/>
    <col min="2104" max="2104" width="0.7109375" style="6" customWidth="1"/>
    <col min="2105" max="2346" width="11.42578125" style="6"/>
    <col min="2347" max="2347" width="0.7109375" style="6" customWidth="1"/>
    <col min="2348" max="2348" width="15.140625" style="6" customWidth="1"/>
    <col min="2349" max="2349" width="0.7109375" style="6" customWidth="1"/>
    <col min="2350" max="2350" width="56.140625" style="6" customWidth="1"/>
    <col min="2351" max="2351" width="0.7109375" style="6" customWidth="1"/>
    <col min="2352" max="2352" width="9.140625" style="6" customWidth="1"/>
    <col min="2353" max="2353" width="6" style="6" customWidth="1"/>
    <col min="2354" max="2354" width="0.7109375" style="6" customWidth="1"/>
    <col min="2355" max="2355" width="7.140625" style="6" customWidth="1"/>
    <col min="2356" max="2356" width="6.5703125" style="6" customWidth="1"/>
    <col min="2357" max="2357" width="0.7109375" style="6" customWidth="1"/>
    <col min="2358" max="2358" width="7.85546875" style="6" customWidth="1"/>
    <col min="2359" max="2359" width="10.5703125" style="6" customWidth="1"/>
    <col min="2360" max="2360" width="0.7109375" style="6" customWidth="1"/>
    <col min="2361" max="2602" width="11.42578125" style="6"/>
    <col min="2603" max="2603" width="0.7109375" style="6" customWidth="1"/>
    <col min="2604" max="2604" width="15.140625" style="6" customWidth="1"/>
    <col min="2605" max="2605" width="0.7109375" style="6" customWidth="1"/>
    <col min="2606" max="2606" width="56.140625" style="6" customWidth="1"/>
    <col min="2607" max="2607" width="0.7109375" style="6" customWidth="1"/>
    <col min="2608" max="2608" width="9.140625" style="6" customWidth="1"/>
    <col min="2609" max="2609" width="6" style="6" customWidth="1"/>
    <col min="2610" max="2610" width="0.7109375" style="6" customWidth="1"/>
    <col min="2611" max="2611" width="7.140625" style="6" customWidth="1"/>
    <col min="2612" max="2612" width="6.5703125" style="6" customWidth="1"/>
    <col min="2613" max="2613" width="0.7109375" style="6" customWidth="1"/>
    <col min="2614" max="2614" width="7.85546875" style="6" customWidth="1"/>
    <col min="2615" max="2615" width="10.5703125" style="6" customWidth="1"/>
    <col min="2616" max="2616" width="0.7109375" style="6" customWidth="1"/>
    <col min="2617" max="2858" width="11.42578125" style="6"/>
    <col min="2859" max="2859" width="0.7109375" style="6" customWidth="1"/>
    <col min="2860" max="2860" width="15.140625" style="6" customWidth="1"/>
    <col min="2861" max="2861" width="0.7109375" style="6" customWidth="1"/>
    <col min="2862" max="2862" width="56.140625" style="6" customWidth="1"/>
    <col min="2863" max="2863" width="0.7109375" style="6" customWidth="1"/>
    <col min="2864" max="2864" width="9.140625" style="6" customWidth="1"/>
    <col min="2865" max="2865" width="6" style="6" customWidth="1"/>
    <col min="2866" max="2866" width="0.7109375" style="6" customWidth="1"/>
    <col min="2867" max="2867" width="7.140625" style="6" customWidth="1"/>
    <col min="2868" max="2868" width="6.5703125" style="6" customWidth="1"/>
    <col min="2869" max="2869" width="0.7109375" style="6" customWidth="1"/>
    <col min="2870" max="2870" width="7.85546875" style="6" customWidth="1"/>
    <col min="2871" max="2871" width="10.5703125" style="6" customWidth="1"/>
    <col min="2872" max="2872" width="0.7109375" style="6" customWidth="1"/>
    <col min="2873" max="3114" width="11.42578125" style="6"/>
    <col min="3115" max="3115" width="0.7109375" style="6" customWidth="1"/>
    <col min="3116" max="3116" width="15.140625" style="6" customWidth="1"/>
    <col min="3117" max="3117" width="0.7109375" style="6" customWidth="1"/>
    <col min="3118" max="3118" width="56.140625" style="6" customWidth="1"/>
    <col min="3119" max="3119" width="0.7109375" style="6" customWidth="1"/>
    <col min="3120" max="3120" width="9.140625" style="6" customWidth="1"/>
    <col min="3121" max="3121" width="6" style="6" customWidth="1"/>
    <col min="3122" max="3122" width="0.7109375" style="6" customWidth="1"/>
    <col min="3123" max="3123" width="7.140625" style="6" customWidth="1"/>
    <col min="3124" max="3124" width="6.5703125" style="6" customWidth="1"/>
    <col min="3125" max="3125" width="0.7109375" style="6" customWidth="1"/>
    <col min="3126" max="3126" width="7.85546875" style="6" customWidth="1"/>
    <col min="3127" max="3127" width="10.5703125" style="6" customWidth="1"/>
    <col min="3128" max="3128" width="0.7109375" style="6" customWidth="1"/>
    <col min="3129" max="3370" width="11.42578125" style="6"/>
    <col min="3371" max="3371" width="0.7109375" style="6" customWidth="1"/>
    <col min="3372" max="3372" width="15.140625" style="6" customWidth="1"/>
    <col min="3373" max="3373" width="0.7109375" style="6" customWidth="1"/>
    <col min="3374" max="3374" width="56.140625" style="6" customWidth="1"/>
    <col min="3375" max="3375" width="0.7109375" style="6" customWidth="1"/>
    <col min="3376" max="3376" width="9.140625" style="6" customWidth="1"/>
    <col min="3377" max="3377" width="6" style="6" customWidth="1"/>
    <col min="3378" max="3378" width="0.7109375" style="6" customWidth="1"/>
    <col min="3379" max="3379" width="7.140625" style="6" customWidth="1"/>
    <col min="3380" max="3380" width="6.5703125" style="6" customWidth="1"/>
    <col min="3381" max="3381" width="0.7109375" style="6" customWidth="1"/>
    <col min="3382" max="3382" width="7.85546875" style="6" customWidth="1"/>
    <col min="3383" max="3383" width="10.5703125" style="6" customWidth="1"/>
    <col min="3384" max="3384" width="0.7109375" style="6" customWidth="1"/>
    <col min="3385" max="3626" width="11.42578125" style="6"/>
    <col min="3627" max="3627" width="0.7109375" style="6" customWidth="1"/>
    <col min="3628" max="3628" width="15.140625" style="6" customWidth="1"/>
    <col min="3629" max="3629" width="0.7109375" style="6" customWidth="1"/>
    <col min="3630" max="3630" width="56.140625" style="6" customWidth="1"/>
    <col min="3631" max="3631" width="0.7109375" style="6" customWidth="1"/>
    <col min="3632" max="3632" width="9.140625" style="6" customWidth="1"/>
    <col min="3633" max="3633" width="6" style="6" customWidth="1"/>
    <col min="3634" max="3634" width="0.7109375" style="6" customWidth="1"/>
    <col min="3635" max="3635" width="7.140625" style="6" customWidth="1"/>
    <col min="3636" max="3636" width="6.5703125" style="6" customWidth="1"/>
    <col min="3637" max="3637" width="0.7109375" style="6" customWidth="1"/>
    <col min="3638" max="3638" width="7.85546875" style="6" customWidth="1"/>
    <col min="3639" max="3639" width="10.5703125" style="6" customWidth="1"/>
    <col min="3640" max="3640" width="0.7109375" style="6" customWidth="1"/>
    <col min="3641" max="3882" width="11.42578125" style="6"/>
    <col min="3883" max="3883" width="0.7109375" style="6" customWidth="1"/>
    <col min="3884" max="3884" width="15.140625" style="6" customWidth="1"/>
    <col min="3885" max="3885" width="0.7109375" style="6" customWidth="1"/>
    <col min="3886" max="3886" width="56.140625" style="6" customWidth="1"/>
    <col min="3887" max="3887" width="0.7109375" style="6" customWidth="1"/>
    <col min="3888" max="3888" width="9.140625" style="6" customWidth="1"/>
    <col min="3889" max="3889" width="6" style="6" customWidth="1"/>
    <col min="3890" max="3890" width="0.7109375" style="6" customWidth="1"/>
    <col min="3891" max="3891" width="7.140625" style="6" customWidth="1"/>
    <col min="3892" max="3892" width="6.5703125" style="6" customWidth="1"/>
    <col min="3893" max="3893" width="0.7109375" style="6" customWidth="1"/>
    <col min="3894" max="3894" width="7.85546875" style="6" customWidth="1"/>
    <col min="3895" max="3895" width="10.5703125" style="6" customWidth="1"/>
    <col min="3896" max="3896" width="0.7109375" style="6" customWidth="1"/>
    <col min="3897" max="4138" width="11.42578125" style="6"/>
    <col min="4139" max="4139" width="0.7109375" style="6" customWidth="1"/>
    <col min="4140" max="4140" width="15.140625" style="6" customWidth="1"/>
    <col min="4141" max="4141" width="0.7109375" style="6" customWidth="1"/>
    <col min="4142" max="4142" width="56.140625" style="6" customWidth="1"/>
    <col min="4143" max="4143" width="0.7109375" style="6" customWidth="1"/>
    <col min="4144" max="4144" width="9.140625" style="6" customWidth="1"/>
    <col min="4145" max="4145" width="6" style="6" customWidth="1"/>
    <col min="4146" max="4146" width="0.7109375" style="6" customWidth="1"/>
    <col min="4147" max="4147" width="7.140625" style="6" customWidth="1"/>
    <col min="4148" max="4148" width="6.5703125" style="6" customWidth="1"/>
    <col min="4149" max="4149" width="0.7109375" style="6" customWidth="1"/>
    <col min="4150" max="4150" width="7.85546875" style="6" customWidth="1"/>
    <col min="4151" max="4151" width="10.5703125" style="6" customWidth="1"/>
    <col min="4152" max="4152" width="0.7109375" style="6" customWidth="1"/>
    <col min="4153" max="4394" width="11.42578125" style="6"/>
    <col min="4395" max="4395" width="0.7109375" style="6" customWidth="1"/>
    <col min="4396" max="4396" width="15.140625" style="6" customWidth="1"/>
    <col min="4397" max="4397" width="0.7109375" style="6" customWidth="1"/>
    <col min="4398" max="4398" width="56.140625" style="6" customWidth="1"/>
    <col min="4399" max="4399" width="0.7109375" style="6" customWidth="1"/>
    <col min="4400" max="4400" width="9.140625" style="6" customWidth="1"/>
    <col min="4401" max="4401" width="6" style="6" customWidth="1"/>
    <col min="4402" max="4402" width="0.7109375" style="6" customWidth="1"/>
    <col min="4403" max="4403" width="7.140625" style="6" customWidth="1"/>
    <col min="4404" max="4404" width="6.5703125" style="6" customWidth="1"/>
    <col min="4405" max="4405" width="0.7109375" style="6" customWidth="1"/>
    <col min="4406" max="4406" width="7.85546875" style="6" customWidth="1"/>
    <col min="4407" max="4407" width="10.5703125" style="6" customWidth="1"/>
    <col min="4408" max="4408" width="0.7109375" style="6" customWidth="1"/>
    <col min="4409" max="4650" width="11.42578125" style="6"/>
    <col min="4651" max="4651" width="0.7109375" style="6" customWidth="1"/>
    <col min="4652" max="4652" width="15.140625" style="6" customWidth="1"/>
    <col min="4653" max="4653" width="0.7109375" style="6" customWidth="1"/>
    <col min="4654" max="4654" width="56.140625" style="6" customWidth="1"/>
    <col min="4655" max="4655" width="0.7109375" style="6" customWidth="1"/>
    <col min="4656" max="4656" width="9.140625" style="6" customWidth="1"/>
    <col min="4657" max="4657" width="6" style="6" customWidth="1"/>
    <col min="4658" max="4658" width="0.7109375" style="6" customWidth="1"/>
    <col min="4659" max="4659" width="7.140625" style="6" customWidth="1"/>
    <col min="4660" max="4660" width="6.5703125" style="6" customWidth="1"/>
    <col min="4661" max="4661" width="0.7109375" style="6" customWidth="1"/>
    <col min="4662" max="4662" width="7.85546875" style="6" customWidth="1"/>
    <col min="4663" max="4663" width="10.5703125" style="6" customWidth="1"/>
    <col min="4664" max="4664" width="0.7109375" style="6" customWidth="1"/>
    <col min="4665" max="4906" width="11.42578125" style="6"/>
    <col min="4907" max="4907" width="0.7109375" style="6" customWidth="1"/>
    <col min="4908" max="4908" width="15.140625" style="6" customWidth="1"/>
    <col min="4909" max="4909" width="0.7109375" style="6" customWidth="1"/>
    <col min="4910" max="4910" width="56.140625" style="6" customWidth="1"/>
    <col min="4911" max="4911" width="0.7109375" style="6" customWidth="1"/>
    <col min="4912" max="4912" width="9.140625" style="6" customWidth="1"/>
    <col min="4913" max="4913" width="6" style="6" customWidth="1"/>
    <col min="4914" max="4914" width="0.7109375" style="6" customWidth="1"/>
    <col min="4915" max="4915" width="7.140625" style="6" customWidth="1"/>
    <col min="4916" max="4916" width="6.5703125" style="6" customWidth="1"/>
    <col min="4917" max="4917" width="0.7109375" style="6" customWidth="1"/>
    <col min="4918" max="4918" width="7.85546875" style="6" customWidth="1"/>
    <col min="4919" max="4919" width="10.5703125" style="6" customWidth="1"/>
    <col min="4920" max="4920" width="0.7109375" style="6" customWidth="1"/>
    <col min="4921" max="5162" width="11.42578125" style="6"/>
    <col min="5163" max="5163" width="0.7109375" style="6" customWidth="1"/>
    <col min="5164" max="5164" width="15.140625" style="6" customWidth="1"/>
    <col min="5165" max="5165" width="0.7109375" style="6" customWidth="1"/>
    <col min="5166" max="5166" width="56.140625" style="6" customWidth="1"/>
    <col min="5167" max="5167" width="0.7109375" style="6" customWidth="1"/>
    <col min="5168" max="5168" width="9.140625" style="6" customWidth="1"/>
    <col min="5169" max="5169" width="6" style="6" customWidth="1"/>
    <col min="5170" max="5170" width="0.7109375" style="6" customWidth="1"/>
    <col min="5171" max="5171" width="7.140625" style="6" customWidth="1"/>
    <col min="5172" max="5172" width="6.5703125" style="6" customWidth="1"/>
    <col min="5173" max="5173" width="0.7109375" style="6" customWidth="1"/>
    <col min="5174" max="5174" width="7.85546875" style="6" customWidth="1"/>
    <col min="5175" max="5175" width="10.5703125" style="6" customWidth="1"/>
    <col min="5176" max="5176" width="0.7109375" style="6" customWidth="1"/>
    <col min="5177" max="5418" width="11.42578125" style="6"/>
    <col min="5419" max="5419" width="0.7109375" style="6" customWidth="1"/>
    <col min="5420" max="5420" width="15.140625" style="6" customWidth="1"/>
    <col min="5421" max="5421" width="0.7109375" style="6" customWidth="1"/>
    <col min="5422" max="5422" width="56.140625" style="6" customWidth="1"/>
    <col min="5423" max="5423" width="0.7109375" style="6" customWidth="1"/>
    <col min="5424" max="5424" width="9.140625" style="6" customWidth="1"/>
    <col min="5425" max="5425" width="6" style="6" customWidth="1"/>
    <col min="5426" max="5426" width="0.7109375" style="6" customWidth="1"/>
    <col min="5427" max="5427" width="7.140625" style="6" customWidth="1"/>
    <col min="5428" max="5428" width="6.5703125" style="6" customWidth="1"/>
    <col min="5429" max="5429" width="0.7109375" style="6" customWidth="1"/>
    <col min="5430" max="5430" width="7.85546875" style="6" customWidth="1"/>
    <col min="5431" max="5431" width="10.5703125" style="6" customWidth="1"/>
    <col min="5432" max="5432" width="0.7109375" style="6" customWidth="1"/>
    <col min="5433" max="5674" width="11.42578125" style="6"/>
    <col min="5675" max="5675" width="0.7109375" style="6" customWidth="1"/>
    <col min="5676" max="5676" width="15.140625" style="6" customWidth="1"/>
    <col min="5677" max="5677" width="0.7109375" style="6" customWidth="1"/>
    <col min="5678" max="5678" width="56.140625" style="6" customWidth="1"/>
    <col min="5679" max="5679" width="0.7109375" style="6" customWidth="1"/>
    <col min="5680" max="5680" width="9.140625" style="6" customWidth="1"/>
    <col min="5681" max="5681" width="6" style="6" customWidth="1"/>
    <col min="5682" max="5682" width="0.7109375" style="6" customWidth="1"/>
    <col min="5683" max="5683" width="7.140625" style="6" customWidth="1"/>
    <col min="5684" max="5684" width="6.5703125" style="6" customWidth="1"/>
    <col min="5685" max="5685" width="0.7109375" style="6" customWidth="1"/>
    <col min="5686" max="5686" width="7.85546875" style="6" customWidth="1"/>
    <col min="5687" max="5687" width="10.5703125" style="6" customWidth="1"/>
    <col min="5688" max="5688" width="0.7109375" style="6" customWidth="1"/>
    <col min="5689" max="5930" width="11.42578125" style="6"/>
    <col min="5931" max="5931" width="0.7109375" style="6" customWidth="1"/>
    <col min="5932" max="5932" width="15.140625" style="6" customWidth="1"/>
    <col min="5933" max="5933" width="0.7109375" style="6" customWidth="1"/>
    <col min="5934" max="5934" width="56.140625" style="6" customWidth="1"/>
    <col min="5935" max="5935" width="0.7109375" style="6" customWidth="1"/>
    <col min="5936" max="5936" width="9.140625" style="6" customWidth="1"/>
    <col min="5937" max="5937" width="6" style="6" customWidth="1"/>
    <col min="5938" max="5938" width="0.7109375" style="6" customWidth="1"/>
    <col min="5939" max="5939" width="7.140625" style="6" customWidth="1"/>
    <col min="5940" max="5940" width="6.5703125" style="6" customWidth="1"/>
    <col min="5941" max="5941" width="0.7109375" style="6" customWidth="1"/>
    <col min="5942" max="5942" width="7.85546875" style="6" customWidth="1"/>
    <col min="5943" max="5943" width="10.5703125" style="6" customWidth="1"/>
    <col min="5944" max="5944" width="0.7109375" style="6" customWidth="1"/>
    <col min="5945" max="6186" width="11.42578125" style="6"/>
    <col min="6187" max="6187" width="0.7109375" style="6" customWidth="1"/>
    <col min="6188" max="6188" width="15.140625" style="6" customWidth="1"/>
    <col min="6189" max="6189" width="0.7109375" style="6" customWidth="1"/>
    <col min="6190" max="6190" width="56.140625" style="6" customWidth="1"/>
    <col min="6191" max="6191" width="0.7109375" style="6" customWidth="1"/>
    <col min="6192" max="6192" width="9.140625" style="6" customWidth="1"/>
    <col min="6193" max="6193" width="6" style="6" customWidth="1"/>
    <col min="6194" max="6194" width="0.7109375" style="6" customWidth="1"/>
    <col min="6195" max="6195" width="7.140625" style="6" customWidth="1"/>
    <col min="6196" max="6196" width="6.5703125" style="6" customWidth="1"/>
    <col min="6197" max="6197" width="0.7109375" style="6" customWidth="1"/>
    <col min="6198" max="6198" width="7.85546875" style="6" customWidth="1"/>
    <col min="6199" max="6199" width="10.5703125" style="6" customWidth="1"/>
    <col min="6200" max="6200" width="0.7109375" style="6" customWidth="1"/>
    <col min="6201" max="6442" width="11.42578125" style="6"/>
    <col min="6443" max="6443" width="0.7109375" style="6" customWidth="1"/>
    <col min="6444" max="6444" width="15.140625" style="6" customWidth="1"/>
    <col min="6445" max="6445" width="0.7109375" style="6" customWidth="1"/>
    <col min="6446" max="6446" width="56.140625" style="6" customWidth="1"/>
    <col min="6447" max="6447" width="0.7109375" style="6" customWidth="1"/>
    <col min="6448" max="6448" width="9.140625" style="6" customWidth="1"/>
    <col min="6449" max="6449" width="6" style="6" customWidth="1"/>
    <col min="6450" max="6450" width="0.7109375" style="6" customWidth="1"/>
    <col min="6451" max="6451" width="7.140625" style="6" customWidth="1"/>
    <col min="6452" max="6452" width="6.5703125" style="6" customWidth="1"/>
    <col min="6453" max="6453" width="0.7109375" style="6" customWidth="1"/>
    <col min="6454" max="6454" width="7.85546875" style="6" customWidth="1"/>
    <col min="6455" max="6455" width="10.5703125" style="6" customWidth="1"/>
    <col min="6456" max="6456" width="0.7109375" style="6" customWidth="1"/>
    <col min="6457" max="6698" width="11.42578125" style="6"/>
    <col min="6699" max="6699" width="0.7109375" style="6" customWidth="1"/>
    <col min="6700" max="6700" width="15.140625" style="6" customWidth="1"/>
    <col min="6701" max="6701" width="0.7109375" style="6" customWidth="1"/>
    <col min="6702" max="6702" width="56.140625" style="6" customWidth="1"/>
    <col min="6703" max="6703" width="0.7109375" style="6" customWidth="1"/>
    <col min="6704" max="6704" width="9.140625" style="6" customWidth="1"/>
    <col min="6705" max="6705" width="6" style="6" customWidth="1"/>
    <col min="6706" max="6706" width="0.7109375" style="6" customWidth="1"/>
    <col min="6707" max="6707" width="7.140625" style="6" customWidth="1"/>
    <col min="6708" max="6708" width="6.5703125" style="6" customWidth="1"/>
    <col min="6709" max="6709" width="0.7109375" style="6" customWidth="1"/>
    <col min="6710" max="6710" width="7.85546875" style="6" customWidth="1"/>
    <col min="6711" max="6711" width="10.5703125" style="6" customWidth="1"/>
    <col min="6712" max="6712" width="0.7109375" style="6" customWidth="1"/>
    <col min="6713" max="6954" width="11.42578125" style="6"/>
    <col min="6955" max="6955" width="0.7109375" style="6" customWidth="1"/>
    <col min="6956" max="6956" width="15.140625" style="6" customWidth="1"/>
    <col min="6957" max="6957" width="0.7109375" style="6" customWidth="1"/>
    <col min="6958" max="6958" width="56.140625" style="6" customWidth="1"/>
    <col min="6959" max="6959" width="0.7109375" style="6" customWidth="1"/>
    <col min="6960" max="6960" width="9.140625" style="6" customWidth="1"/>
    <col min="6961" max="6961" width="6" style="6" customWidth="1"/>
    <col min="6962" max="6962" width="0.7109375" style="6" customWidth="1"/>
    <col min="6963" max="6963" width="7.140625" style="6" customWidth="1"/>
    <col min="6964" max="6964" width="6.5703125" style="6" customWidth="1"/>
    <col min="6965" max="6965" width="0.7109375" style="6" customWidth="1"/>
    <col min="6966" max="6966" width="7.85546875" style="6" customWidth="1"/>
    <col min="6967" max="6967" width="10.5703125" style="6" customWidth="1"/>
    <col min="6968" max="6968" width="0.7109375" style="6" customWidth="1"/>
    <col min="6969" max="7210" width="11.42578125" style="6"/>
    <col min="7211" max="7211" width="0.7109375" style="6" customWidth="1"/>
    <col min="7212" max="7212" width="15.140625" style="6" customWidth="1"/>
    <col min="7213" max="7213" width="0.7109375" style="6" customWidth="1"/>
    <col min="7214" max="7214" width="56.140625" style="6" customWidth="1"/>
    <col min="7215" max="7215" width="0.7109375" style="6" customWidth="1"/>
    <col min="7216" max="7216" width="9.140625" style="6" customWidth="1"/>
    <col min="7217" max="7217" width="6" style="6" customWidth="1"/>
    <col min="7218" max="7218" width="0.7109375" style="6" customWidth="1"/>
    <col min="7219" max="7219" width="7.140625" style="6" customWidth="1"/>
    <col min="7220" max="7220" width="6.5703125" style="6" customWidth="1"/>
    <col min="7221" max="7221" width="0.7109375" style="6" customWidth="1"/>
    <col min="7222" max="7222" width="7.85546875" style="6" customWidth="1"/>
    <col min="7223" max="7223" width="10.5703125" style="6" customWidth="1"/>
    <col min="7224" max="7224" width="0.7109375" style="6" customWidth="1"/>
    <col min="7225" max="7466" width="11.42578125" style="6"/>
    <col min="7467" max="7467" width="0.7109375" style="6" customWidth="1"/>
    <col min="7468" max="7468" width="15.140625" style="6" customWidth="1"/>
    <col min="7469" max="7469" width="0.7109375" style="6" customWidth="1"/>
    <col min="7470" max="7470" width="56.140625" style="6" customWidth="1"/>
    <col min="7471" max="7471" width="0.7109375" style="6" customWidth="1"/>
    <col min="7472" max="7472" width="9.140625" style="6" customWidth="1"/>
    <col min="7473" max="7473" width="6" style="6" customWidth="1"/>
    <col min="7474" max="7474" width="0.7109375" style="6" customWidth="1"/>
    <col min="7475" max="7475" width="7.140625" style="6" customWidth="1"/>
    <col min="7476" max="7476" width="6.5703125" style="6" customWidth="1"/>
    <col min="7477" max="7477" width="0.7109375" style="6" customWidth="1"/>
    <col min="7478" max="7478" width="7.85546875" style="6" customWidth="1"/>
    <col min="7479" max="7479" width="10.5703125" style="6" customWidth="1"/>
    <col min="7480" max="7480" width="0.7109375" style="6" customWidth="1"/>
    <col min="7481" max="7722" width="11.42578125" style="6"/>
    <col min="7723" max="7723" width="0.7109375" style="6" customWidth="1"/>
    <col min="7724" max="7724" width="15.140625" style="6" customWidth="1"/>
    <col min="7725" max="7725" width="0.7109375" style="6" customWidth="1"/>
    <col min="7726" max="7726" width="56.140625" style="6" customWidth="1"/>
    <col min="7727" max="7727" width="0.7109375" style="6" customWidth="1"/>
    <col min="7728" max="7728" width="9.140625" style="6" customWidth="1"/>
    <col min="7729" max="7729" width="6" style="6" customWidth="1"/>
    <col min="7730" max="7730" width="0.7109375" style="6" customWidth="1"/>
    <col min="7731" max="7731" width="7.140625" style="6" customWidth="1"/>
    <col min="7732" max="7732" width="6.5703125" style="6" customWidth="1"/>
    <col min="7733" max="7733" width="0.7109375" style="6" customWidth="1"/>
    <col min="7734" max="7734" width="7.85546875" style="6" customWidth="1"/>
    <col min="7735" max="7735" width="10.5703125" style="6" customWidth="1"/>
    <col min="7736" max="7736" width="0.7109375" style="6" customWidth="1"/>
    <col min="7737" max="7978" width="11.42578125" style="6"/>
    <col min="7979" max="7979" width="0.7109375" style="6" customWidth="1"/>
    <col min="7980" max="7980" width="15.140625" style="6" customWidth="1"/>
    <col min="7981" max="7981" width="0.7109375" style="6" customWidth="1"/>
    <col min="7982" max="7982" width="56.140625" style="6" customWidth="1"/>
    <col min="7983" max="7983" width="0.7109375" style="6" customWidth="1"/>
    <col min="7984" max="7984" width="9.140625" style="6" customWidth="1"/>
    <col min="7985" max="7985" width="6" style="6" customWidth="1"/>
    <col min="7986" max="7986" width="0.7109375" style="6" customWidth="1"/>
    <col min="7987" max="7987" width="7.140625" style="6" customWidth="1"/>
    <col min="7988" max="7988" width="6.5703125" style="6" customWidth="1"/>
    <col min="7989" max="7989" width="0.7109375" style="6" customWidth="1"/>
    <col min="7990" max="7990" width="7.85546875" style="6" customWidth="1"/>
    <col min="7991" max="7991" width="10.5703125" style="6" customWidth="1"/>
    <col min="7992" max="7992" width="0.7109375" style="6" customWidth="1"/>
    <col min="7993" max="8234" width="11.42578125" style="6"/>
    <col min="8235" max="8235" width="0.7109375" style="6" customWidth="1"/>
    <col min="8236" max="8236" width="15.140625" style="6" customWidth="1"/>
    <col min="8237" max="8237" width="0.7109375" style="6" customWidth="1"/>
    <col min="8238" max="8238" width="56.140625" style="6" customWidth="1"/>
    <col min="8239" max="8239" width="0.7109375" style="6" customWidth="1"/>
    <col min="8240" max="8240" width="9.140625" style="6" customWidth="1"/>
    <col min="8241" max="8241" width="6" style="6" customWidth="1"/>
    <col min="8242" max="8242" width="0.7109375" style="6" customWidth="1"/>
    <col min="8243" max="8243" width="7.140625" style="6" customWidth="1"/>
    <col min="8244" max="8244" width="6.5703125" style="6" customWidth="1"/>
    <col min="8245" max="8245" width="0.7109375" style="6" customWidth="1"/>
    <col min="8246" max="8246" width="7.85546875" style="6" customWidth="1"/>
    <col min="8247" max="8247" width="10.5703125" style="6" customWidth="1"/>
    <col min="8248" max="8248" width="0.7109375" style="6" customWidth="1"/>
    <col min="8249" max="8490" width="11.42578125" style="6"/>
    <col min="8491" max="8491" width="0.7109375" style="6" customWidth="1"/>
    <col min="8492" max="8492" width="15.140625" style="6" customWidth="1"/>
    <col min="8493" max="8493" width="0.7109375" style="6" customWidth="1"/>
    <col min="8494" max="8494" width="56.140625" style="6" customWidth="1"/>
    <col min="8495" max="8495" width="0.7109375" style="6" customWidth="1"/>
    <col min="8496" max="8496" width="9.140625" style="6" customWidth="1"/>
    <col min="8497" max="8497" width="6" style="6" customWidth="1"/>
    <col min="8498" max="8498" width="0.7109375" style="6" customWidth="1"/>
    <col min="8499" max="8499" width="7.140625" style="6" customWidth="1"/>
    <col min="8500" max="8500" width="6.5703125" style="6" customWidth="1"/>
    <col min="8501" max="8501" width="0.7109375" style="6" customWidth="1"/>
    <col min="8502" max="8502" width="7.85546875" style="6" customWidth="1"/>
    <col min="8503" max="8503" width="10.5703125" style="6" customWidth="1"/>
    <col min="8504" max="8504" width="0.7109375" style="6" customWidth="1"/>
    <col min="8505" max="8746" width="11.42578125" style="6"/>
    <col min="8747" max="8747" width="0.7109375" style="6" customWidth="1"/>
    <col min="8748" max="8748" width="15.140625" style="6" customWidth="1"/>
    <col min="8749" max="8749" width="0.7109375" style="6" customWidth="1"/>
    <col min="8750" max="8750" width="56.140625" style="6" customWidth="1"/>
    <col min="8751" max="8751" width="0.7109375" style="6" customWidth="1"/>
    <col min="8752" max="8752" width="9.140625" style="6" customWidth="1"/>
    <col min="8753" max="8753" width="6" style="6" customWidth="1"/>
    <col min="8754" max="8754" width="0.7109375" style="6" customWidth="1"/>
    <col min="8755" max="8755" width="7.140625" style="6" customWidth="1"/>
    <col min="8756" max="8756" width="6.5703125" style="6" customWidth="1"/>
    <col min="8757" max="8757" width="0.7109375" style="6" customWidth="1"/>
    <col min="8758" max="8758" width="7.85546875" style="6" customWidth="1"/>
    <col min="8759" max="8759" width="10.5703125" style="6" customWidth="1"/>
    <col min="8760" max="8760" width="0.7109375" style="6" customWidth="1"/>
    <col min="8761" max="9002" width="11.42578125" style="6"/>
    <col min="9003" max="9003" width="0.7109375" style="6" customWidth="1"/>
    <col min="9004" max="9004" width="15.140625" style="6" customWidth="1"/>
    <col min="9005" max="9005" width="0.7109375" style="6" customWidth="1"/>
    <col min="9006" max="9006" width="56.140625" style="6" customWidth="1"/>
    <col min="9007" max="9007" width="0.7109375" style="6" customWidth="1"/>
    <col min="9008" max="9008" width="9.140625" style="6" customWidth="1"/>
    <col min="9009" max="9009" width="6" style="6" customWidth="1"/>
    <col min="9010" max="9010" width="0.7109375" style="6" customWidth="1"/>
    <col min="9011" max="9011" width="7.140625" style="6" customWidth="1"/>
    <col min="9012" max="9012" width="6.5703125" style="6" customWidth="1"/>
    <col min="9013" max="9013" width="0.7109375" style="6" customWidth="1"/>
    <col min="9014" max="9014" width="7.85546875" style="6" customWidth="1"/>
    <col min="9015" max="9015" width="10.5703125" style="6" customWidth="1"/>
    <col min="9016" max="9016" width="0.7109375" style="6" customWidth="1"/>
    <col min="9017" max="9258" width="11.42578125" style="6"/>
    <col min="9259" max="9259" width="0.7109375" style="6" customWidth="1"/>
    <col min="9260" max="9260" width="15.140625" style="6" customWidth="1"/>
    <col min="9261" max="9261" width="0.7109375" style="6" customWidth="1"/>
    <col min="9262" max="9262" width="56.140625" style="6" customWidth="1"/>
    <col min="9263" max="9263" width="0.7109375" style="6" customWidth="1"/>
    <col min="9264" max="9264" width="9.140625" style="6" customWidth="1"/>
    <col min="9265" max="9265" width="6" style="6" customWidth="1"/>
    <col min="9266" max="9266" width="0.7109375" style="6" customWidth="1"/>
    <col min="9267" max="9267" width="7.140625" style="6" customWidth="1"/>
    <col min="9268" max="9268" width="6.5703125" style="6" customWidth="1"/>
    <col min="9269" max="9269" width="0.7109375" style="6" customWidth="1"/>
    <col min="9270" max="9270" width="7.85546875" style="6" customWidth="1"/>
    <col min="9271" max="9271" width="10.5703125" style="6" customWidth="1"/>
    <col min="9272" max="9272" width="0.7109375" style="6" customWidth="1"/>
    <col min="9273" max="9514" width="11.42578125" style="6"/>
    <col min="9515" max="9515" width="0.7109375" style="6" customWidth="1"/>
    <col min="9516" max="9516" width="15.140625" style="6" customWidth="1"/>
    <col min="9517" max="9517" width="0.7109375" style="6" customWidth="1"/>
    <col min="9518" max="9518" width="56.140625" style="6" customWidth="1"/>
    <col min="9519" max="9519" width="0.7109375" style="6" customWidth="1"/>
    <col min="9520" max="9520" width="9.140625" style="6" customWidth="1"/>
    <col min="9521" max="9521" width="6" style="6" customWidth="1"/>
    <col min="9522" max="9522" width="0.7109375" style="6" customWidth="1"/>
    <col min="9523" max="9523" width="7.140625" style="6" customWidth="1"/>
    <col min="9524" max="9524" width="6.5703125" style="6" customWidth="1"/>
    <col min="9525" max="9525" width="0.7109375" style="6" customWidth="1"/>
    <col min="9526" max="9526" width="7.85546875" style="6" customWidth="1"/>
    <col min="9527" max="9527" width="10.5703125" style="6" customWidth="1"/>
    <col min="9528" max="9528" width="0.7109375" style="6" customWidth="1"/>
    <col min="9529" max="9770" width="11.42578125" style="6"/>
    <col min="9771" max="9771" width="0.7109375" style="6" customWidth="1"/>
    <col min="9772" max="9772" width="15.140625" style="6" customWidth="1"/>
    <col min="9773" max="9773" width="0.7109375" style="6" customWidth="1"/>
    <col min="9774" max="9774" width="56.140625" style="6" customWidth="1"/>
    <col min="9775" max="9775" width="0.7109375" style="6" customWidth="1"/>
    <col min="9776" max="9776" width="9.140625" style="6" customWidth="1"/>
    <col min="9777" max="9777" width="6" style="6" customWidth="1"/>
    <col min="9778" max="9778" width="0.7109375" style="6" customWidth="1"/>
    <col min="9779" max="9779" width="7.140625" style="6" customWidth="1"/>
    <col min="9780" max="9780" width="6.5703125" style="6" customWidth="1"/>
    <col min="9781" max="9781" width="0.7109375" style="6" customWidth="1"/>
    <col min="9782" max="9782" width="7.85546875" style="6" customWidth="1"/>
    <col min="9783" max="9783" width="10.5703125" style="6" customWidth="1"/>
    <col min="9784" max="9784" width="0.7109375" style="6" customWidth="1"/>
    <col min="9785" max="10026" width="11.42578125" style="6"/>
    <col min="10027" max="10027" width="0.7109375" style="6" customWidth="1"/>
    <col min="10028" max="10028" width="15.140625" style="6" customWidth="1"/>
    <col min="10029" max="10029" width="0.7109375" style="6" customWidth="1"/>
    <col min="10030" max="10030" width="56.140625" style="6" customWidth="1"/>
    <col min="10031" max="10031" width="0.7109375" style="6" customWidth="1"/>
    <col min="10032" max="10032" width="9.140625" style="6" customWidth="1"/>
    <col min="10033" max="10033" width="6" style="6" customWidth="1"/>
    <col min="10034" max="10034" width="0.7109375" style="6" customWidth="1"/>
    <col min="10035" max="10035" width="7.140625" style="6" customWidth="1"/>
    <col min="10036" max="10036" width="6.5703125" style="6" customWidth="1"/>
    <col min="10037" max="10037" width="0.7109375" style="6" customWidth="1"/>
    <col min="10038" max="10038" width="7.85546875" style="6" customWidth="1"/>
    <col min="10039" max="10039" width="10.5703125" style="6" customWidth="1"/>
    <col min="10040" max="10040" width="0.7109375" style="6" customWidth="1"/>
    <col min="10041" max="10282" width="11.42578125" style="6"/>
    <col min="10283" max="10283" width="0.7109375" style="6" customWidth="1"/>
    <col min="10284" max="10284" width="15.140625" style="6" customWidth="1"/>
    <col min="10285" max="10285" width="0.7109375" style="6" customWidth="1"/>
    <col min="10286" max="10286" width="56.140625" style="6" customWidth="1"/>
    <col min="10287" max="10287" width="0.7109375" style="6" customWidth="1"/>
    <col min="10288" max="10288" width="9.140625" style="6" customWidth="1"/>
    <col min="10289" max="10289" width="6" style="6" customWidth="1"/>
    <col min="10290" max="10290" width="0.7109375" style="6" customWidth="1"/>
    <col min="10291" max="10291" width="7.140625" style="6" customWidth="1"/>
    <col min="10292" max="10292" width="6.5703125" style="6" customWidth="1"/>
    <col min="10293" max="10293" width="0.7109375" style="6" customWidth="1"/>
    <col min="10294" max="10294" width="7.85546875" style="6" customWidth="1"/>
    <col min="10295" max="10295" width="10.5703125" style="6" customWidth="1"/>
    <col min="10296" max="10296" width="0.7109375" style="6" customWidth="1"/>
    <col min="10297" max="10538" width="11.42578125" style="6"/>
    <col min="10539" max="10539" width="0.7109375" style="6" customWidth="1"/>
    <col min="10540" max="10540" width="15.140625" style="6" customWidth="1"/>
    <col min="10541" max="10541" width="0.7109375" style="6" customWidth="1"/>
    <col min="10542" max="10542" width="56.140625" style="6" customWidth="1"/>
    <col min="10543" max="10543" width="0.7109375" style="6" customWidth="1"/>
    <col min="10544" max="10544" width="9.140625" style="6" customWidth="1"/>
    <col min="10545" max="10545" width="6" style="6" customWidth="1"/>
    <col min="10546" max="10546" width="0.7109375" style="6" customWidth="1"/>
    <col min="10547" max="10547" width="7.140625" style="6" customWidth="1"/>
    <col min="10548" max="10548" width="6.5703125" style="6" customWidth="1"/>
    <col min="10549" max="10549" width="0.7109375" style="6" customWidth="1"/>
    <col min="10550" max="10550" width="7.85546875" style="6" customWidth="1"/>
    <col min="10551" max="10551" width="10.5703125" style="6" customWidth="1"/>
    <col min="10552" max="10552" width="0.7109375" style="6" customWidth="1"/>
    <col min="10553" max="10794" width="11.42578125" style="6"/>
    <col min="10795" max="10795" width="0.7109375" style="6" customWidth="1"/>
    <col min="10796" max="10796" width="15.140625" style="6" customWidth="1"/>
    <col min="10797" max="10797" width="0.7109375" style="6" customWidth="1"/>
    <col min="10798" max="10798" width="56.140625" style="6" customWidth="1"/>
    <col min="10799" max="10799" width="0.7109375" style="6" customWidth="1"/>
    <col min="10800" max="10800" width="9.140625" style="6" customWidth="1"/>
    <col min="10801" max="10801" width="6" style="6" customWidth="1"/>
    <col min="10802" max="10802" width="0.7109375" style="6" customWidth="1"/>
    <col min="10803" max="10803" width="7.140625" style="6" customWidth="1"/>
    <col min="10804" max="10804" width="6.5703125" style="6" customWidth="1"/>
    <col min="10805" max="10805" width="0.7109375" style="6" customWidth="1"/>
    <col min="10806" max="10806" width="7.85546875" style="6" customWidth="1"/>
    <col min="10807" max="10807" width="10.5703125" style="6" customWidth="1"/>
    <col min="10808" max="10808" width="0.7109375" style="6" customWidth="1"/>
    <col min="10809" max="11050" width="11.42578125" style="6"/>
    <col min="11051" max="11051" width="0.7109375" style="6" customWidth="1"/>
    <col min="11052" max="11052" width="15.140625" style="6" customWidth="1"/>
    <col min="11053" max="11053" width="0.7109375" style="6" customWidth="1"/>
    <col min="11054" max="11054" width="56.140625" style="6" customWidth="1"/>
    <col min="11055" max="11055" width="0.7109375" style="6" customWidth="1"/>
    <col min="11056" max="11056" width="9.140625" style="6" customWidth="1"/>
    <col min="11057" max="11057" width="6" style="6" customWidth="1"/>
    <col min="11058" max="11058" width="0.7109375" style="6" customWidth="1"/>
    <col min="11059" max="11059" width="7.140625" style="6" customWidth="1"/>
    <col min="11060" max="11060" width="6.5703125" style="6" customWidth="1"/>
    <col min="11061" max="11061" width="0.7109375" style="6" customWidth="1"/>
    <col min="11062" max="11062" width="7.85546875" style="6" customWidth="1"/>
    <col min="11063" max="11063" width="10.5703125" style="6" customWidth="1"/>
    <col min="11064" max="11064" width="0.7109375" style="6" customWidth="1"/>
    <col min="11065" max="11306" width="11.42578125" style="6"/>
    <col min="11307" max="11307" width="0.7109375" style="6" customWidth="1"/>
    <col min="11308" max="11308" width="15.140625" style="6" customWidth="1"/>
    <col min="11309" max="11309" width="0.7109375" style="6" customWidth="1"/>
    <col min="11310" max="11310" width="56.140625" style="6" customWidth="1"/>
    <col min="11311" max="11311" width="0.7109375" style="6" customWidth="1"/>
    <col min="11312" max="11312" width="9.140625" style="6" customWidth="1"/>
    <col min="11313" max="11313" width="6" style="6" customWidth="1"/>
    <col min="11314" max="11314" width="0.7109375" style="6" customWidth="1"/>
    <col min="11315" max="11315" width="7.140625" style="6" customWidth="1"/>
    <col min="11316" max="11316" width="6.5703125" style="6" customWidth="1"/>
    <col min="11317" max="11317" width="0.7109375" style="6" customWidth="1"/>
    <col min="11318" max="11318" width="7.85546875" style="6" customWidth="1"/>
    <col min="11319" max="11319" width="10.5703125" style="6" customWidth="1"/>
    <col min="11320" max="11320" width="0.7109375" style="6" customWidth="1"/>
    <col min="11321" max="11562" width="11.42578125" style="6"/>
    <col min="11563" max="11563" width="0.7109375" style="6" customWidth="1"/>
    <col min="11564" max="11564" width="15.140625" style="6" customWidth="1"/>
    <col min="11565" max="11565" width="0.7109375" style="6" customWidth="1"/>
    <col min="11566" max="11566" width="56.140625" style="6" customWidth="1"/>
    <col min="11567" max="11567" width="0.7109375" style="6" customWidth="1"/>
    <col min="11568" max="11568" width="9.140625" style="6" customWidth="1"/>
    <col min="11569" max="11569" width="6" style="6" customWidth="1"/>
    <col min="11570" max="11570" width="0.7109375" style="6" customWidth="1"/>
    <col min="11571" max="11571" width="7.140625" style="6" customWidth="1"/>
    <col min="11572" max="11572" width="6.5703125" style="6" customWidth="1"/>
    <col min="11573" max="11573" width="0.7109375" style="6" customWidth="1"/>
    <col min="11574" max="11574" width="7.85546875" style="6" customWidth="1"/>
    <col min="11575" max="11575" width="10.5703125" style="6" customWidth="1"/>
    <col min="11576" max="11576" width="0.7109375" style="6" customWidth="1"/>
    <col min="11577" max="11818" width="11.42578125" style="6"/>
    <col min="11819" max="11819" width="0.7109375" style="6" customWidth="1"/>
    <col min="11820" max="11820" width="15.140625" style="6" customWidth="1"/>
    <col min="11821" max="11821" width="0.7109375" style="6" customWidth="1"/>
    <col min="11822" max="11822" width="56.140625" style="6" customWidth="1"/>
    <col min="11823" max="11823" width="0.7109375" style="6" customWidth="1"/>
    <col min="11824" max="11824" width="9.140625" style="6" customWidth="1"/>
    <col min="11825" max="11825" width="6" style="6" customWidth="1"/>
    <col min="11826" max="11826" width="0.7109375" style="6" customWidth="1"/>
    <col min="11827" max="11827" width="7.140625" style="6" customWidth="1"/>
    <col min="11828" max="11828" width="6.5703125" style="6" customWidth="1"/>
    <col min="11829" max="11829" width="0.7109375" style="6" customWidth="1"/>
    <col min="11830" max="11830" width="7.85546875" style="6" customWidth="1"/>
    <col min="11831" max="11831" width="10.5703125" style="6" customWidth="1"/>
    <col min="11832" max="11832" width="0.7109375" style="6" customWidth="1"/>
    <col min="11833" max="12074" width="11.42578125" style="6"/>
    <col min="12075" max="12075" width="0.7109375" style="6" customWidth="1"/>
    <col min="12076" max="12076" width="15.140625" style="6" customWidth="1"/>
    <col min="12077" max="12077" width="0.7109375" style="6" customWidth="1"/>
    <col min="12078" max="12078" width="56.140625" style="6" customWidth="1"/>
    <col min="12079" max="12079" width="0.7109375" style="6" customWidth="1"/>
    <col min="12080" max="12080" width="9.140625" style="6" customWidth="1"/>
    <col min="12081" max="12081" width="6" style="6" customWidth="1"/>
    <col min="12082" max="12082" width="0.7109375" style="6" customWidth="1"/>
    <col min="12083" max="12083" width="7.140625" style="6" customWidth="1"/>
    <col min="12084" max="12084" width="6.5703125" style="6" customWidth="1"/>
    <col min="12085" max="12085" width="0.7109375" style="6" customWidth="1"/>
    <col min="12086" max="12086" width="7.85546875" style="6" customWidth="1"/>
    <col min="12087" max="12087" width="10.5703125" style="6" customWidth="1"/>
    <col min="12088" max="12088" width="0.7109375" style="6" customWidth="1"/>
    <col min="12089" max="12330" width="11.42578125" style="6"/>
    <col min="12331" max="12331" width="0.7109375" style="6" customWidth="1"/>
    <col min="12332" max="12332" width="15.140625" style="6" customWidth="1"/>
    <col min="12333" max="12333" width="0.7109375" style="6" customWidth="1"/>
    <col min="12334" max="12334" width="56.140625" style="6" customWidth="1"/>
    <col min="12335" max="12335" width="0.7109375" style="6" customWidth="1"/>
    <col min="12336" max="12336" width="9.140625" style="6" customWidth="1"/>
    <col min="12337" max="12337" width="6" style="6" customWidth="1"/>
    <col min="12338" max="12338" width="0.7109375" style="6" customWidth="1"/>
    <col min="12339" max="12339" width="7.140625" style="6" customWidth="1"/>
    <col min="12340" max="12340" width="6.5703125" style="6" customWidth="1"/>
    <col min="12341" max="12341" width="0.7109375" style="6" customWidth="1"/>
    <col min="12342" max="12342" width="7.85546875" style="6" customWidth="1"/>
    <col min="12343" max="12343" width="10.5703125" style="6" customWidth="1"/>
    <col min="12344" max="12344" width="0.7109375" style="6" customWidth="1"/>
    <col min="12345" max="12586" width="11.42578125" style="6"/>
    <col min="12587" max="12587" width="0.7109375" style="6" customWidth="1"/>
    <col min="12588" max="12588" width="15.140625" style="6" customWidth="1"/>
    <col min="12589" max="12589" width="0.7109375" style="6" customWidth="1"/>
    <col min="12590" max="12590" width="56.140625" style="6" customWidth="1"/>
    <col min="12591" max="12591" width="0.7109375" style="6" customWidth="1"/>
    <col min="12592" max="12592" width="9.140625" style="6" customWidth="1"/>
    <col min="12593" max="12593" width="6" style="6" customWidth="1"/>
    <col min="12594" max="12594" width="0.7109375" style="6" customWidth="1"/>
    <col min="12595" max="12595" width="7.140625" style="6" customWidth="1"/>
    <col min="12596" max="12596" width="6.5703125" style="6" customWidth="1"/>
    <col min="12597" max="12597" width="0.7109375" style="6" customWidth="1"/>
    <col min="12598" max="12598" width="7.85546875" style="6" customWidth="1"/>
    <col min="12599" max="12599" width="10.5703125" style="6" customWidth="1"/>
    <col min="12600" max="12600" width="0.7109375" style="6" customWidth="1"/>
    <col min="12601" max="12842" width="11.42578125" style="6"/>
    <col min="12843" max="12843" width="0.7109375" style="6" customWidth="1"/>
    <col min="12844" max="12844" width="15.140625" style="6" customWidth="1"/>
    <col min="12845" max="12845" width="0.7109375" style="6" customWidth="1"/>
    <col min="12846" max="12846" width="56.140625" style="6" customWidth="1"/>
    <col min="12847" max="12847" width="0.7109375" style="6" customWidth="1"/>
    <col min="12848" max="12848" width="9.140625" style="6" customWidth="1"/>
    <col min="12849" max="12849" width="6" style="6" customWidth="1"/>
    <col min="12850" max="12850" width="0.7109375" style="6" customWidth="1"/>
    <col min="12851" max="12851" width="7.140625" style="6" customWidth="1"/>
    <col min="12852" max="12852" width="6.5703125" style="6" customWidth="1"/>
    <col min="12853" max="12853" width="0.7109375" style="6" customWidth="1"/>
    <col min="12854" max="12854" width="7.85546875" style="6" customWidth="1"/>
    <col min="12855" max="12855" width="10.5703125" style="6" customWidth="1"/>
    <col min="12856" max="12856" width="0.7109375" style="6" customWidth="1"/>
    <col min="12857" max="13098" width="11.42578125" style="6"/>
    <col min="13099" max="13099" width="0.7109375" style="6" customWidth="1"/>
    <col min="13100" max="13100" width="15.140625" style="6" customWidth="1"/>
    <col min="13101" max="13101" width="0.7109375" style="6" customWidth="1"/>
    <col min="13102" max="13102" width="56.140625" style="6" customWidth="1"/>
    <col min="13103" max="13103" width="0.7109375" style="6" customWidth="1"/>
    <col min="13104" max="13104" width="9.140625" style="6" customWidth="1"/>
    <col min="13105" max="13105" width="6" style="6" customWidth="1"/>
    <col min="13106" max="13106" width="0.7109375" style="6" customWidth="1"/>
    <col min="13107" max="13107" width="7.140625" style="6" customWidth="1"/>
    <col min="13108" max="13108" width="6.5703125" style="6" customWidth="1"/>
    <col min="13109" max="13109" width="0.7109375" style="6" customWidth="1"/>
    <col min="13110" max="13110" width="7.85546875" style="6" customWidth="1"/>
    <col min="13111" max="13111" width="10.5703125" style="6" customWidth="1"/>
    <col min="13112" max="13112" width="0.7109375" style="6" customWidth="1"/>
    <col min="13113" max="13354" width="11.42578125" style="6"/>
    <col min="13355" max="13355" width="0.7109375" style="6" customWidth="1"/>
    <col min="13356" max="13356" width="15.140625" style="6" customWidth="1"/>
    <col min="13357" max="13357" width="0.7109375" style="6" customWidth="1"/>
    <col min="13358" max="13358" width="56.140625" style="6" customWidth="1"/>
    <col min="13359" max="13359" width="0.7109375" style="6" customWidth="1"/>
    <col min="13360" max="13360" width="9.140625" style="6" customWidth="1"/>
    <col min="13361" max="13361" width="6" style="6" customWidth="1"/>
    <col min="13362" max="13362" width="0.7109375" style="6" customWidth="1"/>
    <col min="13363" max="13363" width="7.140625" style="6" customWidth="1"/>
    <col min="13364" max="13364" width="6.5703125" style="6" customWidth="1"/>
    <col min="13365" max="13365" width="0.7109375" style="6" customWidth="1"/>
    <col min="13366" max="13366" width="7.85546875" style="6" customWidth="1"/>
    <col min="13367" max="13367" width="10.5703125" style="6" customWidth="1"/>
    <col min="13368" max="13368" width="0.7109375" style="6" customWidth="1"/>
    <col min="13369" max="13610" width="11.42578125" style="6"/>
    <col min="13611" max="13611" width="0.7109375" style="6" customWidth="1"/>
    <col min="13612" max="13612" width="15.140625" style="6" customWidth="1"/>
    <col min="13613" max="13613" width="0.7109375" style="6" customWidth="1"/>
    <col min="13614" max="13614" width="56.140625" style="6" customWidth="1"/>
    <col min="13615" max="13615" width="0.7109375" style="6" customWidth="1"/>
    <col min="13616" max="13616" width="9.140625" style="6" customWidth="1"/>
    <col min="13617" max="13617" width="6" style="6" customWidth="1"/>
    <col min="13618" max="13618" width="0.7109375" style="6" customWidth="1"/>
    <col min="13619" max="13619" width="7.140625" style="6" customWidth="1"/>
    <col min="13620" max="13620" width="6.5703125" style="6" customWidth="1"/>
    <col min="13621" max="13621" width="0.7109375" style="6" customWidth="1"/>
    <col min="13622" max="13622" width="7.85546875" style="6" customWidth="1"/>
    <col min="13623" max="13623" width="10.5703125" style="6" customWidth="1"/>
    <col min="13624" max="13624" width="0.7109375" style="6" customWidth="1"/>
    <col min="13625" max="16384" width="11.42578125" style="6"/>
  </cols>
  <sheetData>
    <row r="1" spans="1:19" ht="20.100000000000001" customHeight="1" x14ac:dyDescent="0.25">
      <c r="A1" s="1" t="s">
        <v>0</v>
      </c>
      <c r="B1" s="2" t="s">
        <v>220</v>
      </c>
      <c r="C1" s="3"/>
      <c r="D1" s="4"/>
      <c r="E1" s="4"/>
      <c r="F1" s="4"/>
      <c r="G1" s="4"/>
      <c r="H1" s="4"/>
      <c r="I1" s="4"/>
      <c r="J1" s="4"/>
      <c r="K1" s="4"/>
      <c r="L1" s="5"/>
      <c r="O1" s="7" t="s">
        <v>1</v>
      </c>
    </row>
    <row r="2" spans="1:19" ht="20.100000000000001" customHeight="1" x14ac:dyDescent="0.25">
      <c r="A2" s="8" t="s">
        <v>2</v>
      </c>
      <c r="B2" s="9" t="s">
        <v>3</v>
      </c>
      <c r="C2" s="10"/>
      <c r="D2" s="11"/>
      <c r="E2" s="11"/>
      <c r="F2" s="11"/>
      <c r="G2" s="11"/>
      <c r="H2" s="11"/>
      <c r="I2" s="11"/>
      <c r="J2" s="11"/>
      <c r="K2" s="11"/>
      <c r="L2" s="12"/>
      <c r="O2" s="13" t="s">
        <v>4</v>
      </c>
    </row>
    <row r="3" spans="1:19" ht="20.100000000000001" customHeight="1" x14ac:dyDescent="0.25">
      <c r="A3" s="8" t="s">
        <v>5</v>
      </c>
      <c r="B3" s="9" t="s">
        <v>231</v>
      </c>
      <c r="C3" s="10"/>
      <c r="D3" s="11"/>
      <c r="E3" s="11"/>
      <c r="F3" s="11"/>
      <c r="G3" s="11"/>
      <c r="H3" s="11"/>
      <c r="I3" s="11"/>
      <c r="J3" s="11"/>
      <c r="K3" s="11"/>
      <c r="L3" s="12"/>
      <c r="O3" s="7" t="s">
        <v>6</v>
      </c>
    </row>
    <row r="4" spans="1:19" ht="20.100000000000001" customHeight="1" x14ac:dyDescent="0.25">
      <c r="A4" s="14" t="s">
        <v>7</v>
      </c>
      <c r="B4" s="15">
        <v>0</v>
      </c>
      <c r="C4" s="16"/>
      <c r="D4" s="17"/>
      <c r="E4" s="17"/>
      <c r="F4" s="17"/>
      <c r="G4" s="17"/>
      <c r="H4" s="17"/>
      <c r="I4" s="17"/>
      <c r="J4" s="17"/>
      <c r="K4" s="17"/>
      <c r="L4" s="18"/>
      <c r="O4" s="7" t="s">
        <v>8</v>
      </c>
    </row>
    <row r="5" spans="1:19" ht="30" customHeight="1" x14ac:dyDescent="0.25">
      <c r="A5" s="1192" t="s">
        <v>2879</v>
      </c>
      <c r="B5" s="1193"/>
      <c r="C5" s="1193"/>
      <c r="D5" s="1193"/>
      <c r="E5" s="1193"/>
      <c r="F5" s="1193"/>
      <c r="G5" s="1193"/>
      <c r="H5" s="1193"/>
      <c r="I5" s="1193"/>
      <c r="J5" s="1193"/>
      <c r="K5" s="1193"/>
      <c r="L5" s="1194"/>
      <c r="O5" s="7" t="s">
        <v>9</v>
      </c>
    </row>
    <row r="6" spans="1:19" ht="18" customHeight="1" x14ac:dyDescent="0.25">
      <c r="A6" s="19" t="s">
        <v>10</v>
      </c>
      <c r="B6" s="20" t="s">
        <v>11</v>
      </c>
      <c r="C6" s="21"/>
      <c r="D6" s="22"/>
      <c r="E6" s="22"/>
      <c r="F6" s="22"/>
      <c r="G6" s="22"/>
      <c r="H6" s="22"/>
      <c r="I6" s="22"/>
      <c r="J6" s="22"/>
      <c r="K6" s="20" t="s">
        <v>12</v>
      </c>
      <c r="L6" s="23"/>
      <c r="O6" s="7" t="s">
        <v>13</v>
      </c>
    </row>
    <row r="7" spans="1:19" ht="18" customHeight="1" x14ac:dyDescent="0.25">
      <c r="A7" s="24" t="s">
        <v>14</v>
      </c>
      <c r="B7" s="25" t="s">
        <v>15</v>
      </c>
      <c r="C7" s="26"/>
      <c r="D7" s="26"/>
      <c r="E7" s="26"/>
      <c r="F7" s="26"/>
      <c r="G7" s="26"/>
      <c r="H7" s="26"/>
      <c r="I7" s="26"/>
      <c r="J7" s="26"/>
      <c r="K7" s="27"/>
      <c r="L7" s="28" t="s">
        <v>16</v>
      </c>
      <c r="O7" s="7" t="s">
        <v>17</v>
      </c>
    </row>
    <row r="8" spans="1:19" ht="24.95" customHeight="1" x14ac:dyDescent="0.25">
      <c r="A8" s="29" t="s">
        <v>18</v>
      </c>
      <c r="B8" s="30"/>
      <c r="C8" s="30" t="s">
        <v>19</v>
      </c>
      <c r="D8" s="31"/>
      <c r="E8" s="31"/>
      <c r="F8" s="31"/>
      <c r="G8" s="31"/>
      <c r="H8" s="31"/>
      <c r="I8" s="32"/>
      <c r="J8" s="33"/>
      <c r="K8" s="33"/>
      <c r="L8" s="34"/>
      <c r="O8" s="35" t="s">
        <v>20</v>
      </c>
    </row>
    <row r="9" spans="1:19" ht="21" customHeight="1" x14ac:dyDescent="0.25">
      <c r="A9" s="1195" t="s">
        <v>10</v>
      </c>
      <c r="B9" s="1195" t="s">
        <v>21</v>
      </c>
      <c r="C9" s="1197" t="s">
        <v>22</v>
      </c>
      <c r="D9" s="1199" t="s">
        <v>23</v>
      </c>
      <c r="E9" s="1199" t="s">
        <v>24</v>
      </c>
      <c r="F9" s="1199" t="s">
        <v>25</v>
      </c>
      <c r="G9" s="1199" t="s">
        <v>26</v>
      </c>
      <c r="H9" s="1201" t="s">
        <v>27</v>
      </c>
      <c r="I9" s="1202"/>
      <c r="J9" s="37" t="s">
        <v>28</v>
      </c>
      <c r="K9" s="38"/>
      <c r="L9" s="36" t="s">
        <v>28</v>
      </c>
    </row>
    <row r="10" spans="1:19" ht="21" customHeight="1" x14ac:dyDescent="0.25">
      <c r="A10" s="1196"/>
      <c r="B10" s="1196"/>
      <c r="C10" s="1198"/>
      <c r="D10" s="1200"/>
      <c r="E10" s="1200"/>
      <c r="F10" s="1200"/>
      <c r="G10" s="1200"/>
      <c r="H10" s="1203"/>
      <c r="I10" s="1204"/>
      <c r="J10" s="39" t="s">
        <v>29</v>
      </c>
      <c r="K10" s="40"/>
      <c r="L10" s="41" t="s">
        <v>30</v>
      </c>
    </row>
    <row r="11" spans="1:19" ht="30" customHeight="1" x14ac:dyDescent="0.25">
      <c r="A11" s="42">
        <v>90777</v>
      </c>
      <c r="B11" s="43" t="s">
        <v>1</v>
      </c>
      <c r="C11" s="44" t="s">
        <v>2884</v>
      </c>
      <c r="D11" s="45">
        <v>4</v>
      </c>
      <c r="E11" s="45">
        <v>22</v>
      </c>
      <c r="F11" s="46">
        <v>6</v>
      </c>
      <c r="G11" s="46">
        <f t="shared" ref="G11:G16" si="0">D11*E11*F11</f>
        <v>528</v>
      </c>
      <c r="H11" s="1177" t="s">
        <v>2890</v>
      </c>
      <c r="I11" s="1178" t="s">
        <v>2884</v>
      </c>
      <c r="J11" s="1179">
        <v>116.87</v>
      </c>
      <c r="K11" s="1180"/>
      <c r="L11" s="47">
        <f t="shared" ref="L11:L16" si="1">TRUNC(G11*J11,2)</f>
        <v>61707.360000000001</v>
      </c>
    </row>
    <row r="12" spans="1:19" ht="30" customHeight="1" x14ac:dyDescent="0.25">
      <c r="A12" s="42">
        <v>90776</v>
      </c>
      <c r="B12" s="43" t="s">
        <v>1</v>
      </c>
      <c r="C12" s="44" t="s">
        <v>2885</v>
      </c>
      <c r="D12" s="45">
        <v>8</v>
      </c>
      <c r="E12" s="45">
        <v>22</v>
      </c>
      <c r="F12" s="46">
        <v>6</v>
      </c>
      <c r="G12" s="46">
        <f t="shared" si="0"/>
        <v>1056</v>
      </c>
      <c r="H12" s="1177" t="s">
        <v>2890</v>
      </c>
      <c r="I12" s="1178" t="s">
        <v>2885</v>
      </c>
      <c r="J12" s="1179">
        <v>29.84</v>
      </c>
      <c r="K12" s="1180"/>
      <c r="L12" s="47">
        <f t="shared" si="1"/>
        <v>31511.040000000001</v>
      </c>
    </row>
    <row r="13" spans="1:19" ht="30" customHeight="1" x14ac:dyDescent="0.25">
      <c r="A13" s="42">
        <v>90781</v>
      </c>
      <c r="B13" s="43" t="s">
        <v>1</v>
      </c>
      <c r="C13" s="44" t="s">
        <v>2886</v>
      </c>
      <c r="D13" s="45">
        <v>6</v>
      </c>
      <c r="E13" s="45">
        <v>22</v>
      </c>
      <c r="F13" s="46">
        <v>6</v>
      </c>
      <c r="G13" s="46">
        <f t="shared" si="0"/>
        <v>792</v>
      </c>
      <c r="H13" s="1177" t="s">
        <v>2890</v>
      </c>
      <c r="I13" s="1178" t="s">
        <v>2886</v>
      </c>
      <c r="J13" s="1179">
        <v>22.13</v>
      </c>
      <c r="K13" s="1180"/>
      <c r="L13" s="47">
        <f t="shared" si="1"/>
        <v>17526.96</v>
      </c>
    </row>
    <row r="14" spans="1:19" ht="30" customHeight="1" x14ac:dyDescent="0.25">
      <c r="A14" s="48">
        <v>88321</v>
      </c>
      <c r="B14" s="43" t="s">
        <v>1</v>
      </c>
      <c r="C14" s="44" t="s">
        <v>2887</v>
      </c>
      <c r="D14" s="45">
        <v>6</v>
      </c>
      <c r="E14" s="45">
        <v>22</v>
      </c>
      <c r="F14" s="45">
        <v>5</v>
      </c>
      <c r="G14" s="45">
        <f t="shared" si="0"/>
        <v>660</v>
      </c>
      <c r="H14" s="1177" t="s">
        <v>2890</v>
      </c>
      <c r="I14" s="1178" t="s">
        <v>2887</v>
      </c>
      <c r="J14" s="1179">
        <v>29.68</v>
      </c>
      <c r="K14" s="1180"/>
      <c r="L14" s="47">
        <f t="shared" si="1"/>
        <v>19588.8</v>
      </c>
      <c r="P14" s="1188"/>
      <c r="Q14" s="1189"/>
      <c r="R14" s="1190"/>
      <c r="S14" s="1191"/>
    </row>
    <row r="15" spans="1:19" ht="30" customHeight="1" x14ac:dyDescent="0.25">
      <c r="A15" s="48">
        <v>88249</v>
      </c>
      <c r="B15" s="43" t="s">
        <v>1</v>
      </c>
      <c r="C15" s="44" t="s">
        <v>2888</v>
      </c>
      <c r="D15" s="45">
        <v>6</v>
      </c>
      <c r="E15" s="45">
        <v>22</v>
      </c>
      <c r="F15" s="45">
        <v>5</v>
      </c>
      <c r="G15" s="45">
        <f t="shared" si="0"/>
        <v>660</v>
      </c>
      <c r="H15" s="1177" t="s">
        <v>2890</v>
      </c>
      <c r="I15" s="1178" t="s">
        <v>2888</v>
      </c>
      <c r="J15" s="1179">
        <v>27.19</v>
      </c>
      <c r="K15" s="1180"/>
      <c r="L15" s="47">
        <f t="shared" si="1"/>
        <v>17945.400000000001</v>
      </c>
      <c r="P15" s="1188"/>
      <c r="Q15" s="1189"/>
      <c r="R15" s="1190"/>
      <c r="S15" s="1191"/>
    </row>
    <row r="16" spans="1:19" ht="30" customHeight="1" x14ac:dyDescent="0.25">
      <c r="A16" s="49">
        <v>88253</v>
      </c>
      <c r="B16" s="43" t="s">
        <v>1</v>
      </c>
      <c r="C16" s="44" t="s">
        <v>2889</v>
      </c>
      <c r="D16" s="45">
        <v>6</v>
      </c>
      <c r="E16" s="45">
        <v>22</v>
      </c>
      <c r="F16" s="45">
        <v>6</v>
      </c>
      <c r="G16" s="45">
        <f t="shared" si="0"/>
        <v>792</v>
      </c>
      <c r="H16" s="1177" t="s">
        <v>2890</v>
      </c>
      <c r="I16" s="1178" t="s">
        <v>2889</v>
      </c>
      <c r="J16" s="1179">
        <v>11.13</v>
      </c>
      <c r="K16" s="1180"/>
      <c r="L16" s="47">
        <f t="shared" si="1"/>
        <v>8814.9599999999991</v>
      </c>
      <c r="P16" s="1181"/>
      <c r="Q16" s="1182"/>
      <c r="R16" s="1183"/>
      <c r="S16" s="1184"/>
    </row>
    <row r="17" spans="1:19" ht="30" customHeight="1" x14ac:dyDescent="0.25">
      <c r="A17" s="1185" t="s">
        <v>31</v>
      </c>
      <c r="B17" s="1186"/>
      <c r="C17" s="1186"/>
      <c r="D17" s="1186"/>
      <c r="E17" s="1186"/>
      <c r="F17" s="1186"/>
      <c r="G17" s="1186"/>
      <c r="H17" s="1186"/>
      <c r="I17" s="1186"/>
      <c r="J17" s="1186"/>
      <c r="K17" s="1187"/>
      <c r="L17" s="52">
        <f>SUM(L11:L16)</f>
        <v>157094.51999999999</v>
      </c>
      <c r="O17" s="7"/>
      <c r="P17" s="1181"/>
      <c r="Q17" s="1182"/>
      <c r="R17" s="1183"/>
      <c r="S17" s="1184"/>
    </row>
    <row r="18" spans="1:19" x14ac:dyDescent="0.25">
      <c r="O18" s="54"/>
    </row>
  </sheetData>
  <mergeCells count="30">
    <mergeCell ref="A5:L5"/>
    <mergeCell ref="A9:A10"/>
    <mergeCell ref="B9:B10"/>
    <mergeCell ref="C9:C10"/>
    <mergeCell ref="D9:D10"/>
    <mergeCell ref="E9:E10"/>
    <mergeCell ref="F9:F10"/>
    <mergeCell ref="G9:G10"/>
    <mergeCell ref="H9:I10"/>
    <mergeCell ref="H11:I11"/>
    <mergeCell ref="J11:K11"/>
    <mergeCell ref="H12:I12"/>
    <mergeCell ref="J12:K12"/>
    <mergeCell ref="H13:I13"/>
    <mergeCell ref="J13:K13"/>
    <mergeCell ref="H14:I14"/>
    <mergeCell ref="J14:K14"/>
    <mergeCell ref="P14:Q14"/>
    <mergeCell ref="R14:S14"/>
    <mergeCell ref="H15:I15"/>
    <mergeCell ref="J15:K15"/>
    <mergeCell ref="P15:Q15"/>
    <mergeCell ref="R15:S15"/>
    <mergeCell ref="H16:I16"/>
    <mergeCell ref="J16:K16"/>
    <mergeCell ref="P16:Q16"/>
    <mergeCell ref="R16:S16"/>
    <mergeCell ref="A17:K17"/>
    <mergeCell ref="P17:Q17"/>
    <mergeCell ref="R17:S17"/>
  </mergeCells>
  <dataValidations disablePrompts="1" count="1">
    <dataValidation type="list" allowBlank="1" showInputMessage="1" showErrorMessage="1" sqref="B11:B16" xr:uid="{7AF59CF4-E5BF-4BA1-B07C-5751EB3220F8}">
      <formula1>$O$1:$O$8</formula1>
    </dataValidation>
  </dataValidations>
  <printOptions horizontalCentered="1"/>
  <pageMargins left="0.59055118110236227" right="0.59055118110236227" top="1.7716535433070868" bottom="0.78740157480314965" header="0" footer="0"/>
  <pageSetup paperSize="9" orientation="landscape" r:id="rId1"/>
  <headerFooter scaleWithDoc="0">
    <oddHeader>&amp;L&amp;G</oddHeader>
    <oddFooter>&amp;C&amp;"-,Negrito"&amp;12DIONI CAETANEO DE OLIVEIRA
&amp;"-,Regular"ENGENHEIRO CIVIL - CREA /MT 40957
DEPARTAMENTO DE ENGENHARIA</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347B-101A-4D4A-B46F-AA4CC58FF551}">
  <sheetPr>
    <tabColor rgb="FF00B050"/>
  </sheetPr>
  <dimension ref="A1:N43"/>
  <sheetViews>
    <sheetView showGridLines="0" view="pageLayout" zoomScaleNormal="95" zoomScaleSheetLayoutView="95" workbookViewId="0">
      <selection activeCell="G47" sqref="G47"/>
    </sheetView>
  </sheetViews>
  <sheetFormatPr defaultRowHeight="12.75" x14ac:dyDescent="0.2"/>
  <cols>
    <col min="1" max="1" width="15.85546875" style="158" customWidth="1"/>
    <col min="2" max="2" width="32.85546875" style="158" customWidth="1"/>
    <col min="3" max="3" width="10.42578125" style="158" customWidth="1"/>
    <col min="4" max="4" width="10" style="158" customWidth="1"/>
    <col min="5" max="5" width="12" style="158" customWidth="1"/>
    <col min="6" max="8" width="12.85546875" style="158" customWidth="1"/>
    <col min="9" max="9" width="11.85546875" style="158" customWidth="1"/>
    <col min="10" max="10" width="13.28515625" style="158" customWidth="1"/>
    <col min="11" max="11" width="14.5703125" style="158" customWidth="1"/>
    <col min="12" max="12" width="12.42578125" style="158" customWidth="1"/>
    <col min="13" max="13" width="2.7109375" style="158" customWidth="1"/>
    <col min="14" max="256" width="9.140625" style="158"/>
    <col min="257" max="257" width="15.85546875" style="158" customWidth="1"/>
    <col min="258" max="258" width="32.85546875" style="158" customWidth="1"/>
    <col min="259" max="259" width="10.42578125" style="158" customWidth="1"/>
    <col min="260" max="260" width="10" style="158" customWidth="1"/>
    <col min="261" max="261" width="12" style="158" customWidth="1"/>
    <col min="262" max="264" width="12.85546875" style="158" customWidth="1"/>
    <col min="265" max="265" width="11.85546875" style="158" customWidth="1"/>
    <col min="266" max="266" width="13.28515625" style="158" customWidth="1"/>
    <col min="267" max="267" width="14.5703125" style="158" customWidth="1"/>
    <col min="268" max="268" width="12.42578125" style="158" customWidth="1"/>
    <col min="269" max="269" width="2.7109375" style="158" customWidth="1"/>
    <col min="270" max="512" width="9.140625" style="158"/>
    <col min="513" max="513" width="15.85546875" style="158" customWidth="1"/>
    <col min="514" max="514" width="32.85546875" style="158" customWidth="1"/>
    <col min="515" max="515" width="10.42578125" style="158" customWidth="1"/>
    <col min="516" max="516" width="10" style="158" customWidth="1"/>
    <col min="517" max="517" width="12" style="158" customWidth="1"/>
    <col min="518" max="520" width="12.85546875" style="158" customWidth="1"/>
    <col min="521" max="521" width="11.85546875" style="158" customWidth="1"/>
    <col min="522" max="522" width="13.28515625" style="158" customWidth="1"/>
    <col min="523" max="523" width="14.5703125" style="158" customWidth="1"/>
    <col min="524" max="524" width="12.42578125" style="158" customWidth="1"/>
    <col min="525" max="525" width="2.7109375" style="158" customWidth="1"/>
    <col min="526" max="768" width="9.140625" style="158"/>
    <col min="769" max="769" width="15.85546875" style="158" customWidth="1"/>
    <col min="770" max="770" width="32.85546875" style="158" customWidth="1"/>
    <col min="771" max="771" width="10.42578125" style="158" customWidth="1"/>
    <col min="772" max="772" width="10" style="158" customWidth="1"/>
    <col min="773" max="773" width="12" style="158" customWidth="1"/>
    <col min="774" max="776" width="12.85546875" style="158" customWidth="1"/>
    <col min="777" max="777" width="11.85546875" style="158" customWidth="1"/>
    <col min="778" max="778" width="13.28515625" style="158" customWidth="1"/>
    <col min="779" max="779" width="14.5703125" style="158" customWidth="1"/>
    <col min="780" max="780" width="12.42578125" style="158" customWidth="1"/>
    <col min="781" max="781" width="2.7109375" style="158" customWidth="1"/>
    <col min="782" max="1024" width="9.140625" style="158"/>
    <col min="1025" max="1025" width="15.85546875" style="158" customWidth="1"/>
    <col min="1026" max="1026" width="32.85546875" style="158" customWidth="1"/>
    <col min="1027" max="1027" width="10.42578125" style="158" customWidth="1"/>
    <col min="1028" max="1028" width="10" style="158" customWidth="1"/>
    <col min="1029" max="1029" width="12" style="158" customWidth="1"/>
    <col min="1030" max="1032" width="12.85546875" style="158" customWidth="1"/>
    <col min="1033" max="1033" width="11.85546875" style="158" customWidth="1"/>
    <col min="1034" max="1034" width="13.28515625" style="158" customWidth="1"/>
    <col min="1035" max="1035" width="14.5703125" style="158" customWidth="1"/>
    <col min="1036" max="1036" width="12.42578125" style="158" customWidth="1"/>
    <col min="1037" max="1037" width="2.7109375" style="158" customWidth="1"/>
    <col min="1038" max="1280" width="9.140625" style="158"/>
    <col min="1281" max="1281" width="15.85546875" style="158" customWidth="1"/>
    <col min="1282" max="1282" width="32.85546875" style="158" customWidth="1"/>
    <col min="1283" max="1283" width="10.42578125" style="158" customWidth="1"/>
    <col min="1284" max="1284" width="10" style="158" customWidth="1"/>
    <col min="1285" max="1285" width="12" style="158" customWidth="1"/>
    <col min="1286" max="1288" width="12.85546875" style="158" customWidth="1"/>
    <col min="1289" max="1289" width="11.85546875" style="158" customWidth="1"/>
    <col min="1290" max="1290" width="13.28515625" style="158" customWidth="1"/>
    <col min="1291" max="1291" width="14.5703125" style="158" customWidth="1"/>
    <col min="1292" max="1292" width="12.42578125" style="158" customWidth="1"/>
    <col min="1293" max="1293" width="2.7109375" style="158" customWidth="1"/>
    <col min="1294" max="1536" width="9.140625" style="158"/>
    <col min="1537" max="1537" width="15.85546875" style="158" customWidth="1"/>
    <col min="1538" max="1538" width="32.85546875" style="158" customWidth="1"/>
    <col min="1539" max="1539" width="10.42578125" style="158" customWidth="1"/>
    <col min="1540" max="1540" width="10" style="158" customWidth="1"/>
    <col min="1541" max="1541" width="12" style="158" customWidth="1"/>
    <col min="1542" max="1544" width="12.85546875" style="158" customWidth="1"/>
    <col min="1545" max="1545" width="11.85546875" style="158" customWidth="1"/>
    <col min="1546" max="1546" width="13.28515625" style="158" customWidth="1"/>
    <col min="1547" max="1547" width="14.5703125" style="158" customWidth="1"/>
    <col min="1548" max="1548" width="12.42578125" style="158" customWidth="1"/>
    <col min="1549" max="1549" width="2.7109375" style="158" customWidth="1"/>
    <col min="1550" max="1792" width="9.140625" style="158"/>
    <col min="1793" max="1793" width="15.85546875" style="158" customWidth="1"/>
    <col min="1794" max="1794" width="32.85546875" style="158" customWidth="1"/>
    <col min="1795" max="1795" width="10.42578125" style="158" customWidth="1"/>
    <col min="1796" max="1796" width="10" style="158" customWidth="1"/>
    <col min="1797" max="1797" width="12" style="158" customWidth="1"/>
    <col min="1798" max="1800" width="12.85546875" style="158" customWidth="1"/>
    <col min="1801" max="1801" width="11.85546875" style="158" customWidth="1"/>
    <col min="1802" max="1802" width="13.28515625" style="158" customWidth="1"/>
    <col min="1803" max="1803" width="14.5703125" style="158" customWidth="1"/>
    <col min="1804" max="1804" width="12.42578125" style="158" customWidth="1"/>
    <col min="1805" max="1805" width="2.7109375" style="158" customWidth="1"/>
    <col min="1806" max="2048" width="9.140625" style="158"/>
    <col min="2049" max="2049" width="15.85546875" style="158" customWidth="1"/>
    <col min="2050" max="2050" width="32.85546875" style="158" customWidth="1"/>
    <col min="2051" max="2051" width="10.42578125" style="158" customWidth="1"/>
    <col min="2052" max="2052" width="10" style="158" customWidth="1"/>
    <col min="2053" max="2053" width="12" style="158" customWidth="1"/>
    <col min="2054" max="2056" width="12.85546875" style="158" customWidth="1"/>
    <col min="2057" max="2057" width="11.85546875" style="158" customWidth="1"/>
    <col min="2058" max="2058" width="13.28515625" style="158" customWidth="1"/>
    <col min="2059" max="2059" width="14.5703125" style="158" customWidth="1"/>
    <col min="2060" max="2060" width="12.42578125" style="158" customWidth="1"/>
    <col min="2061" max="2061" width="2.7109375" style="158" customWidth="1"/>
    <col min="2062" max="2304" width="9.140625" style="158"/>
    <col min="2305" max="2305" width="15.85546875" style="158" customWidth="1"/>
    <col min="2306" max="2306" width="32.85546875" style="158" customWidth="1"/>
    <col min="2307" max="2307" width="10.42578125" style="158" customWidth="1"/>
    <col min="2308" max="2308" width="10" style="158" customWidth="1"/>
    <col min="2309" max="2309" width="12" style="158" customWidth="1"/>
    <col min="2310" max="2312" width="12.85546875" style="158" customWidth="1"/>
    <col min="2313" max="2313" width="11.85546875" style="158" customWidth="1"/>
    <col min="2314" max="2314" width="13.28515625" style="158" customWidth="1"/>
    <col min="2315" max="2315" width="14.5703125" style="158" customWidth="1"/>
    <col min="2316" max="2316" width="12.42578125" style="158" customWidth="1"/>
    <col min="2317" max="2317" width="2.7109375" style="158" customWidth="1"/>
    <col min="2318" max="2560" width="9.140625" style="158"/>
    <col min="2561" max="2561" width="15.85546875" style="158" customWidth="1"/>
    <col min="2562" max="2562" width="32.85546875" style="158" customWidth="1"/>
    <col min="2563" max="2563" width="10.42578125" style="158" customWidth="1"/>
    <col min="2564" max="2564" width="10" style="158" customWidth="1"/>
    <col min="2565" max="2565" width="12" style="158" customWidth="1"/>
    <col min="2566" max="2568" width="12.85546875" style="158" customWidth="1"/>
    <col min="2569" max="2569" width="11.85546875" style="158" customWidth="1"/>
    <col min="2570" max="2570" width="13.28515625" style="158" customWidth="1"/>
    <col min="2571" max="2571" width="14.5703125" style="158" customWidth="1"/>
    <col min="2572" max="2572" width="12.42578125" style="158" customWidth="1"/>
    <col min="2573" max="2573" width="2.7109375" style="158" customWidth="1"/>
    <col min="2574" max="2816" width="9.140625" style="158"/>
    <col min="2817" max="2817" width="15.85546875" style="158" customWidth="1"/>
    <col min="2818" max="2818" width="32.85546875" style="158" customWidth="1"/>
    <col min="2819" max="2819" width="10.42578125" style="158" customWidth="1"/>
    <col min="2820" max="2820" width="10" style="158" customWidth="1"/>
    <col min="2821" max="2821" width="12" style="158" customWidth="1"/>
    <col min="2822" max="2824" width="12.85546875" style="158" customWidth="1"/>
    <col min="2825" max="2825" width="11.85546875" style="158" customWidth="1"/>
    <col min="2826" max="2826" width="13.28515625" style="158" customWidth="1"/>
    <col min="2827" max="2827" width="14.5703125" style="158" customWidth="1"/>
    <col min="2828" max="2828" width="12.42578125" style="158" customWidth="1"/>
    <col min="2829" max="2829" width="2.7109375" style="158" customWidth="1"/>
    <col min="2830" max="3072" width="9.140625" style="158"/>
    <col min="3073" max="3073" width="15.85546875" style="158" customWidth="1"/>
    <col min="3074" max="3074" width="32.85546875" style="158" customWidth="1"/>
    <col min="3075" max="3075" width="10.42578125" style="158" customWidth="1"/>
    <col min="3076" max="3076" width="10" style="158" customWidth="1"/>
    <col min="3077" max="3077" width="12" style="158" customWidth="1"/>
    <col min="3078" max="3080" width="12.85546875" style="158" customWidth="1"/>
    <col min="3081" max="3081" width="11.85546875" style="158" customWidth="1"/>
    <col min="3082" max="3082" width="13.28515625" style="158" customWidth="1"/>
    <col min="3083" max="3083" width="14.5703125" style="158" customWidth="1"/>
    <col min="3084" max="3084" width="12.42578125" style="158" customWidth="1"/>
    <col min="3085" max="3085" width="2.7109375" style="158" customWidth="1"/>
    <col min="3086" max="3328" width="9.140625" style="158"/>
    <col min="3329" max="3329" width="15.85546875" style="158" customWidth="1"/>
    <col min="3330" max="3330" width="32.85546875" style="158" customWidth="1"/>
    <col min="3331" max="3331" width="10.42578125" style="158" customWidth="1"/>
    <col min="3332" max="3332" width="10" style="158" customWidth="1"/>
    <col min="3333" max="3333" width="12" style="158" customWidth="1"/>
    <col min="3334" max="3336" width="12.85546875" style="158" customWidth="1"/>
    <col min="3337" max="3337" width="11.85546875" style="158" customWidth="1"/>
    <col min="3338" max="3338" width="13.28515625" style="158" customWidth="1"/>
    <col min="3339" max="3339" width="14.5703125" style="158" customWidth="1"/>
    <col min="3340" max="3340" width="12.42578125" style="158" customWidth="1"/>
    <col min="3341" max="3341" width="2.7109375" style="158" customWidth="1"/>
    <col min="3342" max="3584" width="9.140625" style="158"/>
    <col min="3585" max="3585" width="15.85546875" style="158" customWidth="1"/>
    <col min="3586" max="3586" width="32.85546875" style="158" customWidth="1"/>
    <col min="3587" max="3587" width="10.42578125" style="158" customWidth="1"/>
    <col min="3588" max="3588" width="10" style="158" customWidth="1"/>
    <col min="3589" max="3589" width="12" style="158" customWidth="1"/>
    <col min="3590" max="3592" width="12.85546875" style="158" customWidth="1"/>
    <col min="3593" max="3593" width="11.85546875" style="158" customWidth="1"/>
    <col min="3594" max="3594" width="13.28515625" style="158" customWidth="1"/>
    <col min="3595" max="3595" width="14.5703125" style="158" customWidth="1"/>
    <col min="3596" max="3596" width="12.42578125" style="158" customWidth="1"/>
    <col min="3597" max="3597" width="2.7109375" style="158" customWidth="1"/>
    <col min="3598" max="3840" width="9.140625" style="158"/>
    <col min="3841" max="3841" width="15.85546875" style="158" customWidth="1"/>
    <col min="3842" max="3842" width="32.85546875" style="158" customWidth="1"/>
    <col min="3843" max="3843" width="10.42578125" style="158" customWidth="1"/>
    <col min="3844" max="3844" width="10" style="158" customWidth="1"/>
    <col min="3845" max="3845" width="12" style="158" customWidth="1"/>
    <col min="3846" max="3848" width="12.85546875" style="158" customWidth="1"/>
    <col min="3849" max="3849" width="11.85546875" style="158" customWidth="1"/>
    <col min="3850" max="3850" width="13.28515625" style="158" customWidth="1"/>
    <col min="3851" max="3851" width="14.5703125" style="158" customWidth="1"/>
    <col min="3852" max="3852" width="12.42578125" style="158" customWidth="1"/>
    <col min="3853" max="3853" width="2.7109375" style="158" customWidth="1"/>
    <col min="3854" max="4096" width="9.140625" style="158"/>
    <col min="4097" max="4097" width="15.85546875" style="158" customWidth="1"/>
    <col min="4098" max="4098" width="32.85546875" style="158" customWidth="1"/>
    <col min="4099" max="4099" width="10.42578125" style="158" customWidth="1"/>
    <col min="4100" max="4100" width="10" style="158" customWidth="1"/>
    <col min="4101" max="4101" width="12" style="158" customWidth="1"/>
    <col min="4102" max="4104" width="12.85546875" style="158" customWidth="1"/>
    <col min="4105" max="4105" width="11.85546875" style="158" customWidth="1"/>
    <col min="4106" max="4106" width="13.28515625" style="158" customWidth="1"/>
    <col min="4107" max="4107" width="14.5703125" style="158" customWidth="1"/>
    <col min="4108" max="4108" width="12.42578125" style="158" customWidth="1"/>
    <col min="4109" max="4109" width="2.7109375" style="158" customWidth="1"/>
    <col min="4110" max="4352" width="9.140625" style="158"/>
    <col min="4353" max="4353" width="15.85546875" style="158" customWidth="1"/>
    <col min="4354" max="4354" width="32.85546875" style="158" customWidth="1"/>
    <col min="4355" max="4355" width="10.42578125" style="158" customWidth="1"/>
    <col min="4356" max="4356" width="10" style="158" customWidth="1"/>
    <col min="4357" max="4357" width="12" style="158" customWidth="1"/>
    <col min="4358" max="4360" width="12.85546875" style="158" customWidth="1"/>
    <col min="4361" max="4361" width="11.85546875" style="158" customWidth="1"/>
    <col min="4362" max="4362" width="13.28515625" style="158" customWidth="1"/>
    <col min="4363" max="4363" width="14.5703125" style="158" customWidth="1"/>
    <col min="4364" max="4364" width="12.42578125" style="158" customWidth="1"/>
    <col min="4365" max="4365" width="2.7109375" style="158" customWidth="1"/>
    <col min="4366" max="4608" width="9.140625" style="158"/>
    <col min="4609" max="4609" width="15.85546875" style="158" customWidth="1"/>
    <col min="4610" max="4610" width="32.85546875" style="158" customWidth="1"/>
    <col min="4611" max="4611" width="10.42578125" style="158" customWidth="1"/>
    <col min="4612" max="4612" width="10" style="158" customWidth="1"/>
    <col min="4613" max="4613" width="12" style="158" customWidth="1"/>
    <col min="4614" max="4616" width="12.85546875" style="158" customWidth="1"/>
    <col min="4617" max="4617" width="11.85546875" style="158" customWidth="1"/>
    <col min="4618" max="4618" width="13.28515625" style="158" customWidth="1"/>
    <col min="4619" max="4619" width="14.5703125" style="158" customWidth="1"/>
    <col min="4620" max="4620" width="12.42578125" style="158" customWidth="1"/>
    <col min="4621" max="4621" width="2.7109375" style="158" customWidth="1"/>
    <col min="4622" max="4864" width="9.140625" style="158"/>
    <col min="4865" max="4865" width="15.85546875" style="158" customWidth="1"/>
    <col min="4866" max="4866" width="32.85546875" style="158" customWidth="1"/>
    <col min="4867" max="4867" width="10.42578125" style="158" customWidth="1"/>
    <col min="4868" max="4868" width="10" style="158" customWidth="1"/>
    <col min="4869" max="4869" width="12" style="158" customWidth="1"/>
    <col min="4870" max="4872" width="12.85546875" style="158" customWidth="1"/>
    <col min="4873" max="4873" width="11.85546875" style="158" customWidth="1"/>
    <col min="4874" max="4874" width="13.28515625" style="158" customWidth="1"/>
    <col min="4875" max="4875" width="14.5703125" style="158" customWidth="1"/>
    <col min="4876" max="4876" width="12.42578125" style="158" customWidth="1"/>
    <col min="4877" max="4877" width="2.7109375" style="158" customWidth="1"/>
    <col min="4878" max="5120" width="9.140625" style="158"/>
    <col min="5121" max="5121" width="15.85546875" style="158" customWidth="1"/>
    <col min="5122" max="5122" width="32.85546875" style="158" customWidth="1"/>
    <col min="5123" max="5123" width="10.42578125" style="158" customWidth="1"/>
    <col min="5124" max="5124" width="10" style="158" customWidth="1"/>
    <col min="5125" max="5125" width="12" style="158" customWidth="1"/>
    <col min="5126" max="5128" width="12.85546875" style="158" customWidth="1"/>
    <col min="5129" max="5129" width="11.85546875" style="158" customWidth="1"/>
    <col min="5130" max="5130" width="13.28515625" style="158" customWidth="1"/>
    <col min="5131" max="5131" width="14.5703125" style="158" customWidth="1"/>
    <col min="5132" max="5132" width="12.42578125" style="158" customWidth="1"/>
    <col min="5133" max="5133" width="2.7109375" style="158" customWidth="1"/>
    <col min="5134" max="5376" width="9.140625" style="158"/>
    <col min="5377" max="5377" width="15.85546875" style="158" customWidth="1"/>
    <col min="5378" max="5378" width="32.85546875" style="158" customWidth="1"/>
    <col min="5379" max="5379" width="10.42578125" style="158" customWidth="1"/>
    <col min="5380" max="5380" width="10" style="158" customWidth="1"/>
    <col min="5381" max="5381" width="12" style="158" customWidth="1"/>
    <col min="5382" max="5384" width="12.85546875" style="158" customWidth="1"/>
    <col min="5385" max="5385" width="11.85546875" style="158" customWidth="1"/>
    <col min="5386" max="5386" width="13.28515625" style="158" customWidth="1"/>
    <col min="5387" max="5387" width="14.5703125" style="158" customWidth="1"/>
    <col min="5388" max="5388" width="12.42578125" style="158" customWidth="1"/>
    <col min="5389" max="5389" width="2.7109375" style="158" customWidth="1"/>
    <col min="5390" max="5632" width="9.140625" style="158"/>
    <col min="5633" max="5633" width="15.85546875" style="158" customWidth="1"/>
    <col min="5634" max="5634" width="32.85546875" style="158" customWidth="1"/>
    <col min="5635" max="5635" width="10.42578125" style="158" customWidth="1"/>
    <col min="5636" max="5636" width="10" style="158" customWidth="1"/>
    <col min="5637" max="5637" width="12" style="158" customWidth="1"/>
    <col min="5638" max="5640" width="12.85546875" style="158" customWidth="1"/>
    <col min="5641" max="5641" width="11.85546875" style="158" customWidth="1"/>
    <col min="5642" max="5642" width="13.28515625" style="158" customWidth="1"/>
    <col min="5643" max="5643" width="14.5703125" style="158" customWidth="1"/>
    <col min="5644" max="5644" width="12.42578125" style="158" customWidth="1"/>
    <col min="5645" max="5645" width="2.7109375" style="158" customWidth="1"/>
    <col min="5646" max="5888" width="9.140625" style="158"/>
    <col min="5889" max="5889" width="15.85546875" style="158" customWidth="1"/>
    <col min="5890" max="5890" width="32.85546875" style="158" customWidth="1"/>
    <col min="5891" max="5891" width="10.42578125" style="158" customWidth="1"/>
    <col min="5892" max="5892" width="10" style="158" customWidth="1"/>
    <col min="5893" max="5893" width="12" style="158" customWidth="1"/>
    <col min="5894" max="5896" width="12.85546875" style="158" customWidth="1"/>
    <col min="5897" max="5897" width="11.85546875" style="158" customWidth="1"/>
    <col min="5898" max="5898" width="13.28515625" style="158" customWidth="1"/>
    <col min="5899" max="5899" width="14.5703125" style="158" customWidth="1"/>
    <col min="5900" max="5900" width="12.42578125" style="158" customWidth="1"/>
    <col min="5901" max="5901" width="2.7109375" style="158" customWidth="1"/>
    <col min="5902" max="6144" width="9.140625" style="158"/>
    <col min="6145" max="6145" width="15.85546875" style="158" customWidth="1"/>
    <col min="6146" max="6146" width="32.85546875" style="158" customWidth="1"/>
    <col min="6147" max="6147" width="10.42578125" style="158" customWidth="1"/>
    <col min="6148" max="6148" width="10" style="158" customWidth="1"/>
    <col min="6149" max="6149" width="12" style="158" customWidth="1"/>
    <col min="6150" max="6152" width="12.85546875" style="158" customWidth="1"/>
    <col min="6153" max="6153" width="11.85546875" style="158" customWidth="1"/>
    <col min="6154" max="6154" width="13.28515625" style="158" customWidth="1"/>
    <col min="6155" max="6155" width="14.5703125" style="158" customWidth="1"/>
    <col min="6156" max="6156" width="12.42578125" style="158" customWidth="1"/>
    <col min="6157" max="6157" width="2.7109375" style="158" customWidth="1"/>
    <col min="6158" max="6400" width="9.140625" style="158"/>
    <col min="6401" max="6401" width="15.85546875" style="158" customWidth="1"/>
    <col min="6402" max="6402" width="32.85546875" style="158" customWidth="1"/>
    <col min="6403" max="6403" width="10.42578125" style="158" customWidth="1"/>
    <col min="6404" max="6404" width="10" style="158" customWidth="1"/>
    <col min="6405" max="6405" width="12" style="158" customWidth="1"/>
    <col min="6406" max="6408" width="12.85546875" style="158" customWidth="1"/>
    <col min="6409" max="6409" width="11.85546875" style="158" customWidth="1"/>
    <col min="6410" max="6410" width="13.28515625" style="158" customWidth="1"/>
    <col min="6411" max="6411" width="14.5703125" style="158" customWidth="1"/>
    <col min="6412" max="6412" width="12.42578125" style="158" customWidth="1"/>
    <col min="6413" max="6413" width="2.7109375" style="158" customWidth="1"/>
    <col min="6414" max="6656" width="9.140625" style="158"/>
    <col min="6657" max="6657" width="15.85546875" style="158" customWidth="1"/>
    <col min="6658" max="6658" width="32.85546875" style="158" customWidth="1"/>
    <col min="6659" max="6659" width="10.42578125" style="158" customWidth="1"/>
    <col min="6660" max="6660" width="10" style="158" customWidth="1"/>
    <col min="6661" max="6661" width="12" style="158" customWidth="1"/>
    <col min="6662" max="6664" width="12.85546875" style="158" customWidth="1"/>
    <col min="6665" max="6665" width="11.85546875" style="158" customWidth="1"/>
    <col min="6666" max="6666" width="13.28515625" style="158" customWidth="1"/>
    <col min="6667" max="6667" width="14.5703125" style="158" customWidth="1"/>
    <col min="6668" max="6668" width="12.42578125" style="158" customWidth="1"/>
    <col min="6669" max="6669" width="2.7109375" style="158" customWidth="1"/>
    <col min="6670" max="6912" width="9.140625" style="158"/>
    <col min="6913" max="6913" width="15.85546875" style="158" customWidth="1"/>
    <col min="6914" max="6914" width="32.85546875" style="158" customWidth="1"/>
    <col min="6915" max="6915" width="10.42578125" style="158" customWidth="1"/>
    <col min="6916" max="6916" width="10" style="158" customWidth="1"/>
    <col min="6917" max="6917" width="12" style="158" customWidth="1"/>
    <col min="6918" max="6920" width="12.85546875" style="158" customWidth="1"/>
    <col min="6921" max="6921" width="11.85546875" style="158" customWidth="1"/>
    <col min="6922" max="6922" width="13.28515625" style="158" customWidth="1"/>
    <col min="6923" max="6923" width="14.5703125" style="158" customWidth="1"/>
    <col min="6924" max="6924" width="12.42578125" style="158" customWidth="1"/>
    <col min="6925" max="6925" width="2.7109375" style="158" customWidth="1"/>
    <col min="6926" max="7168" width="9.140625" style="158"/>
    <col min="7169" max="7169" width="15.85546875" style="158" customWidth="1"/>
    <col min="7170" max="7170" width="32.85546875" style="158" customWidth="1"/>
    <col min="7171" max="7171" width="10.42578125" style="158" customWidth="1"/>
    <col min="7172" max="7172" width="10" style="158" customWidth="1"/>
    <col min="7173" max="7173" width="12" style="158" customWidth="1"/>
    <col min="7174" max="7176" width="12.85546875" style="158" customWidth="1"/>
    <col min="7177" max="7177" width="11.85546875" style="158" customWidth="1"/>
    <col min="7178" max="7178" width="13.28515625" style="158" customWidth="1"/>
    <col min="7179" max="7179" width="14.5703125" style="158" customWidth="1"/>
    <col min="7180" max="7180" width="12.42578125" style="158" customWidth="1"/>
    <col min="7181" max="7181" width="2.7109375" style="158" customWidth="1"/>
    <col min="7182" max="7424" width="9.140625" style="158"/>
    <col min="7425" max="7425" width="15.85546875" style="158" customWidth="1"/>
    <col min="7426" max="7426" width="32.85546875" style="158" customWidth="1"/>
    <col min="7427" max="7427" width="10.42578125" style="158" customWidth="1"/>
    <col min="7428" max="7428" width="10" style="158" customWidth="1"/>
    <col min="7429" max="7429" width="12" style="158" customWidth="1"/>
    <col min="7430" max="7432" width="12.85546875" style="158" customWidth="1"/>
    <col min="7433" max="7433" width="11.85546875" style="158" customWidth="1"/>
    <col min="7434" max="7434" width="13.28515625" style="158" customWidth="1"/>
    <col min="7435" max="7435" width="14.5703125" style="158" customWidth="1"/>
    <col min="7436" max="7436" width="12.42578125" style="158" customWidth="1"/>
    <col min="7437" max="7437" width="2.7109375" style="158" customWidth="1"/>
    <col min="7438" max="7680" width="9.140625" style="158"/>
    <col min="7681" max="7681" width="15.85546875" style="158" customWidth="1"/>
    <col min="7682" max="7682" width="32.85546875" style="158" customWidth="1"/>
    <col min="7683" max="7683" width="10.42578125" style="158" customWidth="1"/>
    <col min="7684" max="7684" width="10" style="158" customWidth="1"/>
    <col min="7685" max="7685" width="12" style="158" customWidth="1"/>
    <col min="7686" max="7688" width="12.85546875" style="158" customWidth="1"/>
    <col min="7689" max="7689" width="11.85546875" style="158" customWidth="1"/>
    <col min="7690" max="7690" width="13.28515625" style="158" customWidth="1"/>
    <col min="7691" max="7691" width="14.5703125" style="158" customWidth="1"/>
    <col min="7692" max="7692" width="12.42578125" style="158" customWidth="1"/>
    <col min="7693" max="7693" width="2.7109375" style="158" customWidth="1"/>
    <col min="7694" max="7936" width="9.140625" style="158"/>
    <col min="7937" max="7937" width="15.85546875" style="158" customWidth="1"/>
    <col min="7938" max="7938" width="32.85546875" style="158" customWidth="1"/>
    <col min="7939" max="7939" width="10.42578125" style="158" customWidth="1"/>
    <col min="7940" max="7940" width="10" style="158" customWidth="1"/>
    <col min="7941" max="7941" width="12" style="158" customWidth="1"/>
    <col min="7942" max="7944" width="12.85546875" style="158" customWidth="1"/>
    <col min="7945" max="7945" width="11.85546875" style="158" customWidth="1"/>
    <col min="7946" max="7946" width="13.28515625" style="158" customWidth="1"/>
    <col min="7947" max="7947" width="14.5703125" style="158" customWidth="1"/>
    <col min="7948" max="7948" width="12.42578125" style="158" customWidth="1"/>
    <col min="7949" max="7949" width="2.7109375" style="158" customWidth="1"/>
    <col min="7950" max="8192" width="9.140625" style="158"/>
    <col min="8193" max="8193" width="15.85546875" style="158" customWidth="1"/>
    <col min="8194" max="8194" width="32.85546875" style="158" customWidth="1"/>
    <col min="8195" max="8195" width="10.42578125" style="158" customWidth="1"/>
    <col min="8196" max="8196" width="10" style="158" customWidth="1"/>
    <col min="8197" max="8197" width="12" style="158" customWidth="1"/>
    <col min="8198" max="8200" width="12.85546875" style="158" customWidth="1"/>
    <col min="8201" max="8201" width="11.85546875" style="158" customWidth="1"/>
    <col min="8202" max="8202" width="13.28515625" style="158" customWidth="1"/>
    <col min="8203" max="8203" width="14.5703125" style="158" customWidth="1"/>
    <col min="8204" max="8204" width="12.42578125" style="158" customWidth="1"/>
    <col min="8205" max="8205" width="2.7109375" style="158" customWidth="1"/>
    <col min="8206" max="8448" width="9.140625" style="158"/>
    <col min="8449" max="8449" width="15.85546875" style="158" customWidth="1"/>
    <col min="8450" max="8450" width="32.85546875" style="158" customWidth="1"/>
    <col min="8451" max="8451" width="10.42578125" style="158" customWidth="1"/>
    <col min="8452" max="8452" width="10" style="158" customWidth="1"/>
    <col min="8453" max="8453" width="12" style="158" customWidth="1"/>
    <col min="8454" max="8456" width="12.85546875" style="158" customWidth="1"/>
    <col min="8457" max="8457" width="11.85546875" style="158" customWidth="1"/>
    <col min="8458" max="8458" width="13.28515625" style="158" customWidth="1"/>
    <col min="8459" max="8459" width="14.5703125" style="158" customWidth="1"/>
    <col min="8460" max="8460" width="12.42578125" style="158" customWidth="1"/>
    <col min="8461" max="8461" width="2.7109375" style="158" customWidth="1"/>
    <col min="8462" max="8704" width="9.140625" style="158"/>
    <col min="8705" max="8705" width="15.85546875" style="158" customWidth="1"/>
    <col min="8706" max="8706" width="32.85546875" style="158" customWidth="1"/>
    <col min="8707" max="8707" width="10.42578125" style="158" customWidth="1"/>
    <col min="8708" max="8708" width="10" style="158" customWidth="1"/>
    <col min="8709" max="8709" width="12" style="158" customWidth="1"/>
    <col min="8710" max="8712" width="12.85546875" style="158" customWidth="1"/>
    <col min="8713" max="8713" width="11.85546875" style="158" customWidth="1"/>
    <col min="8714" max="8714" width="13.28515625" style="158" customWidth="1"/>
    <col min="8715" max="8715" width="14.5703125" style="158" customWidth="1"/>
    <col min="8716" max="8716" width="12.42578125" style="158" customWidth="1"/>
    <col min="8717" max="8717" width="2.7109375" style="158" customWidth="1"/>
    <col min="8718" max="8960" width="9.140625" style="158"/>
    <col min="8961" max="8961" width="15.85546875" style="158" customWidth="1"/>
    <col min="8962" max="8962" width="32.85546875" style="158" customWidth="1"/>
    <col min="8963" max="8963" width="10.42578125" style="158" customWidth="1"/>
    <col min="8964" max="8964" width="10" style="158" customWidth="1"/>
    <col min="8965" max="8965" width="12" style="158" customWidth="1"/>
    <col min="8966" max="8968" width="12.85546875" style="158" customWidth="1"/>
    <col min="8969" max="8969" width="11.85546875" style="158" customWidth="1"/>
    <col min="8970" max="8970" width="13.28515625" style="158" customWidth="1"/>
    <col min="8971" max="8971" width="14.5703125" style="158" customWidth="1"/>
    <col min="8972" max="8972" width="12.42578125" style="158" customWidth="1"/>
    <col min="8973" max="8973" width="2.7109375" style="158" customWidth="1"/>
    <col min="8974" max="9216" width="9.140625" style="158"/>
    <col min="9217" max="9217" width="15.85546875" style="158" customWidth="1"/>
    <col min="9218" max="9218" width="32.85546875" style="158" customWidth="1"/>
    <col min="9219" max="9219" width="10.42578125" style="158" customWidth="1"/>
    <col min="9220" max="9220" width="10" style="158" customWidth="1"/>
    <col min="9221" max="9221" width="12" style="158" customWidth="1"/>
    <col min="9222" max="9224" width="12.85546875" style="158" customWidth="1"/>
    <col min="9225" max="9225" width="11.85546875" style="158" customWidth="1"/>
    <col min="9226" max="9226" width="13.28515625" style="158" customWidth="1"/>
    <col min="9227" max="9227" width="14.5703125" style="158" customWidth="1"/>
    <col min="9228" max="9228" width="12.42578125" style="158" customWidth="1"/>
    <col min="9229" max="9229" width="2.7109375" style="158" customWidth="1"/>
    <col min="9230" max="9472" width="9.140625" style="158"/>
    <col min="9473" max="9473" width="15.85546875" style="158" customWidth="1"/>
    <col min="9474" max="9474" width="32.85546875" style="158" customWidth="1"/>
    <col min="9475" max="9475" width="10.42578125" style="158" customWidth="1"/>
    <col min="9476" max="9476" width="10" style="158" customWidth="1"/>
    <col min="9477" max="9477" width="12" style="158" customWidth="1"/>
    <col min="9478" max="9480" width="12.85546875" style="158" customWidth="1"/>
    <col min="9481" max="9481" width="11.85546875" style="158" customWidth="1"/>
    <col min="9482" max="9482" width="13.28515625" style="158" customWidth="1"/>
    <col min="9483" max="9483" width="14.5703125" style="158" customWidth="1"/>
    <col min="9484" max="9484" width="12.42578125" style="158" customWidth="1"/>
    <col min="9485" max="9485" width="2.7109375" style="158" customWidth="1"/>
    <col min="9486" max="9728" width="9.140625" style="158"/>
    <col min="9729" max="9729" width="15.85546875" style="158" customWidth="1"/>
    <col min="9730" max="9730" width="32.85546875" style="158" customWidth="1"/>
    <col min="9731" max="9731" width="10.42578125" style="158" customWidth="1"/>
    <col min="9732" max="9732" width="10" style="158" customWidth="1"/>
    <col min="9733" max="9733" width="12" style="158" customWidth="1"/>
    <col min="9734" max="9736" width="12.85546875" style="158" customWidth="1"/>
    <col min="9737" max="9737" width="11.85546875" style="158" customWidth="1"/>
    <col min="9738" max="9738" width="13.28515625" style="158" customWidth="1"/>
    <col min="9739" max="9739" width="14.5703125" style="158" customWidth="1"/>
    <col min="9740" max="9740" width="12.42578125" style="158" customWidth="1"/>
    <col min="9741" max="9741" width="2.7109375" style="158" customWidth="1"/>
    <col min="9742" max="9984" width="9.140625" style="158"/>
    <col min="9985" max="9985" width="15.85546875" style="158" customWidth="1"/>
    <col min="9986" max="9986" width="32.85546875" style="158" customWidth="1"/>
    <col min="9987" max="9987" width="10.42578125" style="158" customWidth="1"/>
    <col min="9988" max="9988" width="10" style="158" customWidth="1"/>
    <col min="9989" max="9989" width="12" style="158" customWidth="1"/>
    <col min="9990" max="9992" width="12.85546875" style="158" customWidth="1"/>
    <col min="9993" max="9993" width="11.85546875" style="158" customWidth="1"/>
    <col min="9994" max="9994" width="13.28515625" style="158" customWidth="1"/>
    <col min="9995" max="9995" width="14.5703125" style="158" customWidth="1"/>
    <col min="9996" max="9996" width="12.42578125" style="158" customWidth="1"/>
    <col min="9997" max="9997" width="2.7109375" style="158" customWidth="1"/>
    <col min="9998" max="10240" width="9.140625" style="158"/>
    <col min="10241" max="10241" width="15.85546875" style="158" customWidth="1"/>
    <col min="10242" max="10242" width="32.85546875" style="158" customWidth="1"/>
    <col min="10243" max="10243" width="10.42578125" style="158" customWidth="1"/>
    <col min="10244" max="10244" width="10" style="158" customWidth="1"/>
    <col min="10245" max="10245" width="12" style="158" customWidth="1"/>
    <col min="10246" max="10248" width="12.85546875" style="158" customWidth="1"/>
    <col min="10249" max="10249" width="11.85546875" style="158" customWidth="1"/>
    <col min="10250" max="10250" width="13.28515625" style="158" customWidth="1"/>
    <col min="10251" max="10251" width="14.5703125" style="158" customWidth="1"/>
    <col min="10252" max="10252" width="12.42578125" style="158" customWidth="1"/>
    <col min="10253" max="10253" width="2.7109375" style="158" customWidth="1"/>
    <col min="10254" max="10496" width="9.140625" style="158"/>
    <col min="10497" max="10497" width="15.85546875" style="158" customWidth="1"/>
    <col min="10498" max="10498" width="32.85546875" style="158" customWidth="1"/>
    <col min="10499" max="10499" width="10.42578125" style="158" customWidth="1"/>
    <col min="10500" max="10500" width="10" style="158" customWidth="1"/>
    <col min="10501" max="10501" width="12" style="158" customWidth="1"/>
    <col min="10502" max="10504" width="12.85546875" style="158" customWidth="1"/>
    <col min="10505" max="10505" width="11.85546875" style="158" customWidth="1"/>
    <col min="10506" max="10506" width="13.28515625" style="158" customWidth="1"/>
    <col min="10507" max="10507" width="14.5703125" style="158" customWidth="1"/>
    <col min="10508" max="10508" width="12.42578125" style="158" customWidth="1"/>
    <col min="10509" max="10509" width="2.7109375" style="158" customWidth="1"/>
    <col min="10510" max="10752" width="9.140625" style="158"/>
    <col min="10753" max="10753" width="15.85546875" style="158" customWidth="1"/>
    <col min="10754" max="10754" width="32.85546875" style="158" customWidth="1"/>
    <col min="10755" max="10755" width="10.42578125" style="158" customWidth="1"/>
    <col min="10756" max="10756" width="10" style="158" customWidth="1"/>
    <col min="10757" max="10757" width="12" style="158" customWidth="1"/>
    <col min="10758" max="10760" width="12.85546875" style="158" customWidth="1"/>
    <col min="10761" max="10761" width="11.85546875" style="158" customWidth="1"/>
    <col min="10762" max="10762" width="13.28515625" style="158" customWidth="1"/>
    <col min="10763" max="10763" width="14.5703125" style="158" customWidth="1"/>
    <col min="10764" max="10764" width="12.42578125" style="158" customWidth="1"/>
    <col min="10765" max="10765" width="2.7109375" style="158" customWidth="1"/>
    <col min="10766" max="11008" width="9.140625" style="158"/>
    <col min="11009" max="11009" width="15.85546875" style="158" customWidth="1"/>
    <col min="11010" max="11010" width="32.85546875" style="158" customWidth="1"/>
    <col min="11011" max="11011" width="10.42578125" style="158" customWidth="1"/>
    <col min="11012" max="11012" width="10" style="158" customWidth="1"/>
    <col min="11013" max="11013" width="12" style="158" customWidth="1"/>
    <col min="11014" max="11016" width="12.85546875" style="158" customWidth="1"/>
    <col min="11017" max="11017" width="11.85546875" style="158" customWidth="1"/>
    <col min="11018" max="11018" width="13.28515625" style="158" customWidth="1"/>
    <col min="11019" max="11019" width="14.5703125" style="158" customWidth="1"/>
    <col min="11020" max="11020" width="12.42578125" style="158" customWidth="1"/>
    <col min="11021" max="11021" width="2.7109375" style="158" customWidth="1"/>
    <col min="11022" max="11264" width="9.140625" style="158"/>
    <col min="11265" max="11265" width="15.85546875" style="158" customWidth="1"/>
    <col min="11266" max="11266" width="32.85546875" style="158" customWidth="1"/>
    <col min="11267" max="11267" width="10.42578125" style="158" customWidth="1"/>
    <col min="11268" max="11268" width="10" style="158" customWidth="1"/>
    <col min="11269" max="11269" width="12" style="158" customWidth="1"/>
    <col min="11270" max="11272" width="12.85546875" style="158" customWidth="1"/>
    <col min="11273" max="11273" width="11.85546875" style="158" customWidth="1"/>
    <col min="11274" max="11274" width="13.28515625" style="158" customWidth="1"/>
    <col min="11275" max="11275" width="14.5703125" style="158" customWidth="1"/>
    <col min="11276" max="11276" width="12.42578125" style="158" customWidth="1"/>
    <col min="11277" max="11277" width="2.7109375" style="158" customWidth="1"/>
    <col min="11278" max="11520" width="9.140625" style="158"/>
    <col min="11521" max="11521" width="15.85546875" style="158" customWidth="1"/>
    <col min="11522" max="11522" width="32.85546875" style="158" customWidth="1"/>
    <col min="11523" max="11523" width="10.42578125" style="158" customWidth="1"/>
    <col min="11524" max="11524" width="10" style="158" customWidth="1"/>
    <col min="11525" max="11525" width="12" style="158" customWidth="1"/>
    <col min="11526" max="11528" width="12.85546875" style="158" customWidth="1"/>
    <col min="11529" max="11529" width="11.85546875" style="158" customWidth="1"/>
    <col min="11530" max="11530" width="13.28515625" style="158" customWidth="1"/>
    <col min="11531" max="11531" width="14.5703125" style="158" customWidth="1"/>
    <col min="11532" max="11532" width="12.42578125" style="158" customWidth="1"/>
    <col min="11533" max="11533" width="2.7109375" style="158" customWidth="1"/>
    <col min="11534" max="11776" width="9.140625" style="158"/>
    <col min="11777" max="11777" width="15.85546875" style="158" customWidth="1"/>
    <col min="11778" max="11778" width="32.85546875" style="158" customWidth="1"/>
    <col min="11779" max="11779" width="10.42578125" style="158" customWidth="1"/>
    <col min="11780" max="11780" width="10" style="158" customWidth="1"/>
    <col min="11781" max="11781" width="12" style="158" customWidth="1"/>
    <col min="11782" max="11784" width="12.85546875" style="158" customWidth="1"/>
    <col min="11785" max="11785" width="11.85546875" style="158" customWidth="1"/>
    <col min="11786" max="11786" width="13.28515625" style="158" customWidth="1"/>
    <col min="11787" max="11787" width="14.5703125" style="158" customWidth="1"/>
    <col min="11788" max="11788" width="12.42578125" style="158" customWidth="1"/>
    <col min="11789" max="11789" width="2.7109375" style="158" customWidth="1"/>
    <col min="11790" max="12032" width="9.140625" style="158"/>
    <col min="12033" max="12033" width="15.85546875" style="158" customWidth="1"/>
    <col min="12034" max="12034" width="32.85546875" style="158" customWidth="1"/>
    <col min="12035" max="12035" width="10.42578125" style="158" customWidth="1"/>
    <col min="12036" max="12036" width="10" style="158" customWidth="1"/>
    <col min="12037" max="12037" width="12" style="158" customWidth="1"/>
    <col min="12038" max="12040" width="12.85546875" style="158" customWidth="1"/>
    <col min="12041" max="12041" width="11.85546875" style="158" customWidth="1"/>
    <col min="12042" max="12042" width="13.28515625" style="158" customWidth="1"/>
    <col min="12043" max="12043" width="14.5703125" style="158" customWidth="1"/>
    <col min="12044" max="12044" width="12.42578125" style="158" customWidth="1"/>
    <col min="12045" max="12045" width="2.7109375" style="158" customWidth="1"/>
    <col min="12046" max="12288" width="9.140625" style="158"/>
    <col min="12289" max="12289" width="15.85546875" style="158" customWidth="1"/>
    <col min="12290" max="12290" width="32.85546875" style="158" customWidth="1"/>
    <col min="12291" max="12291" width="10.42578125" style="158" customWidth="1"/>
    <col min="12292" max="12292" width="10" style="158" customWidth="1"/>
    <col min="12293" max="12293" width="12" style="158" customWidth="1"/>
    <col min="12294" max="12296" width="12.85546875" style="158" customWidth="1"/>
    <col min="12297" max="12297" width="11.85546875" style="158" customWidth="1"/>
    <col min="12298" max="12298" width="13.28515625" style="158" customWidth="1"/>
    <col min="12299" max="12299" width="14.5703125" style="158" customWidth="1"/>
    <col min="12300" max="12300" width="12.42578125" style="158" customWidth="1"/>
    <col min="12301" max="12301" width="2.7109375" style="158" customWidth="1"/>
    <col min="12302" max="12544" width="9.140625" style="158"/>
    <col min="12545" max="12545" width="15.85546875" style="158" customWidth="1"/>
    <col min="12546" max="12546" width="32.85546875" style="158" customWidth="1"/>
    <col min="12547" max="12547" width="10.42578125" style="158" customWidth="1"/>
    <col min="12548" max="12548" width="10" style="158" customWidth="1"/>
    <col min="12549" max="12549" width="12" style="158" customWidth="1"/>
    <col min="12550" max="12552" width="12.85546875" style="158" customWidth="1"/>
    <col min="12553" max="12553" width="11.85546875" style="158" customWidth="1"/>
    <col min="12554" max="12554" width="13.28515625" style="158" customWidth="1"/>
    <col min="12555" max="12555" width="14.5703125" style="158" customWidth="1"/>
    <col min="12556" max="12556" width="12.42578125" style="158" customWidth="1"/>
    <col min="12557" max="12557" width="2.7109375" style="158" customWidth="1"/>
    <col min="12558" max="12800" width="9.140625" style="158"/>
    <col min="12801" max="12801" width="15.85546875" style="158" customWidth="1"/>
    <col min="12802" max="12802" width="32.85546875" style="158" customWidth="1"/>
    <col min="12803" max="12803" width="10.42578125" style="158" customWidth="1"/>
    <col min="12804" max="12804" width="10" style="158" customWidth="1"/>
    <col min="12805" max="12805" width="12" style="158" customWidth="1"/>
    <col min="12806" max="12808" width="12.85546875" style="158" customWidth="1"/>
    <col min="12809" max="12809" width="11.85546875" style="158" customWidth="1"/>
    <col min="12810" max="12810" width="13.28515625" style="158" customWidth="1"/>
    <col min="12811" max="12811" width="14.5703125" style="158" customWidth="1"/>
    <col min="12812" max="12812" width="12.42578125" style="158" customWidth="1"/>
    <col min="12813" max="12813" width="2.7109375" style="158" customWidth="1"/>
    <col min="12814" max="13056" width="9.140625" style="158"/>
    <col min="13057" max="13057" width="15.85546875" style="158" customWidth="1"/>
    <col min="13058" max="13058" width="32.85546875" style="158" customWidth="1"/>
    <col min="13059" max="13059" width="10.42578125" style="158" customWidth="1"/>
    <col min="13060" max="13060" width="10" style="158" customWidth="1"/>
    <col min="13061" max="13061" width="12" style="158" customWidth="1"/>
    <col min="13062" max="13064" width="12.85546875" style="158" customWidth="1"/>
    <col min="13065" max="13065" width="11.85546875" style="158" customWidth="1"/>
    <col min="13066" max="13066" width="13.28515625" style="158" customWidth="1"/>
    <col min="13067" max="13067" width="14.5703125" style="158" customWidth="1"/>
    <col min="13068" max="13068" width="12.42578125" style="158" customWidth="1"/>
    <col min="13069" max="13069" width="2.7109375" style="158" customWidth="1"/>
    <col min="13070" max="13312" width="9.140625" style="158"/>
    <col min="13313" max="13313" width="15.85546875" style="158" customWidth="1"/>
    <col min="13314" max="13314" width="32.85546875" style="158" customWidth="1"/>
    <col min="13315" max="13315" width="10.42578125" style="158" customWidth="1"/>
    <col min="13316" max="13316" width="10" style="158" customWidth="1"/>
    <col min="13317" max="13317" width="12" style="158" customWidth="1"/>
    <col min="13318" max="13320" width="12.85546875" style="158" customWidth="1"/>
    <col min="13321" max="13321" width="11.85546875" style="158" customWidth="1"/>
    <col min="13322" max="13322" width="13.28515625" style="158" customWidth="1"/>
    <col min="13323" max="13323" width="14.5703125" style="158" customWidth="1"/>
    <col min="13324" max="13324" width="12.42578125" style="158" customWidth="1"/>
    <col min="13325" max="13325" width="2.7109375" style="158" customWidth="1"/>
    <col min="13326" max="13568" width="9.140625" style="158"/>
    <col min="13569" max="13569" width="15.85546875" style="158" customWidth="1"/>
    <col min="13570" max="13570" width="32.85546875" style="158" customWidth="1"/>
    <col min="13571" max="13571" width="10.42578125" style="158" customWidth="1"/>
    <col min="13572" max="13572" width="10" style="158" customWidth="1"/>
    <col min="13573" max="13573" width="12" style="158" customWidth="1"/>
    <col min="13574" max="13576" width="12.85546875" style="158" customWidth="1"/>
    <col min="13577" max="13577" width="11.85546875" style="158" customWidth="1"/>
    <col min="13578" max="13578" width="13.28515625" style="158" customWidth="1"/>
    <col min="13579" max="13579" width="14.5703125" style="158" customWidth="1"/>
    <col min="13580" max="13580" width="12.42578125" style="158" customWidth="1"/>
    <col min="13581" max="13581" width="2.7109375" style="158" customWidth="1"/>
    <col min="13582" max="13824" width="9.140625" style="158"/>
    <col min="13825" max="13825" width="15.85546875" style="158" customWidth="1"/>
    <col min="13826" max="13826" width="32.85546875" style="158" customWidth="1"/>
    <col min="13827" max="13827" width="10.42578125" style="158" customWidth="1"/>
    <col min="13828" max="13828" width="10" style="158" customWidth="1"/>
    <col min="13829" max="13829" width="12" style="158" customWidth="1"/>
    <col min="13830" max="13832" width="12.85546875" style="158" customWidth="1"/>
    <col min="13833" max="13833" width="11.85546875" style="158" customWidth="1"/>
    <col min="13834" max="13834" width="13.28515625" style="158" customWidth="1"/>
    <col min="13835" max="13835" width="14.5703125" style="158" customWidth="1"/>
    <col min="13836" max="13836" width="12.42578125" style="158" customWidth="1"/>
    <col min="13837" max="13837" width="2.7109375" style="158" customWidth="1"/>
    <col min="13838" max="14080" width="9.140625" style="158"/>
    <col min="14081" max="14081" width="15.85546875" style="158" customWidth="1"/>
    <col min="14082" max="14082" width="32.85546875" style="158" customWidth="1"/>
    <col min="14083" max="14083" width="10.42578125" style="158" customWidth="1"/>
    <col min="14084" max="14084" width="10" style="158" customWidth="1"/>
    <col min="14085" max="14085" width="12" style="158" customWidth="1"/>
    <col min="14086" max="14088" width="12.85546875" style="158" customWidth="1"/>
    <col min="14089" max="14089" width="11.85546875" style="158" customWidth="1"/>
    <col min="14090" max="14090" width="13.28515625" style="158" customWidth="1"/>
    <col min="14091" max="14091" width="14.5703125" style="158" customWidth="1"/>
    <col min="14092" max="14092" width="12.42578125" style="158" customWidth="1"/>
    <col min="14093" max="14093" width="2.7109375" style="158" customWidth="1"/>
    <col min="14094" max="14336" width="9.140625" style="158"/>
    <col min="14337" max="14337" width="15.85546875" style="158" customWidth="1"/>
    <col min="14338" max="14338" width="32.85546875" style="158" customWidth="1"/>
    <col min="14339" max="14339" width="10.42578125" style="158" customWidth="1"/>
    <col min="14340" max="14340" width="10" style="158" customWidth="1"/>
    <col min="14341" max="14341" width="12" style="158" customWidth="1"/>
    <col min="14342" max="14344" width="12.85546875" style="158" customWidth="1"/>
    <col min="14345" max="14345" width="11.85546875" style="158" customWidth="1"/>
    <col min="14346" max="14346" width="13.28515625" style="158" customWidth="1"/>
    <col min="14347" max="14347" width="14.5703125" style="158" customWidth="1"/>
    <col min="14348" max="14348" width="12.42578125" style="158" customWidth="1"/>
    <col min="14349" max="14349" width="2.7109375" style="158" customWidth="1"/>
    <col min="14350" max="14592" width="9.140625" style="158"/>
    <col min="14593" max="14593" width="15.85546875" style="158" customWidth="1"/>
    <col min="14594" max="14594" width="32.85546875" style="158" customWidth="1"/>
    <col min="14595" max="14595" width="10.42578125" style="158" customWidth="1"/>
    <col min="14596" max="14596" width="10" style="158" customWidth="1"/>
    <col min="14597" max="14597" width="12" style="158" customWidth="1"/>
    <col min="14598" max="14600" width="12.85546875" style="158" customWidth="1"/>
    <col min="14601" max="14601" width="11.85546875" style="158" customWidth="1"/>
    <col min="14602" max="14602" width="13.28515625" style="158" customWidth="1"/>
    <col min="14603" max="14603" width="14.5703125" style="158" customWidth="1"/>
    <col min="14604" max="14604" width="12.42578125" style="158" customWidth="1"/>
    <col min="14605" max="14605" width="2.7109375" style="158" customWidth="1"/>
    <col min="14606" max="14848" width="9.140625" style="158"/>
    <col min="14849" max="14849" width="15.85546875" style="158" customWidth="1"/>
    <col min="14850" max="14850" width="32.85546875" style="158" customWidth="1"/>
    <col min="14851" max="14851" width="10.42578125" style="158" customWidth="1"/>
    <col min="14852" max="14852" width="10" style="158" customWidth="1"/>
    <col min="14853" max="14853" width="12" style="158" customWidth="1"/>
    <col min="14854" max="14856" width="12.85546875" style="158" customWidth="1"/>
    <col min="14857" max="14857" width="11.85546875" style="158" customWidth="1"/>
    <col min="14858" max="14858" width="13.28515625" style="158" customWidth="1"/>
    <col min="14859" max="14859" width="14.5703125" style="158" customWidth="1"/>
    <col min="14860" max="14860" width="12.42578125" style="158" customWidth="1"/>
    <col min="14861" max="14861" width="2.7109375" style="158" customWidth="1"/>
    <col min="14862" max="15104" width="9.140625" style="158"/>
    <col min="15105" max="15105" width="15.85546875" style="158" customWidth="1"/>
    <col min="15106" max="15106" width="32.85546875" style="158" customWidth="1"/>
    <col min="15107" max="15107" width="10.42578125" style="158" customWidth="1"/>
    <col min="15108" max="15108" width="10" style="158" customWidth="1"/>
    <col min="15109" max="15109" width="12" style="158" customWidth="1"/>
    <col min="15110" max="15112" width="12.85546875" style="158" customWidth="1"/>
    <col min="15113" max="15113" width="11.85546875" style="158" customWidth="1"/>
    <col min="15114" max="15114" width="13.28515625" style="158" customWidth="1"/>
    <col min="15115" max="15115" width="14.5703125" style="158" customWidth="1"/>
    <col min="15116" max="15116" width="12.42578125" style="158" customWidth="1"/>
    <col min="15117" max="15117" width="2.7109375" style="158" customWidth="1"/>
    <col min="15118" max="15360" width="9.140625" style="158"/>
    <col min="15361" max="15361" width="15.85546875" style="158" customWidth="1"/>
    <col min="15362" max="15362" width="32.85546875" style="158" customWidth="1"/>
    <col min="15363" max="15363" width="10.42578125" style="158" customWidth="1"/>
    <col min="15364" max="15364" width="10" style="158" customWidth="1"/>
    <col min="15365" max="15365" width="12" style="158" customWidth="1"/>
    <col min="15366" max="15368" width="12.85546875" style="158" customWidth="1"/>
    <col min="15369" max="15369" width="11.85546875" style="158" customWidth="1"/>
    <col min="15370" max="15370" width="13.28515625" style="158" customWidth="1"/>
    <col min="15371" max="15371" width="14.5703125" style="158" customWidth="1"/>
    <col min="15372" max="15372" width="12.42578125" style="158" customWidth="1"/>
    <col min="15373" max="15373" width="2.7109375" style="158" customWidth="1"/>
    <col min="15374" max="15616" width="9.140625" style="158"/>
    <col min="15617" max="15617" width="15.85546875" style="158" customWidth="1"/>
    <col min="15618" max="15618" width="32.85546875" style="158" customWidth="1"/>
    <col min="15619" max="15619" width="10.42578125" style="158" customWidth="1"/>
    <col min="15620" max="15620" width="10" style="158" customWidth="1"/>
    <col min="15621" max="15621" width="12" style="158" customWidth="1"/>
    <col min="15622" max="15624" width="12.85546875" style="158" customWidth="1"/>
    <col min="15625" max="15625" width="11.85546875" style="158" customWidth="1"/>
    <col min="15626" max="15626" width="13.28515625" style="158" customWidth="1"/>
    <col min="15627" max="15627" width="14.5703125" style="158" customWidth="1"/>
    <col min="15628" max="15628" width="12.42578125" style="158" customWidth="1"/>
    <col min="15629" max="15629" width="2.7109375" style="158" customWidth="1"/>
    <col min="15630" max="15872" width="9.140625" style="158"/>
    <col min="15873" max="15873" width="15.85546875" style="158" customWidth="1"/>
    <col min="15874" max="15874" width="32.85546875" style="158" customWidth="1"/>
    <col min="15875" max="15875" width="10.42578125" style="158" customWidth="1"/>
    <col min="15876" max="15876" width="10" style="158" customWidth="1"/>
    <col min="15877" max="15877" width="12" style="158" customWidth="1"/>
    <col min="15878" max="15880" width="12.85546875" style="158" customWidth="1"/>
    <col min="15881" max="15881" width="11.85546875" style="158" customWidth="1"/>
    <col min="15882" max="15882" width="13.28515625" style="158" customWidth="1"/>
    <col min="15883" max="15883" width="14.5703125" style="158" customWidth="1"/>
    <col min="15884" max="15884" width="12.42578125" style="158" customWidth="1"/>
    <col min="15885" max="15885" width="2.7109375" style="158" customWidth="1"/>
    <col min="15886" max="16128" width="9.140625" style="158"/>
    <col min="16129" max="16129" width="15.85546875" style="158" customWidth="1"/>
    <col min="16130" max="16130" width="32.85546875" style="158" customWidth="1"/>
    <col min="16131" max="16131" width="10.42578125" style="158" customWidth="1"/>
    <col min="16132" max="16132" width="10" style="158" customWidth="1"/>
    <col min="16133" max="16133" width="12" style="158" customWidth="1"/>
    <col min="16134" max="16136" width="12.85546875" style="158" customWidth="1"/>
    <col min="16137" max="16137" width="11.85546875" style="158" customWidth="1"/>
    <col min="16138" max="16138" width="13.28515625" style="158" customWidth="1"/>
    <col min="16139" max="16139" width="14.5703125" style="158" customWidth="1"/>
    <col min="16140" max="16140" width="12.42578125" style="158" customWidth="1"/>
    <col min="16141" max="16141" width="2.7109375" style="158" customWidth="1"/>
    <col min="16142" max="16384" width="9.140625" style="158"/>
  </cols>
  <sheetData>
    <row r="1" spans="1:14" ht="21" customHeight="1" x14ac:dyDescent="0.2">
      <c r="A1" s="1296" t="s">
        <v>110</v>
      </c>
      <c r="B1" s="1297"/>
      <c r="C1" s="1297"/>
      <c r="D1" s="1297"/>
      <c r="E1" s="1297"/>
      <c r="F1" s="1297"/>
      <c r="G1" s="1297"/>
      <c r="H1" s="1297"/>
      <c r="I1" s="1297"/>
      <c r="J1" s="1297"/>
      <c r="K1" s="1297"/>
      <c r="L1" s="1298"/>
    </row>
    <row r="2" spans="1:14" ht="19.5" customHeight="1" x14ac:dyDescent="0.2">
      <c r="A2" s="159" t="s">
        <v>111</v>
      </c>
      <c r="B2" s="160"/>
      <c r="C2" s="160"/>
      <c r="D2" s="160"/>
      <c r="E2" s="161" t="s">
        <v>112</v>
      </c>
      <c r="F2" s="160" t="s">
        <v>113</v>
      </c>
      <c r="G2" s="160"/>
      <c r="H2" s="161" t="s">
        <v>114</v>
      </c>
      <c r="I2" s="162">
        <v>3.5150000000000001E-2</v>
      </c>
      <c r="J2" s="161"/>
      <c r="K2" s="163"/>
      <c r="L2" s="164"/>
    </row>
    <row r="3" spans="1:14" ht="21" customHeight="1" x14ac:dyDescent="0.2">
      <c r="A3" s="165">
        <v>4011219</v>
      </c>
      <c r="B3" s="1319" t="s">
        <v>807</v>
      </c>
      <c r="C3" s="1319"/>
      <c r="D3" s="1319"/>
      <c r="E3" s="1319"/>
      <c r="F3" s="1319"/>
      <c r="G3" s="1319"/>
      <c r="H3" s="1319"/>
      <c r="I3" s="1319"/>
      <c r="J3" s="168" t="s">
        <v>117</v>
      </c>
      <c r="K3" s="169">
        <v>168.2</v>
      </c>
      <c r="L3" s="170" t="s">
        <v>118</v>
      </c>
    </row>
    <row r="4" spans="1:14" ht="14.25" customHeight="1" x14ac:dyDescent="0.2">
      <c r="A4" s="1225" t="s">
        <v>119</v>
      </c>
      <c r="B4" s="1227" t="s">
        <v>120</v>
      </c>
      <c r="C4" s="172"/>
      <c r="D4" s="1227" t="s">
        <v>121</v>
      </c>
      <c r="E4" s="1227" t="s">
        <v>122</v>
      </c>
      <c r="F4" s="1230"/>
      <c r="G4" s="1249" t="s">
        <v>123</v>
      </c>
      <c r="H4" s="1229"/>
      <c r="I4" s="1250"/>
      <c r="J4" s="1249" t="s">
        <v>124</v>
      </c>
      <c r="K4" s="1229"/>
      <c r="L4" s="1250"/>
    </row>
    <row r="5" spans="1:14" ht="12.75" customHeight="1" x14ac:dyDescent="0.2">
      <c r="A5" s="1299"/>
      <c r="B5" s="1300"/>
      <c r="C5" s="177"/>
      <c r="D5" s="1300"/>
      <c r="E5" s="1228"/>
      <c r="F5" s="1231"/>
      <c r="G5" s="1249" t="s">
        <v>125</v>
      </c>
      <c r="H5" s="1250"/>
      <c r="I5" s="173" t="s">
        <v>28</v>
      </c>
      <c r="J5" s="1249" t="s">
        <v>125</v>
      </c>
      <c r="K5" s="1250"/>
      <c r="L5" s="179" t="s">
        <v>28</v>
      </c>
    </row>
    <row r="6" spans="1:14" ht="12.75" customHeight="1" x14ac:dyDescent="0.2">
      <c r="A6" s="1226"/>
      <c r="B6" s="1228"/>
      <c r="C6" s="181"/>
      <c r="D6" s="1228"/>
      <c r="E6" s="178" t="s">
        <v>126</v>
      </c>
      <c r="F6" s="178" t="s">
        <v>127</v>
      </c>
      <c r="G6" s="180" t="s">
        <v>128</v>
      </c>
      <c r="H6" s="178" t="s">
        <v>129</v>
      </c>
      <c r="I6" s="182" t="s">
        <v>29</v>
      </c>
      <c r="J6" s="180" t="s">
        <v>128</v>
      </c>
      <c r="K6" s="178" t="s">
        <v>129</v>
      </c>
      <c r="L6" s="183" t="s">
        <v>29</v>
      </c>
    </row>
    <row r="7" spans="1:14" ht="24.75" customHeight="1" x14ac:dyDescent="0.2">
      <c r="A7" s="221" t="s">
        <v>167</v>
      </c>
      <c r="B7" s="1325" t="s">
        <v>412</v>
      </c>
      <c r="C7" s="1325"/>
      <c r="D7" s="270">
        <v>1</v>
      </c>
      <c r="E7" s="270">
        <v>0.93</v>
      </c>
      <c r="F7" s="270">
        <f t="shared" ref="F7:F12" si="0">1-E7</f>
        <v>6.9999999999999951E-2</v>
      </c>
      <c r="G7" s="271">
        <v>339.39929999999998</v>
      </c>
      <c r="H7" s="272">
        <v>84.9499</v>
      </c>
      <c r="I7" s="273">
        <f t="shared" ref="I7:I12" si="1">TRUNC(D7*((E7*G7)+(H7*F7)),4)</f>
        <v>321.58780000000002</v>
      </c>
      <c r="J7" s="271">
        <v>336.46620000000001</v>
      </c>
      <c r="K7" s="272">
        <v>82.016800000000003</v>
      </c>
      <c r="L7" s="274">
        <f t="shared" ref="L7:L12" si="2">TRUNC(D7*((E7*J7)+(K7*F7)),4)</f>
        <v>318.65469999999999</v>
      </c>
      <c r="N7" s="275"/>
    </row>
    <row r="8" spans="1:14" ht="24.75" customHeight="1" x14ac:dyDescent="0.2">
      <c r="A8" s="184" t="s">
        <v>168</v>
      </c>
      <c r="B8" s="1326" t="s">
        <v>2962</v>
      </c>
      <c r="C8" s="1326"/>
      <c r="D8" s="276">
        <v>1</v>
      </c>
      <c r="E8" s="276">
        <v>0.52</v>
      </c>
      <c r="F8" s="276">
        <f t="shared" si="0"/>
        <v>0.48</v>
      </c>
      <c r="G8" s="252">
        <v>4.7141000000000002</v>
      </c>
      <c r="H8" s="253">
        <v>3.2827999999999999</v>
      </c>
      <c r="I8" s="254">
        <f t="shared" si="1"/>
        <v>4.0270000000000001</v>
      </c>
      <c r="J8" s="252">
        <v>4.7141000000000002</v>
      </c>
      <c r="K8" s="253">
        <v>3.2827999999999999</v>
      </c>
      <c r="L8" s="255">
        <f t="shared" si="2"/>
        <v>4.0270000000000001</v>
      </c>
      <c r="N8" s="275"/>
    </row>
    <row r="9" spans="1:14" ht="24.75" customHeight="1" x14ac:dyDescent="0.2">
      <c r="A9" s="184" t="s">
        <v>93</v>
      </c>
      <c r="B9" s="1326" t="s">
        <v>415</v>
      </c>
      <c r="C9" s="1326"/>
      <c r="D9" s="276">
        <v>1</v>
      </c>
      <c r="E9" s="276">
        <v>0.74</v>
      </c>
      <c r="F9" s="276">
        <f t="shared" si="0"/>
        <v>0.26</v>
      </c>
      <c r="G9" s="252">
        <v>290.36009999999999</v>
      </c>
      <c r="H9" s="253">
        <v>124.24509999999999</v>
      </c>
      <c r="I9" s="254">
        <f t="shared" si="1"/>
        <v>247.17019999999999</v>
      </c>
      <c r="J9" s="252">
        <v>286.95229999999998</v>
      </c>
      <c r="K9" s="253">
        <v>120.8373</v>
      </c>
      <c r="L9" s="255">
        <f t="shared" si="2"/>
        <v>243.76240000000001</v>
      </c>
      <c r="N9" s="275"/>
    </row>
    <row r="10" spans="1:14" ht="24.75" customHeight="1" x14ac:dyDescent="0.2">
      <c r="A10" s="184" t="s">
        <v>88</v>
      </c>
      <c r="B10" s="1326" t="s">
        <v>416</v>
      </c>
      <c r="C10" s="1326"/>
      <c r="D10" s="276">
        <v>1</v>
      </c>
      <c r="E10" s="276">
        <v>0.96</v>
      </c>
      <c r="F10" s="276">
        <f t="shared" si="0"/>
        <v>4.0000000000000036E-2</v>
      </c>
      <c r="G10" s="252">
        <v>248.90539999999999</v>
      </c>
      <c r="H10" s="253">
        <v>118.6057</v>
      </c>
      <c r="I10" s="254">
        <f t="shared" si="1"/>
        <v>243.6934</v>
      </c>
      <c r="J10" s="252">
        <v>245.49760000000001</v>
      </c>
      <c r="K10" s="253">
        <v>115.1979</v>
      </c>
      <c r="L10" s="255">
        <f t="shared" si="2"/>
        <v>240.28559999999999</v>
      </c>
      <c r="N10" s="275"/>
    </row>
    <row r="11" spans="1:14" ht="24.75" customHeight="1" x14ac:dyDescent="0.2">
      <c r="A11" s="184" t="s">
        <v>85</v>
      </c>
      <c r="B11" s="1326" t="s">
        <v>417</v>
      </c>
      <c r="C11" s="1326"/>
      <c r="D11" s="276">
        <v>1</v>
      </c>
      <c r="E11" s="276">
        <v>1</v>
      </c>
      <c r="F11" s="276">
        <f t="shared" si="0"/>
        <v>0</v>
      </c>
      <c r="G11" s="252">
        <v>211.05619999999999</v>
      </c>
      <c r="H11" s="253">
        <v>90.868700000000004</v>
      </c>
      <c r="I11" s="254">
        <f t="shared" si="1"/>
        <v>211.05619999999999</v>
      </c>
      <c r="J11" s="252">
        <v>207.64840000000001</v>
      </c>
      <c r="K11" s="253">
        <v>87.460899999999995</v>
      </c>
      <c r="L11" s="255">
        <f t="shared" si="2"/>
        <v>207.64840000000001</v>
      </c>
      <c r="N11" s="275"/>
    </row>
    <row r="12" spans="1:14" ht="24.75" customHeight="1" x14ac:dyDescent="0.2">
      <c r="A12" s="229" t="s">
        <v>92</v>
      </c>
      <c r="B12" s="1324" t="s">
        <v>405</v>
      </c>
      <c r="C12" s="1324"/>
      <c r="D12" s="277">
        <v>1</v>
      </c>
      <c r="E12" s="277">
        <v>0.52</v>
      </c>
      <c r="F12" s="277">
        <f t="shared" si="0"/>
        <v>0.48</v>
      </c>
      <c r="G12" s="278">
        <v>142.7381</v>
      </c>
      <c r="H12" s="279">
        <v>48.142499999999998</v>
      </c>
      <c r="I12" s="280">
        <f t="shared" si="1"/>
        <v>97.3322</v>
      </c>
      <c r="J12" s="278">
        <v>140.3546</v>
      </c>
      <c r="K12" s="279">
        <v>45.759</v>
      </c>
      <c r="L12" s="281">
        <f t="shared" si="2"/>
        <v>94.948700000000002</v>
      </c>
      <c r="N12" s="275"/>
    </row>
    <row r="13" spans="1:14" ht="12.75" customHeight="1" x14ac:dyDescent="0.2">
      <c r="A13" s="1253" t="s">
        <v>131</v>
      </c>
      <c r="B13" s="1254"/>
      <c r="C13" s="1254"/>
      <c r="D13" s="1254"/>
      <c r="E13" s="1254"/>
      <c r="F13" s="1254"/>
      <c r="G13" s="1254"/>
      <c r="H13" s="219"/>
      <c r="I13" s="256">
        <f>SUM(I7:I12)</f>
        <v>1124.8668</v>
      </c>
      <c r="J13" s="257"/>
      <c r="K13" s="258"/>
      <c r="L13" s="256">
        <f>SUM(L7:L12)</f>
        <v>1109.3267999999998</v>
      </c>
      <c r="N13" s="198"/>
    </row>
    <row r="14" spans="1:14" ht="12.75" customHeight="1" x14ac:dyDescent="0.2">
      <c r="A14" s="1225" t="s">
        <v>132</v>
      </c>
      <c r="B14" s="1227" t="s">
        <v>133</v>
      </c>
      <c r="C14" s="199"/>
      <c r="D14" s="1227" t="s">
        <v>121</v>
      </c>
      <c r="E14" s="1227" t="s">
        <v>27</v>
      </c>
      <c r="F14" s="199"/>
      <c r="G14" s="1249" t="s">
        <v>123</v>
      </c>
      <c r="H14" s="1229"/>
      <c r="I14" s="1250"/>
      <c r="J14" s="1249" t="s">
        <v>124</v>
      </c>
      <c r="K14" s="1229"/>
      <c r="L14" s="1250"/>
      <c r="N14" s="198"/>
    </row>
    <row r="15" spans="1:14" ht="12.75" customHeight="1" x14ac:dyDescent="0.2">
      <c r="A15" s="1226"/>
      <c r="B15" s="1228"/>
      <c r="C15" s="181"/>
      <c r="D15" s="1228"/>
      <c r="E15" s="1228"/>
      <c r="F15" s="200"/>
      <c r="G15" s="180" t="s">
        <v>134</v>
      </c>
      <c r="H15" s="1229" t="s">
        <v>135</v>
      </c>
      <c r="I15" s="1250"/>
      <c r="J15" s="180" t="s">
        <v>134</v>
      </c>
      <c r="K15" s="1229" t="s">
        <v>135</v>
      </c>
      <c r="L15" s="1250"/>
    </row>
    <row r="16" spans="1:14" x14ac:dyDescent="0.2">
      <c r="A16" s="282" t="s">
        <v>136</v>
      </c>
      <c r="B16" s="185" t="s">
        <v>2964</v>
      </c>
      <c r="C16" s="283"/>
      <c r="D16" s="205">
        <v>1</v>
      </c>
      <c r="E16" s="205" t="s">
        <v>2890</v>
      </c>
      <c r="F16" s="222"/>
      <c r="G16" s="271">
        <v>23.134599999999999</v>
      </c>
      <c r="H16" s="1322">
        <f>TRUNC(G16*D16,4)</f>
        <v>23.134599999999999</v>
      </c>
      <c r="I16" s="1323"/>
      <c r="J16" s="271">
        <v>21.025300000000001</v>
      </c>
      <c r="K16" s="1322">
        <f>TRUNC(J16*D16,4)</f>
        <v>21.025300000000001</v>
      </c>
      <c r="L16" s="1323"/>
    </row>
    <row r="17" spans="1:13" ht="12.75" customHeight="1" x14ac:dyDescent="0.2">
      <c r="A17" s="1253" t="s">
        <v>137</v>
      </c>
      <c r="B17" s="1254"/>
      <c r="C17" s="1254"/>
      <c r="D17" s="1254"/>
      <c r="E17" s="1254"/>
      <c r="F17" s="1254"/>
      <c r="G17" s="1254"/>
      <c r="H17" s="1315">
        <f>SUM(H16:I16)</f>
        <v>23.134599999999999</v>
      </c>
      <c r="I17" s="1316"/>
      <c r="J17" s="262"/>
      <c r="K17" s="1315">
        <f>SUM(K16:L16)</f>
        <v>21.025300000000001</v>
      </c>
      <c r="L17" s="1316"/>
    </row>
    <row r="18" spans="1:13" x14ac:dyDescent="0.2">
      <c r="A18" s="1285" t="s">
        <v>139</v>
      </c>
      <c r="B18" s="1286"/>
      <c r="C18" s="1286"/>
      <c r="D18" s="1286"/>
      <c r="E18" s="1286"/>
      <c r="F18" s="1310"/>
      <c r="G18" s="1249" t="s">
        <v>123</v>
      </c>
      <c r="H18" s="1229"/>
      <c r="I18" s="1250"/>
      <c r="J18" s="1249" t="s">
        <v>124</v>
      </c>
      <c r="K18" s="1229"/>
      <c r="L18" s="1250"/>
    </row>
    <row r="19" spans="1:13" x14ac:dyDescent="0.2">
      <c r="A19" s="1311"/>
      <c r="B19" s="1312"/>
      <c r="C19" s="1312"/>
      <c r="D19" s="1312"/>
      <c r="E19" s="1312"/>
      <c r="F19" s="1313"/>
      <c r="G19" s="1314">
        <f>(H17+I13)/K3</f>
        <v>6.8252164090368623</v>
      </c>
      <c r="H19" s="1255"/>
      <c r="I19" s="1305"/>
      <c r="J19" s="1314">
        <f>(K17+L13)/K3</f>
        <v>6.720285969084423</v>
      </c>
      <c r="K19" s="1255"/>
      <c r="L19" s="1305"/>
    </row>
    <row r="20" spans="1:13" ht="15" customHeight="1" x14ac:dyDescent="0.2">
      <c r="A20" s="1253" t="s">
        <v>140</v>
      </c>
      <c r="B20" s="1254"/>
      <c r="C20" s="1254"/>
      <c r="D20" s="1254"/>
      <c r="E20" s="1254"/>
      <c r="F20" s="1254"/>
      <c r="G20" s="1254"/>
      <c r="H20" s="1255">
        <f>G19*I2</f>
        <v>0.23990635677764571</v>
      </c>
      <c r="I20" s="1305"/>
      <c r="J20" s="235"/>
      <c r="K20" s="1255">
        <f>J19*I2</f>
        <v>0.23621805181331748</v>
      </c>
      <c r="L20" s="1305"/>
    </row>
    <row r="21" spans="1:13" ht="15" customHeight="1" x14ac:dyDescent="0.2">
      <c r="A21" s="180" t="s">
        <v>141</v>
      </c>
      <c r="B21" s="178" t="s">
        <v>142</v>
      </c>
      <c r="C21" s="200"/>
      <c r="D21" s="178" t="s">
        <v>121</v>
      </c>
      <c r="E21" s="178" t="s">
        <v>143</v>
      </c>
      <c r="F21" s="200"/>
      <c r="G21" s="180" t="s">
        <v>144</v>
      </c>
      <c r="H21" s="1228" t="s">
        <v>145</v>
      </c>
      <c r="I21" s="1231"/>
      <c r="J21" s="180" t="s">
        <v>144</v>
      </c>
      <c r="K21" s="1228" t="s">
        <v>145</v>
      </c>
      <c r="L21" s="1231"/>
      <c r="M21" s="220"/>
    </row>
    <row r="22" spans="1:13" x14ac:dyDescent="0.2">
      <c r="A22" s="221"/>
      <c r="B22" s="1266"/>
      <c r="C22" s="1266"/>
      <c r="D22" s="223"/>
      <c r="E22" s="205"/>
      <c r="F22" s="284"/>
      <c r="G22" s="207"/>
      <c r="H22" s="1322"/>
      <c r="I22" s="1323"/>
      <c r="J22" s="207"/>
      <c r="K22" s="1322"/>
      <c r="L22" s="1323"/>
      <c r="M22" s="220"/>
    </row>
    <row r="23" spans="1:13" x14ac:dyDescent="0.2">
      <c r="A23" s="1253" t="s">
        <v>147</v>
      </c>
      <c r="B23" s="1254"/>
      <c r="C23" s="1254"/>
      <c r="D23" s="1254"/>
      <c r="E23" s="1254"/>
      <c r="F23" s="1254"/>
      <c r="G23" s="1254"/>
      <c r="H23" s="1315">
        <f>SUM(H22:I22)</f>
        <v>0</v>
      </c>
      <c r="I23" s="1315"/>
      <c r="J23" s="219"/>
      <c r="K23" s="1315">
        <f>SUM(K22:L22)</f>
        <v>0</v>
      </c>
      <c r="L23" s="1316"/>
      <c r="M23" s="227"/>
    </row>
    <row r="24" spans="1:13" x14ac:dyDescent="0.2">
      <c r="A24" s="1225" t="s">
        <v>148</v>
      </c>
      <c r="B24" s="1227" t="s">
        <v>149</v>
      </c>
      <c r="C24" s="199"/>
      <c r="D24" s="1227"/>
      <c r="E24" s="1227" t="s">
        <v>121</v>
      </c>
      <c r="F24" s="1230" t="s">
        <v>143</v>
      </c>
      <c r="G24" s="1249" t="s">
        <v>123</v>
      </c>
      <c r="H24" s="1229"/>
      <c r="I24" s="1250"/>
      <c r="J24" s="1249" t="s">
        <v>124</v>
      </c>
      <c r="K24" s="1229"/>
      <c r="L24" s="1250"/>
      <c r="M24" s="227"/>
    </row>
    <row r="25" spans="1:13" x14ac:dyDescent="0.2">
      <c r="A25" s="1226"/>
      <c r="B25" s="1228"/>
      <c r="C25" s="181"/>
      <c r="D25" s="1228"/>
      <c r="E25" s="1228"/>
      <c r="F25" s="1231"/>
      <c r="G25" s="180" t="s">
        <v>145</v>
      </c>
      <c r="H25" s="1229" t="s">
        <v>150</v>
      </c>
      <c r="I25" s="1250"/>
      <c r="J25" s="180" t="s">
        <v>145</v>
      </c>
      <c r="K25" s="1229" t="s">
        <v>150</v>
      </c>
      <c r="L25" s="1250"/>
      <c r="M25" s="227"/>
    </row>
    <row r="26" spans="1:13" ht="38.25" customHeight="1" x14ac:dyDescent="0.2">
      <c r="A26" s="221">
        <v>4016096</v>
      </c>
      <c r="B26" s="1266" t="s">
        <v>130</v>
      </c>
      <c r="C26" s="1266"/>
      <c r="D26" s="224"/>
      <c r="E26" s="224">
        <v>1.1000000000000001</v>
      </c>
      <c r="F26" s="224" t="s">
        <v>118</v>
      </c>
      <c r="G26" s="207">
        <v>1.52</v>
      </c>
      <c r="H26" s="1267">
        <f>TRUNC(G26*E26,4)</f>
        <v>1.6719999999999999</v>
      </c>
      <c r="I26" s="1268"/>
      <c r="J26" s="239">
        <v>1.52</v>
      </c>
      <c r="K26" s="1267">
        <f>TRUNC(J26*E26,4)</f>
        <v>1.6719999999999999</v>
      </c>
      <c r="L26" s="1268"/>
      <c r="M26" s="227"/>
    </row>
    <row r="27" spans="1:13" x14ac:dyDescent="0.2">
      <c r="A27" s="229"/>
      <c r="B27" s="230"/>
      <c r="C27" s="230"/>
      <c r="D27" s="231"/>
      <c r="E27" s="231"/>
      <c r="F27" s="231"/>
      <c r="G27" s="234"/>
      <c r="H27" s="1264"/>
      <c r="I27" s="1265"/>
      <c r="J27" s="234"/>
      <c r="K27" s="1264"/>
      <c r="L27" s="1265"/>
      <c r="M27" s="227"/>
    </row>
    <row r="28" spans="1:13" x14ac:dyDescent="0.2">
      <c r="A28" s="1253" t="s">
        <v>151</v>
      </c>
      <c r="B28" s="1254"/>
      <c r="C28" s="1254"/>
      <c r="D28" s="1254"/>
      <c r="E28" s="1254"/>
      <c r="F28" s="1254"/>
      <c r="G28" s="1254"/>
      <c r="H28" s="1315">
        <f>SUM(H26:I27)</f>
        <v>1.6719999999999999</v>
      </c>
      <c r="I28" s="1316"/>
      <c r="J28" s="235"/>
      <c r="K28" s="1315">
        <f>SUM(K26:L27)</f>
        <v>1.6719999999999999</v>
      </c>
      <c r="L28" s="1316"/>
      <c r="M28" s="227"/>
    </row>
    <row r="29" spans="1:13" x14ac:dyDescent="0.2">
      <c r="A29" s="1225" t="s">
        <v>153</v>
      </c>
      <c r="B29" s="1227" t="s">
        <v>154</v>
      </c>
      <c r="C29" s="199"/>
      <c r="D29" s="1227" t="s">
        <v>155</v>
      </c>
      <c r="E29" s="1227" t="s">
        <v>121</v>
      </c>
      <c r="F29" s="1230" t="s">
        <v>143</v>
      </c>
      <c r="G29" s="1249" t="s">
        <v>123</v>
      </c>
      <c r="H29" s="1229"/>
      <c r="I29" s="1250"/>
      <c r="J29" s="1249" t="s">
        <v>124</v>
      </c>
      <c r="K29" s="1229"/>
      <c r="L29" s="1250"/>
      <c r="M29" s="227"/>
    </row>
    <row r="30" spans="1:13" x14ac:dyDescent="0.2">
      <c r="A30" s="1226"/>
      <c r="B30" s="1228"/>
      <c r="C30" s="181"/>
      <c r="D30" s="1228"/>
      <c r="E30" s="1228"/>
      <c r="F30" s="1231"/>
      <c r="G30" s="180" t="s">
        <v>145</v>
      </c>
      <c r="H30" s="1229" t="s">
        <v>150</v>
      </c>
      <c r="I30" s="1250"/>
      <c r="J30" s="180" t="s">
        <v>145</v>
      </c>
      <c r="K30" s="1229" t="s">
        <v>150</v>
      </c>
      <c r="L30" s="1250"/>
      <c r="M30" s="227"/>
    </row>
    <row r="31" spans="1:13" ht="37.5" customHeight="1" x14ac:dyDescent="0.2">
      <c r="A31" s="221">
        <v>4016096</v>
      </c>
      <c r="B31" s="1266" t="s">
        <v>130</v>
      </c>
      <c r="C31" s="1266"/>
      <c r="D31" s="224">
        <v>5914354</v>
      </c>
      <c r="E31" s="223">
        <v>2.0625</v>
      </c>
      <c r="F31" s="224" t="s">
        <v>247</v>
      </c>
      <c r="G31" s="207">
        <v>1.84</v>
      </c>
      <c r="H31" s="1267">
        <f>TRUNC(G31*E31,4)</f>
        <v>3.7949999999999999</v>
      </c>
      <c r="I31" s="1268"/>
      <c r="J31" s="239">
        <v>1.82</v>
      </c>
      <c r="K31" s="1267">
        <f>TRUNC(J31*E31,4)</f>
        <v>3.7536999999999998</v>
      </c>
      <c r="L31" s="1268"/>
      <c r="M31" s="227"/>
    </row>
    <row r="32" spans="1:13" x14ac:dyDescent="0.2">
      <c r="A32" s="184"/>
      <c r="B32" s="1260"/>
      <c r="C32" s="1260"/>
      <c r="D32" s="188"/>
      <c r="E32" s="186"/>
      <c r="F32" s="188"/>
      <c r="G32" s="213"/>
      <c r="H32" s="1261"/>
      <c r="I32" s="1262"/>
      <c r="J32" s="190"/>
      <c r="K32" s="1261"/>
      <c r="L32" s="1262"/>
      <c r="M32" s="227"/>
    </row>
    <row r="33" spans="1:13" x14ac:dyDescent="0.2">
      <c r="A33" s="229"/>
      <c r="B33" s="230"/>
      <c r="C33" s="230"/>
      <c r="D33" s="231"/>
      <c r="E33" s="232"/>
      <c r="F33" s="231"/>
      <c r="G33" s="234"/>
      <c r="H33" s="1264"/>
      <c r="I33" s="1265"/>
      <c r="J33" s="233"/>
      <c r="K33" s="1264"/>
      <c r="L33" s="1265"/>
      <c r="M33" s="227"/>
    </row>
    <row r="34" spans="1:13" x14ac:dyDescent="0.2">
      <c r="A34" s="1253" t="s">
        <v>156</v>
      </c>
      <c r="B34" s="1254"/>
      <c r="C34" s="1254"/>
      <c r="D34" s="1254"/>
      <c r="E34" s="1254"/>
      <c r="F34" s="1254"/>
      <c r="G34" s="1254"/>
      <c r="H34" s="1315">
        <f>SUM(H31:I33)</f>
        <v>3.7949999999999999</v>
      </c>
      <c r="I34" s="1315"/>
      <c r="J34" s="267"/>
      <c r="K34" s="1315">
        <f>SUM(K31:L33)</f>
        <v>3.7536999999999998</v>
      </c>
      <c r="L34" s="1316"/>
      <c r="M34" s="227"/>
    </row>
    <row r="35" spans="1:13" x14ac:dyDescent="0.2">
      <c r="A35" s="1225" t="s">
        <v>157</v>
      </c>
      <c r="B35" s="1227" t="s">
        <v>158</v>
      </c>
      <c r="C35" s="199"/>
      <c r="D35" s="222"/>
      <c r="E35" s="1227" t="s">
        <v>121</v>
      </c>
      <c r="F35" s="1227" t="s">
        <v>143</v>
      </c>
      <c r="G35" s="1229" t="s">
        <v>159</v>
      </c>
      <c r="H35" s="1229"/>
      <c r="I35" s="1229"/>
      <c r="J35" s="1227" t="s">
        <v>145</v>
      </c>
      <c r="K35" s="1227"/>
      <c r="L35" s="1230"/>
      <c r="M35" s="227"/>
    </row>
    <row r="36" spans="1:13" x14ac:dyDescent="0.2">
      <c r="A36" s="1226"/>
      <c r="B36" s="1228"/>
      <c r="C36" s="181"/>
      <c r="D36" s="200"/>
      <c r="E36" s="1228"/>
      <c r="F36" s="1228"/>
      <c r="G36" s="178" t="s">
        <v>160</v>
      </c>
      <c r="H36" s="178" t="s">
        <v>161</v>
      </c>
      <c r="I36" s="178" t="s">
        <v>162</v>
      </c>
      <c r="J36" s="1228"/>
      <c r="K36" s="1228"/>
      <c r="L36" s="1231"/>
      <c r="M36" s="227"/>
    </row>
    <row r="37" spans="1:13" ht="43.5" customHeight="1" x14ac:dyDescent="0.2">
      <c r="A37" s="221">
        <f>A31</f>
        <v>4016096</v>
      </c>
      <c r="B37" s="1266" t="s">
        <v>130</v>
      </c>
      <c r="C37" s="1266"/>
      <c r="D37" s="222"/>
      <c r="E37" s="223">
        <f>E31</f>
        <v>2.0625</v>
      </c>
      <c r="F37" s="224" t="s">
        <v>169</v>
      </c>
      <c r="G37" s="224">
        <v>5914359</v>
      </c>
      <c r="H37" s="224">
        <v>5914374</v>
      </c>
      <c r="I37" s="224">
        <v>5914389</v>
      </c>
      <c r="J37" s="285"/>
      <c r="K37" s="245"/>
      <c r="L37" s="286"/>
      <c r="M37" s="227"/>
    </row>
    <row r="38" spans="1:13" x14ac:dyDescent="0.2">
      <c r="A38" s="1232" t="s">
        <v>163</v>
      </c>
      <c r="B38" s="1233"/>
      <c r="C38" s="1233"/>
      <c r="D38" s="1233"/>
      <c r="E38" s="1233"/>
      <c r="F38" s="1234"/>
      <c r="G38" s="1238" t="s">
        <v>123</v>
      </c>
      <c r="H38" s="1239"/>
      <c r="I38" s="1240"/>
      <c r="J38" s="1238" t="s">
        <v>124</v>
      </c>
      <c r="K38" s="1239"/>
      <c r="L38" s="1240"/>
      <c r="M38" s="227"/>
    </row>
    <row r="39" spans="1:13" ht="15" customHeight="1" x14ac:dyDescent="0.2">
      <c r="A39" s="1235"/>
      <c r="B39" s="1236"/>
      <c r="C39" s="1236"/>
      <c r="D39" s="1236"/>
      <c r="E39" s="1236"/>
      <c r="F39" s="1237"/>
      <c r="G39" s="1241">
        <f>TRUNC(H34+H20+H23+H28+G19,2)</f>
        <v>12.53</v>
      </c>
      <c r="H39" s="1242"/>
      <c r="I39" s="1243"/>
      <c r="J39" s="1244">
        <f>TRUNC(K34+K20+K28+K23+J19,2)</f>
        <v>12.38</v>
      </c>
      <c r="K39" s="1245"/>
      <c r="L39" s="1246"/>
    </row>
    <row r="40" spans="1:13" x14ac:dyDescent="0.2">
      <c r="A40" s="1320" t="s">
        <v>170</v>
      </c>
      <c r="B40" s="1320"/>
      <c r="C40" s="1320"/>
      <c r="D40" s="1320"/>
      <c r="E40" s="1320"/>
      <c r="F40" s="1320"/>
      <c r="G40" s="1320"/>
      <c r="H40" s="1320"/>
      <c r="I40" s="1320"/>
      <c r="J40" s="1320"/>
      <c r="K40" s="1320"/>
      <c r="L40" s="1320"/>
    </row>
    <row r="41" spans="1:13" x14ac:dyDescent="0.2">
      <c r="A41" s="1321" t="s">
        <v>171</v>
      </c>
      <c r="B41" s="1321"/>
      <c r="C41" s="1321"/>
      <c r="D41" s="1321"/>
      <c r="E41" s="1321"/>
      <c r="F41" s="1321"/>
      <c r="G41" s="1321"/>
      <c r="H41" s="1321"/>
      <c r="I41" s="1321"/>
      <c r="J41" s="1321"/>
      <c r="K41" s="1321"/>
      <c r="L41" s="1321"/>
    </row>
    <row r="42" spans="1:13" x14ac:dyDescent="0.2">
      <c r="A42" s="1220" t="s">
        <v>166</v>
      </c>
      <c r="B42" s="1220"/>
      <c r="C42" s="1220"/>
      <c r="D42" s="1220"/>
      <c r="E42" s="1220"/>
      <c r="F42" s="1220"/>
      <c r="G42" s="1220"/>
      <c r="H42" s="1220"/>
      <c r="I42" s="1220"/>
      <c r="J42" s="1220"/>
      <c r="K42" s="1220"/>
      <c r="L42" s="1220"/>
    </row>
    <row r="43" spans="1:13" x14ac:dyDescent="0.2">
      <c r="A43" s="1220"/>
      <c r="B43" s="1220"/>
      <c r="C43" s="1220"/>
      <c r="D43" s="1220"/>
      <c r="E43" s="1220"/>
      <c r="F43" s="1220"/>
      <c r="G43" s="1220"/>
      <c r="H43" s="1220"/>
      <c r="I43" s="1220"/>
      <c r="J43" s="1220"/>
      <c r="K43" s="1220"/>
      <c r="L43" s="1220"/>
    </row>
  </sheetData>
  <mergeCells count="99">
    <mergeCell ref="B12:C12"/>
    <mergeCell ref="A1:L1"/>
    <mergeCell ref="B3:I3"/>
    <mergeCell ref="A4:A6"/>
    <mergeCell ref="B4:B6"/>
    <mergeCell ref="D4:D6"/>
    <mergeCell ref="E4:F5"/>
    <mergeCell ref="G4:I4"/>
    <mergeCell ref="J4:L4"/>
    <mergeCell ref="G5:H5"/>
    <mergeCell ref="J5:K5"/>
    <mergeCell ref="B7:C7"/>
    <mergeCell ref="B8:C8"/>
    <mergeCell ref="B9:C9"/>
    <mergeCell ref="B10:C10"/>
    <mergeCell ref="B11:C11"/>
    <mergeCell ref="A17:G17"/>
    <mergeCell ref="H17:I17"/>
    <mergeCell ref="K17:L17"/>
    <mergeCell ref="A13:G13"/>
    <mergeCell ref="A14:A15"/>
    <mergeCell ref="B14:B15"/>
    <mergeCell ref="D14:D15"/>
    <mergeCell ref="E14:E15"/>
    <mergeCell ref="G14:I14"/>
    <mergeCell ref="J14:L14"/>
    <mergeCell ref="H15:I15"/>
    <mergeCell ref="K15:L15"/>
    <mergeCell ref="H16:I16"/>
    <mergeCell ref="K16:L16"/>
    <mergeCell ref="A23:G23"/>
    <mergeCell ref="H23:I23"/>
    <mergeCell ref="K23:L23"/>
    <mergeCell ref="A18:F19"/>
    <mergeCell ref="G18:I18"/>
    <mergeCell ref="J18:L18"/>
    <mergeCell ref="G19:I19"/>
    <mergeCell ref="J19:L19"/>
    <mergeCell ref="A20:G20"/>
    <mergeCell ref="H20:I20"/>
    <mergeCell ref="K20:L20"/>
    <mergeCell ref="H21:I21"/>
    <mergeCell ref="K21:L21"/>
    <mergeCell ref="B22:C22"/>
    <mergeCell ref="H22:I22"/>
    <mergeCell ref="K22:L22"/>
    <mergeCell ref="A24:A25"/>
    <mergeCell ref="B24:B25"/>
    <mergeCell ref="D24:D25"/>
    <mergeCell ref="E24:E25"/>
    <mergeCell ref="F24:F25"/>
    <mergeCell ref="J24:L24"/>
    <mergeCell ref="H25:I25"/>
    <mergeCell ref="K25:L25"/>
    <mergeCell ref="B26:C26"/>
    <mergeCell ref="H26:I26"/>
    <mergeCell ref="K26:L26"/>
    <mergeCell ref="G24:I24"/>
    <mergeCell ref="A29:A30"/>
    <mergeCell ref="B29:B30"/>
    <mergeCell ref="D29:D30"/>
    <mergeCell ref="E29:E30"/>
    <mergeCell ref="F29:F30"/>
    <mergeCell ref="H27:I27"/>
    <mergeCell ref="K27:L27"/>
    <mergeCell ref="A28:G28"/>
    <mergeCell ref="H28:I28"/>
    <mergeCell ref="K28:L28"/>
    <mergeCell ref="G29:I29"/>
    <mergeCell ref="J29:L29"/>
    <mergeCell ref="H30:I30"/>
    <mergeCell ref="K30:L30"/>
    <mergeCell ref="B31:C31"/>
    <mergeCell ref="H31:I31"/>
    <mergeCell ref="K31:L31"/>
    <mergeCell ref="J35:L36"/>
    <mergeCell ref="B32:C32"/>
    <mergeCell ref="H32:I32"/>
    <mergeCell ref="K32:L32"/>
    <mergeCell ref="H33:I33"/>
    <mergeCell ref="K33:L33"/>
    <mergeCell ref="A34:G34"/>
    <mergeCell ref="H34:I34"/>
    <mergeCell ref="K34:L34"/>
    <mergeCell ref="A35:A36"/>
    <mergeCell ref="B35:B36"/>
    <mergeCell ref="E35:E36"/>
    <mergeCell ref="F35:F36"/>
    <mergeCell ref="G35:I35"/>
    <mergeCell ref="A40:L40"/>
    <mergeCell ref="A41:L41"/>
    <mergeCell ref="A42:L42"/>
    <mergeCell ref="A43:L43"/>
    <mergeCell ref="B37:C37"/>
    <mergeCell ref="A38:F39"/>
    <mergeCell ref="G38:I38"/>
    <mergeCell ref="J38:L38"/>
    <mergeCell ref="G39:I39"/>
    <mergeCell ref="J39:L39"/>
  </mergeCells>
  <printOptions horizontalCentered="1"/>
  <pageMargins left="0.39370078740157483" right="0.39370078740157483" top="1.6929133858267718" bottom="0.78740157480314965" header="0" footer="0"/>
  <pageSetup paperSize="9" scale="65" firstPageNumber="41" fitToHeight="100" orientation="landscape" useFirstPageNumber="1" r:id="rId1"/>
  <headerFooter scaleWithDoc="0">
    <oddHeader>&amp;L&amp;G</oddHeader>
    <oddFooter>&amp;C&amp;"-,Negrito"&amp;12DIONI CAETANEO DE OLIVEIRA
&amp;"-,Regular"ENGENHEIRO CIVIL - CREA /MT 40957
DEPARTAMENTO DE ENGENHARIA</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E6994-1D4A-47BB-BD33-65213A2D916A}">
  <sheetPr>
    <tabColor theme="4" tint="-0.499984740745262"/>
  </sheetPr>
  <dimension ref="A1:P39"/>
  <sheetViews>
    <sheetView showGridLines="0" view="pageLayout" zoomScaleNormal="95" zoomScaleSheetLayoutView="100" workbookViewId="0">
      <selection activeCell="H49" sqref="H49"/>
    </sheetView>
  </sheetViews>
  <sheetFormatPr defaultRowHeight="12.75" x14ac:dyDescent="0.2"/>
  <cols>
    <col min="1" max="1" width="15.85546875" style="158" customWidth="1"/>
    <col min="2" max="2" width="28.85546875" style="158" customWidth="1"/>
    <col min="3" max="3" width="15.28515625" style="158" customWidth="1"/>
    <col min="4" max="4" width="10" style="158" customWidth="1"/>
    <col min="5" max="5" width="12" style="158" customWidth="1"/>
    <col min="6" max="8" width="12.85546875" style="158" customWidth="1"/>
    <col min="9" max="9" width="11.85546875" style="158" customWidth="1"/>
    <col min="10" max="10" width="13.28515625" style="158" customWidth="1"/>
    <col min="11" max="11" width="14.5703125" style="158" customWidth="1"/>
    <col min="12" max="12" width="12.42578125" style="158" customWidth="1"/>
    <col min="13" max="13" width="2.7109375" style="158" customWidth="1"/>
    <col min="14" max="256" width="9.140625" style="158"/>
    <col min="257" max="257" width="15.85546875" style="158" customWidth="1"/>
    <col min="258" max="258" width="28.85546875" style="158" customWidth="1"/>
    <col min="259" max="259" width="10.42578125" style="158" customWidth="1"/>
    <col min="260" max="260" width="10" style="158" customWidth="1"/>
    <col min="261" max="261" width="12" style="158" customWidth="1"/>
    <col min="262" max="264" width="12.85546875" style="158" customWidth="1"/>
    <col min="265" max="265" width="11.85546875" style="158" customWidth="1"/>
    <col min="266" max="266" width="13.28515625" style="158" customWidth="1"/>
    <col min="267" max="267" width="14.5703125" style="158" customWidth="1"/>
    <col min="268" max="268" width="12.42578125" style="158" customWidth="1"/>
    <col min="269" max="269" width="2.7109375" style="158" customWidth="1"/>
    <col min="270" max="512" width="9.140625" style="158"/>
    <col min="513" max="513" width="15.85546875" style="158" customWidth="1"/>
    <col min="514" max="514" width="28.85546875" style="158" customWidth="1"/>
    <col min="515" max="515" width="10.42578125" style="158" customWidth="1"/>
    <col min="516" max="516" width="10" style="158" customWidth="1"/>
    <col min="517" max="517" width="12" style="158" customWidth="1"/>
    <col min="518" max="520" width="12.85546875" style="158" customWidth="1"/>
    <col min="521" max="521" width="11.85546875" style="158" customWidth="1"/>
    <col min="522" max="522" width="13.28515625" style="158" customWidth="1"/>
    <col min="523" max="523" width="14.5703125" style="158" customWidth="1"/>
    <col min="524" max="524" width="12.42578125" style="158" customWidth="1"/>
    <col min="525" max="525" width="2.7109375" style="158" customWidth="1"/>
    <col min="526" max="768" width="9.140625" style="158"/>
    <col min="769" max="769" width="15.85546875" style="158" customWidth="1"/>
    <col min="770" max="770" width="28.85546875" style="158" customWidth="1"/>
    <col min="771" max="771" width="10.42578125" style="158" customWidth="1"/>
    <col min="772" max="772" width="10" style="158" customWidth="1"/>
    <col min="773" max="773" width="12" style="158" customWidth="1"/>
    <col min="774" max="776" width="12.85546875" style="158" customWidth="1"/>
    <col min="777" max="777" width="11.85546875" style="158" customWidth="1"/>
    <col min="778" max="778" width="13.28515625" style="158" customWidth="1"/>
    <col min="779" max="779" width="14.5703125" style="158" customWidth="1"/>
    <col min="780" max="780" width="12.42578125" style="158" customWidth="1"/>
    <col min="781" max="781" width="2.7109375" style="158" customWidth="1"/>
    <col min="782" max="1024" width="9.140625" style="158"/>
    <col min="1025" max="1025" width="15.85546875" style="158" customWidth="1"/>
    <col min="1026" max="1026" width="28.85546875" style="158" customWidth="1"/>
    <col min="1027" max="1027" width="10.42578125" style="158" customWidth="1"/>
    <col min="1028" max="1028" width="10" style="158" customWidth="1"/>
    <col min="1029" max="1029" width="12" style="158" customWidth="1"/>
    <col min="1030" max="1032" width="12.85546875" style="158" customWidth="1"/>
    <col min="1033" max="1033" width="11.85546875" style="158" customWidth="1"/>
    <col min="1034" max="1034" width="13.28515625" style="158" customWidth="1"/>
    <col min="1035" max="1035" width="14.5703125" style="158" customWidth="1"/>
    <col min="1036" max="1036" width="12.42578125" style="158" customWidth="1"/>
    <col min="1037" max="1037" width="2.7109375" style="158" customWidth="1"/>
    <col min="1038" max="1280" width="9.140625" style="158"/>
    <col min="1281" max="1281" width="15.85546875" style="158" customWidth="1"/>
    <col min="1282" max="1282" width="28.85546875" style="158" customWidth="1"/>
    <col min="1283" max="1283" width="10.42578125" style="158" customWidth="1"/>
    <col min="1284" max="1284" width="10" style="158" customWidth="1"/>
    <col min="1285" max="1285" width="12" style="158" customWidth="1"/>
    <col min="1286" max="1288" width="12.85546875" style="158" customWidth="1"/>
    <col min="1289" max="1289" width="11.85546875" style="158" customWidth="1"/>
    <col min="1290" max="1290" width="13.28515625" style="158" customWidth="1"/>
    <col min="1291" max="1291" width="14.5703125" style="158" customWidth="1"/>
    <col min="1292" max="1292" width="12.42578125" style="158" customWidth="1"/>
    <col min="1293" max="1293" width="2.7109375" style="158" customWidth="1"/>
    <col min="1294" max="1536" width="9.140625" style="158"/>
    <col min="1537" max="1537" width="15.85546875" style="158" customWidth="1"/>
    <col min="1538" max="1538" width="28.85546875" style="158" customWidth="1"/>
    <col min="1539" max="1539" width="10.42578125" style="158" customWidth="1"/>
    <col min="1540" max="1540" width="10" style="158" customWidth="1"/>
    <col min="1541" max="1541" width="12" style="158" customWidth="1"/>
    <col min="1542" max="1544" width="12.85546875" style="158" customWidth="1"/>
    <col min="1545" max="1545" width="11.85546875" style="158" customWidth="1"/>
    <col min="1546" max="1546" width="13.28515625" style="158" customWidth="1"/>
    <col min="1547" max="1547" width="14.5703125" style="158" customWidth="1"/>
    <col min="1548" max="1548" width="12.42578125" style="158" customWidth="1"/>
    <col min="1549" max="1549" width="2.7109375" style="158" customWidth="1"/>
    <col min="1550" max="1792" width="9.140625" style="158"/>
    <col min="1793" max="1793" width="15.85546875" style="158" customWidth="1"/>
    <col min="1794" max="1794" width="28.85546875" style="158" customWidth="1"/>
    <col min="1795" max="1795" width="10.42578125" style="158" customWidth="1"/>
    <col min="1796" max="1796" width="10" style="158" customWidth="1"/>
    <col min="1797" max="1797" width="12" style="158" customWidth="1"/>
    <col min="1798" max="1800" width="12.85546875" style="158" customWidth="1"/>
    <col min="1801" max="1801" width="11.85546875" style="158" customWidth="1"/>
    <col min="1802" max="1802" width="13.28515625" style="158" customWidth="1"/>
    <col min="1803" max="1803" width="14.5703125" style="158" customWidth="1"/>
    <col min="1804" max="1804" width="12.42578125" style="158" customWidth="1"/>
    <col min="1805" max="1805" width="2.7109375" style="158" customWidth="1"/>
    <col min="1806" max="2048" width="9.140625" style="158"/>
    <col min="2049" max="2049" width="15.85546875" style="158" customWidth="1"/>
    <col min="2050" max="2050" width="28.85546875" style="158" customWidth="1"/>
    <col min="2051" max="2051" width="10.42578125" style="158" customWidth="1"/>
    <col min="2052" max="2052" width="10" style="158" customWidth="1"/>
    <col min="2053" max="2053" width="12" style="158" customWidth="1"/>
    <col min="2054" max="2056" width="12.85546875" style="158" customWidth="1"/>
    <col min="2057" max="2057" width="11.85546875" style="158" customWidth="1"/>
    <col min="2058" max="2058" width="13.28515625" style="158" customWidth="1"/>
    <col min="2059" max="2059" width="14.5703125" style="158" customWidth="1"/>
    <col min="2060" max="2060" width="12.42578125" style="158" customWidth="1"/>
    <col min="2061" max="2061" width="2.7109375" style="158" customWidth="1"/>
    <col min="2062" max="2304" width="9.140625" style="158"/>
    <col min="2305" max="2305" width="15.85546875" style="158" customWidth="1"/>
    <col min="2306" max="2306" width="28.85546875" style="158" customWidth="1"/>
    <col min="2307" max="2307" width="10.42578125" style="158" customWidth="1"/>
    <col min="2308" max="2308" width="10" style="158" customWidth="1"/>
    <col min="2309" max="2309" width="12" style="158" customWidth="1"/>
    <col min="2310" max="2312" width="12.85546875" style="158" customWidth="1"/>
    <col min="2313" max="2313" width="11.85546875" style="158" customWidth="1"/>
    <col min="2314" max="2314" width="13.28515625" style="158" customWidth="1"/>
    <col min="2315" max="2315" width="14.5703125" style="158" customWidth="1"/>
    <col min="2316" max="2316" width="12.42578125" style="158" customWidth="1"/>
    <col min="2317" max="2317" width="2.7109375" style="158" customWidth="1"/>
    <col min="2318" max="2560" width="9.140625" style="158"/>
    <col min="2561" max="2561" width="15.85546875" style="158" customWidth="1"/>
    <col min="2562" max="2562" width="28.85546875" style="158" customWidth="1"/>
    <col min="2563" max="2563" width="10.42578125" style="158" customWidth="1"/>
    <col min="2564" max="2564" width="10" style="158" customWidth="1"/>
    <col min="2565" max="2565" width="12" style="158" customWidth="1"/>
    <col min="2566" max="2568" width="12.85546875" style="158" customWidth="1"/>
    <col min="2569" max="2569" width="11.85546875" style="158" customWidth="1"/>
    <col min="2570" max="2570" width="13.28515625" style="158" customWidth="1"/>
    <col min="2571" max="2571" width="14.5703125" style="158" customWidth="1"/>
    <col min="2572" max="2572" width="12.42578125" style="158" customWidth="1"/>
    <col min="2573" max="2573" width="2.7109375" style="158" customWidth="1"/>
    <col min="2574" max="2816" width="9.140625" style="158"/>
    <col min="2817" max="2817" width="15.85546875" style="158" customWidth="1"/>
    <col min="2818" max="2818" width="28.85546875" style="158" customWidth="1"/>
    <col min="2819" max="2819" width="10.42578125" style="158" customWidth="1"/>
    <col min="2820" max="2820" width="10" style="158" customWidth="1"/>
    <col min="2821" max="2821" width="12" style="158" customWidth="1"/>
    <col min="2822" max="2824" width="12.85546875" style="158" customWidth="1"/>
    <col min="2825" max="2825" width="11.85546875" style="158" customWidth="1"/>
    <col min="2826" max="2826" width="13.28515625" style="158" customWidth="1"/>
    <col min="2827" max="2827" width="14.5703125" style="158" customWidth="1"/>
    <col min="2828" max="2828" width="12.42578125" style="158" customWidth="1"/>
    <col min="2829" max="2829" width="2.7109375" style="158" customWidth="1"/>
    <col min="2830" max="3072" width="9.140625" style="158"/>
    <col min="3073" max="3073" width="15.85546875" style="158" customWidth="1"/>
    <col min="3074" max="3074" width="28.85546875" style="158" customWidth="1"/>
    <col min="3075" max="3075" width="10.42578125" style="158" customWidth="1"/>
    <col min="3076" max="3076" width="10" style="158" customWidth="1"/>
    <col min="3077" max="3077" width="12" style="158" customWidth="1"/>
    <col min="3078" max="3080" width="12.85546875" style="158" customWidth="1"/>
    <col min="3081" max="3081" width="11.85546875" style="158" customWidth="1"/>
    <col min="3082" max="3082" width="13.28515625" style="158" customWidth="1"/>
    <col min="3083" max="3083" width="14.5703125" style="158" customWidth="1"/>
    <col min="3084" max="3084" width="12.42578125" style="158" customWidth="1"/>
    <col min="3085" max="3085" width="2.7109375" style="158" customWidth="1"/>
    <col min="3086" max="3328" width="9.140625" style="158"/>
    <col min="3329" max="3329" width="15.85546875" style="158" customWidth="1"/>
    <col min="3330" max="3330" width="28.85546875" style="158" customWidth="1"/>
    <col min="3331" max="3331" width="10.42578125" style="158" customWidth="1"/>
    <col min="3332" max="3332" width="10" style="158" customWidth="1"/>
    <col min="3333" max="3333" width="12" style="158" customWidth="1"/>
    <col min="3334" max="3336" width="12.85546875" style="158" customWidth="1"/>
    <col min="3337" max="3337" width="11.85546875" style="158" customWidth="1"/>
    <col min="3338" max="3338" width="13.28515625" style="158" customWidth="1"/>
    <col min="3339" max="3339" width="14.5703125" style="158" customWidth="1"/>
    <col min="3340" max="3340" width="12.42578125" style="158" customWidth="1"/>
    <col min="3341" max="3341" width="2.7109375" style="158" customWidth="1"/>
    <col min="3342" max="3584" width="9.140625" style="158"/>
    <col min="3585" max="3585" width="15.85546875" style="158" customWidth="1"/>
    <col min="3586" max="3586" width="28.85546875" style="158" customWidth="1"/>
    <col min="3587" max="3587" width="10.42578125" style="158" customWidth="1"/>
    <col min="3588" max="3588" width="10" style="158" customWidth="1"/>
    <col min="3589" max="3589" width="12" style="158" customWidth="1"/>
    <col min="3590" max="3592" width="12.85546875" style="158" customWidth="1"/>
    <col min="3593" max="3593" width="11.85546875" style="158" customWidth="1"/>
    <col min="3594" max="3594" width="13.28515625" style="158" customWidth="1"/>
    <col min="3595" max="3595" width="14.5703125" style="158" customWidth="1"/>
    <col min="3596" max="3596" width="12.42578125" style="158" customWidth="1"/>
    <col min="3597" max="3597" width="2.7109375" style="158" customWidth="1"/>
    <col min="3598" max="3840" width="9.140625" style="158"/>
    <col min="3841" max="3841" width="15.85546875" style="158" customWidth="1"/>
    <col min="3842" max="3842" width="28.85546875" style="158" customWidth="1"/>
    <col min="3843" max="3843" width="10.42578125" style="158" customWidth="1"/>
    <col min="3844" max="3844" width="10" style="158" customWidth="1"/>
    <col min="3845" max="3845" width="12" style="158" customWidth="1"/>
    <col min="3846" max="3848" width="12.85546875" style="158" customWidth="1"/>
    <col min="3849" max="3849" width="11.85546875" style="158" customWidth="1"/>
    <col min="3850" max="3850" width="13.28515625" style="158" customWidth="1"/>
    <col min="3851" max="3851" width="14.5703125" style="158" customWidth="1"/>
    <col min="3852" max="3852" width="12.42578125" style="158" customWidth="1"/>
    <col min="3853" max="3853" width="2.7109375" style="158" customWidth="1"/>
    <col min="3854" max="4096" width="9.140625" style="158"/>
    <col min="4097" max="4097" width="15.85546875" style="158" customWidth="1"/>
    <col min="4098" max="4098" width="28.85546875" style="158" customWidth="1"/>
    <col min="4099" max="4099" width="10.42578125" style="158" customWidth="1"/>
    <col min="4100" max="4100" width="10" style="158" customWidth="1"/>
    <col min="4101" max="4101" width="12" style="158" customWidth="1"/>
    <col min="4102" max="4104" width="12.85546875" style="158" customWidth="1"/>
    <col min="4105" max="4105" width="11.85546875" style="158" customWidth="1"/>
    <col min="4106" max="4106" width="13.28515625" style="158" customWidth="1"/>
    <col min="4107" max="4107" width="14.5703125" style="158" customWidth="1"/>
    <col min="4108" max="4108" width="12.42578125" style="158" customWidth="1"/>
    <col min="4109" max="4109" width="2.7109375" style="158" customWidth="1"/>
    <col min="4110" max="4352" width="9.140625" style="158"/>
    <col min="4353" max="4353" width="15.85546875" style="158" customWidth="1"/>
    <col min="4354" max="4354" width="28.85546875" style="158" customWidth="1"/>
    <col min="4355" max="4355" width="10.42578125" style="158" customWidth="1"/>
    <col min="4356" max="4356" width="10" style="158" customWidth="1"/>
    <col min="4357" max="4357" width="12" style="158" customWidth="1"/>
    <col min="4358" max="4360" width="12.85546875" style="158" customWidth="1"/>
    <col min="4361" max="4361" width="11.85546875" style="158" customWidth="1"/>
    <col min="4362" max="4362" width="13.28515625" style="158" customWidth="1"/>
    <col min="4363" max="4363" width="14.5703125" style="158" customWidth="1"/>
    <col min="4364" max="4364" width="12.42578125" style="158" customWidth="1"/>
    <col min="4365" max="4365" width="2.7109375" style="158" customWidth="1"/>
    <col min="4366" max="4608" width="9.140625" style="158"/>
    <col min="4609" max="4609" width="15.85546875" style="158" customWidth="1"/>
    <col min="4610" max="4610" width="28.85546875" style="158" customWidth="1"/>
    <col min="4611" max="4611" width="10.42578125" style="158" customWidth="1"/>
    <col min="4612" max="4612" width="10" style="158" customWidth="1"/>
    <col min="4613" max="4613" width="12" style="158" customWidth="1"/>
    <col min="4614" max="4616" width="12.85546875" style="158" customWidth="1"/>
    <col min="4617" max="4617" width="11.85546875" style="158" customWidth="1"/>
    <col min="4618" max="4618" width="13.28515625" style="158" customWidth="1"/>
    <col min="4619" max="4619" width="14.5703125" style="158" customWidth="1"/>
    <col min="4620" max="4620" width="12.42578125" style="158" customWidth="1"/>
    <col min="4621" max="4621" width="2.7109375" style="158" customWidth="1"/>
    <col min="4622" max="4864" width="9.140625" style="158"/>
    <col min="4865" max="4865" width="15.85546875" style="158" customWidth="1"/>
    <col min="4866" max="4866" width="28.85546875" style="158" customWidth="1"/>
    <col min="4867" max="4867" width="10.42578125" style="158" customWidth="1"/>
    <col min="4868" max="4868" width="10" style="158" customWidth="1"/>
    <col min="4869" max="4869" width="12" style="158" customWidth="1"/>
    <col min="4870" max="4872" width="12.85546875" style="158" customWidth="1"/>
    <col min="4873" max="4873" width="11.85546875" style="158" customWidth="1"/>
    <col min="4874" max="4874" width="13.28515625" style="158" customWidth="1"/>
    <col min="4875" max="4875" width="14.5703125" style="158" customWidth="1"/>
    <col min="4876" max="4876" width="12.42578125" style="158" customWidth="1"/>
    <col min="4877" max="4877" width="2.7109375" style="158" customWidth="1"/>
    <col min="4878" max="5120" width="9.140625" style="158"/>
    <col min="5121" max="5121" width="15.85546875" style="158" customWidth="1"/>
    <col min="5122" max="5122" width="28.85546875" style="158" customWidth="1"/>
    <col min="5123" max="5123" width="10.42578125" style="158" customWidth="1"/>
    <col min="5124" max="5124" width="10" style="158" customWidth="1"/>
    <col min="5125" max="5125" width="12" style="158" customWidth="1"/>
    <col min="5126" max="5128" width="12.85546875" style="158" customWidth="1"/>
    <col min="5129" max="5129" width="11.85546875" style="158" customWidth="1"/>
    <col min="5130" max="5130" width="13.28515625" style="158" customWidth="1"/>
    <col min="5131" max="5131" width="14.5703125" style="158" customWidth="1"/>
    <col min="5132" max="5132" width="12.42578125" style="158" customWidth="1"/>
    <col min="5133" max="5133" width="2.7109375" style="158" customWidth="1"/>
    <col min="5134" max="5376" width="9.140625" style="158"/>
    <col min="5377" max="5377" width="15.85546875" style="158" customWidth="1"/>
    <col min="5378" max="5378" width="28.85546875" style="158" customWidth="1"/>
    <col min="5379" max="5379" width="10.42578125" style="158" customWidth="1"/>
    <col min="5380" max="5380" width="10" style="158" customWidth="1"/>
    <col min="5381" max="5381" width="12" style="158" customWidth="1"/>
    <col min="5382" max="5384" width="12.85546875" style="158" customWidth="1"/>
    <col min="5385" max="5385" width="11.85546875" style="158" customWidth="1"/>
    <col min="5386" max="5386" width="13.28515625" style="158" customWidth="1"/>
    <col min="5387" max="5387" width="14.5703125" style="158" customWidth="1"/>
    <col min="5388" max="5388" width="12.42578125" style="158" customWidth="1"/>
    <col min="5389" max="5389" width="2.7109375" style="158" customWidth="1"/>
    <col min="5390" max="5632" width="9.140625" style="158"/>
    <col min="5633" max="5633" width="15.85546875" style="158" customWidth="1"/>
    <col min="5634" max="5634" width="28.85546875" style="158" customWidth="1"/>
    <col min="5635" max="5635" width="10.42578125" style="158" customWidth="1"/>
    <col min="5636" max="5636" width="10" style="158" customWidth="1"/>
    <col min="5637" max="5637" width="12" style="158" customWidth="1"/>
    <col min="5638" max="5640" width="12.85546875" style="158" customWidth="1"/>
    <col min="5641" max="5641" width="11.85546875" style="158" customWidth="1"/>
    <col min="5642" max="5642" width="13.28515625" style="158" customWidth="1"/>
    <col min="5643" max="5643" width="14.5703125" style="158" customWidth="1"/>
    <col min="5644" max="5644" width="12.42578125" style="158" customWidth="1"/>
    <col min="5645" max="5645" width="2.7109375" style="158" customWidth="1"/>
    <col min="5646" max="5888" width="9.140625" style="158"/>
    <col min="5889" max="5889" width="15.85546875" style="158" customWidth="1"/>
    <col min="5890" max="5890" width="28.85546875" style="158" customWidth="1"/>
    <col min="5891" max="5891" width="10.42578125" style="158" customWidth="1"/>
    <col min="5892" max="5892" width="10" style="158" customWidth="1"/>
    <col min="5893" max="5893" width="12" style="158" customWidth="1"/>
    <col min="5894" max="5896" width="12.85546875" style="158" customWidth="1"/>
    <col min="5897" max="5897" width="11.85546875" style="158" customWidth="1"/>
    <col min="5898" max="5898" width="13.28515625" style="158" customWidth="1"/>
    <col min="5899" max="5899" width="14.5703125" style="158" customWidth="1"/>
    <col min="5900" max="5900" width="12.42578125" style="158" customWidth="1"/>
    <col min="5901" max="5901" width="2.7109375" style="158" customWidth="1"/>
    <col min="5902" max="6144" width="9.140625" style="158"/>
    <col min="6145" max="6145" width="15.85546875" style="158" customWidth="1"/>
    <col min="6146" max="6146" width="28.85546875" style="158" customWidth="1"/>
    <col min="6147" max="6147" width="10.42578125" style="158" customWidth="1"/>
    <col min="6148" max="6148" width="10" style="158" customWidth="1"/>
    <col min="6149" max="6149" width="12" style="158" customWidth="1"/>
    <col min="6150" max="6152" width="12.85546875" style="158" customWidth="1"/>
    <col min="6153" max="6153" width="11.85546875" style="158" customWidth="1"/>
    <col min="6154" max="6154" width="13.28515625" style="158" customWidth="1"/>
    <col min="6155" max="6155" width="14.5703125" style="158" customWidth="1"/>
    <col min="6156" max="6156" width="12.42578125" style="158" customWidth="1"/>
    <col min="6157" max="6157" width="2.7109375" style="158" customWidth="1"/>
    <col min="6158" max="6400" width="9.140625" style="158"/>
    <col min="6401" max="6401" width="15.85546875" style="158" customWidth="1"/>
    <col min="6402" max="6402" width="28.85546875" style="158" customWidth="1"/>
    <col min="6403" max="6403" width="10.42578125" style="158" customWidth="1"/>
    <col min="6404" max="6404" width="10" style="158" customWidth="1"/>
    <col min="6405" max="6405" width="12" style="158" customWidth="1"/>
    <col min="6406" max="6408" width="12.85546875" style="158" customWidth="1"/>
    <col min="6409" max="6409" width="11.85546875" style="158" customWidth="1"/>
    <col min="6410" max="6410" width="13.28515625" style="158" customWidth="1"/>
    <col min="6411" max="6411" width="14.5703125" style="158" customWidth="1"/>
    <col min="6412" max="6412" width="12.42578125" style="158" customWidth="1"/>
    <col min="6413" max="6413" width="2.7109375" style="158" customWidth="1"/>
    <col min="6414" max="6656" width="9.140625" style="158"/>
    <col min="6657" max="6657" width="15.85546875" style="158" customWidth="1"/>
    <col min="6658" max="6658" width="28.85546875" style="158" customWidth="1"/>
    <col min="6659" max="6659" width="10.42578125" style="158" customWidth="1"/>
    <col min="6660" max="6660" width="10" style="158" customWidth="1"/>
    <col min="6661" max="6661" width="12" style="158" customWidth="1"/>
    <col min="6662" max="6664" width="12.85546875" style="158" customWidth="1"/>
    <col min="6665" max="6665" width="11.85546875" style="158" customWidth="1"/>
    <col min="6666" max="6666" width="13.28515625" style="158" customWidth="1"/>
    <col min="6667" max="6667" width="14.5703125" style="158" customWidth="1"/>
    <col min="6668" max="6668" width="12.42578125" style="158" customWidth="1"/>
    <col min="6669" max="6669" width="2.7109375" style="158" customWidth="1"/>
    <col min="6670" max="6912" width="9.140625" style="158"/>
    <col min="6913" max="6913" width="15.85546875" style="158" customWidth="1"/>
    <col min="6914" max="6914" width="28.85546875" style="158" customWidth="1"/>
    <col min="6915" max="6915" width="10.42578125" style="158" customWidth="1"/>
    <col min="6916" max="6916" width="10" style="158" customWidth="1"/>
    <col min="6917" max="6917" width="12" style="158" customWidth="1"/>
    <col min="6918" max="6920" width="12.85546875" style="158" customWidth="1"/>
    <col min="6921" max="6921" width="11.85546875" style="158" customWidth="1"/>
    <col min="6922" max="6922" width="13.28515625" style="158" customWidth="1"/>
    <col min="6923" max="6923" width="14.5703125" style="158" customWidth="1"/>
    <col min="6924" max="6924" width="12.42578125" style="158" customWidth="1"/>
    <col min="6925" max="6925" width="2.7109375" style="158" customWidth="1"/>
    <col min="6926" max="7168" width="9.140625" style="158"/>
    <col min="7169" max="7169" width="15.85546875" style="158" customWidth="1"/>
    <col min="7170" max="7170" width="28.85546875" style="158" customWidth="1"/>
    <col min="7171" max="7171" width="10.42578125" style="158" customWidth="1"/>
    <col min="7172" max="7172" width="10" style="158" customWidth="1"/>
    <col min="7173" max="7173" width="12" style="158" customWidth="1"/>
    <col min="7174" max="7176" width="12.85546875" style="158" customWidth="1"/>
    <col min="7177" max="7177" width="11.85546875" style="158" customWidth="1"/>
    <col min="7178" max="7178" width="13.28515625" style="158" customWidth="1"/>
    <col min="7179" max="7179" width="14.5703125" style="158" customWidth="1"/>
    <col min="7180" max="7180" width="12.42578125" style="158" customWidth="1"/>
    <col min="7181" max="7181" width="2.7109375" style="158" customWidth="1"/>
    <col min="7182" max="7424" width="9.140625" style="158"/>
    <col min="7425" max="7425" width="15.85546875" style="158" customWidth="1"/>
    <col min="7426" max="7426" width="28.85546875" style="158" customWidth="1"/>
    <col min="7427" max="7427" width="10.42578125" style="158" customWidth="1"/>
    <col min="7428" max="7428" width="10" style="158" customWidth="1"/>
    <col min="7429" max="7429" width="12" style="158" customWidth="1"/>
    <col min="7430" max="7432" width="12.85546875" style="158" customWidth="1"/>
    <col min="7433" max="7433" width="11.85546875" style="158" customWidth="1"/>
    <col min="7434" max="7434" width="13.28515625" style="158" customWidth="1"/>
    <col min="7435" max="7435" width="14.5703125" style="158" customWidth="1"/>
    <col min="7436" max="7436" width="12.42578125" style="158" customWidth="1"/>
    <col min="7437" max="7437" width="2.7109375" style="158" customWidth="1"/>
    <col min="7438" max="7680" width="9.140625" style="158"/>
    <col min="7681" max="7681" width="15.85546875" style="158" customWidth="1"/>
    <col min="7682" max="7682" width="28.85546875" style="158" customWidth="1"/>
    <col min="7683" max="7683" width="10.42578125" style="158" customWidth="1"/>
    <col min="7684" max="7684" width="10" style="158" customWidth="1"/>
    <col min="7685" max="7685" width="12" style="158" customWidth="1"/>
    <col min="7686" max="7688" width="12.85546875" style="158" customWidth="1"/>
    <col min="7689" max="7689" width="11.85546875" style="158" customWidth="1"/>
    <col min="7690" max="7690" width="13.28515625" style="158" customWidth="1"/>
    <col min="7691" max="7691" width="14.5703125" style="158" customWidth="1"/>
    <col min="7692" max="7692" width="12.42578125" style="158" customWidth="1"/>
    <col min="7693" max="7693" width="2.7109375" style="158" customWidth="1"/>
    <col min="7694" max="7936" width="9.140625" style="158"/>
    <col min="7937" max="7937" width="15.85546875" style="158" customWidth="1"/>
    <col min="7938" max="7938" width="28.85546875" style="158" customWidth="1"/>
    <col min="7939" max="7939" width="10.42578125" style="158" customWidth="1"/>
    <col min="7940" max="7940" width="10" style="158" customWidth="1"/>
    <col min="7941" max="7941" width="12" style="158" customWidth="1"/>
    <col min="7942" max="7944" width="12.85546875" style="158" customWidth="1"/>
    <col min="7945" max="7945" width="11.85546875" style="158" customWidth="1"/>
    <col min="7946" max="7946" width="13.28515625" style="158" customWidth="1"/>
    <col min="7947" max="7947" width="14.5703125" style="158" customWidth="1"/>
    <col min="7948" max="7948" width="12.42578125" style="158" customWidth="1"/>
    <col min="7949" max="7949" width="2.7109375" style="158" customWidth="1"/>
    <col min="7950" max="8192" width="9.140625" style="158"/>
    <col min="8193" max="8193" width="15.85546875" style="158" customWidth="1"/>
    <col min="8194" max="8194" width="28.85546875" style="158" customWidth="1"/>
    <col min="8195" max="8195" width="10.42578125" style="158" customWidth="1"/>
    <col min="8196" max="8196" width="10" style="158" customWidth="1"/>
    <col min="8197" max="8197" width="12" style="158" customWidth="1"/>
    <col min="8198" max="8200" width="12.85546875" style="158" customWidth="1"/>
    <col min="8201" max="8201" width="11.85546875" style="158" customWidth="1"/>
    <col min="8202" max="8202" width="13.28515625" style="158" customWidth="1"/>
    <col min="8203" max="8203" width="14.5703125" style="158" customWidth="1"/>
    <col min="8204" max="8204" width="12.42578125" style="158" customWidth="1"/>
    <col min="8205" max="8205" width="2.7109375" style="158" customWidth="1"/>
    <col min="8206" max="8448" width="9.140625" style="158"/>
    <col min="8449" max="8449" width="15.85546875" style="158" customWidth="1"/>
    <col min="8450" max="8450" width="28.85546875" style="158" customWidth="1"/>
    <col min="8451" max="8451" width="10.42578125" style="158" customWidth="1"/>
    <col min="8452" max="8452" width="10" style="158" customWidth="1"/>
    <col min="8453" max="8453" width="12" style="158" customWidth="1"/>
    <col min="8454" max="8456" width="12.85546875" style="158" customWidth="1"/>
    <col min="8457" max="8457" width="11.85546875" style="158" customWidth="1"/>
    <col min="8458" max="8458" width="13.28515625" style="158" customWidth="1"/>
    <col min="8459" max="8459" width="14.5703125" style="158" customWidth="1"/>
    <col min="8460" max="8460" width="12.42578125" style="158" customWidth="1"/>
    <col min="8461" max="8461" width="2.7109375" style="158" customWidth="1"/>
    <col min="8462" max="8704" width="9.140625" style="158"/>
    <col min="8705" max="8705" width="15.85546875" style="158" customWidth="1"/>
    <col min="8706" max="8706" width="28.85546875" style="158" customWidth="1"/>
    <col min="8707" max="8707" width="10.42578125" style="158" customWidth="1"/>
    <col min="8708" max="8708" width="10" style="158" customWidth="1"/>
    <col min="8709" max="8709" width="12" style="158" customWidth="1"/>
    <col min="8710" max="8712" width="12.85546875" style="158" customWidth="1"/>
    <col min="8713" max="8713" width="11.85546875" style="158" customWidth="1"/>
    <col min="8714" max="8714" width="13.28515625" style="158" customWidth="1"/>
    <col min="8715" max="8715" width="14.5703125" style="158" customWidth="1"/>
    <col min="8716" max="8716" width="12.42578125" style="158" customWidth="1"/>
    <col min="8717" max="8717" width="2.7109375" style="158" customWidth="1"/>
    <col min="8718" max="8960" width="9.140625" style="158"/>
    <col min="8961" max="8961" width="15.85546875" style="158" customWidth="1"/>
    <col min="8962" max="8962" width="28.85546875" style="158" customWidth="1"/>
    <col min="8963" max="8963" width="10.42578125" style="158" customWidth="1"/>
    <col min="8964" max="8964" width="10" style="158" customWidth="1"/>
    <col min="8965" max="8965" width="12" style="158" customWidth="1"/>
    <col min="8966" max="8968" width="12.85546875" style="158" customWidth="1"/>
    <col min="8969" max="8969" width="11.85546875" style="158" customWidth="1"/>
    <col min="8970" max="8970" width="13.28515625" style="158" customWidth="1"/>
    <col min="8971" max="8971" width="14.5703125" style="158" customWidth="1"/>
    <col min="8972" max="8972" width="12.42578125" style="158" customWidth="1"/>
    <col min="8973" max="8973" width="2.7109375" style="158" customWidth="1"/>
    <col min="8974" max="9216" width="9.140625" style="158"/>
    <col min="9217" max="9217" width="15.85546875" style="158" customWidth="1"/>
    <col min="9218" max="9218" width="28.85546875" style="158" customWidth="1"/>
    <col min="9219" max="9219" width="10.42578125" style="158" customWidth="1"/>
    <col min="9220" max="9220" width="10" style="158" customWidth="1"/>
    <col min="9221" max="9221" width="12" style="158" customWidth="1"/>
    <col min="9222" max="9224" width="12.85546875" style="158" customWidth="1"/>
    <col min="9225" max="9225" width="11.85546875" style="158" customWidth="1"/>
    <col min="9226" max="9226" width="13.28515625" style="158" customWidth="1"/>
    <col min="9227" max="9227" width="14.5703125" style="158" customWidth="1"/>
    <col min="9228" max="9228" width="12.42578125" style="158" customWidth="1"/>
    <col min="9229" max="9229" width="2.7109375" style="158" customWidth="1"/>
    <col min="9230" max="9472" width="9.140625" style="158"/>
    <col min="9473" max="9473" width="15.85546875" style="158" customWidth="1"/>
    <col min="9474" max="9474" width="28.85546875" style="158" customWidth="1"/>
    <col min="9475" max="9475" width="10.42578125" style="158" customWidth="1"/>
    <col min="9476" max="9476" width="10" style="158" customWidth="1"/>
    <col min="9477" max="9477" width="12" style="158" customWidth="1"/>
    <col min="9478" max="9480" width="12.85546875" style="158" customWidth="1"/>
    <col min="9481" max="9481" width="11.85546875" style="158" customWidth="1"/>
    <col min="9482" max="9482" width="13.28515625" style="158" customWidth="1"/>
    <col min="9483" max="9483" width="14.5703125" style="158" customWidth="1"/>
    <col min="9484" max="9484" width="12.42578125" style="158" customWidth="1"/>
    <col min="9485" max="9485" width="2.7109375" style="158" customWidth="1"/>
    <col min="9486" max="9728" width="9.140625" style="158"/>
    <col min="9729" max="9729" width="15.85546875" style="158" customWidth="1"/>
    <col min="9730" max="9730" width="28.85546875" style="158" customWidth="1"/>
    <col min="9731" max="9731" width="10.42578125" style="158" customWidth="1"/>
    <col min="9732" max="9732" width="10" style="158" customWidth="1"/>
    <col min="9733" max="9733" width="12" style="158" customWidth="1"/>
    <col min="9734" max="9736" width="12.85546875" style="158" customWidth="1"/>
    <col min="9737" max="9737" width="11.85546875" style="158" customWidth="1"/>
    <col min="9738" max="9738" width="13.28515625" style="158" customWidth="1"/>
    <col min="9739" max="9739" width="14.5703125" style="158" customWidth="1"/>
    <col min="9740" max="9740" width="12.42578125" style="158" customWidth="1"/>
    <col min="9741" max="9741" width="2.7109375" style="158" customWidth="1"/>
    <col min="9742" max="9984" width="9.140625" style="158"/>
    <col min="9985" max="9985" width="15.85546875" style="158" customWidth="1"/>
    <col min="9986" max="9986" width="28.85546875" style="158" customWidth="1"/>
    <col min="9987" max="9987" width="10.42578125" style="158" customWidth="1"/>
    <col min="9988" max="9988" width="10" style="158" customWidth="1"/>
    <col min="9989" max="9989" width="12" style="158" customWidth="1"/>
    <col min="9990" max="9992" width="12.85546875" style="158" customWidth="1"/>
    <col min="9993" max="9993" width="11.85546875" style="158" customWidth="1"/>
    <col min="9994" max="9994" width="13.28515625" style="158" customWidth="1"/>
    <col min="9995" max="9995" width="14.5703125" style="158" customWidth="1"/>
    <col min="9996" max="9996" width="12.42578125" style="158" customWidth="1"/>
    <col min="9997" max="9997" width="2.7109375" style="158" customWidth="1"/>
    <col min="9998" max="10240" width="9.140625" style="158"/>
    <col min="10241" max="10241" width="15.85546875" style="158" customWidth="1"/>
    <col min="10242" max="10242" width="28.85546875" style="158" customWidth="1"/>
    <col min="10243" max="10243" width="10.42578125" style="158" customWidth="1"/>
    <col min="10244" max="10244" width="10" style="158" customWidth="1"/>
    <col min="10245" max="10245" width="12" style="158" customWidth="1"/>
    <col min="10246" max="10248" width="12.85546875" style="158" customWidth="1"/>
    <col min="10249" max="10249" width="11.85546875" style="158" customWidth="1"/>
    <col min="10250" max="10250" width="13.28515625" style="158" customWidth="1"/>
    <col min="10251" max="10251" width="14.5703125" style="158" customWidth="1"/>
    <col min="10252" max="10252" width="12.42578125" style="158" customWidth="1"/>
    <col min="10253" max="10253" width="2.7109375" style="158" customWidth="1"/>
    <col min="10254" max="10496" width="9.140625" style="158"/>
    <col min="10497" max="10497" width="15.85546875" style="158" customWidth="1"/>
    <col min="10498" max="10498" width="28.85546875" style="158" customWidth="1"/>
    <col min="10499" max="10499" width="10.42578125" style="158" customWidth="1"/>
    <col min="10500" max="10500" width="10" style="158" customWidth="1"/>
    <col min="10501" max="10501" width="12" style="158" customWidth="1"/>
    <col min="10502" max="10504" width="12.85546875" style="158" customWidth="1"/>
    <col min="10505" max="10505" width="11.85546875" style="158" customWidth="1"/>
    <col min="10506" max="10506" width="13.28515625" style="158" customWidth="1"/>
    <col min="10507" max="10507" width="14.5703125" style="158" customWidth="1"/>
    <col min="10508" max="10508" width="12.42578125" style="158" customWidth="1"/>
    <col min="10509" max="10509" width="2.7109375" style="158" customWidth="1"/>
    <col min="10510" max="10752" width="9.140625" style="158"/>
    <col min="10753" max="10753" width="15.85546875" style="158" customWidth="1"/>
    <col min="10754" max="10754" width="28.85546875" style="158" customWidth="1"/>
    <col min="10755" max="10755" width="10.42578125" style="158" customWidth="1"/>
    <col min="10756" max="10756" width="10" style="158" customWidth="1"/>
    <col min="10757" max="10757" width="12" style="158" customWidth="1"/>
    <col min="10758" max="10760" width="12.85546875" style="158" customWidth="1"/>
    <col min="10761" max="10761" width="11.85546875" style="158" customWidth="1"/>
    <col min="10762" max="10762" width="13.28515625" style="158" customWidth="1"/>
    <col min="10763" max="10763" width="14.5703125" style="158" customWidth="1"/>
    <col min="10764" max="10764" width="12.42578125" style="158" customWidth="1"/>
    <col min="10765" max="10765" width="2.7109375" style="158" customWidth="1"/>
    <col min="10766" max="11008" width="9.140625" style="158"/>
    <col min="11009" max="11009" width="15.85546875" style="158" customWidth="1"/>
    <col min="11010" max="11010" width="28.85546875" style="158" customWidth="1"/>
    <col min="11011" max="11011" width="10.42578125" style="158" customWidth="1"/>
    <col min="11012" max="11012" width="10" style="158" customWidth="1"/>
    <col min="11013" max="11013" width="12" style="158" customWidth="1"/>
    <col min="11014" max="11016" width="12.85546875" style="158" customWidth="1"/>
    <col min="11017" max="11017" width="11.85546875" style="158" customWidth="1"/>
    <col min="11018" max="11018" width="13.28515625" style="158" customWidth="1"/>
    <col min="11019" max="11019" width="14.5703125" style="158" customWidth="1"/>
    <col min="11020" max="11020" width="12.42578125" style="158" customWidth="1"/>
    <col min="11021" max="11021" width="2.7109375" style="158" customWidth="1"/>
    <col min="11022" max="11264" width="9.140625" style="158"/>
    <col min="11265" max="11265" width="15.85546875" style="158" customWidth="1"/>
    <col min="11266" max="11266" width="28.85546875" style="158" customWidth="1"/>
    <col min="11267" max="11267" width="10.42578125" style="158" customWidth="1"/>
    <col min="11268" max="11268" width="10" style="158" customWidth="1"/>
    <col min="11269" max="11269" width="12" style="158" customWidth="1"/>
    <col min="11270" max="11272" width="12.85546875" style="158" customWidth="1"/>
    <col min="11273" max="11273" width="11.85546875" style="158" customWidth="1"/>
    <col min="11274" max="11274" width="13.28515625" style="158" customWidth="1"/>
    <col min="11275" max="11275" width="14.5703125" style="158" customWidth="1"/>
    <col min="11276" max="11276" width="12.42578125" style="158" customWidth="1"/>
    <col min="11277" max="11277" width="2.7109375" style="158" customWidth="1"/>
    <col min="11278" max="11520" width="9.140625" style="158"/>
    <col min="11521" max="11521" width="15.85546875" style="158" customWidth="1"/>
    <col min="11522" max="11522" width="28.85546875" style="158" customWidth="1"/>
    <col min="11523" max="11523" width="10.42578125" style="158" customWidth="1"/>
    <col min="11524" max="11524" width="10" style="158" customWidth="1"/>
    <col min="11525" max="11525" width="12" style="158" customWidth="1"/>
    <col min="11526" max="11528" width="12.85546875" style="158" customWidth="1"/>
    <col min="11529" max="11529" width="11.85546875" style="158" customWidth="1"/>
    <col min="11530" max="11530" width="13.28515625" style="158" customWidth="1"/>
    <col min="11531" max="11531" width="14.5703125" style="158" customWidth="1"/>
    <col min="11532" max="11532" width="12.42578125" style="158" customWidth="1"/>
    <col min="11533" max="11533" width="2.7109375" style="158" customWidth="1"/>
    <col min="11534" max="11776" width="9.140625" style="158"/>
    <col min="11777" max="11777" width="15.85546875" style="158" customWidth="1"/>
    <col min="11778" max="11778" width="28.85546875" style="158" customWidth="1"/>
    <col min="11779" max="11779" width="10.42578125" style="158" customWidth="1"/>
    <col min="11780" max="11780" width="10" style="158" customWidth="1"/>
    <col min="11781" max="11781" width="12" style="158" customWidth="1"/>
    <col min="11782" max="11784" width="12.85546875" style="158" customWidth="1"/>
    <col min="11785" max="11785" width="11.85546875" style="158" customWidth="1"/>
    <col min="11786" max="11786" width="13.28515625" style="158" customWidth="1"/>
    <col min="11787" max="11787" width="14.5703125" style="158" customWidth="1"/>
    <col min="11788" max="11788" width="12.42578125" style="158" customWidth="1"/>
    <col min="11789" max="11789" width="2.7109375" style="158" customWidth="1"/>
    <col min="11790" max="12032" width="9.140625" style="158"/>
    <col min="12033" max="12033" width="15.85546875" style="158" customWidth="1"/>
    <col min="12034" max="12034" width="28.85546875" style="158" customWidth="1"/>
    <col min="12035" max="12035" width="10.42578125" style="158" customWidth="1"/>
    <col min="12036" max="12036" width="10" style="158" customWidth="1"/>
    <col min="12037" max="12037" width="12" style="158" customWidth="1"/>
    <col min="12038" max="12040" width="12.85546875" style="158" customWidth="1"/>
    <col min="12041" max="12041" width="11.85546875" style="158" customWidth="1"/>
    <col min="12042" max="12042" width="13.28515625" style="158" customWidth="1"/>
    <col min="12043" max="12043" width="14.5703125" style="158" customWidth="1"/>
    <col min="12044" max="12044" width="12.42578125" style="158" customWidth="1"/>
    <col min="12045" max="12045" width="2.7109375" style="158" customWidth="1"/>
    <col min="12046" max="12288" width="9.140625" style="158"/>
    <col min="12289" max="12289" width="15.85546875" style="158" customWidth="1"/>
    <col min="12290" max="12290" width="28.85546875" style="158" customWidth="1"/>
    <col min="12291" max="12291" width="10.42578125" style="158" customWidth="1"/>
    <col min="12292" max="12292" width="10" style="158" customWidth="1"/>
    <col min="12293" max="12293" width="12" style="158" customWidth="1"/>
    <col min="12294" max="12296" width="12.85546875" style="158" customWidth="1"/>
    <col min="12297" max="12297" width="11.85546875" style="158" customWidth="1"/>
    <col min="12298" max="12298" width="13.28515625" style="158" customWidth="1"/>
    <col min="12299" max="12299" width="14.5703125" style="158" customWidth="1"/>
    <col min="12300" max="12300" width="12.42578125" style="158" customWidth="1"/>
    <col min="12301" max="12301" width="2.7109375" style="158" customWidth="1"/>
    <col min="12302" max="12544" width="9.140625" style="158"/>
    <col min="12545" max="12545" width="15.85546875" style="158" customWidth="1"/>
    <col min="12546" max="12546" width="28.85546875" style="158" customWidth="1"/>
    <col min="12547" max="12547" width="10.42578125" style="158" customWidth="1"/>
    <col min="12548" max="12548" width="10" style="158" customWidth="1"/>
    <col min="12549" max="12549" width="12" style="158" customWidth="1"/>
    <col min="12550" max="12552" width="12.85546875" style="158" customWidth="1"/>
    <col min="12553" max="12553" width="11.85546875" style="158" customWidth="1"/>
    <col min="12554" max="12554" width="13.28515625" style="158" customWidth="1"/>
    <col min="12555" max="12555" width="14.5703125" style="158" customWidth="1"/>
    <col min="12556" max="12556" width="12.42578125" style="158" customWidth="1"/>
    <col min="12557" max="12557" width="2.7109375" style="158" customWidth="1"/>
    <col min="12558" max="12800" width="9.140625" style="158"/>
    <col min="12801" max="12801" width="15.85546875" style="158" customWidth="1"/>
    <col min="12802" max="12802" width="28.85546875" style="158" customWidth="1"/>
    <col min="12803" max="12803" width="10.42578125" style="158" customWidth="1"/>
    <col min="12804" max="12804" width="10" style="158" customWidth="1"/>
    <col min="12805" max="12805" width="12" style="158" customWidth="1"/>
    <col min="12806" max="12808" width="12.85546875" style="158" customWidth="1"/>
    <col min="12809" max="12809" width="11.85546875" style="158" customWidth="1"/>
    <col min="12810" max="12810" width="13.28515625" style="158" customWidth="1"/>
    <col min="12811" max="12811" width="14.5703125" style="158" customWidth="1"/>
    <col min="12812" max="12812" width="12.42578125" style="158" customWidth="1"/>
    <col min="12813" max="12813" width="2.7109375" style="158" customWidth="1"/>
    <col min="12814" max="13056" width="9.140625" style="158"/>
    <col min="13057" max="13057" width="15.85546875" style="158" customWidth="1"/>
    <col min="13058" max="13058" width="28.85546875" style="158" customWidth="1"/>
    <col min="13059" max="13059" width="10.42578125" style="158" customWidth="1"/>
    <col min="13060" max="13060" width="10" style="158" customWidth="1"/>
    <col min="13061" max="13061" width="12" style="158" customWidth="1"/>
    <col min="13062" max="13064" width="12.85546875" style="158" customWidth="1"/>
    <col min="13065" max="13065" width="11.85546875" style="158" customWidth="1"/>
    <col min="13066" max="13066" width="13.28515625" style="158" customWidth="1"/>
    <col min="13067" max="13067" width="14.5703125" style="158" customWidth="1"/>
    <col min="13068" max="13068" width="12.42578125" style="158" customWidth="1"/>
    <col min="13069" max="13069" width="2.7109375" style="158" customWidth="1"/>
    <col min="13070" max="13312" width="9.140625" style="158"/>
    <col min="13313" max="13313" width="15.85546875" style="158" customWidth="1"/>
    <col min="13314" max="13314" width="28.85546875" style="158" customWidth="1"/>
    <col min="13315" max="13315" width="10.42578125" style="158" customWidth="1"/>
    <col min="13316" max="13316" width="10" style="158" customWidth="1"/>
    <col min="13317" max="13317" width="12" style="158" customWidth="1"/>
    <col min="13318" max="13320" width="12.85546875" style="158" customWidth="1"/>
    <col min="13321" max="13321" width="11.85546875" style="158" customWidth="1"/>
    <col min="13322" max="13322" width="13.28515625" style="158" customWidth="1"/>
    <col min="13323" max="13323" width="14.5703125" style="158" customWidth="1"/>
    <col min="13324" max="13324" width="12.42578125" style="158" customWidth="1"/>
    <col min="13325" max="13325" width="2.7109375" style="158" customWidth="1"/>
    <col min="13326" max="13568" width="9.140625" style="158"/>
    <col min="13569" max="13569" width="15.85546875" style="158" customWidth="1"/>
    <col min="13570" max="13570" width="28.85546875" style="158" customWidth="1"/>
    <col min="13571" max="13571" width="10.42578125" style="158" customWidth="1"/>
    <col min="13572" max="13572" width="10" style="158" customWidth="1"/>
    <col min="13573" max="13573" width="12" style="158" customWidth="1"/>
    <col min="13574" max="13576" width="12.85546875" style="158" customWidth="1"/>
    <col min="13577" max="13577" width="11.85546875" style="158" customWidth="1"/>
    <col min="13578" max="13578" width="13.28515625" style="158" customWidth="1"/>
    <col min="13579" max="13579" width="14.5703125" style="158" customWidth="1"/>
    <col min="13580" max="13580" width="12.42578125" style="158" customWidth="1"/>
    <col min="13581" max="13581" width="2.7109375" style="158" customWidth="1"/>
    <col min="13582" max="13824" width="9.140625" style="158"/>
    <col min="13825" max="13825" width="15.85546875" style="158" customWidth="1"/>
    <col min="13826" max="13826" width="28.85546875" style="158" customWidth="1"/>
    <col min="13827" max="13827" width="10.42578125" style="158" customWidth="1"/>
    <col min="13828" max="13828" width="10" style="158" customWidth="1"/>
    <col min="13829" max="13829" width="12" style="158" customWidth="1"/>
    <col min="13830" max="13832" width="12.85546875" style="158" customWidth="1"/>
    <col min="13833" max="13833" width="11.85546875" style="158" customWidth="1"/>
    <col min="13834" max="13834" width="13.28515625" style="158" customWidth="1"/>
    <col min="13835" max="13835" width="14.5703125" style="158" customWidth="1"/>
    <col min="13836" max="13836" width="12.42578125" style="158" customWidth="1"/>
    <col min="13837" max="13837" width="2.7109375" style="158" customWidth="1"/>
    <col min="13838" max="14080" width="9.140625" style="158"/>
    <col min="14081" max="14081" width="15.85546875" style="158" customWidth="1"/>
    <col min="14082" max="14082" width="28.85546875" style="158" customWidth="1"/>
    <col min="14083" max="14083" width="10.42578125" style="158" customWidth="1"/>
    <col min="14084" max="14084" width="10" style="158" customWidth="1"/>
    <col min="14085" max="14085" width="12" style="158" customWidth="1"/>
    <col min="14086" max="14088" width="12.85546875" style="158" customWidth="1"/>
    <col min="14089" max="14089" width="11.85546875" style="158" customWidth="1"/>
    <col min="14090" max="14090" width="13.28515625" style="158" customWidth="1"/>
    <col min="14091" max="14091" width="14.5703125" style="158" customWidth="1"/>
    <col min="14092" max="14092" width="12.42578125" style="158" customWidth="1"/>
    <col min="14093" max="14093" width="2.7109375" style="158" customWidth="1"/>
    <col min="14094" max="14336" width="9.140625" style="158"/>
    <col min="14337" max="14337" width="15.85546875" style="158" customWidth="1"/>
    <col min="14338" max="14338" width="28.85546875" style="158" customWidth="1"/>
    <col min="14339" max="14339" width="10.42578125" style="158" customWidth="1"/>
    <col min="14340" max="14340" width="10" style="158" customWidth="1"/>
    <col min="14341" max="14341" width="12" style="158" customWidth="1"/>
    <col min="14342" max="14344" width="12.85546875" style="158" customWidth="1"/>
    <col min="14345" max="14345" width="11.85546875" style="158" customWidth="1"/>
    <col min="14346" max="14346" width="13.28515625" style="158" customWidth="1"/>
    <col min="14347" max="14347" width="14.5703125" style="158" customWidth="1"/>
    <col min="14348" max="14348" width="12.42578125" style="158" customWidth="1"/>
    <col min="14349" max="14349" width="2.7109375" style="158" customWidth="1"/>
    <col min="14350" max="14592" width="9.140625" style="158"/>
    <col min="14593" max="14593" width="15.85546875" style="158" customWidth="1"/>
    <col min="14594" max="14594" width="28.85546875" style="158" customWidth="1"/>
    <col min="14595" max="14595" width="10.42578125" style="158" customWidth="1"/>
    <col min="14596" max="14596" width="10" style="158" customWidth="1"/>
    <col min="14597" max="14597" width="12" style="158" customWidth="1"/>
    <col min="14598" max="14600" width="12.85546875" style="158" customWidth="1"/>
    <col min="14601" max="14601" width="11.85546875" style="158" customWidth="1"/>
    <col min="14602" max="14602" width="13.28515625" style="158" customWidth="1"/>
    <col min="14603" max="14603" width="14.5703125" style="158" customWidth="1"/>
    <col min="14604" max="14604" width="12.42578125" style="158" customWidth="1"/>
    <col min="14605" max="14605" width="2.7109375" style="158" customWidth="1"/>
    <col min="14606" max="14848" width="9.140625" style="158"/>
    <col min="14849" max="14849" width="15.85546875" style="158" customWidth="1"/>
    <col min="14850" max="14850" width="28.85546875" style="158" customWidth="1"/>
    <col min="14851" max="14851" width="10.42578125" style="158" customWidth="1"/>
    <col min="14852" max="14852" width="10" style="158" customWidth="1"/>
    <col min="14853" max="14853" width="12" style="158" customWidth="1"/>
    <col min="14854" max="14856" width="12.85546875" style="158" customWidth="1"/>
    <col min="14857" max="14857" width="11.85546875" style="158" customWidth="1"/>
    <col min="14858" max="14858" width="13.28515625" style="158" customWidth="1"/>
    <col min="14859" max="14859" width="14.5703125" style="158" customWidth="1"/>
    <col min="14860" max="14860" width="12.42578125" style="158" customWidth="1"/>
    <col min="14861" max="14861" width="2.7109375" style="158" customWidth="1"/>
    <col min="14862" max="15104" width="9.140625" style="158"/>
    <col min="15105" max="15105" width="15.85546875" style="158" customWidth="1"/>
    <col min="15106" max="15106" width="28.85546875" style="158" customWidth="1"/>
    <col min="15107" max="15107" width="10.42578125" style="158" customWidth="1"/>
    <col min="15108" max="15108" width="10" style="158" customWidth="1"/>
    <col min="15109" max="15109" width="12" style="158" customWidth="1"/>
    <col min="15110" max="15112" width="12.85546875" style="158" customWidth="1"/>
    <col min="15113" max="15113" width="11.85546875" style="158" customWidth="1"/>
    <col min="15114" max="15114" width="13.28515625" style="158" customWidth="1"/>
    <col min="15115" max="15115" width="14.5703125" style="158" customWidth="1"/>
    <col min="15116" max="15116" width="12.42578125" style="158" customWidth="1"/>
    <col min="15117" max="15117" width="2.7109375" style="158" customWidth="1"/>
    <col min="15118" max="15360" width="9.140625" style="158"/>
    <col min="15361" max="15361" width="15.85546875" style="158" customWidth="1"/>
    <col min="15362" max="15362" width="28.85546875" style="158" customWidth="1"/>
    <col min="15363" max="15363" width="10.42578125" style="158" customWidth="1"/>
    <col min="15364" max="15364" width="10" style="158" customWidth="1"/>
    <col min="15365" max="15365" width="12" style="158" customWidth="1"/>
    <col min="15366" max="15368" width="12.85546875" style="158" customWidth="1"/>
    <col min="15369" max="15369" width="11.85546875" style="158" customWidth="1"/>
    <col min="15370" max="15370" width="13.28515625" style="158" customWidth="1"/>
    <col min="15371" max="15371" width="14.5703125" style="158" customWidth="1"/>
    <col min="15372" max="15372" width="12.42578125" style="158" customWidth="1"/>
    <col min="15373" max="15373" width="2.7109375" style="158" customWidth="1"/>
    <col min="15374" max="15616" width="9.140625" style="158"/>
    <col min="15617" max="15617" width="15.85546875" style="158" customWidth="1"/>
    <col min="15618" max="15618" width="28.85546875" style="158" customWidth="1"/>
    <col min="15619" max="15619" width="10.42578125" style="158" customWidth="1"/>
    <col min="15620" max="15620" width="10" style="158" customWidth="1"/>
    <col min="15621" max="15621" width="12" style="158" customWidth="1"/>
    <col min="15622" max="15624" width="12.85546875" style="158" customWidth="1"/>
    <col min="15625" max="15625" width="11.85546875" style="158" customWidth="1"/>
    <col min="15626" max="15626" width="13.28515625" style="158" customWidth="1"/>
    <col min="15627" max="15627" width="14.5703125" style="158" customWidth="1"/>
    <col min="15628" max="15628" width="12.42578125" style="158" customWidth="1"/>
    <col min="15629" max="15629" width="2.7109375" style="158" customWidth="1"/>
    <col min="15630" max="15872" width="9.140625" style="158"/>
    <col min="15873" max="15873" width="15.85546875" style="158" customWidth="1"/>
    <col min="15874" max="15874" width="28.85546875" style="158" customWidth="1"/>
    <col min="15875" max="15875" width="10.42578125" style="158" customWidth="1"/>
    <col min="15876" max="15876" width="10" style="158" customWidth="1"/>
    <col min="15877" max="15877" width="12" style="158" customWidth="1"/>
    <col min="15878" max="15880" width="12.85546875" style="158" customWidth="1"/>
    <col min="15881" max="15881" width="11.85546875" style="158" customWidth="1"/>
    <col min="15882" max="15882" width="13.28515625" style="158" customWidth="1"/>
    <col min="15883" max="15883" width="14.5703125" style="158" customWidth="1"/>
    <col min="15884" max="15884" width="12.42578125" style="158" customWidth="1"/>
    <col min="15885" max="15885" width="2.7109375" style="158" customWidth="1"/>
    <col min="15886" max="16128" width="9.140625" style="158"/>
    <col min="16129" max="16129" width="15.85546875" style="158" customWidth="1"/>
    <col min="16130" max="16130" width="28.85546875" style="158" customWidth="1"/>
    <col min="16131" max="16131" width="10.42578125" style="158" customWidth="1"/>
    <col min="16132" max="16132" width="10" style="158" customWidth="1"/>
    <col min="16133" max="16133" width="12" style="158" customWidth="1"/>
    <col min="16134" max="16136" width="12.85546875" style="158" customWidth="1"/>
    <col min="16137" max="16137" width="11.85546875" style="158" customWidth="1"/>
    <col min="16138" max="16138" width="13.28515625" style="158" customWidth="1"/>
    <col min="16139" max="16139" width="14.5703125" style="158" customWidth="1"/>
    <col min="16140" max="16140" width="12.42578125" style="158" customWidth="1"/>
    <col min="16141" max="16141" width="2.7109375" style="158" customWidth="1"/>
    <col min="16142" max="16384" width="9.140625" style="158"/>
  </cols>
  <sheetData>
    <row r="1" spans="1:16" ht="21" customHeight="1" x14ac:dyDescent="0.2">
      <c r="A1" s="1296" t="s">
        <v>110</v>
      </c>
      <c r="B1" s="1297"/>
      <c r="C1" s="1297"/>
      <c r="D1" s="1297"/>
      <c r="E1" s="1297"/>
      <c r="F1" s="1297"/>
      <c r="G1" s="1297"/>
      <c r="H1" s="1297"/>
      <c r="I1" s="1297"/>
      <c r="J1" s="1297"/>
      <c r="K1" s="1297"/>
      <c r="L1" s="1298"/>
    </row>
    <row r="2" spans="1:16" ht="19.5" customHeight="1" x14ac:dyDescent="0.2">
      <c r="A2" s="159" t="s">
        <v>111</v>
      </c>
      <c r="B2" s="160"/>
      <c r="C2" s="160"/>
      <c r="D2" s="160"/>
      <c r="E2" s="161" t="s">
        <v>112</v>
      </c>
      <c r="F2" s="160" t="s">
        <v>113</v>
      </c>
      <c r="G2" s="160"/>
      <c r="H2" s="161" t="s">
        <v>114</v>
      </c>
      <c r="I2" s="162">
        <v>3.5150000000000001E-2</v>
      </c>
      <c r="J2" s="161"/>
      <c r="K2" s="163"/>
      <c r="L2" s="164"/>
    </row>
    <row r="3" spans="1:16" ht="21" customHeight="1" x14ac:dyDescent="0.2">
      <c r="A3" s="159">
        <v>4016096</v>
      </c>
      <c r="B3" s="1319" t="s">
        <v>130</v>
      </c>
      <c r="C3" s="1319"/>
      <c r="D3" s="1319"/>
      <c r="E3" s="1319"/>
      <c r="F3" s="1319"/>
      <c r="G3" s="1319"/>
      <c r="H3" s="1319"/>
      <c r="I3" s="1319"/>
      <c r="J3" s="168" t="s">
        <v>117</v>
      </c>
      <c r="K3" s="169">
        <v>230.19</v>
      </c>
      <c r="L3" s="170" t="s">
        <v>118</v>
      </c>
    </row>
    <row r="4" spans="1:16" ht="14.25" customHeight="1" x14ac:dyDescent="0.2">
      <c r="A4" s="1225" t="s">
        <v>119</v>
      </c>
      <c r="B4" s="1227" t="s">
        <v>120</v>
      </c>
      <c r="C4" s="172"/>
      <c r="D4" s="1227" t="s">
        <v>121</v>
      </c>
      <c r="E4" s="1227" t="s">
        <v>122</v>
      </c>
      <c r="F4" s="1230"/>
      <c r="G4" s="1249" t="s">
        <v>123</v>
      </c>
      <c r="H4" s="1229"/>
      <c r="I4" s="1250"/>
      <c r="J4" s="1249" t="s">
        <v>124</v>
      </c>
      <c r="K4" s="1229"/>
      <c r="L4" s="1250"/>
    </row>
    <row r="5" spans="1:16" ht="12.75" customHeight="1" x14ac:dyDescent="0.2">
      <c r="A5" s="1299"/>
      <c r="B5" s="1300"/>
      <c r="C5" s="177"/>
      <c r="D5" s="1300"/>
      <c r="E5" s="1228"/>
      <c r="F5" s="1231"/>
      <c r="G5" s="1249" t="s">
        <v>125</v>
      </c>
      <c r="H5" s="1250"/>
      <c r="I5" s="173" t="s">
        <v>28</v>
      </c>
      <c r="J5" s="1249" t="s">
        <v>125</v>
      </c>
      <c r="K5" s="1229"/>
      <c r="L5" s="179" t="s">
        <v>28</v>
      </c>
    </row>
    <row r="6" spans="1:16" ht="12.75" customHeight="1" x14ac:dyDescent="0.2">
      <c r="A6" s="1226"/>
      <c r="B6" s="1228"/>
      <c r="C6" s="181"/>
      <c r="D6" s="1228"/>
      <c r="E6" s="178" t="s">
        <v>126</v>
      </c>
      <c r="F6" s="178" t="s">
        <v>127</v>
      </c>
      <c r="G6" s="180" t="s">
        <v>128</v>
      </c>
      <c r="H6" s="178" t="s">
        <v>129</v>
      </c>
      <c r="I6" s="182" t="s">
        <v>29</v>
      </c>
      <c r="J6" s="180" t="s">
        <v>128</v>
      </c>
      <c r="K6" s="178" t="s">
        <v>129</v>
      </c>
      <c r="L6" s="183" t="s">
        <v>29</v>
      </c>
    </row>
    <row r="7" spans="1:16" ht="36.75" customHeight="1" x14ac:dyDescent="0.2">
      <c r="A7" s="225" t="s">
        <v>95</v>
      </c>
      <c r="B7" s="1266" t="s">
        <v>418</v>
      </c>
      <c r="C7" s="1266"/>
      <c r="D7" s="186">
        <v>1</v>
      </c>
      <c r="E7" s="187">
        <v>1</v>
      </c>
      <c r="F7" s="187">
        <v>0</v>
      </c>
      <c r="G7" s="184">
        <v>314.16250000000002</v>
      </c>
      <c r="H7" s="188">
        <v>141.3065</v>
      </c>
      <c r="I7" s="189">
        <f>TRUNC(D7*((E7*G7)+(H7*F7)),4)</f>
        <v>314.16250000000002</v>
      </c>
      <c r="J7" s="184">
        <v>310.75470000000001</v>
      </c>
      <c r="K7" s="190">
        <v>137.89869999999999</v>
      </c>
      <c r="L7" s="191">
        <f>TRUNC(D7*((E7*J7)+(K7*F7)),4)</f>
        <v>310.75470000000001</v>
      </c>
    </row>
    <row r="8" spans="1:16" x14ac:dyDescent="0.2">
      <c r="A8" s="184"/>
      <c r="B8" s="192"/>
      <c r="C8" s="193"/>
      <c r="D8" s="186"/>
      <c r="E8" s="187"/>
      <c r="F8" s="187"/>
      <c r="G8" s="184"/>
      <c r="H8" s="188"/>
      <c r="I8" s="189"/>
      <c r="J8" s="184"/>
      <c r="K8" s="188"/>
      <c r="L8" s="191"/>
    </row>
    <row r="9" spans="1:16" ht="15" customHeight="1" x14ac:dyDescent="0.2">
      <c r="A9" s="1221" t="s">
        <v>131</v>
      </c>
      <c r="B9" s="1222"/>
      <c r="C9" s="1222"/>
      <c r="D9" s="1222"/>
      <c r="E9" s="1222"/>
      <c r="F9" s="1222"/>
      <c r="G9" s="1222"/>
      <c r="H9" s="1295"/>
      <c r="I9" s="194">
        <f>SUM(I7:I8)</f>
        <v>314.16250000000002</v>
      </c>
      <c r="J9" s="195"/>
      <c r="K9" s="196"/>
      <c r="L9" s="197">
        <f>SUM(L7:L8)</f>
        <v>310.75470000000001</v>
      </c>
      <c r="N9" s="198"/>
    </row>
    <row r="10" spans="1:16" ht="15" customHeight="1" x14ac:dyDescent="0.2">
      <c r="A10" s="1225" t="s">
        <v>132</v>
      </c>
      <c r="B10" s="1227" t="s">
        <v>133</v>
      </c>
      <c r="C10" s="199"/>
      <c r="D10" s="1227" t="s">
        <v>121</v>
      </c>
      <c r="E10" s="1227" t="s">
        <v>27</v>
      </c>
      <c r="F10" s="199"/>
      <c r="G10" s="1249" t="s">
        <v>123</v>
      </c>
      <c r="H10" s="1229"/>
      <c r="I10" s="1250"/>
      <c r="J10" s="1249" t="s">
        <v>124</v>
      </c>
      <c r="K10" s="1229"/>
      <c r="L10" s="1250"/>
      <c r="N10" s="198"/>
      <c r="P10" s="158">
        <v>11.65</v>
      </c>
    </row>
    <row r="11" spans="1:16" ht="15" customHeight="1" x14ac:dyDescent="0.2">
      <c r="A11" s="1226"/>
      <c r="B11" s="1228"/>
      <c r="C11" s="181"/>
      <c r="D11" s="1228"/>
      <c r="E11" s="1228"/>
      <c r="F11" s="200"/>
      <c r="G11" s="180" t="s">
        <v>134</v>
      </c>
      <c r="H11" s="1228" t="s">
        <v>135</v>
      </c>
      <c r="I11" s="1231"/>
      <c r="J11" s="180" t="s">
        <v>134</v>
      </c>
      <c r="K11" s="1228" t="s">
        <v>135</v>
      </c>
      <c r="L11" s="1231"/>
    </row>
    <row r="12" spans="1:16" ht="15" customHeight="1" x14ac:dyDescent="0.2">
      <c r="A12" s="287" t="s">
        <v>136</v>
      </c>
      <c r="B12" s="202" t="s">
        <v>2964</v>
      </c>
      <c r="C12" s="203"/>
      <c r="D12" s="288">
        <v>1</v>
      </c>
      <c r="E12" s="205" t="s">
        <v>2890</v>
      </c>
      <c r="F12" s="206"/>
      <c r="G12" s="207">
        <v>23.134599999999999</v>
      </c>
      <c r="H12" s="1279">
        <f>TRUNC(G12*D12,4)</f>
        <v>23.134599999999999</v>
      </c>
      <c r="I12" s="1280"/>
      <c r="J12" s="207">
        <v>21.025300000000001</v>
      </c>
      <c r="K12" s="1279">
        <f>TRUNC(J12*D12,4)</f>
        <v>21.025300000000001</v>
      </c>
      <c r="L12" s="1280"/>
    </row>
    <row r="13" spans="1:16" ht="15" customHeight="1" x14ac:dyDescent="0.2">
      <c r="A13" s="208"/>
      <c r="B13" s="209"/>
      <c r="C13" s="210"/>
      <c r="D13" s="211"/>
      <c r="E13" s="212"/>
      <c r="G13" s="213"/>
      <c r="H13" s="1270"/>
      <c r="I13" s="1271"/>
      <c r="J13" s="213"/>
      <c r="K13" s="1270"/>
      <c r="L13" s="1271"/>
    </row>
    <row r="14" spans="1:16" ht="15" customHeight="1" x14ac:dyDescent="0.2">
      <c r="A14" s="1291" t="s">
        <v>137</v>
      </c>
      <c r="B14" s="1292"/>
      <c r="C14" s="1292"/>
      <c r="D14" s="1292"/>
      <c r="E14" s="1292"/>
      <c r="F14" s="1292"/>
      <c r="G14" s="1292"/>
      <c r="H14" s="1293">
        <f>SUM(H12:I13)</f>
        <v>23.134599999999999</v>
      </c>
      <c r="I14" s="1293"/>
      <c r="J14" s="214"/>
      <c r="K14" s="1293">
        <f>SUM(K12:L13)</f>
        <v>21.025300000000001</v>
      </c>
      <c r="L14" s="1294"/>
    </row>
    <row r="15" spans="1:16" ht="15" customHeight="1" x14ac:dyDescent="0.2">
      <c r="A15" s="1281" t="s">
        <v>138</v>
      </c>
      <c r="B15" s="1282"/>
      <c r="C15" s="1282"/>
      <c r="D15" s="1282"/>
      <c r="E15" s="1282"/>
      <c r="F15" s="1282"/>
      <c r="G15" s="1282"/>
      <c r="H15" s="1283">
        <f>H14+I9</f>
        <v>337.2971</v>
      </c>
      <c r="I15" s="1283"/>
      <c r="J15" s="215"/>
      <c r="K15" s="1283">
        <f>K14+L9</f>
        <v>331.78000000000003</v>
      </c>
      <c r="L15" s="1284"/>
    </row>
    <row r="16" spans="1:16" ht="15" customHeight="1" x14ac:dyDescent="0.2">
      <c r="A16" s="1285" t="s">
        <v>139</v>
      </c>
      <c r="B16" s="1286"/>
      <c r="C16" s="1286"/>
      <c r="D16" s="1286"/>
      <c r="E16" s="1286"/>
      <c r="F16" s="1286"/>
      <c r="G16" s="1286"/>
      <c r="H16" s="1287">
        <f>(H14+I9)/K3</f>
        <v>1.4652986663191276</v>
      </c>
      <c r="I16" s="1288"/>
      <c r="J16" s="216"/>
      <c r="K16" s="1287">
        <f>(K14+L9)/K3</f>
        <v>1.4413310743299015</v>
      </c>
      <c r="L16" s="1288"/>
    </row>
    <row r="17" spans="1:13" ht="15" customHeight="1" x14ac:dyDescent="0.2">
      <c r="A17" s="1285" t="s">
        <v>140</v>
      </c>
      <c r="B17" s="1286"/>
      <c r="C17" s="1286"/>
      <c r="D17" s="1286"/>
      <c r="E17" s="1286"/>
      <c r="F17" s="1286"/>
      <c r="G17" s="1286"/>
      <c r="H17" s="1287">
        <f>TRUNC(H16*I2,4)</f>
        <v>5.1499999999999997E-2</v>
      </c>
      <c r="I17" s="1288"/>
      <c r="J17" s="216"/>
      <c r="K17" s="1287">
        <f>TRUNC(K16*I2,4)</f>
        <v>5.0599999999999999E-2</v>
      </c>
      <c r="L17" s="1288"/>
    </row>
    <row r="18" spans="1:13" ht="15" customHeight="1" x14ac:dyDescent="0.2">
      <c r="A18" s="174" t="s">
        <v>141</v>
      </c>
      <c r="B18" s="175" t="s">
        <v>142</v>
      </c>
      <c r="C18" s="218"/>
      <c r="D18" s="175" t="s">
        <v>121</v>
      </c>
      <c r="E18" s="175" t="s">
        <v>143</v>
      </c>
      <c r="F18" s="218"/>
      <c r="G18" s="219"/>
      <c r="H18" s="219" t="s">
        <v>144</v>
      </c>
      <c r="I18" s="219"/>
      <c r="J18" s="175"/>
      <c r="K18" s="1229" t="s">
        <v>145</v>
      </c>
      <c r="L18" s="1250"/>
      <c r="M18" s="220"/>
    </row>
    <row r="19" spans="1:13" x14ac:dyDescent="0.2">
      <c r="A19" s="221"/>
      <c r="B19" s="1266"/>
      <c r="C19" s="1266"/>
      <c r="D19" s="224"/>
      <c r="E19" s="224"/>
      <c r="F19" s="222"/>
      <c r="G19" s="1267"/>
      <c r="H19" s="1267"/>
      <c r="I19" s="1267"/>
      <c r="J19" s="171"/>
      <c r="K19" s="1279"/>
      <c r="L19" s="1280"/>
      <c r="M19" s="220"/>
    </row>
    <row r="20" spans="1:13" x14ac:dyDescent="0.2">
      <c r="A20" s="225"/>
      <c r="B20" s="209"/>
      <c r="C20" s="226"/>
      <c r="D20" s="186"/>
      <c r="E20" s="188"/>
      <c r="F20" s="226"/>
      <c r="G20" s="1261"/>
      <c r="H20" s="1261"/>
      <c r="I20" s="1261"/>
      <c r="J20" s="176"/>
      <c r="K20" s="1270"/>
      <c r="L20" s="1271"/>
      <c r="M20" s="220"/>
    </row>
    <row r="21" spans="1:13" ht="15" customHeight="1" x14ac:dyDescent="0.2">
      <c r="A21" s="1221" t="s">
        <v>147</v>
      </c>
      <c r="B21" s="1222"/>
      <c r="C21" s="1222"/>
      <c r="D21" s="1222"/>
      <c r="E21" s="1222"/>
      <c r="F21" s="1222"/>
      <c r="G21" s="1222"/>
      <c r="H21" s="1222"/>
      <c r="I21" s="1222"/>
      <c r="J21" s="1222"/>
      <c r="K21" s="1272">
        <f>SUM(K19:L20)</f>
        <v>0</v>
      </c>
      <c r="L21" s="1273"/>
      <c r="M21" s="227"/>
    </row>
    <row r="22" spans="1:13" ht="12" customHeight="1" x14ac:dyDescent="0.2">
      <c r="A22" s="1225" t="s">
        <v>148</v>
      </c>
      <c r="B22" s="1227" t="s">
        <v>149</v>
      </c>
      <c r="C22" s="199"/>
      <c r="D22" s="1227"/>
      <c r="E22" s="1227" t="s">
        <v>121</v>
      </c>
      <c r="F22" s="1230" t="s">
        <v>143</v>
      </c>
      <c r="G22" s="1249" t="s">
        <v>123</v>
      </c>
      <c r="H22" s="1229"/>
      <c r="I22" s="1250"/>
      <c r="J22" s="1249" t="s">
        <v>124</v>
      </c>
      <c r="K22" s="1229"/>
      <c r="L22" s="1250"/>
      <c r="M22" s="227"/>
    </row>
    <row r="23" spans="1:13" ht="15" customHeight="1" x14ac:dyDescent="0.2">
      <c r="A23" s="1226"/>
      <c r="B23" s="1228"/>
      <c r="C23" s="181"/>
      <c r="D23" s="1228"/>
      <c r="E23" s="1228"/>
      <c r="F23" s="1231"/>
      <c r="G23" s="180" t="s">
        <v>145</v>
      </c>
      <c r="H23" s="1228" t="s">
        <v>150</v>
      </c>
      <c r="I23" s="1231"/>
      <c r="J23" s="180" t="s">
        <v>145</v>
      </c>
      <c r="K23" s="1228" t="s">
        <v>150</v>
      </c>
      <c r="L23" s="1231"/>
      <c r="M23" s="227"/>
    </row>
    <row r="24" spans="1:13" x14ac:dyDescent="0.2">
      <c r="A24" s="221"/>
      <c r="B24" s="1266"/>
      <c r="C24" s="1266"/>
      <c r="D24" s="224"/>
      <c r="E24" s="223"/>
      <c r="F24" s="224"/>
      <c r="G24" s="228"/>
      <c r="H24" s="1267"/>
      <c r="I24" s="1267"/>
      <c r="J24" s="207"/>
      <c r="K24" s="1267"/>
      <c r="L24" s="1268"/>
      <c r="M24" s="227"/>
    </row>
    <row r="25" spans="1:13" x14ac:dyDescent="0.2">
      <c r="A25" s="229"/>
      <c r="B25" s="1263"/>
      <c r="C25" s="1263"/>
      <c r="D25" s="231"/>
      <c r="E25" s="232"/>
      <c r="F25" s="231"/>
      <c r="G25" s="233"/>
      <c r="H25" s="1264"/>
      <c r="I25" s="1264"/>
      <c r="J25" s="234"/>
      <c r="K25" s="1264"/>
      <c r="L25" s="1265"/>
      <c r="M25" s="227"/>
    </row>
    <row r="26" spans="1:13" x14ac:dyDescent="0.2">
      <c r="A26" s="1253" t="s">
        <v>151</v>
      </c>
      <c r="B26" s="1254"/>
      <c r="C26" s="1254"/>
      <c r="D26" s="1254"/>
      <c r="E26" s="1254"/>
      <c r="F26" s="1254"/>
      <c r="G26" s="1254"/>
      <c r="H26" s="1255">
        <f>SUM(H24:I25)</f>
        <v>0</v>
      </c>
      <c r="I26" s="1255"/>
      <c r="J26" s="235"/>
      <c r="K26" s="1256">
        <f>SUM(K24:L25)</f>
        <v>0</v>
      </c>
      <c r="L26" s="1257"/>
      <c r="M26" s="227"/>
    </row>
    <row r="27" spans="1:13" x14ac:dyDescent="0.2">
      <c r="A27" s="1221" t="s">
        <v>152</v>
      </c>
      <c r="B27" s="1222"/>
      <c r="C27" s="1222"/>
      <c r="D27" s="1222"/>
      <c r="E27" s="1222"/>
      <c r="F27" s="1222"/>
      <c r="G27" s="1222"/>
      <c r="H27" s="1223">
        <f>H16+K21+H26+H17</f>
        <v>1.5167986663191277</v>
      </c>
      <c r="I27" s="1223"/>
      <c r="J27" s="236"/>
      <c r="K27" s="1258">
        <f>K16+K21+K26+K17</f>
        <v>1.4919310743299015</v>
      </c>
      <c r="L27" s="1259"/>
      <c r="M27" s="227"/>
    </row>
    <row r="28" spans="1:13" ht="15" customHeight="1" x14ac:dyDescent="0.2">
      <c r="A28" s="1225" t="s">
        <v>153</v>
      </c>
      <c r="B28" s="1227" t="s">
        <v>154</v>
      </c>
      <c r="C28" s="199"/>
      <c r="D28" s="1227" t="s">
        <v>155</v>
      </c>
      <c r="E28" s="1227" t="s">
        <v>121</v>
      </c>
      <c r="F28" s="1230" t="s">
        <v>143</v>
      </c>
      <c r="G28" s="1249" t="s">
        <v>123</v>
      </c>
      <c r="H28" s="1229"/>
      <c r="I28" s="1250"/>
      <c r="J28" s="1249" t="s">
        <v>124</v>
      </c>
      <c r="K28" s="1229"/>
      <c r="L28" s="1250"/>
      <c r="M28" s="227"/>
    </row>
    <row r="29" spans="1:13" ht="15" customHeight="1" x14ac:dyDescent="0.2">
      <c r="A29" s="1226"/>
      <c r="B29" s="1228"/>
      <c r="C29" s="181"/>
      <c r="D29" s="1228"/>
      <c r="E29" s="1228"/>
      <c r="F29" s="1231"/>
      <c r="G29" s="180" t="s">
        <v>145</v>
      </c>
      <c r="H29" s="1228" t="s">
        <v>150</v>
      </c>
      <c r="I29" s="1231"/>
      <c r="J29" s="180" t="s">
        <v>145</v>
      </c>
      <c r="K29" s="1228" t="s">
        <v>150</v>
      </c>
      <c r="L29" s="1231"/>
      <c r="M29" s="227"/>
    </row>
    <row r="30" spans="1:13" x14ac:dyDescent="0.2">
      <c r="A30" s="221"/>
      <c r="B30" s="1266"/>
      <c r="C30" s="1266"/>
      <c r="D30" s="237"/>
      <c r="E30" s="204"/>
      <c r="F30" s="237"/>
      <c r="G30" s="238"/>
      <c r="H30" s="1251"/>
      <c r="I30" s="1252"/>
      <c r="J30" s="239"/>
      <c r="K30" s="1251"/>
      <c r="L30" s="1252"/>
      <c r="M30" s="227"/>
    </row>
    <row r="31" spans="1:13" x14ac:dyDescent="0.2">
      <c r="A31" s="184"/>
      <c r="B31" s="209"/>
      <c r="C31" s="209"/>
      <c r="D31" s="240"/>
      <c r="E31" s="241"/>
      <c r="F31" s="240"/>
      <c r="G31" s="242"/>
      <c r="H31" s="1247"/>
      <c r="I31" s="1248"/>
      <c r="J31" s="243"/>
      <c r="K31" s="1247"/>
      <c r="L31" s="1248"/>
      <c r="M31" s="227"/>
    </row>
    <row r="32" spans="1:13" ht="12" customHeight="1" x14ac:dyDescent="0.2">
      <c r="A32" s="1221" t="s">
        <v>156</v>
      </c>
      <c r="B32" s="1222"/>
      <c r="C32" s="1222"/>
      <c r="D32" s="1222"/>
      <c r="E32" s="1222"/>
      <c r="F32" s="1222"/>
      <c r="G32" s="1222"/>
      <c r="H32" s="1223">
        <f>SUM(H30:I31)</f>
        <v>0</v>
      </c>
      <c r="I32" s="1224"/>
      <c r="J32" s="244"/>
      <c r="K32" s="1223">
        <f>SUM(K30:L31)</f>
        <v>0</v>
      </c>
      <c r="L32" s="1224"/>
      <c r="M32" s="227"/>
    </row>
    <row r="33" spans="1:13" ht="15" customHeight="1" x14ac:dyDescent="0.2">
      <c r="A33" s="1225" t="s">
        <v>157</v>
      </c>
      <c r="B33" s="1227" t="s">
        <v>158</v>
      </c>
      <c r="C33" s="199"/>
      <c r="D33" s="222"/>
      <c r="E33" s="1227" t="s">
        <v>121</v>
      </c>
      <c r="F33" s="1227" t="s">
        <v>143</v>
      </c>
      <c r="G33" s="1229" t="s">
        <v>159</v>
      </c>
      <c r="H33" s="1229"/>
      <c r="I33" s="1229"/>
      <c r="J33" s="1227" t="s">
        <v>145</v>
      </c>
      <c r="K33" s="1227"/>
      <c r="L33" s="1230"/>
      <c r="M33" s="227"/>
    </row>
    <row r="34" spans="1:13" ht="15" customHeight="1" x14ac:dyDescent="0.2">
      <c r="A34" s="1226"/>
      <c r="B34" s="1228"/>
      <c r="C34" s="181"/>
      <c r="D34" s="200"/>
      <c r="E34" s="1228"/>
      <c r="F34" s="1228"/>
      <c r="G34" s="178" t="s">
        <v>160</v>
      </c>
      <c r="H34" s="178" t="s">
        <v>161</v>
      </c>
      <c r="I34" s="178" t="s">
        <v>162</v>
      </c>
      <c r="J34" s="1228"/>
      <c r="K34" s="1228"/>
      <c r="L34" s="1231"/>
      <c r="M34" s="227"/>
    </row>
    <row r="35" spans="1:13" x14ac:dyDescent="0.2">
      <c r="A35" s="221"/>
      <c r="B35" s="202"/>
      <c r="C35" s="245"/>
      <c r="D35" s="222"/>
      <c r="E35" s="204"/>
      <c r="F35" s="237"/>
      <c r="G35" s="224"/>
      <c r="H35" s="224"/>
      <c r="I35" s="224"/>
      <c r="J35" s="171"/>
      <c r="K35" s="171"/>
      <c r="L35" s="173"/>
      <c r="M35" s="227"/>
    </row>
    <row r="36" spans="1:13" x14ac:dyDescent="0.2">
      <c r="A36" s="184"/>
      <c r="B36" s="209"/>
      <c r="C36" s="246"/>
      <c r="E36" s="241"/>
      <c r="F36" s="240"/>
      <c r="G36" s="188"/>
      <c r="H36" s="188"/>
      <c r="I36" s="188"/>
      <c r="J36" s="247"/>
      <c r="K36" s="248"/>
      <c r="L36" s="249"/>
      <c r="M36" s="227"/>
    </row>
    <row r="37" spans="1:13" x14ac:dyDescent="0.2">
      <c r="A37" s="1232" t="s">
        <v>163</v>
      </c>
      <c r="B37" s="1233"/>
      <c r="C37" s="1233"/>
      <c r="D37" s="1233"/>
      <c r="E37" s="1233"/>
      <c r="F37" s="1234"/>
      <c r="G37" s="1238" t="s">
        <v>123</v>
      </c>
      <c r="H37" s="1239"/>
      <c r="I37" s="1240"/>
      <c r="J37" s="1238" t="s">
        <v>124</v>
      </c>
      <c r="K37" s="1239"/>
      <c r="L37" s="1240"/>
      <c r="M37" s="227"/>
    </row>
    <row r="38" spans="1:13" x14ac:dyDescent="0.2">
      <c r="A38" s="1235"/>
      <c r="B38" s="1236"/>
      <c r="C38" s="1236"/>
      <c r="D38" s="1236"/>
      <c r="E38" s="1236"/>
      <c r="F38" s="1237"/>
      <c r="G38" s="1241">
        <f>TRUNC(H32+H27,2)</f>
        <v>1.51</v>
      </c>
      <c r="H38" s="1242"/>
      <c r="I38" s="1243"/>
      <c r="J38" s="1245">
        <f>TRUNC(K32+K27,2)</f>
        <v>1.49</v>
      </c>
      <c r="K38" s="1245"/>
      <c r="L38" s="1246"/>
    </row>
    <row r="39" spans="1:13" x14ac:dyDescent="0.2">
      <c r="A39" s="1220"/>
      <c r="B39" s="1220"/>
      <c r="C39" s="1220"/>
      <c r="D39" s="1220"/>
      <c r="E39" s="1220"/>
      <c r="F39" s="1220"/>
      <c r="G39" s="1220"/>
      <c r="H39" s="1220"/>
      <c r="I39" s="1220"/>
      <c r="J39" s="1220"/>
      <c r="K39" s="1220"/>
      <c r="L39" s="1220"/>
    </row>
  </sheetData>
  <mergeCells count="94">
    <mergeCell ref="A1:L1"/>
    <mergeCell ref="B3:I3"/>
    <mergeCell ref="A4:A6"/>
    <mergeCell ref="B4:B6"/>
    <mergeCell ref="D4:D6"/>
    <mergeCell ref="E4:F5"/>
    <mergeCell ref="G4:I4"/>
    <mergeCell ref="J4:L4"/>
    <mergeCell ref="G5:H5"/>
    <mergeCell ref="J5:K5"/>
    <mergeCell ref="H13:I13"/>
    <mergeCell ref="K13:L13"/>
    <mergeCell ref="B7:C7"/>
    <mergeCell ref="A9:H9"/>
    <mergeCell ref="A10:A11"/>
    <mergeCell ref="B10:B11"/>
    <mergeCell ref="D10:D11"/>
    <mergeCell ref="E10:E11"/>
    <mergeCell ref="G10:I10"/>
    <mergeCell ref="J10:L10"/>
    <mergeCell ref="H11:I11"/>
    <mergeCell ref="K11:L11"/>
    <mergeCell ref="H12:I12"/>
    <mergeCell ref="K12:L12"/>
    <mergeCell ref="A14:G14"/>
    <mergeCell ref="H14:I14"/>
    <mergeCell ref="K14:L14"/>
    <mergeCell ref="A15:G15"/>
    <mergeCell ref="H15:I15"/>
    <mergeCell ref="K15:L15"/>
    <mergeCell ref="A16:G16"/>
    <mergeCell ref="H16:I16"/>
    <mergeCell ref="K16:L16"/>
    <mergeCell ref="A17:G17"/>
    <mergeCell ref="H17:I17"/>
    <mergeCell ref="K17:L17"/>
    <mergeCell ref="K18:L18"/>
    <mergeCell ref="B19:C19"/>
    <mergeCell ref="G19:I19"/>
    <mergeCell ref="K19:L19"/>
    <mergeCell ref="G20:I20"/>
    <mergeCell ref="K20:L20"/>
    <mergeCell ref="A21:J21"/>
    <mergeCell ref="K21:L21"/>
    <mergeCell ref="A22:A23"/>
    <mergeCell ref="B22:B23"/>
    <mergeCell ref="D22:D23"/>
    <mergeCell ref="E22:E23"/>
    <mergeCell ref="F22:F23"/>
    <mergeCell ref="G22:I22"/>
    <mergeCell ref="J22:L22"/>
    <mergeCell ref="H23:I23"/>
    <mergeCell ref="K23:L23"/>
    <mergeCell ref="B24:C24"/>
    <mergeCell ref="H24:I24"/>
    <mergeCell ref="K24:L24"/>
    <mergeCell ref="B25:C25"/>
    <mergeCell ref="H25:I25"/>
    <mergeCell ref="K25:L25"/>
    <mergeCell ref="A26:G26"/>
    <mergeCell ref="H26:I26"/>
    <mergeCell ref="K26:L26"/>
    <mergeCell ref="A27:G27"/>
    <mergeCell ref="H27:I27"/>
    <mergeCell ref="K27:L27"/>
    <mergeCell ref="A28:A29"/>
    <mergeCell ref="B28:B29"/>
    <mergeCell ref="D28:D29"/>
    <mergeCell ref="E28:E29"/>
    <mergeCell ref="F28:F29"/>
    <mergeCell ref="J28:L28"/>
    <mergeCell ref="H29:I29"/>
    <mergeCell ref="K29:L29"/>
    <mergeCell ref="B30:C30"/>
    <mergeCell ref="H30:I30"/>
    <mergeCell ref="K30:L30"/>
    <mergeCell ref="G28:I28"/>
    <mergeCell ref="H31:I31"/>
    <mergeCell ref="K31:L31"/>
    <mergeCell ref="A32:G32"/>
    <mergeCell ref="H32:I32"/>
    <mergeCell ref="K32:L32"/>
    <mergeCell ref="A39:L39"/>
    <mergeCell ref="J33:L34"/>
    <mergeCell ref="A37:F38"/>
    <mergeCell ref="G37:I37"/>
    <mergeCell ref="J37:L37"/>
    <mergeCell ref="G38:I38"/>
    <mergeCell ref="J38:L38"/>
    <mergeCell ref="A33:A34"/>
    <mergeCell ref="B33:B34"/>
    <mergeCell ref="E33:E34"/>
    <mergeCell ref="F33:F34"/>
    <mergeCell ref="G33:I33"/>
  </mergeCells>
  <dataValidations disablePrompts="1" count="1">
    <dataValidation type="list" allowBlank="1" showInputMessage="1" showErrorMessage="1" sqref="B18 B21 B10:B15" xr:uid="{4EABB786-2E9A-4061-835E-1C95BB6CB3D7}">
      <formula1>$L$1:$L$9</formula1>
    </dataValidation>
  </dataValidations>
  <printOptions horizontalCentered="1"/>
  <pageMargins left="0.39370078740157483" right="0.39370078740157483" top="1.6929133858267718" bottom="0.78740157480314965" header="0" footer="0"/>
  <pageSetup paperSize="9" scale="65" firstPageNumber="41" fitToHeight="100" orientation="landscape" useFirstPageNumber="1" r:id="rId1"/>
  <headerFooter scaleWithDoc="0">
    <oddHeader>&amp;L&amp;G</oddHeader>
    <oddFooter>&amp;C&amp;"-,Negrito"&amp;12DIONI CAETANEO DE OLIVEIRA
&amp;"-,Regular"ENGENHEIRO CIVIL - CREA /MT 40957
DEPARTAMENTO DE ENGENHARIA</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48E99-62E6-4D7D-914E-49BCCD1707B0}">
  <sheetPr>
    <tabColor theme="4" tint="-0.499984740745262"/>
  </sheetPr>
  <dimension ref="A1:Q45"/>
  <sheetViews>
    <sheetView showGridLines="0" view="pageLayout" topLeftCell="A73" zoomScaleNormal="95" zoomScaleSheetLayoutView="100" workbookViewId="0">
      <selection activeCell="C17" sqref="C17"/>
    </sheetView>
  </sheetViews>
  <sheetFormatPr defaultRowHeight="12.75" x14ac:dyDescent="0.2"/>
  <cols>
    <col min="1" max="1" width="15.85546875" style="158" customWidth="1"/>
    <col min="2" max="2" width="28.85546875" style="158" customWidth="1"/>
    <col min="3" max="3" width="15.28515625" style="158" customWidth="1"/>
    <col min="4" max="4" width="10" style="158" customWidth="1"/>
    <col min="5" max="5" width="12" style="158" customWidth="1"/>
    <col min="6" max="8" width="12.85546875" style="158" customWidth="1"/>
    <col min="9" max="9" width="11.85546875" style="158" customWidth="1"/>
    <col min="10" max="10" width="13.28515625" style="158" customWidth="1"/>
    <col min="11" max="11" width="14.5703125" style="158" customWidth="1"/>
    <col min="12" max="12" width="12.42578125" style="158" customWidth="1"/>
    <col min="13" max="13" width="2.7109375" style="158" customWidth="1"/>
    <col min="14" max="256" width="9.140625" style="158"/>
    <col min="257" max="257" width="15.85546875" style="158" customWidth="1"/>
    <col min="258" max="258" width="28.85546875" style="158" customWidth="1"/>
    <col min="259" max="259" width="10.42578125" style="158" customWidth="1"/>
    <col min="260" max="260" width="10" style="158" customWidth="1"/>
    <col min="261" max="261" width="12" style="158" customWidth="1"/>
    <col min="262" max="264" width="12.85546875" style="158" customWidth="1"/>
    <col min="265" max="265" width="11.85546875" style="158" customWidth="1"/>
    <col min="266" max="266" width="13.28515625" style="158" customWidth="1"/>
    <col min="267" max="267" width="14.5703125" style="158" customWidth="1"/>
    <col min="268" max="268" width="12.42578125" style="158" customWidth="1"/>
    <col min="269" max="269" width="2.7109375" style="158" customWidth="1"/>
    <col min="270" max="512" width="9.140625" style="158"/>
    <col min="513" max="513" width="15.85546875" style="158" customWidth="1"/>
    <col min="514" max="514" width="28.85546875" style="158" customWidth="1"/>
    <col min="515" max="515" width="10.42578125" style="158" customWidth="1"/>
    <col min="516" max="516" width="10" style="158" customWidth="1"/>
    <col min="517" max="517" width="12" style="158" customWidth="1"/>
    <col min="518" max="520" width="12.85546875" style="158" customWidth="1"/>
    <col min="521" max="521" width="11.85546875" style="158" customWidth="1"/>
    <col min="522" max="522" width="13.28515625" style="158" customWidth="1"/>
    <col min="523" max="523" width="14.5703125" style="158" customWidth="1"/>
    <col min="524" max="524" width="12.42578125" style="158" customWidth="1"/>
    <col min="525" max="525" width="2.7109375" style="158" customWidth="1"/>
    <col min="526" max="768" width="9.140625" style="158"/>
    <col min="769" max="769" width="15.85546875" style="158" customWidth="1"/>
    <col min="770" max="770" width="28.85546875" style="158" customWidth="1"/>
    <col min="771" max="771" width="10.42578125" style="158" customWidth="1"/>
    <col min="772" max="772" width="10" style="158" customWidth="1"/>
    <col min="773" max="773" width="12" style="158" customWidth="1"/>
    <col min="774" max="776" width="12.85546875" style="158" customWidth="1"/>
    <col min="777" max="777" width="11.85546875" style="158" customWidth="1"/>
    <col min="778" max="778" width="13.28515625" style="158" customWidth="1"/>
    <col min="779" max="779" width="14.5703125" style="158" customWidth="1"/>
    <col min="780" max="780" width="12.42578125" style="158" customWidth="1"/>
    <col min="781" max="781" width="2.7109375" style="158" customWidth="1"/>
    <col min="782" max="1024" width="9.140625" style="158"/>
    <col min="1025" max="1025" width="15.85546875" style="158" customWidth="1"/>
    <col min="1026" max="1026" width="28.85546875" style="158" customWidth="1"/>
    <col min="1027" max="1027" width="10.42578125" style="158" customWidth="1"/>
    <col min="1028" max="1028" width="10" style="158" customWidth="1"/>
    <col min="1029" max="1029" width="12" style="158" customWidth="1"/>
    <col min="1030" max="1032" width="12.85546875" style="158" customWidth="1"/>
    <col min="1033" max="1033" width="11.85546875" style="158" customWidth="1"/>
    <col min="1034" max="1034" width="13.28515625" style="158" customWidth="1"/>
    <col min="1035" max="1035" width="14.5703125" style="158" customWidth="1"/>
    <col min="1036" max="1036" width="12.42578125" style="158" customWidth="1"/>
    <col min="1037" max="1037" width="2.7109375" style="158" customWidth="1"/>
    <col min="1038" max="1280" width="9.140625" style="158"/>
    <col min="1281" max="1281" width="15.85546875" style="158" customWidth="1"/>
    <col min="1282" max="1282" width="28.85546875" style="158" customWidth="1"/>
    <col min="1283" max="1283" width="10.42578125" style="158" customWidth="1"/>
    <col min="1284" max="1284" width="10" style="158" customWidth="1"/>
    <col min="1285" max="1285" width="12" style="158" customWidth="1"/>
    <col min="1286" max="1288" width="12.85546875" style="158" customWidth="1"/>
    <col min="1289" max="1289" width="11.85546875" style="158" customWidth="1"/>
    <col min="1290" max="1290" width="13.28515625" style="158" customWidth="1"/>
    <col min="1291" max="1291" width="14.5703125" style="158" customWidth="1"/>
    <col min="1292" max="1292" width="12.42578125" style="158" customWidth="1"/>
    <col min="1293" max="1293" width="2.7109375" style="158" customWidth="1"/>
    <col min="1294" max="1536" width="9.140625" style="158"/>
    <col min="1537" max="1537" width="15.85546875" style="158" customWidth="1"/>
    <col min="1538" max="1538" width="28.85546875" style="158" customWidth="1"/>
    <col min="1539" max="1539" width="10.42578125" style="158" customWidth="1"/>
    <col min="1540" max="1540" width="10" style="158" customWidth="1"/>
    <col min="1541" max="1541" width="12" style="158" customWidth="1"/>
    <col min="1542" max="1544" width="12.85546875" style="158" customWidth="1"/>
    <col min="1545" max="1545" width="11.85546875" style="158" customWidth="1"/>
    <col min="1546" max="1546" width="13.28515625" style="158" customWidth="1"/>
    <col min="1547" max="1547" width="14.5703125" style="158" customWidth="1"/>
    <col min="1548" max="1548" width="12.42578125" style="158" customWidth="1"/>
    <col min="1549" max="1549" width="2.7109375" style="158" customWidth="1"/>
    <col min="1550" max="1792" width="9.140625" style="158"/>
    <col min="1793" max="1793" width="15.85546875" style="158" customWidth="1"/>
    <col min="1794" max="1794" width="28.85546875" style="158" customWidth="1"/>
    <col min="1795" max="1795" width="10.42578125" style="158" customWidth="1"/>
    <col min="1796" max="1796" width="10" style="158" customWidth="1"/>
    <col min="1797" max="1797" width="12" style="158" customWidth="1"/>
    <col min="1798" max="1800" width="12.85546875" style="158" customWidth="1"/>
    <col min="1801" max="1801" width="11.85546875" style="158" customWidth="1"/>
    <col min="1802" max="1802" width="13.28515625" style="158" customWidth="1"/>
    <col min="1803" max="1803" width="14.5703125" style="158" customWidth="1"/>
    <col min="1804" max="1804" width="12.42578125" style="158" customWidth="1"/>
    <col min="1805" max="1805" width="2.7109375" style="158" customWidth="1"/>
    <col min="1806" max="2048" width="9.140625" style="158"/>
    <col min="2049" max="2049" width="15.85546875" style="158" customWidth="1"/>
    <col min="2050" max="2050" width="28.85546875" style="158" customWidth="1"/>
    <col min="2051" max="2051" width="10.42578125" style="158" customWidth="1"/>
    <col min="2052" max="2052" width="10" style="158" customWidth="1"/>
    <col min="2053" max="2053" width="12" style="158" customWidth="1"/>
    <col min="2054" max="2056" width="12.85546875" style="158" customWidth="1"/>
    <col min="2057" max="2057" width="11.85546875" style="158" customWidth="1"/>
    <col min="2058" max="2058" width="13.28515625" style="158" customWidth="1"/>
    <col min="2059" max="2059" width="14.5703125" style="158" customWidth="1"/>
    <col min="2060" max="2060" width="12.42578125" style="158" customWidth="1"/>
    <col min="2061" max="2061" width="2.7109375" style="158" customWidth="1"/>
    <col min="2062" max="2304" width="9.140625" style="158"/>
    <col min="2305" max="2305" width="15.85546875" style="158" customWidth="1"/>
    <col min="2306" max="2306" width="28.85546875" style="158" customWidth="1"/>
    <col min="2307" max="2307" width="10.42578125" style="158" customWidth="1"/>
    <col min="2308" max="2308" width="10" style="158" customWidth="1"/>
    <col min="2309" max="2309" width="12" style="158" customWidth="1"/>
    <col min="2310" max="2312" width="12.85546875" style="158" customWidth="1"/>
    <col min="2313" max="2313" width="11.85546875" style="158" customWidth="1"/>
    <col min="2314" max="2314" width="13.28515625" style="158" customWidth="1"/>
    <col min="2315" max="2315" width="14.5703125" style="158" customWidth="1"/>
    <col min="2316" max="2316" width="12.42578125" style="158" customWidth="1"/>
    <col min="2317" max="2317" width="2.7109375" style="158" customWidth="1"/>
    <col min="2318" max="2560" width="9.140625" style="158"/>
    <col min="2561" max="2561" width="15.85546875" style="158" customWidth="1"/>
    <col min="2562" max="2562" width="28.85546875" style="158" customWidth="1"/>
    <col min="2563" max="2563" width="10.42578125" style="158" customWidth="1"/>
    <col min="2564" max="2564" width="10" style="158" customWidth="1"/>
    <col min="2565" max="2565" width="12" style="158" customWidth="1"/>
    <col min="2566" max="2568" width="12.85546875" style="158" customWidth="1"/>
    <col min="2569" max="2569" width="11.85546875" style="158" customWidth="1"/>
    <col min="2570" max="2570" width="13.28515625" style="158" customWidth="1"/>
    <col min="2571" max="2571" width="14.5703125" style="158" customWidth="1"/>
    <col min="2572" max="2572" width="12.42578125" style="158" customWidth="1"/>
    <col min="2573" max="2573" width="2.7109375" style="158" customWidth="1"/>
    <col min="2574" max="2816" width="9.140625" style="158"/>
    <col min="2817" max="2817" width="15.85546875" style="158" customWidth="1"/>
    <col min="2818" max="2818" width="28.85546875" style="158" customWidth="1"/>
    <col min="2819" max="2819" width="10.42578125" style="158" customWidth="1"/>
    <col min="2820" max="2820" width="10" style="158" customWidth="1"/>
    <col min="2821" max="2821" width="12" style="158" customWidth="1"/>
    <col min="2822" max="2824" width="12.85546875" style="158" customWidth="1"/>
    <col min="2825" max="2825" width="11.85546875" style="158" customWidth="1"/>
    <col min="2826" max="2826" width="13.28515625" style="158" customWidth="1"/>
    <col min="2827" max="2827" width="14.5703125" style="158" customWidth="1"/>
    <col min="2828" max="2828" width="12.42578125" style="158" customWidth="1"/>
    <col min="2829" max="2829" width="2.7109375" style="158" customWidth="1"/>
    <col min="2830" max="3072" width="9.140625" style="158"/>
    <col min="3073" max="3073" width="15.85546875" style="158" customWidth="1"/>
    <col min="3074" max="3074" width="28.85546875" style="158" customWidth="1"/>
    <col min="3075" max="3075" width="10.42578125" style="158" customWidth="1"/>
    <col min="3076" max="3076" width="10" style="158" customWidth="1"/>
    <col min="3077" max="3077" width="12" style="158" customWidth="1"/>
    <col min="3078" max="3080" width="12.85546875" style="158" customWidth="1"/>
    <col min="3081" max="3081" width="11.85546875" style="158" customWidth="1"/>
    <col min="3082" max="3082" width="13.28515625" style="158" customWidth="1"/>
    <col min="3083" max="3083" width="14.5703125" style="158" customWidth="1"/>
    <col min="3084" max="3084" width="12.42578125" style="158" customWidth="1"/>
    <col min="3085" max="3085" width="2.7109375" style="158" customWidth="1"/>
    <col min="3086" max="3328" width="9.140625" style="158"/>
    <col min="3329" max="3329" width="15.85546875" style="158" customWidth="1"/>
    <col min="3330" max="3330" width="28.85546875" style="158" customWidth="1"/>
    <col min="3331" max="3331" width="10.42578125" style="158" customWidth="1"/>
    <col min="3332" max="3332" width="10" style="158" customWidth="1"/>
    <col min="3333" max="3333" width="12" style="158" customWidth="1"/>
    <col min="3334" max="3336" width="12.85546875" style="158" customWidth="1"/>
    <col min="3337" max="3337" width="11.85546875" style="158" customWidth="1"/>
    <col min="3338" max="3338" width="13.28515625" style="158" customWidth="1"/>
    <col min="3339" max="3339" width="14.5703125" style="158" customWidth="1"/>
    <col min="3340" max="3340" width="12.42578125" style="158" customWidth="1"/>
    <col min="3341" max="3341" width="2.7109375" style="158" customWidth="1"/>
    <col min="3342" max="3584" width="9.140625" style="158"/>
    <col min="3585" max="3585" width="15.85546875" style="158" customWidth="1"/>
    <col min="3586" max="3586" width="28.85546875" style="158" customWidth="1"/>
    <col min="3587" max="3587" width="10.42578125" style="158" customWidth="1"/>
    <col min="3588" max="3588" width="10" style="158" customWidth="1"/>
    <col min="3589" max="3589" width="12" style="158" customWidth="1"/>
    <col min="3590" max="3592" width="12.85546875" style="158" customWidth="1"/>
    <col min="3593" max="3593" width="11.85546875" style="158" customWidth="1"/>
    <col min="3594" max="3594" width="13.28515625" style="158" customWidth="1"/>
    <col min="3595" max="3595" width="14.5703125" style="158" customWidth="1"/>
    <col min="3596" max="3596" width="12.42578125" style="158" customWidth="1"/>
    <col min="3597" max="3597" width="2.7109375" style="158" customWidth="1"/>
    <col min="3598" max="3840" width="9.140625" style="158"/>
    <col min="3841" max="3841" width="15.85546875" style="158" customWidth="1"/>
    <col min="3842" max="3842" width="28.85546875" style="158" customWidth="1"/>
    <col min="3843" max="3843" width="10.42578125" style="158" customWidth="1"/>
    <col min="3844" max="3844" width="10" style="158" customWidth="1"/>
    <col min="3845" max="3845" width="12" style="158" customWidth="1"/>
    <col min="3846" max="3848" width="12.85546875" style="158" customWidth="1"/>
    <col min="3849" max="3849" width="11.85546875" style="158" customWidth="1"/>
    <col min="3850" max="3850" width="13.28515625" style="158" customWidth="1"/>
    <col min="3851" max="3851" width="14.5703125" style="158" customWidth="1"/>
    <col min="3852" max="3852" width="12.42578125" style="158" customWidth="1"/>
    <col min="3853" max="3853" width="2.7109375" style="158" customWidth="1"/>
    <col min="3854" max="4096" width="9.140625" style="158"/>
    <col min="4097" max="4097" width="15.85546875" style="158" customWidth="1"/>
    <col min="4098" max="4098" width="28.85546875" style="158" customWidth="1"/>
    <col min="4099" max="4099" width="10.42578125" style="158" customWidth="1"/>
    <col min="4100" max="4100" width="10" style="158" customWidth="1"/>
    <col min="4101" max="4101" width="12" style="158" customWidth="1"/>
    <col min="4102" max="4104" width="12.85546875" style="158" customWidth="1"/>
    <col min="4105" max="4105" width="11.85546875" style="158" customWidth="1"/>
    <col min="4106" max="4106" width="13.28515625" style="158" customWidth="1"/>
    <col min="4107" max="4107" width="14.5703125" style="158" customWidth="1"/>
    <col min="4108" max="4108" width="12.42578125" style="158" customWidth="1"/>
    <col min="4109" max="4109" width="2.7109375" style="158" customWidth="1"/>
    <col min="4110" max="4352" width="9.140625" style="158"/>
    <col min="4353" max="4353" width="15.85546875" style="158" customWidth="1"/>
    <col min="4354" max="4354" width="28.85546875" style="158" customWidth="1"/>
    <col min="4355" max="4355" width="10.42578125" style="158" customWidth="1"/>
    <col min="4356" max="4356" width="10" style="158" customWidth="1"/>
    <col min="4357" max="4357" width="12" style="158" customWidth="1"/>
    <col min="4358" max="4360" width="12.85546875" style="158" customWidth="1"/>
    <col min="4361" max="4361" width="11.85546875" style="158" customWidth="1"/>
    <col min="4362" max="4362" width="13.28515625" style="158" customWidth="1"/>
    <col min="4363" max="4363" width="14.5703125" style="158" customWidth="1"/>
    <col min="4364" max="4364" width="12.42578125" style="158" customWidth="1"/>
    <col min="4365" max="4365" width="2.7109375" style="158" customWidth="1"/>
    <col min="4366" max="4608" width="9.140625" style="158"/>
    <col min="4609" max="4609" width="15.85546875" style="158" customWidth="1"/>
    <col min="4610" max="4610" width="28.85546875" style="158" customWidth="1"/>
    <col min="4611" max="4611" width="10.42578125" style="158" customWidth="1"/>
    <col min="4612" max="4612" width="10" style="158" customWidth="1"/>
    <col min="4613" max="4613" width="12" style="158" customWidth="1"/>
    <col min="4614" max="4616" width="12.85546875" style="158" customWidth="1"/>
    <col min="4617" max="4617" width="11.85546875" style="158" customWidth="1"/>
    <col min="4618" max="4618" width="13.28515625" style="158" customWidth="1"/>
    <col min="4619" max="4619" width="14.5703125" style="158" customWidth="1"/>
    <col min="4620" max="4620" width="12.42578125" style="158" customWidth="1"/>
    <col min="4621" max="4621" width="2.7109375" style="158" customWidth="1"/>
    <col min="4622" max="4864" width="9.140625" style="158"/>
    <col min="4865" max="4865" width="15.85546875" style="158" customWidth="1"/>
    <col min="4866" max="4866" width="28.85546875" style="158" customWidth="1"/>
    <col min="4867" max="4867" width="10.42578125" style="158" customWidth="1"/>
    <col min="4868" max="4868" width="10" style="158" customWidth="1"/>
    <col min="4869" max="4869" width="12" style="158" customWidth="1"/>
    <col min="4870" max="4872" width="12.85546875" style="158" customWidth="1"/>
    <col min="4873" max="4873" width="11.85546875" style="158" customWidth="1"/>
    <col min="4874" max="4874" width="13.28515625" style="158" customWidth="1"/>
    <col min="4875" max="4875" width="14.5703125" style="158" customWidth="1"/>
    <col min="4876" max="4876" width="12.42578125" style="158" customWidth="1"/>
    <col min="4877" max="4877" width="2.7109375" style="158" customWidth="1"/>
    <col min="4878" max="5120" width="9.140625" style="158"/>
    <col min="5121" max="5121" width="15.85546875" style="158" customWidth="1"/>
    <col min="5122" max="5122" width="28.85546875" style="158" customWidth="1"/>
    <col min="5123" max="5123" width="10.42578125" style="158" customWidth="1"/>
    <col min="5124" max="5124" width="10" style="158" customWidth="1"/>
    <col min="5125" max="5125" width="12" style="158" customWidth="1"/>
    <col min="5126" max="5128" width="12.85546875" style="158" customWidth="1"/>
    <col min="5129" max="5129" width="11.85546875" style="158" customWidth="1"/>
    <col min="5130" max="5130" width="13.28515625" style="158" customWidth="1"/>
    <col min="5131" max="5131" width="14.5703125" style="158" customWidth="1"/>
    <col min="5132" max="5132" width="12.42578125" style="158" customWidth="1"/>
    <col min="5133" max="5133" width="2.7109375" style="158" customWidth="1"/>
    <col min="5134" max="5376" width="9.140625" style="158"/>
    <col min="5377" max="5377" width="15.85546875" style="158" customWidth="1"/>
    <col min="5378" max="5378" width="28.85546875" style="158" customWidth="1"/>
    <col min="5379" max="5379" width="10.42578125" style="158" customWidth="1"/>
    <col min="5380" max="5380" width="10" style="158" customWidth="1"/>
    <col min="5381" max="5381" width="12" style="158" customWidth="1"/>
    <col min="5382" max="5384" width="12.85546875" style="158" customWidth="1"/>
    <col min="5385" max="5385" width="11.85546875" style="158" customWidth="1"/>
    <col min="5386" max="5386" width="13.28515625" style="158" customWidth="1"/>
    <col min="5387" max="5387" width="14.5703125" style="158" customWidth="1"/>
    <col min="5388" max="5388" width="12.42578125" style="158" customWidth="1"/>
    <col min="5389" max="5389" width="2.7109375" style="158" customWidth="1"/>
    <col min="5390" max="5632" width="9.140625" style="158"/>
    <col min="5633" max="5633" width="15.85546875" style="158" customWidth="1"/>
    <col min="5634" max="5634" width="28.85546875" style="158" customWidth="1"/>
    <col min="5635" max="5635" width="10.42578125" style="158" customWidth="1"/>
    <col min="5636" max="5636" width="10" style="158" customWidth="1"/>
    <col min="5637" max="5637" width="12" style="158" customWidth="1"/>
    <col min="5638" max="5640" width="12.85546875" style="158" customWidth="1"/>
    <col min="5641" max="5641" width="11.85546875" style="158" customWidth="1"/>
    <col min="5642" max="5642" width="13.28515625" style="158" customWidth="1"/>
    <col min="5643" max="5643" width="14.5703125" style="158" customWidth="1"/>
    <col min="5644" max="5644" width="12.42578125" style="158" customWidth="1"/>
    <col min="5645" max="5645" width="2.7109375" style="158" customWidth="1"/>
    <col min="5646" max="5888" width="9.140625" style="158"/>
    <col min="5889" max="5889" width="15.85546875" style="158" customWidth="1"/>
    <col min="5890" max="5890" width="28.85546875" style="158" customWidth="1"/>
    <col min="5891" max="5891" width="10.42578125" style="158" customWidth="1"/>
    <col min="5892" max="5892" width="10" style="158" customWidth="1"/>
    <col min="5893" max="5893" width="12" style="158" customWidth="1"/>
    <col min="5894" max="5896" width="12.85546875" style="158" customWidth="1"/>
    <col min="5897" max="5897" width="11.85546875" style="158" customWidth="1"/>
    <col min="5898" max="5898" width="13.28515625" style="158" customWidth="1"/>
    <col min="5899" max="5899" width="14.5703125" style="158" customWidth="1"/>
    <col min="5900" max="5900" width="12.42578125" style="158" customWidth="1"/>
    <col min="5901" max="5901" width="2.7109375" style="158" customWidth="1"/>
    <col min="5902" max="6144" width="9.140625" style="158"/>
    <col min="6145" max="6145" width="15.85546875" style="158" customWidth="1"/>
    <col min="6146" max="6146" width="28.85546875" style="158" customWidth="1"/>
    <col min="6147" max="6147" width="10.42578125" style="158" customWidth="1"/>
    <col min="6148" max="6148" width="10" style="158" customWidth="1"/>
    <col min="6149" max="6149" width="12" style="158" customWidth="1"/>
    <col min="6150" max="6152" width="12.85546875" style="158" customWidth="1"/>
    <col min="6153" max="6153" width="11.85546875" style="158" customWidth="1"/>
    <col min="6154" max="6154" width="13.28515625" style="158" customWidth="1"/>
    <col min="6155" max="6155" width="14.5703125" style="158" customWidth="1"/>
    <col min="6156" max="6156" width="12.42578125" style="158" customWidth="1"/>
    <col min="6157" max="6157" width="2.7109375" style="158" customWidth="1"/>
    <col min="6158" max="6400" width="9.140625" style="158"/>
    <col min="6401" max="6401" width="15.85546875" style="158" customWidth="1"/>
    <col min="6402" max="6402" width="28.85546875" style="158" customWidth="1"/>
    <col min="6403" max="6403" width="10.42578125" style="158" customWidth="1"/>
    <col min="6404" max="6404" width="10" style="158" customWidth="1"/>
    <col min="6405" max="6405" width="12" style="158" customWidth="1"/>
    <col min="6406" max="6408" width="12.85546875" style="158" customWidth="1"/>
    <col min="6409" max="6409" width="11.85546875" style="158" customWidth="1"/>
    <col min="6410" max="6410" width="13.28515625" style="158" customWidth="1"/>
    <col min="6411" max="6411" width="14.5703125" style="158" customWidth="1"/>
    <col min="6412" max="6412" width="12.42578125" style="158" customWidth="1"/>
    <col min="6413" max="6413" width="2.7109375" style="158" customWidth="1"/>
    <col min="6414" max="6656" width="9.140625" style="158"/>
    <col min="6657" max="6657" width="15.85546875" style="158" customWidth="1"/>
    <col min="6658" max="6658" width="28.85546875" style="158" customWidth="1"/>
    <col min="6659" max="6659" width="10.42578125" style="158" customWidth="1"/>
    <col min="6660" max="6660" width="10" style="158" customWidth="1"/>
    <col min="6661" max="6661" width="12" style="158" customWidth="1"/>
    <col min="6662" max="6664" width="12.85546875" style="158" customWidth="1"/>
    <col min="6665" max="6665" width="11.85546875" style="158" customWidth="1"/>
    <col min="6666" max="6666" width="13.28515625" style="158" customWidth="1"/>
    <col min="6667" max="6667" width="14.5703125" style="158" customWidth="1"/>
    <col min="6668" max="6668" width="12.42578125" style="158" customWidth="1"/>
    <col min="6669" max="6669" width="2.7109375" style="158" customWidth="1"/>
    <col min="6670" max="6912" width="9.140625" style="158"/>
    <col min="6913" max="6913" width="15.85546875" style="158" customWidth="1"/>
    <col min="6914" max="6914" width="28.85546875" style="158" customWidth="1"/>
    <col min="6915" max="6915" width="10.42578125" style="158" customWidth="1"/>
    <col min="6916" max="6916" width="10" style="158" customWidth="1"/>
    <col min="6917" max="6917" width="12" style="158" customWidth="1"/>
    <col min="6918" max="6920" width="12.85546875" style="158" customWidth="1"/>
    <col min="6921" max="6921" width="11.85546875" style="158" customWidth="1"/>
    <col min="6922" max="6922" width="13.28515625" style="158" customWidth="1"/>
    <col min="6923" max="6923" width="14.5703125" style="158" customWidth="1"/>
    <col min="6924" max="6924" width="12.42578125" style="158" customWidth="1"/>
    <col min="6925" max="6925" width="2.7109375" style="158" customWidth="1"/>
    <col min="6926" max="7168" width="9.140625" style="158"/>
    <col min="7169" max="7169" width="15.85546875" style="158" customWidth="1"/>
    <col min="7170" max="7170" width="28.85546875" style="158" customWidth="1"/>
    <col min="7171" max="7171" width="10.42578125" style="158" customWidth="1"/>
    <col min="7172" max="7172" width="10" style="158" customWidth="1"/>
    <col min="7173" max="7173" width="12" style="158" customWidth="1"/>
    <col min="7174" max="7176" width="12.85546875" style="158" customWidth="1"/>
    <col min="7177" max="7177" width="11.85546875" style="158" customWidth="1"/>
    <col min="7178" max="7178" width="13.28515625" style="158" customWidth="1"/>
    <col min="7179" max="7179" width="14.5703125" style="158" customWidth="1"/>
    <col min="7180" max="7180" width="12.42578125" style="158" customWidth="1"/>
    <col min="7181" max="7181" width="2.7109375" style="158" customWidth="1"/>
    <col min="7182" max="7424" width="9.140625" style="158"/>
    <col min="7425" max="7425" width="15.85546875" style="158" customWidth="1"/>
    <col min="7426" max="7426" width="28.85546875" style="158" customWidth="1"/>
    <col min="7427" max="7427" width="10.42578125" style="158" customWidth="1"/>
    <col min="7428" max="7428" width="10" style="158" customWidth="1"/>
    <col min="7429" max="7429" width="12" style="158" customWidth="1"/>
    <col min="7430" max="7432" width="12.85546875" style="158" customWidth="1"/>
    <col min="7433" max="7433" width="11.85546875" style="158" customWidth="1"/>
    <col min="7434" max="7434" width="13.28515625" style="158" customWidth="1"/>
    <col min="7435" max="7435" width="14.5703125" style="158" customWidth="1"/>
    <col min="7436" max="7436" width="12.42578125" style="158" customWidth="1"/>
    <col min="7437" max="7437" width="2.7109375" style="158" customWidth="1"/>
    <col min="7438" max="7680" width="9.140625" style="158"/>
    <col min="7681" max="7681" width="15.85546875" style="158" customWidth="1"/>
    <col min="7682" max="7682" width="28.85546875" style="158" customWidth="1"/>
    <col min="7683" max="7683" width="10.42578125" style="158" customWidth="1"/>
    <col min="7684" max="7684" width="10" style="158" customWidth="1"/>
    <col min="7685" max="7685" width="12" style="158" customWidth="1"/>
    <col min="7686" max="7688" width="12.85546875" style="158" customWidth="1"/>
    <col min="7689" max="7689" width="11.85546875" style="158" customWidth="1"/>
    <col min="7690" max="7690" width="13.28515625" style="158" customWidth="1"/>
    <col min="7691" max="7691" width="14.5703125" style="158" customWidth="1"/>
    <col min="7692" max="7692" width="12.42578125" style="158" customWidth="1"/>
    <col min="7693" max="7693" width="2.7109375" style="158" customWidth="1"/>
    <col min="7694" max="7936" width="9.140625" style="158"/>
    <col min="7937" max="7937" width="15.85546875" style="158" customWidth="1"/>
    <col min="7938" max="7938" width="28.85546875" style="158" customWidth="1"/>
    <col min="7939" max="7939" width="10.42578125" style="158" customWidth="1"/>
    <col min="7940" max="7940" width="10" style="158" customWidth="1"/>
    <col min="7941" max="7941" width="12" style="158" customWidth="1"/>
    <col min="7942" max="7944" width="12.85546875" style="158" customWidth="1"/>
    <col min="7945" max="7945" width="11.85546875" style="158" customWidth="1"/>
    <col min="7946" max="7946" width="13.28515625" style="158" customWidth="1"/>
    <col min="7947" max="7947" width="14.5703125" style="158" customWidth="1"/>
    <col min="7948" max="7948" width="12.42578125" style="158" customWidth="1"/>
    <col min="7949" max="7949" width="2.7109375" style="158" customWidth="1"/>
    <col min="7950" max="8192" width="9.140625" style="158"/>
    <col min="8193" max="8193" width="15.85546875" style="158" customWidth="1"/>
    <col min="8194" max="8194" width="28.85546875" style="158" customWidth="1"/>
    <col min="8195" max="8195" width="10.42578125" style="158" customWidth="1"/>
    <col min="8196" max="8196" width="10" style="158" customWidth="1"/>
    <col min="8197" max="8197" width="12" style="158" customWidth="1"/>
    <col min="8198" max="8200" width="12.85546875" style="158" customWidth="1"/>
    <col min="8201" max="8201" width="11.85546875" style="158" customWidth="1"/>
    <col min="8202" max="8202" width="13.28515625" style="158" customWidth="1"/>
    <col min="8203" max="8203" width="14.5703125" style="158" customWidth="1"/>
    <col min="8204" max="8204" width="12.42578125" style="158" customWidth="1"/>
    <col min="8205" max="8205" width="2.7109375" style="158" customWidth="1"/>
    <col min="8206" max="8448" width="9.140625" style="158"/>
    <col min="8449" max="8449" width="15.85546875" style="158" customWidth="1"/>
    <col min="8450" max="8450" width="28.85546875" style="158" customWidth="1"/>
    <col min="8451" max="8451" width="10.42578125" style="158" customWidth="1"/>
    <col min="8452" max="8452" width="10" style="158" customWidth="1"/>
    <col min="8453" max="8453" width="12" style="158" customWidth="1"/>
    <col min="8454" max="8456" width="12.85546875" style="158" customWidth="1"/>
    <col min="8457" max="8457" width="11.85546875" style="158" customWidth="1"/>
    <col min="8458" max="8458" width="13.28515625" style="158" customWidth="1"/>
    <col min="8459" max="8459" width="14.5703125" style="158" customWidth="1"/>
    <col min="8460" max="8460" width="12.42578125" style="158" customWidth="1"/>
    <col min="8461" max="8461" width="2.7109375" style="158" customWidth="1"/>
    <col min="8462" max="8704" width="9.140625" style="158"/>
    <col min="8705" max="8705" width="15.85546875" style="158" customWidth="1"/>
    <col min="8706" max="8706" width="28.85546875" style="158" customWidth="1"/>
    <col min="8707" max="8707" width="10.42578125" style="158" customWidth="1"/>
    <col min="8708" max="8708" width="10" style="158" customWidth="1"/>
    <col min="8709" max="8709" width="12" style="158" customWidth="1"/>
    <col min="8710" max="8712" width="12.85546875" style="158" customWidth="1"/>
    <col min="8713" max="8713" width="11.85546875" style="158" customWidth="1"/>
    <col min="8714" max="8714" width="13.28515625" style="158" customWidth="1"/>
    <col min="8715" max="8715" width="14.5703125" style="158" customWidth="1"/>
    <col min="8716" max="8716" width="12.42578125" style="158" customWidth="1"/>
    <col min="8717" max="8717" width="2.7109375" style="158" customWidth="1"/>
    <col min="8718" max="8960" width="9.140625" style="158"/>
    <col min="8961" max="8961" width="15.85546875" style="158" customWidth="1"/>
    <col min="8962" max="8962" width="28.85546875" style="158" customWidth="1"/>
    <col min="8963" max="8963" width="10.42578125" style="158" customWidth="1"/>
    <col min="8964" max="8964" width="10" style="158" customWidth="1"/>
    <col min="8965" max="8965" width="12" style="158" customWidth="1"/>
    <col min="8966" max="8968" width="12.85546875" style="158" customWidth="1"/>
    <col min="8969" max="8969" width="11.85546875" style="158" customWidth="1"/>
    <col min="8970" max="8970" width="13.28515625" style="158" customWidth="1"/>
    <col min="8971" max="8971" width="14.5703125" style="158" customWidth="1"/>
    <col min="8972" max="8972" width="12.42578125" style="158" customWidth="1"/>
    <col min="8973" max="8973" width="2.7109375" style="158" customWidth="1"/>
    <col min="8974" max="9216" width="9.140625" style="158"/>
    <col min="9217" max="9217" width="15.85546875" style="158" customWidth="1"/>
    <col min="9218" max="9218" width="28.85546875" style="158" customWidth="1"/>
    <col min="9219" max="9219" width="10.42578125" style="158" customWidth="1"/>
    <col min="9220" max="9220" width="10" style="158" customWidth="1"/>
    <col min="9221" max="9221" width="12" style="158" customWidth="1"/>
    <col min="9222" max="9224" width="12.85546875" style="158" customWidth="1"/>
    <col min="9225" max="9225" width="11.85546875" style="158" customWidth="1"/>
    <col min="9226" max="9226" width="13.28515625" style="158" customWidth="1"/>
    <col min="9227" max="9227" width="14.5703125" style="158" customWidth="1"/>
    <col min="9228" max="9228" width="12.42578125" style="158" customWidth="1"/>
    <col min="9229" max="9229" width="2.7109375" style="158" customWidth="1"/>
    <col min="9230" max="9472" width="9.140625" style="158"/>
    <col min="9473" max="9473" width="15.85546875" style="158" customWidth="1"/>
    <col min="9474" max="9474" width="28.85546875" style="158" customWidth="1"/>
    <col min="9475" max="9475" width="10.42578125" style="158" customWidth="1"/>
    <col min="9476" max="9476" width="10" style="158" customWidth="1"/>
    <col min="9477" max="9477" width="12" style="158" customWidth="1"/>
    <col min="9478" max="9480" width="12.85546875" style="158" customWidth="1"/>
    <col min="9481" max="9481" width="11.85546875" style="158" customWidth="1"/>
    <col min="9482" max="9482" width="13.28515625" style="158" customWidth="1"/>
    <col min="9483" max="9483" width="14.5703125" style="158" customWidth="1"/>
    <col min="9484" max="9484" width="12.42578125" style="158" customWidth="1"/>
    <col min="9485" max="9485" width="2.7109375" style="158" customWidth="1"/>
    <col min="9486" max="9728" width="9.140625" style="158"/>
    <col min="9729" max="9729" width="15.85546875" style="158" customWidth="1"/>
    <col min="9730" max="9730" width="28.85546875" style="158" customWidth="1"/>
    <col min="9731" max="9731" width="10.42578125" style="158" customWidth="1"/>
    <col min="9732" max="9732" width="10" style="158" customWidth="1"/>
    <col min="9733" max="9733" width="12" style="158" customWidth="1"/>
    <col min="9734" max="9736" width="12.85546875" style="158" customWidth="1"/>
    <col min="9737" max="9737" width="11.85546875" style="158" customWidth="1"/>
    <col min="9738" max="9738" width="13.28515625" style="158" customWidth="1"/>
    <col min="9739" max="9739" width="14.5703125" style="158" customWidth="1"/>
    <col min="9740" max="9740" width="12.42578125" style="158" customWidth="1"/>
    <col min="9741" max="9741" width="2.7109375" style="158" customWidth="1"/>
    <col min="9742" max="9984" width="9.140625" style="158"/>
    <col min="9985" max="9985" width="15.85546875" style="158" customWidth="1"/>
    <col min="9986" max="9986" width="28.85546875" style="158" customWidth="1"/>
    <col min="9987" max="9987" width="10.42578125" style="158" customWidth="1"/>
    <col min="9988" max="9988" width="10" style="158" customWidth="1"/>
    <col min="9989" max="9989" width="12" style="158" customWidth="1"/>
    <col min="9990" max="9992" width="12.85546875" style="158" customWidth="1"/>
    <col min="9993" max="9993" width="11.85546875" style="158" customWidth="1"/>
    <col min="9994" max="9994" width="13.28515625" style="158" customWidth="1"/>
    <col min="9995" max="9995" width="14.5703125" style="158" customWidth="1"/>
    <col min="9996" max="9996" width="12.42578125" style="158" customWidth="1"/>
    <col min="9997" max="9997" width="2.7109375" style="158" customWidth="1"/>
    <col min="9998" max="10240" width="9.140625" style="158"/>
    <col min="10241" max="10241" width="15.85546875" style="158" customWidth="1"/>
    <col min="10242" max="10242" width="28.85546875" style="158" customWidth="1"/>
    <col min="10243" max="10243" width="10.42578125" style="158" customWidth="1"/>
    <col min="10244" max="10244" width="10" style="158" customWidth="1"/>
    <col min="10245" max="10245" width="12" style="158" customWidth="1"/>
    <col min="10246" max="10248" width="12.85546875" style="158" customWidth="1"/>
    <col min="10249" max="10249" width="11.85546875" style="158" customWidth="1"/>
    <col min="10250" max="10250" width="13.28515625" style="158" customWidth="1"/>
    <col min="10251" max="10251" width="14.5703125" style="158" customWidth="1"/>
    <col min="10252" max="10252" width="12.42578125" style="158" customWidth="1"/>
    <col min="10253" max="10253" width="2.7109375" style="158" customWidth="1"/>
    <col min="10254" max="10496" width="9.140625" style="158"/>
    <col min="10497" max="10497" width="15.85546875" style="158" customWidth="1"/>
    <col min="10498" max="10498" width="28.85546875" style="158" customWidth="1"/>
    <col min="10499" max="10499" width="10.42578125" style="158" customWidth="1"/>
    <col min="10500" max="10500" width="10" style="158" customWidth="1"/>
    <col min="10501" max="10501" width="12" style="158" customWidth="1"/>
    <col min="10502" max="10504" width="12.85546875" style="158" customWidth="1"/>
    <col min="10505" max="10505" width="11.85546875" style="158" customWidth="1"/>
    <col min="10506" max="10506" width="13.28515625" style="158" customWidth="1"/>
    <col min="10507" max="10507" width="14.5703125" style="158" customWidth="1"/>
    <col min="10508" max="10508" width="12.42578125" style="158" customWidth="1"/>
    <col min="10509" max="10509" width="2.7109375" style="158" customWidth="1"/>
    <col min="10510" max="10752" width="9.140625" style="158"/>
    <col min="10753" max="10753" width="15.85546875" style="158" customWidth="1"/>
    <col min="10754" max="10754" width="28.85546875" style="158" customWidth="1"/>
    <col min="10755" max="10755" width="10.42578125" style="158" customWidth="1"/>
    <col min="10756" max="10756" width="10" style="158" customWidth="1"/>
    <col min="10757" max="10757" width="12" style="158" customWidth="1"/>
    <col min="10758" max="10760" width="12.85546875" style="158" customWidth="1"/>
    <col min="10761" max="10761" width="11.85546875" style="158" customWidth="1"/>
    <col min="10762" max="10762" width="13.28515625" style="158" customWidth="1"/>
    <col min="10763" max="10763" width="14.5703125" style="158" customWidth="1"/>
    <col min="10764" max="10764" width="12.42578125" style="158" customWidth="1"/>
    <col min="10765" max="10765" width="2.7109375" style="158" customWidth="1"/>
    <col min="10766" max="11008" width="9.140625" style="158"/>
    <col min="11009" max="11009" width="15.85546875" style="158" customWidth="1"/>
    <col min="11010" max="11010" width="28.85546875" style="158" customWidth="1"/>
    <col min="11011" max="11011" width="10.42578125" style="158" customWidth="1"/>
    <col min="11012" max="11012" width="10" style="158" customWidth="1"/>
    <col min="11013" max="11013" width="12" style="158" customWidth="1"/>
    <col min="11014" max="11016" width="12.85546875" style="158" customWidth="1"/>
    <col min="11017" max="11017" width="11.85546875" style="158" customWidth="1"/>
    <col min="11018" max="11018" width="13.28515625" style="158" customWidth="1"/>
    <col min="11019" max="11019" width="14.5703125" style="158" customWidth="1"/>
    <col min="11020" max="11020" width="12.42578125" style="158" customWidth="1"/>
    <col min="11021" max="11021" width="2.7109375" style="158" customWidth="1"/>
    <col min="11022" max="11264" width="9.140625" style="158"/>
    <col min="11265" max="11265" width="15.85546875" style="158" customWidth="1"/>
    <col min="11266" max="11266" width="28.85546875" style="158" customWidth="1"/>
    <col min="11267" max="11267" width="10.42578125" style="158" customWidth="1"/>
    <col min="11268" max="11268" width="10" style="158" customWidth="1"/>
    <col min="11269" max="11269" width="12" style="158" customWidth="1"/>
    <col min="11270" max="11272" width="12.85546875" style="158" customWidth="1"/>
    <col min="11273" max="11273" width="11.85546875" style="158" customWidth="1"/>
    <col min="11274" max="11274" width="13.28515625" style="158" customWidth="1"/>
    <col min="11275" max="11275" width="14.5703125" style="158" customWidth="1"/>
    <col min="11276" max="11276" width="12.42578125" style="158" customWidth="1"/>
    <col min="11277" max="11277" width="2.7109375" style="158" customWidth="1"/>
    <col min="11278" max="11520" width="9.140625" style="158"/>
    <col min="11521" max="11521" width="15.85546875" style="158" customWidth="1"/>
    <col min="11522" max="11522" width="28.85546875" style="158" customWidth="1"/>
    <col min="11523" max="11523" width="10.42578125" style="158" customWidth="1"/>
    <col min="11524" max="11524" width="10" style="158" customWidth="1"/>
    <col min="11525" max="11525" width="12" style="158" customWidth="1"/>
    <col min="11526" max="11528" width="12.85546875" style="158" customWidth="1"/>
    <col min="11529" max="11529" width="11.85546875" style="158" customWidth="1"/>
    <col min="11530" max="11530" width="13.28515625" style="158" customWidth="1"/>
    <col min="11531" max="11531" width="14.5703125" style="158" customWidth="1"/>
    <col min="11532" max="11532" width="12.42578125" style="158" customWidth="1"/>
    <col min="11533" max="11533" width="2.7109375" style="158" customWidth="1"/>
    <col min="11534" max="11776" width="9.140625" style="158"/>
    <col min="11777" max="11777" width="15.85546875" style="158" customWidth="1"/>
    <col min="11778" max="11778" width="28.85546875" style="158" customWidth="1"/>
    <col min="11779" max="11779" width="10.42578125" style="158" customWidth="1"/>
    <col min="11780" max="11780" width="10" style="158" customWidth="1"/>
    <col min="11781" max="11781" width="12" style="158" customWidth="1"/>
    <col min="11782" max="11784" width="12.85546875" style="158" customWidth="1"/>
    <col min="11785" max="11785" width="11.85546875" style="158" customWidth="1"/>
    <col min="11786" max="11786" width="13.28515625" style="158" customWidth="1"/>
    <col min="11787" max="11787" width="14.5703125" style="158" customWidth="1"/>
    <col min="11788" max="11788" width="12.42578125" style="158" customWidth="1"/>
    <col min="11789" max="11789" width="2.7109375" style="158" customWidth="1"/>
    <col min="11790" max="12032" width="9.140625" style="158"/>
    <col min="12033" max="12033" width="15.85546875" style="158" customWidth="1"/>
    <col min="12034" max="12034" width="28.85546875" style="158" customWidth="1"/>
    <col min="12035" max="12035" width="10.42578125" style="158" customWidth="1"/>
    <col min="12036" max="12036" width="10" style="158" customWidth="1"/>
    <col min="12037" max="12037" width="12" style="158" customWidth="1"/>
    <col min="12038" max="12040" width="12.85546875" style="158" customWidth="1"/>
    <col min="12041" max="12041" width="11.85546875" style="158" customWidth="1"/>
    <col min="12042" max="12042" width="13.28515625" style="158" customWidth="1"/>
    <col min="12043" max="12043" width="14.5703125" style="158" customWidth="1"/>
    <col min="12044" max="12044" width="12.42578125" style="158" customWidth="1"/>
    <col min="12045" max="12045" width="2.7109375" style="158" customWidth="1"/>
    <col min="12046" max="12288" width="9.140625" style="158"/>
    <col min="12289" max="12289" width="15.85546875" style="158" customWidth="1"/>
    <col min="12290" max="12290" width="28.85546875" style="158" customWidth="1"/>
    <col min="12291" max="12291" width="10.42578125" style="158" customWidth="1"/>
    <col min="12292" max="12292" width="10" style="158" customWidth="1"/>
    <col min="12293" max="12293" width="12" style="158" customWidth="1"/>
    <col min="12294" max="12296" width="12.85546875" style="158" customWidth="1"/>
    <col min="12297" max="12297" width="11.85546875" style="158" customWidth="1"/>
    <col min="12298" max="12298" width="13.28515625" style="158" customWidth="1"/>
    <col min="12299" max="12299" width="14.5703125" style="158" customWidth="1"/>
    <col min="12300" max="12300" width="12.42578125" style="158" customWidth="1"/>
    <col min="12301" max="12301" width="2.7109375" style="158" customWidth="1"/>
    <col min="12302" max="12544" width="9.140625" style="158"/>
    <col min="12545" max="12545" width="15.85546875" style="158" customWidth="1"/>
    <col min="12546" max="12546" width="28.85546875" style="158" customWidth="1"/>
    <col min="12547" max="12547" width="10.42578125" style="158" customWidth="1"/>
    <col min="12548" max="12548" width="10" style="158" customWidth="1"/>
    <col min="12549" max="12549" width="12" style="158" customWidth="1"/>
    <col min="12550" max="12552" width="12.85546875" style="158" customWidth="1"/>
    <col min="12553" max="12553" width="11.85546875" style="158" customWidth="1"/>
    <col min="12554" max="12554" width="13.28515625" style="158" customWidth="1"/>
    <col min="12555" max="12555" width="14.5703125" style="158" customWidth="1"/>
    <col min="12556" max="12556" width="12.42578125" style="158" customWidth="1"/>
    <col min="12557" max="12557" width="2.7109375" style="158" customWidth="1"/>
    <col min="12558" max="12800" width="9.140625" style="158"/>
    <col min="12801" max="12801" width="15.85546875" style="158" customWidth="1"/>
    <col min="12802" max="12802" width="28.85546875" style="158" customWidth="1"/>
    <col min="12803" max="12803" width="10.42578125" style="158" customWidth="1"/>
    <col min="12804" max="12804" width="10" style="158" customWidth="1"/>
    <col min="12805" max="12805" width="12" style="158" customWidth="1"/>
    <col min="12806" max="12808" width="12.85546875" style="158" customWidth="1"/>
    <col min="12809" max="12809" width="11.85546875" style="158" customWidth="1"/>
    <col min="12810" max="12810" width="13.28515625" style="158" customWidth="1"/>
    <col min="12811" max="12811" width="14.5703125" style="158" customWidth="1"/>
    <col min="12812" max="12812" width="12.42578125" style="158" customWidth="1"/>
    <col min="12813" max="12813" width="2.7109375" style="158" customWidth="1"/>
    <col min="12814" max="13056" width="9.140625" style="158"/>
    <col min="13057" max="13057" width="15.85546875" style="158" customWidth="1"/>
    <col min="13058" max="13058" width="28.85546875" style="158" customWidth="1"/>
    <col min="13059" max="13059" width="10.42578125" style="158" customWidth="1"/>
    <col min="13060" max="13060" width="10" style="158" customWidth="1"/>
    <col min="13061" max="13061" width="12" style="158" customWidth="1"/>
    <col min="13062" max="13064" width="12.85546875" style="158" customWidth="1"/>
    <col min="13065" max="13065" width="11.85546875" style="158" customWidth="1"/>
    <col min="13066" max="13066" width="13.28515625" style="158" customWidth="1"/>
    <col min="13067" max="13067" width="14.5703125" style="158" customWidth="1"/>
    <col min="13068" max="13068" width="12.42578125" style="158" customWidth="1"/>
    <col min="13069" max="13069" width="2.7109375" style="158" customWidth="1"/>
    <col min="13070" max="13312" width="9.140625" style="158"/>
    <col min="13313" max="13313" width="15.85546875" style="158" customWidth="1"/>
    <col min="13314" max="13314" width="28.85546875" style="158" customWidth="1"/>
    <col min="13315" max="13315" width="10.42578125" style="158" customWidth="1"/>
    <col min="13316" max="13316" width="10" style="158" customWidth="1"/>
    <col min="13317" max="13317" width="12" style="158" customWidth="1"/>
    <col min="13318" max="13320" width="12.85546875" style="158" customWidth="1"/>
    <col min="13321" max="13321" width="11.85546875" style="158" customWidth="1"/>
    <col min="13322" max="13322" width="13.28515625" style="158" customWidth="1"/>
    <col min="13323" max="13323" width="14.5703125" style="158" customWidth="1"/>
    <col min="13324" max="13324" width="12.42578125" style="158" customWidth="1"/>
    <col min="13325" max="13325" width="2.7109375" style="158" customWidth="1"/>
    <col min="13326" max="13568" width="9.140625" style="158"/>
    <col min="13569" max="13569" width="15.85546875" style="158" customWidth="1"/>
    <col min="13570" max="13570" width="28.85546875" style="158" customWidth="1"/>
    <col min="13571" max="13571" width="10.42578125" style="158" customWidth="1"/>
    <col min="13572" max="13572" width="10" style="158" customWidth="1"/>
    <col min="13573" max="13573" width="12" style="158" customWidth="1"/>
    <col min="13574" max="13576" width="12.85546875" style="158" customWidth="1"/>
    <col min="13577" max="13577" width="11.85546875" style="158" customWidth="1"/>
    <col min="13578" max="13578" width="13.28515625" style="158" customWidth="1"/>
    <col min="13579" max="13579" width="14.5703125" style="158" customWidth="1"/>
    <col min="13580" max="13580" width="12.42578125" style="158" customWidth="1"/>
    <col min="13581" max="13581" width="2.7109375" style="158" customWidth="1"/>
    <col min="13582" max="13824" width="9.140625" style="158"/>
    <col min="13825" max="13825" width="15.85546875" style="158" customWidth="1"/>
    <col min="13826" max="13826" width="28.85546875" style="158" customWidth="1"/>
    <col min="13827" max="13827" width="10.42578125" style="158" customWidth="1"/>
    <col min="13828" max="13828" width="10" style="158" customWidth="1"/>
    <col min="13829" max="13829" width="12" style="158" customWidth="1"/>
    <col min="13830" max="13832" width="12.85546875" style="158" customWidth="1"/>
    <col min="13833" max="13833" width="11.85546875" style="158" customWidth="1"/>
    <col min="13834" max="13834" width="13.28515625" style="158" customWidth="1"/>
    <col min="13835" max="13835" width="14.5703125" style="158" customWidth="1"/>
    <col min="13836" max="13836" width="12.42578125" style="158" customWidth="1"/>
    <col min="13837" max="13837" width="2.7109375" style="158" customWidth="1"/>
    <col min="13838" max="14080" width="9.140625" style="158"/>
    <col min="14081" max="14081" width="15.85546875" style="158" customWidth="1"/>
    <col min="14082" max="14082" width="28.85546875" style="158" customWidth="1"/>
    <col min="14083" max="14083" width="10.42578125" style="158" customWidth="1"/>
    <col min="14084" max="14084" width="10" style="158" customWidth="1"/>
    <col min="14085" max="14085" width="12" style="158" customWidth="1"/>
    <col min="14086" max="14088" width="12.85546875" style="158" customWidth="1"/>
    <col min="14089" max="14089" width="11.85546875" style="158" customWidth="1"/>
    <col min="14090" max="14090" width="13.28515625" style="158" customWidth="1"/>
    <col min="14091" max="14091" width="14.5703125" style="158" customWidth="1"/>
    <col min="14092" max="14092" width="12.42578125" style="158" customWidth="1"/>
    <col min="14093" max="14093" width="2.7109375" style="158" customWidth="1"/>
    <col min="14094" max="14336" width="9.140625" style="158"/>
    <col min="14337" max="14337" width="15.85546875" style="158" customWidth="1"/>
    <col min="14338" max="14338" width="28.85546875" style="158" customWidth="1"/>
    <col min="14339" max="14339" width="10.42578125" style="158" customWidth="1"/>
    <col min="14340" max="14340" width="10" style="158" customWidth="1"/>
    <col min="14341" max="14341" width="12" style="158" customWidth="1"/>
    <col min="14342" max="14344" width="12.85546875" style="158" customWidth="1"/>
    <col min="14345" max="14345" width="11.85546875" style="158" customWidth="1"/>
    <col min="14346" max="14346" width="13.28515625" style="158" customWidth="1"/>
    <col min="14347" max="14347" width="14.5703125" style="158" customWidth="1"/>
    <col min="14348" max="14348" width="12.42578125" style="158" customWidth="1"/>
    <col min="14349" max="14349" width="2.7109375" style="158" customWidth="1"/>
    <col min="14350" max="14592" width="9.140625" style="158"/>
    <col min="14593" max="14593" width="15.85546875" style="158" customWidth="1"/>
    <col min="14594" max="14594" width="28.85546875" style="158" customWidth="1"/>
    <col min="14595" max="14595" width="10.42578125" style="158" customWidth="1"/>
    <col min="14596" max="14596" width="10" style="158" customWidth="1"/>
    <col min="14597" max="14597" width="12" style="158" customWidth="1"/>
    <col min="14598" max="14600" width="12.85546875" style="158" customWidth="1"/>
    <col min="14601" max="14601" width="11.85546875" style="158" customWidth="1"/>
    <col min="14602" max="14602" width="13.28515625" style="158" customWidth="1"/>
    <col min="14603" max="14603" width="14.5703125" style="158" customWidth="1"/>
    <col min="14604" max="14604" width="12.42578125" style="158" customWidth="1"/>
    <col min="14605" max="14605" width="2.7109375" style="158" customWidth="1"/>
    <col min="14606" max="14848" width="9.140625" style="158"/>
    <col min="14849" max="14849" width="15.85546875" style="158" customWidth="1"/>
    <col min="14850" max="14850" width="28.85546875" style="158" customWidth="1"/>
    <col min="14851" max="14851" width="10.42578125" style="158" customWidth="1"/>
    <col min="14852" max="14852" width="10" style="158" customWidth="1"/>
    <col min="14853" max="14853" width="12" style="158" customWidth="1"/>
    <col min="14854" max="14856" width="12.85546875" style="158" customWidth="1"/>
    <col min="14857" max="14857" width="11.85546875" style="158" customWidth="1"/>
    <col min="14858" max="14858" width="13.28515625" style="158" customWidth="1"/>
    <col min="14859" max="14859" width="14.5703125" style="158" customWidth="1"/>
    <col min="14860" max="14860" width="12.42578125" style="158" customWidth="1"/>
    <col min="14861" max="14861" width="2.7109375" style="158" customWidth="1"/>
    <col min="14862" max="15104" width="9.140625" style="158"/>
    <col min="15105" max="15105" width="15.85546875" style="158" customWidth="1"/>
    <col min="15106" max="15106" width="28.85546875" style="158" customWidth="1"/>
    <col min="15107" max="15107" width="10.42578125" style="158" customWidth="1"/>
    <col min="15108" max="15108" width="10" style="158" customWidth="1"/>
    <col min="15109" max="15109" width="12" style="158" customWidth="1"/>
    <col min="15110" max="15112" width="12.85546875" style="158" customWidth="1"/>
    <col min="15113" max="15113" width="11.85546875" style="158" customWidth="1"/>
    <col min="15114" max="15114" width="13.28515625" style="158" customWidth="1"/>
    <col min="15115" max="15115" width="14.5703125" style="158" customWidth="1"/>
    <col min="15116" max="15116" width="12.42578125" style="158" customWidth="1"/>
    <col min="15117" max="15117" width="2.7109375" style="158" customWidth="1"/>
    <col min="15118" max="15360" width="9.140625" style="158"/>
    <col min="15361" max="15361" width="15.85546875" style="158" customWidth="1"/>
    <col min="15362" max="15362" width="28.85546875" style="158" customWidth="1"/>
    <col min="15363" max="15363" width="10.42578125" style="158" customWidth="1"/>
    <col min="15364" max="15364" width="10" style="158" customWidth="1"/>
    <col min="15365" max="15365" width="12" style="158" customWidth="1"/>
    <col min="15366" max="15368" width="12.85546875" style="158" customWidth="1"/>
    <col min="15369" max="15369" width="11.85546875" style="158" customWidth="1"/>
    <col min="15370" max="15370" width="13.28515625" style="158" customWidth="1"/>
    <col min="15371" max="15371" width="14.5703125" style="158" customWidth="1"/>
    <col min="15372" max="15372" width="12.42578125" style="158" customWidth="1"/>
    <col min="15373" max="15373" width="2.7109375" style="158" customWidth="1"/>
    <col min="15374" max="15616" width="9.140625" style="158"/>
    <col min="15617" max="15617" width="15.85546875" style="158" customWidth="1"/>
    <col min="15618" max="15618" width="28.85546875" style="158" customWidth="1"/>
    <col min="15619" max="15619" width="10.42578125" style="158" customWidth="1"/>
    <col min="15620" max="15620" width="10" style="158" customWidth="1"/>
    <col min="15621" max="15621" width="12" style="158" customWidth="1"/>
    <col min="15622" max="15624" width="12.85546875" style="158" customWidth="1"/>
    <col min="15625" max="15625" width="11.85546875" style="158" customWidth="1"/>
    <col min="15626" max="15626" width="13.28515625" style="158" customWidth="1"/>
    <col min="15627" max="15627" width="14.5703125" style="158" customWidth="1"/>
    <col min="15628" max="15628" width="12.42578125" style="158" customWidth="1"/>
    <col min="15629" max="15629" width="2.7109375" style="158" customWidth="1"/>
    <col min="15630" max="15872" width="9.140625" style="158"/>
    <col min="15873" max="15873" width="15.85546875" style="158" customWidth="1"/>
    <col min="15874" max="15874" width="28.85546875" style="158" customWidth="1"/>
    <col min="15875" max="15875" width="10.42578125" style="158" customWidth="1"/>
    <col min="15876" max="15876" width="10" style="158" customWidth="1"/>
    <col min="15877" max="15877" width="12" style="158" customWidth="1"/>
    <col min="15878" max="15880" width="12.85546875" style="158" customWidth="1"/>
    <col min="15881" max="15881" width="11.85546875" style="158" customWidth="1"/>
    <col min="15882" max="15882" width="13.28515625" style="158" customWidth="1"/>
    <col min="15883" max="15883" width="14.5703125" style="158" customWidth="1"/>
    <col min="15884" max="15884" width="12.42578125" style="158" customWidth="1"/>
    <col min="15885" max="15885" width="2.7109375" style="158" customWidth="1"/>
    <col min="15886" max="16128" width="9.140625" style="158"/>
    <col min="16129" max="16129" width="15.85546875" style="158" customWidth="1"/>
    <col min="16130" max="16130" width="28.85546875" style="158" customWidth="1"/>
    <col min="16131" max="16131" width="10.42578125" style="158" customWidth="1"/>
    <col min="16132" max="16132" width="10" style="158" customWidth="1"/>
    <col min="16133" max="16133" width="12" style="158" customWidth="1"/>
    <col min="16134" max="16136" width="12.85546875" style="158" customWidth="1"/>
    <col min="16137" max="16137" width="11.85546875" style="158" customWidth="1"/>
    <col min="16138" max="16138" width="13.28515625" style="158" customWidth="1"/>
    <col min="16139" max="16139" width="14.5703125" style="158" customWidth="1"/>
    <col min="16140" max="16140" width="12.42578125" style="158" customWidth="1"/>
    <col min="16141" max="16141" width="2.7109375" style="158" customWidth="1"/>
    <col min="16142" max="16384" width="9.140625" style="158"/>
  </cols>
  <sheetData>
    <row r="1" spans="1:14" ht="21" customHeight="1" x14ac:dyDescent="0.2">
      <c r="A1" s="1296" t="s">
        <v>110</v>
      </c>
      <c r="B1" s="1297"/>
      <c r="C1" s="1297"/>
      <c r="D1" s="1297"/>
      <c r="E1" s="1297"/>
      <c r="F1" s="1297"/>
      <c r="G1" s="1297"/>
      <c r="H1" s="1297"/>
      <c r="I1" s="1297"/>
      <c r="J1" s="1297"/>
      <c r="K1" s="1297"/>
      <c r="L1" s="1298"/>
    </row>
    <row r="2" spans="1:14" ht="19.5" customHeight="1" x14ac:dyDescent="0.2">
      <c r="A2" s="159" t="s">
        <v>111</v>
      </c>
      <c r="B2" s="160"/>
      <c r="C2" s="160"/>
      <c r="D2" s="160"/>
      <c r="E2" s="161" t="s">
        <v>112</v>
      </c>
      <c r="F2" s="160" t="s">
        <v>113</v>
      </c>
      <c r="G2" s="160"/>
      <c r="H2" s="161" t="s">
        <v>114</v>
      </c>
      <c r="I2" s="162">
        <v>1.171E-2</v>
      </c>
      <c r="J2" s="161"/>
      <c r="K2" s="163"/>
      <c r="L2" s="164"/>
    </row>
    <row r="3" spans="1:14" ht="21" customHeight="1" x14ac:dyDescent="0.2">
      <c r="A3" s="159">
        <v>2003850</v>
      </c>
      <c r="B3" s="1319" t="s">
        <v>924</v>
      </c>
      <c r="C3" s="1319"/>
      <c r="D3" s="1319"/>
      <c r="E3" s="1319"/>
      <c r="F3" s="1319"/>
      <c r="G3" s="1319"/>
      <c r="H3" s="1319"/>
      <c r="I3" s="1319"/>
      <c r="J3" s="168" t="s">
        <v>117</v>
      </c>
      <c r="K3" s="169">
        <v>3.57938</v>
      </c>
      <c r="L3" s="170" t="s">
        <v>118</v>
      </c>
    </row>
    <row r="4" spans="1:14" ht="14.25" customHeight="1" x14ac:dyDescent="0.2">
      <c r="A4" s="1225" t="s">
        <v>119</v>
      </c>
      <c r="B4" s="1227" t="s">
        <v>120</v>
      </c>
      <c r="C4" s="172"/>
      <c r="D4" s="1227" t="s">
        <v>121</v>
      </c>
      <c r="E4" s="1227" t="s">
        <v>122</v>
      </c>
      <c r="F4" s="1230"/>
      <c r="G4" s="1249" t="s">
        <v>123</v>
      </c>
      <c r="H4" s="1229"/>
      <c r="I4" s="1250"/>
      <c r="J4" s="1249" t="s">
        <v>124</v>
      </c>
      <c r="K4" s="1229"/>
      <c r="L4" s="1250"/>
    </row>
    <row r="5" spans="1:14" ht="12.75" customHeight="1" x14ac:dyDescent="0.2">
      <c r="A5" s="1299"/>
      <c r="B5" s="1300"/>
      <c r="C5" s="177"/>
      <c r="D5" s="1300"/>
      <c r="E5" s="1228"/>
      <c r="F5" s="1231"/>
      <c r="G5" s="1249" t="s">
        <v>125</v>
      </c>
      <c r="H5" s="1250"/>
      <c r="I5" s="173" t="s">
        <v>28</v>
      </c>
      <c r="J5" s="1249" t="s">
        <v>125</v>
      </c>
      <c r="K5" s="1229"/>
      <c r="L5" s="179" t="s">
        <v>28</v>
      </c>
    </row>
    <row r="6" spans="1:14" ht="12.75" customHeight="1" x14ac:dyDescent="0.2">
      <c r="A6" s="1226"/>
      <c r="B6" s="1228"/>
      <c r="C6" s="181"/>
      <c r="D6" s="1228"/>
      <c r="E6" s="178" t="s">
        <v>126</v>
      </c>
      <c r="F6" s="178" t="s">
        <v>127</v>
      </c>
      <c r="G6" s="180" t="s">
        <v>128</v>
      </c>
      <c r="H6" s="178" t="s">
        <v>129</v>
      </c>
      <c r="I6" s="182" t="s">
        <v>29</v>
      </c>
      <c r="J6" s="180" t="s">
        <v>128</v>
      </c>
      <c r="K6" s="178" t="s">
        <v>129</v>
      </c>
      <c r="L6" s="183" t="s">
        <v>29</v>
      </c>
    </row>
    <row r="7" spans="1:14" ht="26.25" customHeight="1" x14ac:dyDescent="0.2">
      <c r="A7" s="184" t="s">
        <v>172</v>
      </c>
      <c r="B7" s="1266" t="s">
        <v>2963</v>
      </c>
      <c r="C7" s="1266"/>
      <c r="D7" s="186">
        <v>1</v>
      </c>
      <c r="E7" s="187">
        <v>1</v>
      </c>
      <c r="F7" s="187">
        <v>0</v>
      </c>
      <c r="G7" s="184">
        <v>9.0411000000000001</v>
      </c>
      <c r="H7" s="188">
        <v>1.0384</v>
      </c>
      <c r="I7" s="189">
        <f>TRUNC(D7*((E7*G7)+(H7*F7)),4)</f>
        <v>9.0411000000000001</v>
      </c>
      <c r="J7" s="184">
        <v>9.0411000000000001</v>
      </c>
      <c r="K7" s="190">
        <v>1.0384</v>
      </c>
      <c r="L7" s="191">
        <f>TRUNC(D7*((E7*J7)+(K7*F7)),4)</f>
        <v>9.0411000000000001</v>
      </c>
    </row>
    <row r="8" spans="1:14" x14ac:dyDescent="0.2">
      <c r="A8" s="184"/>
      <c r="B8" s="192"/>
      <c r="C8" s="193"/>
      <c r="D8" s="186"/>
      <c r="E8" s="187"/>
      <c r="F8" s="187"/>
      <c r="G8" s="184"/>
      <c r="H8" s="188"/>
      <c r="I8" s="189"/>
      <c r="J8" s="184"/>
      <c r="K8" s="188"/>
      <c r="L8" s="191"/>
    </row>
    <row r="9" spans="1:14" x14ac:dyDescent="0.2">
      <c r="A9" s="184"/>
      <c r="B9" s="192"/>
      <c r="C9" s="193"/>
      <c r="D9" s="186"/>
      <c r="E9" s="187"/>
      <c r="F9" s="187"/>
      <c r="G9" s="184"/>
      <c r="H9" s="188"/>
      <c r="I9" s="189"/>
      <c r="J9" s="184"/>
      <c r="K9" s="188"/>
      <c r="L9" s="191"/>
    </row>
    <row r="10" spans="1:14" x14ac:dyDescent="0.2">
      <c r="A10" s="184"/>
      <c r="B10" s="192"/>
      <c r="C10" s="193"/>
      <c r="D10" s="186"/>
      <c r="E10" s="187"/>
      <c r="F10" s="187"/>
      <c r="G10" s="184"/>
      <c r="H10" s="188"/>
      <c r="I10" s="189"/>
      <c r="J10" s="184"/>
      <c r="K10" s="188"/>
      <c r="L10" s="191"/>
    </row>
    <row r="11" spans="1:14" ht="15" customHeight="1" x14ac:dyDescent="0.2">
      <c r="A11" s="1221" t="s">
        <v>131</v>
      </c>
      <c r="B11" s="1222"/>
      <c r="C11" s="1222"/>
      <c r="D11" s="1222"/>
      <c r="E11" s="1222"/>
      <c r="F11" s="1222"/>
      <c r="G11" s="1222"/>
      <c r="H11" s="1295"/>
      <c r="I11" s="194">
        <f>SUM(I7:I10)</f>
        <v>9.0411000000000001</v>
      </c>
      <c r="J11" s="195"/>
      <c r="K11" s="196"/>
      <c r="L11" s="197">
        <f>SUM(L7:L10)</f>
        <v>9.0411000000000001</v>
      </c>
      <c r="N11" s="198"/>
    </row>
    <row r="12" spans="1:14" ht="15" customHeight="1" x14ac:dyDescent="0.2">
      <c r="A12" s="1225" t="s">
        <v>132</v>
      </c>
      <c r="B12" s="1227" t="s">
        <v>133</v>
      </c>
      <c r="C12" s="199"/>
      <c r="D12" s="1227" t="s">
        <v>121</v>
      </c>
      <c r="E12" s="1227" t="s">
        <v>27</v>
      </c>
      <c r="F12" s="199"/>
      <c r="G12" s="1249" t="s">
        <v>123</v>
      </c>
      <c r="H12" s="1229"/>
      <c r="I12" s="1250"/>
      <c r="J12" s="1249" t="s">
        <v>124</v>
      </c>
      <c r="K12" s="1229"/>
      <c r="L12" s="1250"/>
      <c r="N12" s="198"/>
    </row>
    <row r="13" spans="1:14" ht="15" customHeight="1" x14ac:dyDescent="0.2">
      <c r="A13" s="1226"/>
      <c r="B13" s="1228"/>
      <c r="C13" s="181"/>
      <c r="D13" s="1228"/>
      <c r="E13" s="1228"/>
      <c r="F13" s="200"/>
      <c r="G13" s="180" t="s">
        <v>134</v>
      </c>
      <c r="H13" s="1228" t="s">
        <v>135</v>
      </c>
      <c r="I13" s="1231"/>
      <c r="J13" s="180" t="s">
        <v>134</v>
      </c>
      <c r="K13" s="1228" t="s">
        <v>135</v>
      </c>
      <c r="L13" s="1231"/>
    </row>
    <row r="14" spans="1:14" ht="15" customHeight="1" x14ac:dyDescent="0.2">
      <c r="A14" s="201" t="s">
        <v>136</v>
      </c>
      <c r="B14" s="202" t="s">
        <v>2964</v>
      </c>
      <c r="C14" s="203"/>
      <c r="D14" s="204">
        <v>1.5</v>
      </c>
      <c r="E14" s="205" t="s">
        <v>2890</v>
      </c>
      <c r="F14" s="206"/>
      <c r="G14" s="207">
        <v>23.134599999999999</v>
      </c>
      <c r="H14" s="1279">
        <f>TRUNC(G14*D14,4)</f>
        <v>34.701900000000002</v>
      </c>
      <c r="I14" s="1280"/>
      <c r="J14" s="207">
        <v>21.025300000000001</v>
      </c>
      <c r="K14" s="1279">
        <f>TRUNC(J14*D14,4)</f>
        <v>31.5379</v>
      </c>
      <c r="L14" s="1280"/>
    </row>
    <row r="15" spans="1:14" ht="15" customHeight="1" x14ac:dyDescent="0.2">
      <c r="A15" s="208"/>
      <c r="B15" s="209"/>
      <c r="C15" s="210"/>
      <c r="D15" s="211"/>
      <c r="E15" s="212"/>
      <c r="G15" s="213"/>
      <c r="H15" s="1270"/>
      <c r="I15" s="1271"/>
      <c r="J15" s="213"/>
      <c r="K15" s="1270"/>
      <c r="L15" s="1271"/>
    </row>
    <row r="16" spans="1:14" ht="15" customHeight="1" x14ac:dyDescent="0.2">
      <c r="A16" s="208"/>
      <c r="B16" s="209"/>
      <c r="C16" s="210"/>
      <c r="D16" s="211"/>
      <c r="E16" s="212"/>
      <c r="G16" s="213"/>
      <c r="H16" s="1270"/>
      <c r="I16" s="1271"/>
      <c r="J16" s="213"/>
      <c r="K16" s="1270"/>
      <c r="L16" s="1271"/>
    </row>
    <row r="17" spans="1:17" ht="15" customHeight="1" x14ac:dyDescent="0.2">
      <c r="A17" s="208"/>
      <c r="B17" s="209"/>
      <c r="C17" s="210"/>
      <c r="D17" s="211"/>
      <c r="E17" s="212"/>
      <c r="G17" s="213"/>
      <c r="H17" s="1289"/>
      <c r="I17" s="1290"/>
      <c r="J17" s="213"/>
      <c r="K17" s="1270"/>
      <c r="L17" s="1271"/>
    </row>
    <row r="18" spans="1:17" ht="15" customHeight="1" x14ac:dyDescent="0.2">
      <c r="A18" s="1291" t="s">
        <v>137</v>
      </c>
      <c r="B18" s="1292"/>
      <c r="C18" s="1292"/>
      <c r="D18" s="1292"/>
      <c r="E18" s="1292"/>
      <c r="F18" s="1292"/>
      <c r="G18" s="1292"/>
      <c r="H18" s="1293">
        <f>SUM(H14:I17)</f>
        <v>34.701900000000002</v>
      </c>
      <c r="I18" s="1293"/>
      <c r="J18" s="214"/>
      <c r="K18" s="1293">
        <f>SUM(K14:L17)</f>
        <v>31.5379</v>
      </c>
      <c r="L18" s="1294"/>
    </row>
    <row r="19" spans="1:17" ht="15" customHeight="1" x14ac:dyDescent="0.2">
      <c r="A19" s="1281" t="s">
        <v>138</v>
      </c>
      <c r="B19" s="1282"/>
      <c r="C19" s="1282"/>
      <c r="D19" s="1282"/>
      <c r="E19" s="1282"/>
      <c r="F19" s="1282"/>
      <c r="G19" s="1282"/>
      <c r="H19" s="1283">
        <f>H18+I11</f>
        <v>43.743000000000002</v>
      </c>
      <c r="I19" s="1283"/>
      <c r="J19" s="215"/>
      <c r="K19" s="1283">
        <f>K18+L11</f>
        <v>40.579000000000001</v>
      </c>
      <c r="L19" s="1284"/>
    </row>
    <row r="20" spans="1:17" ht="15" customHeight="1" x14ac:dyDescent="0.2">
      <c r="A20" s="1285" t="s">
        <v>139</v>
      </c>
      <c r="B20" s="1286"/>
      <c r="C20" s="1286"/>
      <c r="D20" s="1286"/>
      <c r="E20" s="1286"/>
      <c r="F20" s="1286"/>
      <c r="G20" s="1286"/>
      <c r="H20" s="1287">
        <f>(H18+I11)/K3</f>
        <v>12.22083154065788</v>
      </c>
      <c r="I20" s="1288"/>
      <c r="J20" s="216"/>
      <c r="K20" s="1287">
        <f>(K18+L11)/K3</f>
        <v>11.336879571322408</v>
      </c>
      <c r="L20" s="1288"/>
    </row>
    <row r="21" spans="1:17" ht="15" customHeight="1" x14ac:dyDescent="0.2">
      <c r="A21" s="1274" t="s">
        <v>140</v>
      </c>
      <c r="B21" s="1275"/>
      <c r="C21" s="1275"/>
      <c r="D21" s="1275"/>
      <c r="E21" s="1275"/>
      <c r="F21" s="1275"/>
      <c r="G21" s="1275"/>
      <c r="H21" s="1276">
        <f>TRUNC(H20*I2,4)</f>
        <v>0.1431</v>
      </c>
      <c r="I21" s="1277"/>
      <c r="J21" s="217"/>
      <c r="K21" s="1276">
        <f>TRUNC(K20*I2,4)</f>
        <v>0.13270000000000001</v>
      </c>
      <c r="L21" s="1277"/>
    </row>
    <row r="22" spans="1:17" ht="15" customHeight="1" x14ac:dyDescent="0.2">
      <c r="A22" s="174" t="s">
        <v>141</v>
      </c>
      <c r="B22" s="175" t="s">
        <v>142</v>
      </c>
      <c r="C22" s="218"/>
      <c r="D22" s="175" t="s">
        <v>121</v>
      </c>
      <c r="E22" s="175" t="s">
        <v>143</v>
      </c>
      <c r="F22" s="218"/>
      <c r="G22" s="219"/>
      <c r="H22" s="219" t="s">
        <v>144</v>
      </c>
      <c r="I22" s="219"/>
      <c r="J22" s="175"/>
      <c r="K22" s="1229" t="s">
        <v>145</v>
      </c>
      <c r="L22" s="1250"/>
      <c r="M22" s="220"/>
    </row>
    <row r="23" spans="1:17" ht="15" customHeight="1" x14ac:dyDescent="0.2">
      <c r="A23" s="221" t="s">
        <v>173</v>
      </c>
      <c r="B23" s="202" t="s">
        <v>374</v>
      </c>
      <c r="C23" s="222"/>
      <c r="D23" s="223">
        <v>1.05</v>
      </c>
      <c r="E23" s="224" t="s">
        <v>118</v>
      </c>
      <c r="F23" s="222"/>
      <c r="G23" s="1278">
        <f>COTAÇÃOBRITA!D20</f>
        <v>135</v>
      </c>
      <c r="H23" s="1278"/>
      <c r="I23" s="1278"/>
      <c r="J23" s="171"/>
      <c r="K23" s="1279">
        <f>TRUNC(G23*D23,4)</f>
        <v>141.75</v>
      </c>
      <c r="L23" s="1280"/>
      <c r="M23" s="220"/>
      <c r="O23" s="158" t="s">
        <v>146</v>
      </c>
    </row>
    <row r="24" spans="1:17" ht="12" customHeight="1" x14ac:dyDescent="0.2">
      <c r="A24" s="225"/>
      <c r="B24" s="209"/>
      <c r="C24" s="226"/>
      <c r="D24" s="186"/>
      <c r="E24" s="188"/>
      <c r="F24" s="226"/>
      <c r="G24" s="1269"/>
      <c r="H24" s="1269"/>
      <c r="I24" s="1269"/>
      <c r="J24" s="176"/>
      <c r="K24" s="1270"/>
      <c r="L24" s="1271"/>
      <c r="M24" s="220"/>
    </row>
    <row r="25" spans="1:17" ht="12" customHeight="1" x14ac:dyDescent="0.2">
      <c r="A25" s="225"/>
      <c r="B25" s="209"/>
      <c r="C25" s="226"/>
      <c r="D25" s="186"/>
      <c r="E25" s="188"/>
      <c r="F25" s="226"/>
      <c r="G25" s="1269"/>
      <c r="H25" s="1269"/>
      <c r="I25" s="1269"/>
      <c r="J25" s="176"/>
      <c r="K25" s="1270"/>
      <c r="L25" s="1271"/>
      <c r="M25" s="220"/>
    </row>
    <row r="26" spans="1:17" ht="15" customHeight="1" x14ac:dyDescent="0.2">
      <c r="A26" s="1221" t="s">
        <v>147</v>
      </c>
      <c r="B26" s="1222"/>
      <c r="C26" s="1222"/>
      <c r="D26" s="1222"/>
      <c r="E26" s="1222"/>
      <c r="F26" s="1222"/>
      <c r="G26" s="1222"/>
      <c r="H26" s="1222"/>
      <c r="I26" s="1222"/>
      <c r="J26" s="1222"/>
      <c r="K26" s="1272">
        <f>SUM(K23:L25)</f>
        <v>141.75</v>
      </c>
      <c r="L26" s="1273"/>
      <c r="M26" s="227"/>
    </row>
    <row r="27" spans="1:17" ht="12" customHeight="1" x14ac:dyDescent="0.2">
      <c r="A27" s="1225" t="s">
        <v>148</v>
      </c>
      <c r="B27" s="1227" t="s">
        <v>149</v>
      </c>
      <c r="C27" s="199"/>
      <c r="D27" s="1227"/>
      <c r="E27" s="1227" t="s">
        <v>121</v>
      </c>
      <c r="F27" s="1230" t="s">
        <v>143</v>
      </c>
      <c r="G27" s="1249" t="s">
        <v>123</v>
      </c>
      <c r="H27" s="1229"/>
      <c r="I27" s="1250"/>
      <c r="J27" s="1249" t="s">
        <v>124</v>
      </c>
      <c r="K27" s="1229"/>
      <c r="L27" s="1250"/>
      <c r="M27" s="227"/>
    </row>
    <row r="28" spans="1:17" ht="15" customHeight="1" x14ac:dyDescent="0.2">
      <c r="A28" s="1226"/>
      <c r="B28" s="1228"/>
      <c r="C28" s="181"/>
      <c r="D28" s="1228"/>
      <c r="E28" s="1228"/>
      <c r="F28" s="1231"/>
      <c r="G28" s="180" t="s">
        <v>145</v>
      </c>
      <c r="H28" s="1228" t="s">
        <v>150</v>
      </c>
      <c r="I28" s="1231"/>
      <c r="J28" s="180" t="s">
        <v>145</v>
      </c>
      <c r="K28" s="1228" t="s">
        <v>150</v>
      </c>
      <c r="L28" s="1231"/>
      <c r="M28" s="227"/>
    </row>
    <row r="29" spans="1:17" x14ac:dyDescent="0.2">
      <c r="A29" s="221"/>
      <c r="B29" s="1266"/>
      <c r="C29" s="1266"/>
      <c r="D29" s="224"/>
      <c r="E29" s="223"/>
      <c r="F29" s="224"/>
      <c r="G29" s="228"/>
      <c r="H29" s="1267"/>
      <c r="I29" s="1267"/>
      <c r="J29" s="207"/>
      <c r="K29" s="1267"/>
      <c r="L29" s="1268"/>
      <c r="M29" s="227"/>
      <c r="Q29" s="158">
        <v>1109671</v>
      </c>
    </row>
    <row r="30" spans="1:17" x14ac:dyDescent="0.2">
      <c r="A30" s="184"/>
      <c r="B30" s="1260"/>
      <c r="C30" s="1260"/>
      <c r="D30" s="188"/>
      <c r="E30" s="186"/>
      <c r="F30" s="188"/>
      <c r="G30" s="190"/>
      <c r="H30" s="1261"/>
      <c r="I30" s="1262"/>
      <c r="J30" s="213"/>
      <c r="K30" s="1261"/>
      <c r="L30" s="1262"/>
      <c r="M30" s="227"/>
      <c r="Q30" s="158">
        <v>1106165</v>
      </c>
    </row>
    <row r="31" spans="1:17" x14ac:dyDescent="0.2">
      <c r="A31" s="229"/>
      <c r="B31" s="1263"/>
      <c r="C31" s="1263"/>
      <c r="D31" s="231"/>
      <c r="E31" s="232"/>
      <c r="F31" s="231"/>
      <c r="G31" s="233"/>
      <c r="H31" s="1264"/>
      <c r="I31" s="1265"/>
      <c r="J31" s="234"/>
      <c r="K31" s="1264"/>
      <c r="L31" s="1265"/>
      <c r="M31" s="227"/>
      <c r="Q31" s="158">
        <v>3103302</v>
      </c>
    </row>
    <row r="32" spans="1:17" x14ac:dyDescent="0.2">
      <c r="A32" s="1253" t="s">
        <v>151</v>
      </c>
      <c r="B32" s="1254"/>
      <c r="C32" s="1254"/>
      <c r="D32" s="1254"/>
      <c r="E32" s="1254"/>
      <c r="F32" s="1254"/>
      <c r="G32" s="1254"/>
      <c r="H32" s="1255">
        <f>SUM(H29:I31)</f>
        <v>0</v>
      </c>
      <c r="I32" s="1255"/>
      <c r="J32" s="235"/>
      <c r="K32" s="1256">
        <f>SUM(K29:L31)</f>
        <v>0</v>
      </c>
      <c r="L32" s="1257"/>
      <c r="M32" s="227"/>
    </row>
    <row r="33" spans="1:13" x14ac:dyDescent="0.2">
      <c r="A33" s="1221" t="s">
        <v>152</v>
      </c>
      <c r="B33" s="1222"/>
      <c r="C33" s="1222"/>
      <c r="D33" s="1222"/>
      <c r="E33" s="1222"/>
      <c r="F33" s="1222"/>
      <c r="G33" s="1222"/>
      <c r="H33" s="1223">
        <f>H20+K26+H32+H21</f>
        <v>154.11393154065789</v>
      </c>
      <c r="I33" s="1223"/>
      <c r="J33" s="236"/>
      <c r="K33" s="1258">
        <f>K20+K26+K32+K21</f>
        <v>153.21957957132241</v>
      </c>
      <c r="L33" s="1259"/>
      <c r="M33" s="227"/>
    </row>
    <row r="34" spans="1:13" ht="15" customHeight="1" x14ac:dyDescent="0.2">
      <c r="A34" s="1225" t="s">
        <v>153</v>
      </c>
      <c r="B34" s="1227" t="s">
        <v>154</v>
      </c>
      <c r="C34" s="199"/>
      <c r="D34" s="1227" t="s">
        <v>155</v>
      </c>
      <c r="E34" s="1227" t="s">
        <v>121</v>
      </c>
      <c r="F34" s="1230" t="s">
        <v>143</v>
      </c>
      <c r="G34" s="1249" t="s">
        <v>123</v>
      </c>
      <c r="H34" s="1229"/>
      <c r="I34" s="1250"/>
      <c r="J34" s="1249" t="s">
        <v>124</v>
      </c>
      <c r="K34" s="1229"/>
      <c r="L34" s="1250"/>
      <c r="M34" s="227"/>
    </row>
    <row r="35" spans="1:13" ht="15" customHeight="1" x14ac:dyDescent="0.2">
      <c r="A35" s="1226"/>
      <c r="B35" s="1228"/>
      <c r="C35" s="181"/>
      <c r="D35" s="1228"/>
      <c r="E35" s="1228"/>
      <c r="F35" s="1231"/>
      <c r="G35" s="180" t="s">
        <v>145</v>
      </c>
      <c r="H35" s="1228" t="s">
        <v>150</v>
      </c>
      <c r="I35" s="1231"/>
      <c r="J35" s="180" t="s">
        <v>145</v>
      </c>
      <c r="K35" s="1228" t="s">
        <v>150</v>
      </c>
      <c r="L35" s="1231"/>
      <c r="M35" s="227"/>
    </row>
    <row r="36" spans="1:13" ht="15" customHeight="1" x14ac:dyDescent="0.2">
      <c r="A36" s="221" t="str">
        <f>A23</f>
        <v>M0192</v>
      </c>
      <c r="B36" s="202" t="s">
        <v>374</v>
      </c>
      <c r="C36" s="202"/>
      <c r="D36" s="237">
        <v>5914647</v>
      </c>
      <c r="E36" s="204">
        <v>1.575</v>
      </c>
      <c r="F36" s="237" t="s">
        <v>247</v>
      </c>
      <c r="G36" s="207">
        <v>1.77</v>
      </c>
      <c r="H36" s="1251">
        <f>TRUNC(G36*E36,4)</f>
        <v>2.7877000000000001</v>
      </c>
      <c r="I36" s="1252"/>
      <c r="J36" s="239">
        <v>1.75</v>
      </c>
      <c r="K36" s="1251">
        <f>TRUNC(J36*E36,4)</f>
        <v>2.7562000000000002</v>
      </c>
      <c r="L36" s="1252"/>
      <c r="M36" s="227"/>
    </row>
    <row r="37" spans="1:13" ht="12" customHeight="1" x14ac:dyDescent="0.2">
      <c r="A37" s="184"/>
      <c r="B37" s="209"/>
      <c r="C37" s="209"/>
      <c r="D37" s="240"/>
      <c r="E37" s="241"/>
      <c r="F37" s="240"/>
      <c r="G37" s="242"/>
      <c r="H37" s="1247"/>
      <c r="I37" s="1248"/>
      <c r="J37" s="243"/>
      <c r="K37" s="1247"/>
      <c r="L37" s="1248"/>
      <c r="M37" s="227"/>
    </row>
    <row r="38" spans="1:13" ht="12" customHeight="1" x14ac:dyDescent="0.2">
      <c r="A38" s="1221" t="s">
        <v>156</v>
      </c>
      <c r="B38" s="1222"/>
      <c r="C38" s="1222"/>
      <c r="D38" s="1222"/>
      <c r="E38" s="1222"/>
      <c r="F38" s="1222"/>
      <c r="G38" s="1222"/>
      <c r="H38" s="1223">
        <f>SUM(H36:I37)</f>
        <v>2.7877000000000001</v>
      </c>
      <c r="I38" s="1224"/>
      <c r="J38" s="244"/>
      <c r="K38" s="1223">
        <f>SUM(K36:L37)</f>
        <v>2.7562000000000002</v>
      </c>
      <c r="L38" s="1224"/>
      <c r="M38" s="227"/>
    </row>
    <row r="39" spans="1:13" ht="15" customHeight="1" x14ac:dyDescent="0.2">
      <c r="A39" s="1225" t="s">
        <v>157</v>
      </c>
      <c r="B39" s="1227" t="s">
        <v>158</v>
      </c>
      <c r="C39" s="199"/>
      <c r="D39" s="222"/>
      <c r="E39" s="1227" t="s">
        <v>121</v>
      </c>
      <c r="F39" s="1227" t="s">
        <v>143</v>
      </c>
      <c r="G39" s="1229" t="s">
        <v>159</v>
      </c>
      <c r="H39" s="1229"/>
      <c r="I39" s="1229"/>
      <c r="J39" s="1227" t="s">
        <v>145</v>
      </c>
      <c r="K39" s="1227"/>
      <c r="L39" s="1230"/>
      <c r="M39" s="227"/>
    </row>
    <row r="40" spans="1:13" ht="15" customHeight="1" x14ac:dyDescent="0.2">
      <c r="A40" s="1226"/>
      <c r="B40" s="1228"/>
      <c r="C40" s="181"/>
      <c r="D40" s="200"/>
      <c r="E40" s="1228"/>
      <c r="F40" s="1228"/>
      <c r="G40" s="178" t="s">
        <v>160</v>
      </c>
      <c r="H40" s="178" t="s">
        <v>161</v>
      </c>
      <c r="I40" s="178" t="s">
        <v>162</v>
      </c>
      <c r="J40" s="1228"/>
      <c r="K40" s="1228"/>
      <c r="L40" s="1231"/>
      <c r="M40" s="227"/>
    </row>
    <row r="41" spans="1:13" x14ac:dyDescent="0.2">
      <c r="A41" s="221" t="str">
        <f>A23</f>
        <v>M0192</v>
      </c>
      <c r="B41" s="202" t="s">
        <v>374</v>
      </c>
      <c r="C41" s="245"/>
      <c r="D41" s="222"/>
      <c r="E41" s="204">
        <v>0.54461999999999999</v>
      </c>
      <c r="F41" s="237" t="s">
        <v>169</v>
      </c>
      <c r="G41" s="224">
        <v>5914584</v>
      </c>
      <c r="H41" s="224">
        <v>5914599</v>
      </c>
      <c r="I41" s="224">
        <v>5914614</v>
      </c>
      <c r="J41" s="171"/>
      <c r="K41" s="171"/>
      <c r="L41" s="173"/>
      <c r="M41" s="227"/>
    </row>
    <row r="42" spans="1:13" x14ac:dyDescent="0.2">
      <c r="A42" s="184"/>
      <c r="B42" s="209"/>
      <c r="C42" s="246"/>
      <c r="E42" s="241"/>
      <c r="F42" s="240"/>
      <c r="G42" s="188"/>
      <c r="H42" s="188"/>
      <c r="I42" s="188"/>
      <c r="J42" s="247"/>
      <c r="K42" s="248"/>
      <c r="L42" s="249"/>
      <c r="M42" s="227"/>
    </row>
    <row r="43" spans="1:13" x14ac:dyDescent="0.2">
      <c r="A43" s="1232" t="s">
        <v>163</v>
      </c>
      <c r="B43" s="1233"/>
      <c r="C43" s="1233"/>
      <c r="D43" s="1233"/>
      <c r="E43" s="1233"/>
      <c r="F43" s="1234"/>
      <c r="G43" s="1238" t="s">
        <v>123</v>
      </c>
      <c r="H43" s="1239"/>
      <c r="I43" s="1240"/>
      <c r="J43" s="1238" t="s">
        <v>124</v>
      </c>
      <c r="K43" s="1239"/>
      <c r="L43" s="1240"/>
      <c r="M43" s="227"/>
    </row>
    <row r="44" spans="1:13" x14ac:dyDescent="0.2">
      <c r="A44" s="1235"/>
      <c r="B44" s="1236"/>
      <c r="C44" s="1236"/>
      <c r="D44" s="1236"/>
      <c r="E44" s="1236"/>
      <c r="F44" s="1237"/>
      <c r="G44" s="1241">
        <f>TRUNC(H38+H33,2)</f>
        <v>156.9</v>
      </c>
      <c r="H44" s="1242"/>
      <c r="I44" s="1243"/>
      <c r="J44" s="1244">
        <f>TRUNC(K38+K33,2)</f>
        <v>155.97</v>
      </c>
      <c r="K44" s="1245"/>
      <c r="L44" s="1246"/>
    </row>
    <row r="45" spans="1:13" x14ac:dyDescent="0.2">
      <c r="A45" s="1220"/>
      <c r="B45" s="1220"/>
      <c r="C45" s="1220"/>
      <c r="D45" s="1220"/>
      <c r="E45" s="1220"/>
      <c r="F45" s="1220"/>
      <c r="G45" s="1220"/>
      <c r="H45" s="1220"/>
      <c r="I45" s="1220"/>
      <c r="J45" s="1220"/>
      <c r="K45" s="1220"/>
      <c r="L45" s="1220"/>
    </row>
  </sheetData>
  <mergeCells count="101">
    <mergeCell ref="A1:L1"/>
    <mergeCell ref="B3:I3"/>
    <mergeCell ref="A4:A6"/>
    <mergeCell ref="B4:B6"/>
    <mergeCell ref="D4:D6"/>
    <mergeCell ref="E4:F5"/>
    <mergeCell ref="G4:I4"/>
    <mergeCell ref="J4:L4"/>
    <mergeCell ref="G5:H5"/>
    <mergeCell ref="J5:K5"/>
    <mergeCell ref="J12:L12"/>
    <mergeCell ref="H13:I13"/>
    <mergeCell ref="K13:L13"/>
    <mergeCell ref="H14:I14"/>
    <mergeCell ref="K14:L14"/>
    <mergeCell ref="H15:I15"/>
    <mergeCell ref="K15:L15"/>
    <mergeCell ref="B7:C7"/>
    <mergeCell ref="A11:H11"/>
    <mergeCell ref="A12:A13"/>
    <mergeCell ref="B12:B13"/>
    <mergeCell ref="D12:D13"/>
    <mergeCell ref="E12:E13"/>
    <mergeCell ref="G12:I12"/>
    <mergeCell ref="A19:G19"/>
    <mergeCell ref="H19:I19"/>
    <mergeCell ref="K19:L19"/>
    <mergeCell ref="A20:G20"/>
    <mergeCell ref="H20:I20"/>
    <mergeCell ref="K20:L20"/>
    <mergeCell ref="H16:I16"/>
    <mergeCell ref="K16:L16"/>
    <mergeCell ref="H17:I17"/>
    <mergeCell ref="K17:L17"/>
    <mergeCell ref="A18:G18"/>
    <mergeCell ref="H18:I18"/>
    <mergeCell ref="K18:L18"/>
    <mergeCell ref="G24:I24"/>
    <mergeCell ref="K24:L24"/>
    <mergeCell ref="G25:I25"/>
    <mergeCell ref="K25:L25"/>
    <mergeCell ref="A26:J26"/>
    <mergeCell ref="K26:L26"/>
    <mergeCell ref="A21:G21"/>
    <mergeCell ref="H21:I21"/>
    <mergeCell ref="K21:L21"/>
    <mergeCell ref="K22:L22"/>
    <mergeCell ref="G23:I23"/>
    <mergeCell ref="K23:L23"/>
    <mergeCell ref="J27:L27"/>
    <mergeCell ref="H28:I28"/>
    <mergeCell ref="K28:L28"/>
    <mergeCell ref="B29:C29"/>
    <mergeCell ref="H29:I29"/>
    <mergeCell ref="K29:L29"/>
    <mergeCell ref="A27:A28"/>
    <mergeCell ref="B27:B28"/>
    <mergeCell ref="D27:D28"/>
    <mergeCell ref="E27:E28"/>
    <mergeCell ref="F27:F28"/>
    <mergeCell ref="G27:I27"/>
    <mergeCell ref="A32:G32"/>
    <mergeCell ref="H32:I32"/>
    <mergeCell ref="K32:L32"/>
    <mergeCell ref="A33:G33"/>
    <mergeCell ref="H33:I33"/>
    <mergeCell ref="K33:L33"/>
    <mergeCell ref="B30:C30"/>
    <mergeCell ref="H30:I30"/>
    <mergeCell ref="K30:L30"/>
    <mergeCell ref="B31:C31"/>
    <mergeCell ref="H31:I31"/>
    <mergeCell ref="K31:L31"/>
    <mergeCell ref="J34:L34"/>
    <mergeCell ref="H35:I35"/>
    <mergeCell ref="K35:L35"/>
    <mergeCell ref="H36:I36"/>
    <mergeCell ref="K36:L36"/>
    <mergeCell ref="H37:I37"/>
    <mergeCell ref="K37:L37"/>
    <mergeCell ref="A34:A35"/>
    <mergeCell ref="B34:B35"/>
    <mergeCell ref="D34:D35"/>
    <mergeCell ref="E34:E35"/>
    <mergeCell ref="F34:F35"/>
    <mergeCell ref="G34:I34"/>
    <mergeCell ref="A43:F44"/>
    <mergeCell ref="G43:I43"/>
    <mergeCell ref="J43:L43"/>
    <mergeCell ref="G44:I44"/>
    <mergeCell ref="J44:L44"/>
    <mergeCell ref="A45:L45"/>
    <mergeCell ref="A38:G38"/>
    <mergeCell ref="H38:I38"/>
    <mergeCell ref="K38:L38"/>
    <mergeCell ref="A39:A40"/>
    <mergeCell ref="B39:B40"/>
    <mergeCell ref="E39:E40"/>
    <mergeCell ref="F39:F40"/>
    <mergeCell ref="G39:I39"/>
    <mergeCell ref="J39:L40"/>
  </mergeCells>
  <dataValidations disablePrompts="1" count="1">
    <dataValidation type="list" allowBlank="1" showInputMessage="1" showErrorMessage="1" sqref="B22 B12:B19 B26" xr:uid="{AF0ECA66-FD77-4742-BC6B-8BEA43CFC797}">
      <formula1>$L$1:$L$11</formula1>
    </dataValidation>
  </dataValidations>
  <printOptions horizontalCentered="1"/>
  <pageMargins left="0.39370078740157483" right="0.39370078740157483" top="1.6929133858267718" bottom="0.78740157480314965" header="0" footer="0"/>
  <pageSetup paperSize="9" scale="60" firstPageNumber="41" fitToHeight="100" orientation="landscape" useFirstPageNumber="1" r:id="rId1"/>
  <headerFooter scaleWithDoc="0">
    <oddHeader>&amp;L&amp;G</oddHeader>
    <oddFooter>&amp;C&amp;"-,Negrito"&amp;12DIONI CAETANEO DE OLIVEIRA
&amp;"-,Regular"ENGENHEIRO CIVIL - CREA /MT 40957
DEPARTAMENTO DE ENGENHARIA</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5CAF6-1AAF-4B35-A88B-972482785869}">
  <sheetPr codeName="Plan3">
    <pageSetUpPr fitToPage="1"/>
  </sheetPr>
  <dimension ref="A2:HN13"/>
  <sheetViews>
    <sheetView showGridLines="0" showZeros="0" view="pageLayout" topLeftCell="C1" zoomScale="90" zoomScaleNormal="115" zoomScaleSheetLayoutView="115" zoomScalePageLayoutView="90" workbookViewId="0">
      <selection activeCell="F22" sqref="F22"/>
    </sheetView>
  </sheetViews>
  <sheetFormatPr defaultColWidth="9.140625" defaultRowHeight="14.25" x14ac:dyDescent="0.25"/>
  <cols>
    <col min="1" max="1" width="8.28515625" style="340" customWidth="1"/>
    <col min="2" max="2" width="62.42578125" style="340" customWidth="1"/>
    <col min="3" max="8" width="20.28515625" style="340" customWidth="1"/>
    <col min="9" max="9" width="9.140625" style="340"/>
    <col min="10" max="10" width="12.5703125" style="340" customWidth="1"/>
    <col min="11" max="16384" width="9.140625" style="340"/>
  </cols>
  <sheetData>
    <row r="2" spans="1:222" ht="25.5" customHeight="1" x14ac:dyDescent="0.25">
      <c r="A2" s="1369" t="s">
        <v>2881</v>
      </c>
      <c r="B2" s="1370"/>
      <c r="C2" s="1370"/>
      <c r="D2" s="1370"/>
      <c r="E2" s="1370"/>
      <c r="F2" s="1370"/>
      <c r="G2" s="1370"/>
      <c r="H2" s="1371"/>
    </row>
    <row r="3" spans="1:222" ht="14.25" customHeight="1" x14ac:dyDescent="0.25">
      <c r="A3" s="1372" t="s">
        <v>210</v>
      </c>
      <c r="B3" s="1372" t="s">
        <v>211</v>
      </c>
      <c r="C3" s="1372" t="s">
        <v>212</v>
      </c>
      <c r="D3" s="1680" t="s">
        <v>213</v>
      </c>
      <c r="E3" s="1680" t="s">
        <v>2981</v>
      </c>
      <c r="F3" s="1373" t="s">
        <v>2979</v>
      </c>
      <c r="G3" s="1373" t="s">
        <v>2980</v>
      </c>
      <c r="H3" s="1373" t="s">
        <v>214</v>
      </c>
      <c r="J3" s="340" t="s">
        <v>215</v>
      </c>
    </row>
    <row r="4" spans="1:222" ht="27.75" customHeight="1" x14ac:dyDescent="0.25">
      <c r="A4" s="1372"/>
      <c r="B4" s="1372"/>
      <c r="C4" s="1372"/>
      <c r="D4" s="1681"/>
      <c r="E4" s="1681"/>
      <c r="F4" s="1373"/>
      <c r="G4" s="1373"/>
      <c r="H4" s="1373"/>
      <c r="J4" s="340" t="s">
        <v>216</v>
      </c>
    </row>
    <row r="5" spans="1:222" ht="15" x14ac:dyDescent="0.25">
      <c r="A5" s="341"/>
      <c r="B5" s="342"/>
      <c r="C5" s="343"/>
      <c r="D5" s="344"/>
      <c r="E5" s="344"/>
      <c r="F5" s="344"/>
      <c r="G5" s="345"/>
      <c r="H5" s="346">
        <f>C5+F5</f>
        <v>0</v>
      </c>
    </row>
    <row r="6" spans="1:222" ht="15" x14ac:dyDescent="0.25">
      <c r="A6" s="347"/>
      <c r="B6" s="348"/>
      <c r="C6" s="349"/>
      <c r="D6" s="350"/>
      <c r="E6" s="350"/>
      <c r="F6" s="350"/>
      <c r="G6" s="351"/>
      <c r="H6" s="352"/>
    </row>
    <row r="7" spans="1:222" ht="15" x14ac:dyDescent="0.25">
      <c r="A7" s="353"/>
      <c r="B7" s="354" t="s">
        <v>217</v>
      </c>
      <c r="C7" s="355"/>
      <c r="D7" s="355"/>
      <c r="E7" s="355"/>
      <c r="F7" s="356">
        <f>(F8*H7)/H8</f>
        <v>0.2173685802128065</v>
      </c>
      <c r="G7" s="356">
        <f>G8*H7/H8</f>
        <v>0.78263141978719353</v>
      </c>
      <c r="H7" s="356">
        <v>1</v>
      </c>
    </row>
    <row r="8" spans="1:222" ht="15" x14ac:dyDescent="0.25">
      <c r="A8" s="357"/>
      <c r="B8" s="358" t="s">
        <v>218</v>
      </c>
      <c r="C8" s="359">
        <f>RUAS!P53</f>
        <v>64201.63</v>
      </c>
      <c r="D8" s="359">
        <f>'ORÇ. MATERIAL'!V149</f>
        <v>2873903.5500000012</v>
      </c>
      <c r="E8" s="359">
        <f>'ORÇ. MATERIAL'!T149</f>
        <v>476865.04000000004</v>
      </c>
      <c r="F8" s="359">
        <f>D8</f>
        <v>2873903.5500000012</v>
      </c>
      <c r="G8" s="359">
        <f>H8-F8</f>
        <v>10347434.819999998</v>
      </c>
      <c r="H8" s="359">
        <f>'ORÇAMENTO - GERAL'!R89</f>
        <v>13221338.369999999</v>
      </c>
      <c r="I8" s="360"/>
      <c r="J8" s="361">
        <v>729556</v>
      </c>
      <c r="K8" s="361"/>
      <c r="L8" s="361"/>
      <c r="M8" s="361">
        <v>27492.57</v>
      </c>
      <c r="N8" s="362"/>
      <c r="O8" s="360"/>
      <c r="P8" s="361"/>
      <c r="Q8" s="361"/>
      <c r="R8" s="361"/>
      <c r="S8" s="361"/>
      <c r="T8" s="362"/>
      <c r="U8" s="360"/>
      <c r="V8" s="361"/>
      <c r="W8" s="361"/>
      <c r="X8" s="361"/>
      <c r="Y8" s="361"/>
      <c r="Z8" s="362"/>
      <c r="AA8" s="360"/>
      <c r="AB8" s="361"/>
      <c r="AC8" s="361"/>
      <c r="AD8" s="361"/>
      <c r="AE8" s="361"/>
      <c r="AF8" s="362"/>
      <c r="AG8" s="360"/>
      <c r="AH8" s="361"/>
      <c r="AI8" s="361"/>
      <c r="AJ8" s="361"/>
      <c r="AK8" s="361"/>
      <c r="AL8" s="362"/>
      <c r="AM8" s="360"/>
      <c r="AN8" s="361"/>
      <c r="AO8" s="361"/>
      <c r="AP8" s="361"/>
      <c r="AQ8" s="361"/>
      <c r="AR8" s="362"/>
      <c r="AS8" s="360"/>
      <c r="AT8" s="361"/>
      <c r="AU8" s="361"/>
      <c r="AV8" s="361"/>
      <c r="AW8" s="361"/>
      <c r="AX8" s="362"/>
      <c r="AY8" s="360"/>
      <c r="AZ8" s="361"/>
      <c r="BA8" s="361"/>
      <c r="BB8" s="361"/>
      <c r="BC8" s="361"/>
      <c r="BD8" s="362"/>
      <c r="BE8" s="360"/>
      <c r="BF8" s="361"/>
      <c r="BG8" s="361"/>
      <c r="BH8" s="361"/>
      <c r="BI8" s="361"/>
      <c r="BJ8" s="362"/>
      <c r="BK8" s="360"/>
      <c r="BL8" s="361"/>
      <c r="BM8" s="361"/>
      <c r="BN8" s="361"/>
      <c r="BO8" s="361"/>
      <c r="BP8" s="362"/>
      <c r="BQ8" s="360"/>
      <c r="BR8" s="361"/>
      <c r="BS8" s="361"/>
      <c r="BT8" s="361"/>
      <c r="BU8" s="361"/>
      <c r="BV8" s="362"/>
      <c r="BW8" s="360"/>
      <c r="BX8" s="361"/>
      <c r="BY8" s="361"/>
      <c r="BZ8" s="361"/>
      <c r="CA8" s="361"/>
      <c r="CB8" s="362"/>
      <c r="CC8" s="360"/>
      <c r="CD8" s="361"/>
      <c r="CE8" s="361"/>
      <c r="CF8" s="361"/>
      <c r="CG8" s="361"/>
      <c r="CH8" s="362"/>
      <c r="CI8" s="360"/>
      <c r="CJ8" s="361"/>
      <c r="CK8" s="361"/>
      <c r="CL8" s="361"/>
      <c r="CM8" s="361"/>
      <c r="CN8" s="362"/>
      <c r="CO8" s="360"/>
      <c r="CP8" s="361"/>
      <c r="CQ8" s="361"/>
      <c r="CR8" s="361"/>
      <c r="CS8" s="361"/>
      <c r="CT8" s="362"/>
      <c r="CU8" s="360"/>
      <c r="CV8" s="361"/>
      <c r="CW8" s="361"/>
      <c r="CX8" s="361"/>
      <c r="CY8" s="361"/>
      <c r="CZ8" s="362"/>
      <c r="DA8" s="360"/>
      <c r="DB8" s="361"/>
      <c r="DC8" s="361"/>
      <c r="DD8" s="361"/>
      <c r="DE8" s="361"/>
      <c r="DF8" s="362"/>
      <c r="DG8" s="360"/>
      <c r="DH8" s="361"/>
      <c r="DI8" s="361"/>
      <c r="DJ8" s="361"/>
      <c r="DK8" s="361"/>
      <c r="DL8" s="362"/>
      <c r="DM8" s="360"/>
      <c r="DN8" s="361"/>
      <c r="DO8" s="361"/>
      <c r="DP8" s="361"/>
      <c r="DQ8" s="361"/>
      <c r="DR8" s="362"/>
      <c r="DS8" s="360"/>
      <c r="DT8" s="361"/>
      <c r="DU8" s="361"/>
      <c r="DV8" s="361"/>
      <c r="DW8" s="361"/>
      <c r="DX8" s="362"/>
      <c r="DY8" s="360"/>
      <c r="DZ8" s="361"/>
      <c r="EA8" s="361"/>
      <c r="EB8" s="361"/>
      <c r="EC8" s="361"/>
      <c r="ED8" s="362"/>
      <c r="EE8" s="360"/>
      <c r="EF8" s="361"/>
      <c r="EG8" s="361"/>
      <c r="EH8" s="361"/>
      <c r="EI8" s="361"/>
      <c r="EJ8" s="362"/>
      <c r="EK8" s="360"/>
      <c r="EL8" s="361"/>
      <c r="EM8" s="361"/>
      <c r="EN8" s="361"/>
      <c r="EO8" s="361"/>
      <c r="EP8" s="362"/>
      <c r="EQ8" s="360"/>
      <c r="ER8" s="361"/>
      <c r="ES8" s="361"/>
      <c r="ET8" s="361"/>
      <c r="EU8" s="361"/>
      <c r="EV8" s="362"/>
      <c r="EW8" s="360"/>
      <c r="EX8" s="361"/>
      <c r="EY8" s="361"/>
      <c r="EZ8" s="361"/>
      <c r="FA8" s="361"/>
      <c r="FB8" s="362"/>
      <c r="FC8" s="360"/>
      <c r="FD8" s="361"/>
      <c r="FE8" s="361"/>
      <c r="FF8" s="361"/>
      <c r="FG8" s="361"/>
      <c r="FH8" s="362"/>
      <c r="FI8" s="360"/>
      <c r="FJ8" s="361"/>
      <c r="FK8" s="361"/>
      <c r="FL8" s="361"/>
      <c r="FM8" s="361"/>
      <c r="FN8" s="362"/>
      <c r="FO8" s="360"/>
      <c r="FP8" s="361"/>
      <c r="FQ8" s="361"/>
      <c r="FR8" s="361"/>
      <c r="FS8" s="361"/>
      <c r="FT8" s="362"/>
      <c r="FU8" s="360"/>
      <c r="FV8" s="361"/>
      <c r="FW8" s="361"/>
      <c r="FX8" s="361"/>
      <c r="FY8" s="361"/>
      <c r="FZ8" s="362"/>
      <c r="GA8" s="360"/>
      <c r="GB8" s="361"/>
      <c r="GC8" s="361"/>
      <c r="GD8" s="361"/>
      <c r="GE8" s="361"/>
      <c r="GF8" s="362"/>
      <c r="GG8" s="360"/>
      <c r="GH8" s="361"/>
      <c r="GI8" s="361"/>
      <c r="GJ8" s="361"/>
      <c r="GK8" s="361"/>
      <c r="GL8" s="362"/>
      <c r="GM8" s="360"/>
      <c r="GN8" s="361"/>
      <c r="GO8" s="361"/>
      <c r="GP8" s="361"/>
      <c r="GQ8" s="361"/>
      <c r="GR8" s="362"/>
      <c r="GS8" s="360"/>
      <c r="GT8" s="361"/>
      <c r="GU8" s="361"/>
      <c r="GV8" s="361"/>
      <c r="GW8" s="361"/>
      <c r="GX8" s="362"/>
      <c r="GY8" s="360"/>
      <c r="GZ8" s="361"/>
      <c r="HA8" s="361"/>
      <c r="HB8" s="361"/>
      <c r="HC8" s="361"/>
      <c r="HD8" s="362"/>
      <c r="HE8" s="360"/>
      <c r="HF8" s="361"/>
      <c r="HG8" s="361"/>
      <c r="HH8" s="361"/>
      <c r="HI8" s="361"/>
      <c r="HJ8" s="362"/>
      <c r="HK8" s="360"/>
      <c r="HL8" s="361"/>
      <c r="HM8" s="361"/>
      <c r="HN8" s="361"/>
    </row>
    <row r="9" spans="1:222" ht="15" thickBot="1" x14ac:dyDescent="0.3">
      <c r="A9" s="363"/>
      <c r="B9" s="364"/>
      <c r="C9" s="365"/>
      <c r="D9" s="365"/>
      <c r="E9" s="365"/>
      <c r="F9" s="365"/>
      <c r="G9" s="363"/>
      <c r="H9" s="363"/>
    </row>
    <row r="10" spans="1:222" ht="20.100000000000001" customHeight="1" thickBot="1" x14ac:dyDescent="0.3">
      <c r="A10" s="1367"/>
      <c r="B10" s="1368"/>
      <c r="C10" s="366" t="s">
        <v>219</v>
      </c>
      <c r="D10" s="1679"/>
      <c r="E10" s="1679"/>
      <c r="F10" s="367">
        <f>H8</f>
        <v>13221338.369999999</v>
      </c>
      <c r="G10" s="368"/>
      <c r="H10" s="368"/>
      <c r="J10" s="340">
        <f>SUM(J8:J8)</f>
        <v>729556</v>
      </c>
    </row>
    <row r="13" spans="1:222" x14ac:dyDescent="0.25">
      <c r="F13" s="1176">
        <f>D8+E8</f>
        <v>3350768.5900000012</v>
      </c>
      <c r="G13" s="1176">
        <f>F8+G8</f>
        <v>13221338.369999999</v>
      </c>
    </row>
  </sheetData>
  <mergeCells count="10">
    <mergeCell ref="A10:B10"/>
    <mergeCell ref="A2:H2"/>
    <mergeCell ref="A3:A4"/>
    <mergeCell ref="B3:B4"/>
    <mergeCell ref="C3:C4"/>
    <mergeCell ref="F3:F4"/>
    <mergeCell ref="G3:G4"/>
    <mergeCell ref="H3:H4"/>
    <mergeCell ref="D3:D4"/>
    <mergeCell ref="E3:E4"/>
  </mergeCells>
  <printOptions horizontalCentered="1"/>
  <pageMargins left="0.59055118110236227" right="0.59055118110236227" top="1.7716535433070868" bottom="0.78740157480314965" header="0" footer="0"/>
  <pageSetup paperSize="9" scale="70" firstPageNumber="25" orientation="landscape" r:id="rId1"/>
  <headerFooter scaleWithDoc="0">
    <oddHeader>&amp;L&amp;G</oddHeader>
    <oddFooter>&amp;C&amp;"-,Negrito"&amp;12DIONI CAETANEO DE OLIVEIRA
&amp;"-,Regular"ENGENHEIRO CIVIL - CREA /MT 40957
DEPARTAMENTO DE ENGENHARIA</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16C9F-FE4D-4442-98C9-7919CED0B74B}">
  <sheetPr codeName="Plan19">
    <tabColor rgb="FFFFC000"/>
  </sheetPr>
  <dimension ref="A1:AC92"/>
  <sheetViews>
    <sheetView showGridLines="0" view="pageBreakPreview" zoomScale="85" zoomScaleNormal="85" zoomScaleSheetLayoutView="85" zoomScalePageLayoutView="40" workbookViewId="0">
      <selection activeCell="Q34" activeCellId="1" sqref="P49 Q34"/>
    </sheetView>
  </sheetViews>
  <sheetFormatPr defaultColWidth="15.5703125" defaultRowHeight="14.25" x14ac:dyDescent="0.25"/>
  <cols>
    <col min="1" max="1" width="3.5703125" style="54" bestFit="1" customWidth="1"/>
    <col min="2" max="2" width="3.85546875" style="54" bestFit="1" customWidth="1"/>
    <col min="3" max="3" width="2.5703125" style="54" customWidth="1"/>
    <col min="4" max="4" width="2.5703125" style="54" bestFit="1" customWidth="1"/>
    <col min="5" max="5" width="2.85546875" style="54" bestFit="1" customWidth="1"/>
    <col min="6" max="6" width="14.7109375" style="54" customWidth="1"/>
    <col min="7" max="7" width="15.5703125" style="460"/>
    <col min="8" max="8" width="16.5703125" style="54" customWidth="1"/>
    <col min="9" max="9" width="16.85546875" style="54" bestFit="1" customWidth="1"/>
    <col min="10" max="10" width="14" style="54" customWidth="1"/>
    <col min="11" max="11" width="74.42578125" style="54" customWidth="1"/>
    <col min="12" max="12" width="11" style="340" customWidth="1"/>
    <col min="13" max="13" width="18.28515625" style="461" bestFit="1" customWidth="1"/>
    <col min="14" max="14" width="17.5703125" style="54" customWidth="1"/>
    <col min="15" max="15" width="17.5703125" style="462" customWidth="1"/>
    <col min="16" max="16" width="26.28515625" style="54" customWidth="1"/>
    <col min="17" max="17" width="25.42578125" style="54" customWidth="1"/>
    <col min="18" max="16384" width="15.5703125" style="54"/>
  </cols>
  <sheetData>
    <row r="1" spans="1:28" ht="45" customHeight="1" thickBot="1" x14ac:dyDescent="0.3">
      <c r="G1" s="1" t="s">
        <v>0</v>
      </c>
      <c r="H1" s="2" t="s">
        <v>220</v>
      </c>
      <c r="I1" s="3"/>
      <c r="J1" s="369"/>
      <c r="K1" s="369"/>
      <c r="L1" s="363"/>
      <c r="M1" s="370"/>
      <c r="N1" s="1188" t="s">
        <v>221</v>
      </c>
      <c r="O1" s="1189"/>
      <c r="P1" s="371" t="s">
        <v>222</v>
      </c>
      <c r="Q1" s="372"/>
      <c r="S1" s="54" t="s">
        <v>223</v>
      </c>
      <c r="U1" s="373" t="s">
        <v>224</v>
      </c>
      <c r="AB1" s="54" t="s">
        <v>225</v>
      </c>
    </row>
    <row r="2" spans="1:28" ht="15" customHeight="1" thickTop="1" x14ac:dyDescent="0.25">
      <c r="G2" s="8" t="s">
        <v>2</v>
      </c>
      <c r="H2" s="9" t="s">
        <v>226</v>
      </c>
      <c r="I2" s="10"/>
      <c r="M2" s="374"/>
      <c r="N2" s="1188" t="s">
        <v>227</v>
      </c>
      <c r="O2" s="1189"/>
      <c r="P2" s="375" t="s">
        <v>223</v>
      </c>
      <c r="Q2" s="1380" t="s">
        <v>228</v>
      </c>
      <c r="S2" s="54" t="s">
        <v>229</v>
      </c>
      <c r="U2" s="376" t="s">
        <v>230</v>
      </c>
    </row>
    <row r="3" spans="1:28" ht="15" customHeight="1" x14ac:dyDescent="0.25">
      <c r="G3" s="8" t="s">
        <v>5</v>
      </c>
      <c r="H3" s="9" t="s">
        <v>231</v>
      </c>
      <c r="I3" s="10"/>
      <c r="M3" s="374"/>
      <c r="N3" s="1181" t="s">
        <v>232</v>
      </c>
      <c r="O3" s="1182"/>
      <c r="P3" s="377">
        <v>0</v>
      </c>
      <c r="Q3" s="1381"/>
      <c r="U3" s="7" t="s">
        <v>1</v>
      </c>
    </row>
    <row r="4" spans="1:28" ht="15" customHeight="1" thickBot="1" x14ac:dyDescent="0.3">
      <c r="G4" s="14" t="s">
        <v>7</v>
      </c>
      <c r="H4" s="15" t="str">
        <f ca="1">UPPER(TEXT(TODAY(),"mmmm/aaaa"))</f>
        <v>DEZEMBRO/2024</v>
      </c>
      <c r="I4" s="16"/>
      <c r="J4" s="378"/>
      <c r="K4" s="378"/>
      <c r="L4" s="379"/>
      <c r="M4" s="380"/>
      <c r="N4" s="1181" t="s">
        <v>233</v>
      </c>
      <c r="O4" s="1182"/>
      <c r="P4" s="50">
        <v>0</v>
      </c>
      <c r="Q4" s="1382"/>
      <c r="U4" s="13" t="s">
        <v>4</v>
      </c>
    </row>
    <row r="5" spans="1:28" ht="26.25" customHeight="1" thickTop="1" x14ac:dyDescent="0.25">
      <c r="G5" s="381"/>
      <c r="H5" s="382"/>
      <c r="I5" s="382"/>
      <c r="J5" s="382"/>
      <c r="K5" s="383" t="s">
        <v>234</v>
      </c>
      <c r="L5" s="382"/>
      <c r="M5" s="384"/>
      <c r="N5" s="382"/>
      <c r="O5" s="382"/>
      <c r="P5" s="382"/>
      <c r="U5" s="7" t="s">
        <v>6</v>
      </c>
      <c r="AB5" s="385"/>
    </row>
    <row r="6" spans="1:28" ht="18" customHeight="1" x14ac:dyDescent="0.25">
      <c r="G6" s="1374" t="s">
        <v>235</v>
      </c>
      <c r="H6" s="1383" t="s">
        <v>34</v>
      </c>
      <c r="I6" s="1383" t="s">
        <v>236</v>
      </c>
      <c r="J6" s="1383" t="s">
        <v>174</v>
      </c>
      <c r="K6" s="1383" t="s">
        <v>237</v>
      </c>
      <c r="L6" s="1374" t="s">
        <v>16</v>
      </c>
      <c r="M6" s="1376" t="s">
        <v>238</v>
      </c>
      <c r="N6" s="1375" t="s">
        <v>239</v>
      </c>
      <c r="O6" s="1375" t="s">
        <v>240</v>
      </c>
      <c r="P6" s="1375" t="s">
        <v>241</v>
      </c>
      <c r="U6" s="7" t="s">
        <v>8</v>
      </c>
      <c r="AB6" s="385"/>
    </row>
    <row r="7" spans="1:28" s="385" customFormat="1" ht="24" customHeight="1" x14ac:dyDescent="0.25">
      <c r="G7" s="1375"/>
      <c r="H7" s="1384"/>
      <c r="I7" s="1384"/>
      <c r="J7" s="1384"/>
      <c r="K7" s="1384"/>
      <c r="L7" s="1375"/>
      <c r="M7" s="1377"/>
      <c r="N7" s="1378"/>
      <c r="O7" s="1379"/>
      <c r="P7" s="1379"/>
      <c r="U7" s="7" t="s">
        <v>9</v>
      </c>
      <c r="AB7" s="54"/>
    </row>
    <row r="8" spans="1:28" s="400" customFormat="1" ht="15.75" x14ac:dyDescent="0.25">
      <c r="A8" s="387">
        <f t="shared" ref="A8:A17" ca="1" si="0">IF(LEN(D8),OFFSET(A8,-1,0)+1,OFFSET(A8,-1,0))</f>
        <v>0</v>
      </c>
      <c r="B8" s="387" t="str">
        <f>IF(OR(C8=1,D8=1),SUMIF($A$8:A8,A8,$C$8:C8),"")</f>
        <v/>
      </c>
      <c r="C8" s="387" t="str">
        <f>IF(I8&gt;0,1,"")</f>
        <v/>
      </c>
      <c r="D8" s="388" t="str">
        <f>IF(AND(CONCATENATE(K8,L8,M8,N8,O8,P8,Q8)=K8&amp;P8&amp;Q8,CONCATENATE(K8,L8,M8,N8,O8,P8,Q8)&lt;&gt;"",P8&lt;&gt;""),1,"")</f>
        <v/>
      </c>
      <c r="E8" s="389"/>
      <c r="F8" s="390"/>
      <c r="G8" s="391"/>
      <c r="H8" s="392"/>
      <c r="I8" s="393"/>
      <c r="J8" s="394" t="str">
        <f>IFERROR(IF(B8&lt;&gt;"",A8&amp;"."&amp;B8,""),"S/Nº")</f>
        <v/>
      </c>
      <c r="K8" s="395" t="s">
        <v>242</v>
      </c>
      <c r="L8" s="396"/>
      <c r="M8" s="397"/>
      <c r="N8" s="398">
        <f>N9+N10</f>
        <v>5104.6499999999996</v>
      </c>
      <c r="O8" s="399">
        <f>O9+O10</f>
        <v>9.7700000000003513</v>
      </c>
      <c r="P8" s="399">
        <f>P9+P10</f>
        <v>5114.42</v>
      </c>
      <c r="U8" s="401" t="s">
        <v>13</v>
      </c>
    </row>
    <row r="9" spans="1:28" s="400" customFormat="1" ht="28.5" x14ac:dyDescent="0.25">
      <c r="A9" s="387">
        <v>1</v>
      </c>
      <c r="B9" s="387">
        <f ca="1">IF(OR(C9=1,D9=1),SUMIF($A$8:A9,A9,$C$8:C9),"")</f>
        <v>1</v>
      </c>
      <c r="C9" s="387">
        <f>IF(I9&gt;0,1,"")</f>
        <v>1</v>
      </c>
      <c r="D9" s="388" t="str">
        <f>IF(AND(CONCATENATE(K9,L9,M9,N9,O9,P9,Q9)=K9&amp;P9&amp;Q9,CONCATENATE(K9,L9,M9,N9,O9,P9,Q9)&lt;&gt;"",P9&lt;&gt;""),1,"")</f>
        <v/>
      </c>
      <c r="E9" s="389"/>
      <c r="F9" s="390"/>
      <c r="G9" s="402" t="s">
        <v>1</v>
      </c>
      <c r="H9" s="403">
        <v>103689</v>
      </c>
      <c r="I9" s="404" t="s">
        <v>224</v>
      </c>
      <c r="J9" s="404" t="str">
        <f t="shared" ref="J9:J15" ca="1" si="1">IFERROR(IF(B9&lt;&gt;"",A9&amp;"."&amp;B9,""),"S/Nº")</f>
        <v>1.1</v>
      </c>
      <c r="K9" s="405" t="s">
        <v>32</v>
      </c>
      <c r="L9" s="406" t="s">
        <v>33</v>
      </c>
      <c r="M9" s="407">
        <f>TRUNC((5*2.5)+(2.5*1.25),2)</f>
        <v>15.62</v>
      </c>
      <c r="N9" s="408">
        <f>SUM('ORÇ. MATERIAL'!R10:R15)</f>
        <v>4927.49</v>
      </c>
      <c r="O9" s="409">
        <f>P9-N9</f>
        <v>-45.149999999999636</v>
      </c>
      <c r="P9" s="410">
        <f>'ORÇAMENTO - ORIENTATIVO'!P9</f>
        <v>4882.34</v>
      </c>
      <c r="U9" s="401" t="s">
        <v>17</v>
      </c>
    </row>
    <row r="10" spans="1:28" s="400" customFormat="1" ht="42.75" x14ac:dyDescent="0.25">
      <c r="A10" s="387">
        <v>1</v>
      </c>
      <c r="B10" s="387">
        <v>2</v>
      </c>
      <c r="C10" s="387">
        <v>1</v>
      </c>
      <c r="D10" s="388"/>
      <c r="E10" s="389"/>
      <c r="F10" s="390"/>
      <c r="G10" s="402" t="s">
        <v>1</v>
      </c>
      <c r="H10" s="411">
        <v>103694</v>
      </c>
      <c r="I10" s="404" t="s">
        <v>224</v>
      </c>
      <c r="J10" s="404" t="str">
        <f t="shared" si="1"/>
        <v>1.2</v>
      </c>
      <c r="K10" s="405" t="s">
        <v>43</v>
      </c>
      <c r="L10" s="406" t="s">
        <v>16</v>
      </c>
      <c r="M10" s="407">
        <v>2</v>
      </c>
      <c r="N10" s="408">
        <f>SUM('ORÇ. MATERIAL'!R16:R28)</f>
        <v>177.16000000000003</v>
      </c>
      <c r="O10" s="409">
        <f>P10-N10</f>
        <v>54.919999999999987</v>
      </c>
      <c r="P10" s="410">
        <f>'ORÇAMENTO - ORIENTATIVO'!P10</f>
        <v>232.08</v>
      </c>
    </row>
    <row r="11" spans="1:28" s="400" customFormat="1" ht="15.75" x14ac:dyDescent="0.25">
      <c r="A11" s="387">
        <f t="shared" ca="1" si="0"/>
        <v>1</v>
      </c>
      <c r="B11" s="387" t="str">
        <f>IF(OR(C11=1,D11=1),SUMIF($A$8:A11,A11,$C$8:C11),"")</f>
        <v/>
      </c>
      <c r="C11" s="387" t="str">
        <f t="shared" ref="C11:C18" si="2">IF(I11&gt;0,1,"")</f>
        <v/>
      </c>
      <c r="D11" s="388" t="str">
        <f>IF(AND(CONCATENATE(K11,L11,M11,N11,O11,P11,Q11)=K11&amp;P11&amp;Q11,CONCATENATE(K11,L11,M11,N11,O11,P11,Q11)&lt;&gt;"",P11&lt;&gt;""),1,"")</f>
        <v/>
      </c>
      <c r="E11" s="389"/>
      <c r="F11" s="390"/>
      <c r="G11" s="391"/>
      <c r="H11" s="392"/>
      <c r="I11" s="393"/>
      <c r="J11" s="393" t="str">
        <f t="shared" si="1"/>
        <v/>
      </c>
      <c r="K11" s="395" t="s">
        <v>243</v>
      </c>
      <c r="L11" s="396"/>
      <c r="M11" s="397"/>
      <c r="N11" s="399">
        <f>SUM(N12:N15)</f>
        <v>78033.899999999994</v>
      </c>
      <c r="O11" s="399">
        <f>SUM(O12:O15)</f>
        <v>72680.37</v>
      </c>
      <c r="P11" s="399">
        <f>SUM(P12:P15)</f>
        <v>150714.26999999999</v>
      </c>
      <c r="R11" s="400">
        <v>597.62</v>
      </c>
      <c r="S11" s="400">
        <f>Q11+R11</f>
        <v>597.62</v>
      </c>
      <c r="T11" s="412">
        <f>S11-P9</f>
        <v>-4284.72</v>
      </c>
    </row>
    <row r="12" spans="1:28" s="400" customFormat="1" ht="28.5" x14ac:dyDescent="0.25">
      <c r="A12" s="387">
        <f t="shared" ca="1" si="0"/>
        <v>1</v>
      </c>
      <c r="B12" s="387">
        <f ca="1">IF(OR(C12=1,D12=1),SUMIF($A$8:A12,A12,$C$8:C12),"")</f>
        <v>3</v>
      </c>
      <c r="C12" s="387">
        <f t="shared" si="2"/>
        <v>1</v>
      </c>
      <c r="D12" s="388" t="str">
        <f>IF(AND(CONCATENATE(K12,L12,M12,N12,O12,P12,Q12)=K12&amp;P12&amp;Q12,CONCATENATE(K12,L12,M12,N12,O12,P12,Q12)&lt;&gt;"",P12&lt;&gt;""),1,"")</f>
        <v/>
      </c>
      <c r="E12" s="389"/>
      <c r="F12" s="390"/>
      <c r="G12" s="402" t="s">
        <v>20</v>
      </c>
      <c r="H12" s="403" t="s">
        <v>115</v>
      </c>
      <c r="I12" s="404" t="s">
        <v>224</v>
      </c>
      <c r="J12" s="404" t="str">
        <f t="shared" ca="1" si="1"/>
        <v>1.3</v>
      </c>
      <c r="K12" s="405" t="s">
        <v>116</v>
      </c>
      <c r="L12" s="406" t="s">
        <v>118</v>
      </c>
      <c r="M12" s="407">
        <f>TERRAPLENAGEM!K54</f>
        <v>21845.07</v>
      </c>
      <c r="N12" s="408">
        <f>SUM('ORÇ. MATERIAL'!R31)</f>
        <v>13854.32</v>
      </c>
      <c r="O12" s="409">
        <f>P12-N12</f>
        <v>19131.730000000003</v>
      </c>
      <c r="P12" s="410">
        <f>'ORÇAMENTO - ORIENTATIVO'!P12</f>
        <v>32986.050000000003</v>
      </c>
      <c r="R12" s="400">
        <v>182624.78</v>
      </c>
      <c r="S12" s="400">
        <f>Q12+R12</f>
        <v>182624.78</v>
      </c>
      <c r="T12" s="412">
        <f>S12-P12</f>
        <v>149638.72999999998</v>
      </c>
    </row>
    <row r="13" spans="1:28" s="400" customFormat="1" ht="28.5" x14ac:dyDescent="0.25">
      <c r="A13" s="387">
        <f t="shared" ca="1" si="0"/>
        <v>1</v>
      </c>
      <c r="B13" s="387">
        <f ca="1">IF(OR(C13=1,D13=1),SUMIF($A$8:A13,A13,$C$8:C13),"")</f>
        <v>4</v>
      </c>
      <c r="C13" s="387">
        <f t="shared" si="2"/>
        <v>1</v>
      </c>
      <c r="D13" s="388" t="str">
        <f>IF(AND(CONCATENATE(K13,L13,M13,N13,O13,P13,Q13)=K13&amp;P13&amp;Q13,CONCATENATE(K13,L13,M13,N13,O13,P13,Q13)&lt;&gt;"",P13&lt;&gt;""),1,"")</f>
        <v/>
      </c>
      <c r="E13" s="389"/>
      <c r="F13" s="390"/>
      <c r="G13" s="402" t="s">
        <v>1</v>
      </c>
      <c r="H13" s="403">
        <v>93592</v>
      </c>
      <c r="I13" s="404" t="s">
        <v>224</v>
      </c>
      <c r="J13" s="404" t="str">
        <f t="shared" ca="1" si="1"/>
        <v>1.4</v>
      </c>
      <c r="K13" s="405" t="s">
        <v>2918</v>
      </c>
      <c r="L13" s="406" t="s">
        <v>263</v>
      </c>
      <c r="M13" s="407">
        <f>TERRAPLENAGEM!P54</f>
        <v>24568.42</v>
      </c>
      <c r="N13" s="408">
        <f>'ORÇ. MATERIAL'!R33</f>
        <v>32378.65</v>
      </c>
      <c r="O13" s="409">
        <f>P13-N13</f>
        <v>25602.82</v>
      </c>
      <c r="P13" s="410">
        <f>'ORÇAMENTO - ORIENTATIVO'!P13</f>
        <v>57981.47</v>
      </c>
      <c r="R13" s="400">
        <v>30464.84</v>
      </c>
      <c r="S13" s="400">
        <f>Q13+R13</f>
        <v>30464.84</v>
      </c>
      <c r="T13" s="412">
        <f>S13-P13</f>
        <v>-27516.63</v>
      </c>
    </row>
    <row r="14" spans="1:28" s="400" customFormat="1" ht="42.75" x14ac:dyDescent="0.25">
      <c r="A14" s="387">
        <f t="shared" ca="1" si="0"/>
        <v>1</v>
      </c>
      <c r="B14" s="387">
        <f ca="1">IF(OR(C14=1,D14=1),SUMIF($A$8:A14,A14,$C$8:C14),"")</f>
        <v>5</v>
      </c>
      <c r="C14" s="387">
        <f t="shared" si="2"/>
        <v>1</v>
      </c>
      <c r="D14" s="388" t="str">
        <f>IF(AND(CONCATENATE(K14,L14,M14,N14,O14,P14,Q14)=K14&amp;P14&amp;Q14,CONCATENATE(K14,L14,M14,N14,O14,P14,Q14)&lt;&gt;"",P14&lt;&gt;""),1,"")</f>
        <v/>
      </c>
      <c r="E14" s="389"/>
      <c r="F14" s="390"/>
      <c r="G14" s="402" t="s">
        <v>1</v>
      </c>
      <c r="H14" s="403">
        <v>95876</v>
      </c>
      <c r="I14" s="404" t="s">
        <v>224</v>
      </c>
      <c r="J14" s="404" t="str">
        <f t="shared" ca="1" si="1"/>
        <v>1.5</v>
      </c>
      <c r="K14" s="405" t="s">
        <v>2919</v>
      </c>
      <c r="L14" s="406" t="s">
        <v>263</v>
      </c>
      <c r="M14" s="407">
        <f>TERRAPLENAGEM!R54</f>
        <v>25828.82</v>
      </c>
      <c r="N14" s="408">
        <f>'ORÇ. MATERIAL'!R35</f>
        <v>30897.59</v>
      </c>
      <c r="O14" s="409">
        <f>P14-N14</f>
        <v>24117.789999999997</v>
      </c>
      <c r="P14" s="410">
        <f>'ORÇAMENTO - ORIENTATIVO'!P14</f>
        <v>55015.38</v>
      </c>
      <c r="R14" s="400">
        <v>29186.560000000001</v>
      </c>
      <c r="S14" s="400">
        <f>Q14+R14</f>
        <v>29186.560000000001</v>
      </c>
      <c r="T14" s="412">
        <f>S14-P14</f>
        <v>-25828.819999999996</v>
      </c>
    </row>
    <row r="15" spans="1:28" s="400" customFormat="1" ht="42.75" x14ac:dyDescent="0.25">
      <c r="A15" s="387">
        <f t="shared" ca="1" si="0"/>
        <v>1</v>
      </c>
      <c r="B15" s="387">
        <f ca="1">IF(OR(C15=1,D15=1),SUMIF($A$8:A15,A15,$C$8:C15),"")</f>
        <v>6</v>
      </c>
      <c r="C15" s="387">
        <f t="shared" si="2"/>
        <v>1</v>
      </c>
      <c r="D15" s="388" t="str">
        <f>IF(AND(CONCATENATE(K15,L15,M15,N15,O15,P15,Q15)=K15&amp;P15&amp;Q15,CONCATENATE(K15,L15,M15,N15,O15,P15,Q15)&lt;&gt;"",P15&lt;&gt;""),1,"")</f>
        <v/>
      </c>
      <c r="E15" s="389"/>
      <c r="F15" s="390"/>
      <c r="G15" s="402" t="s">
        <v>1</v>
      </c>
      <c r="H15" s="403">
        <v>96385</v>
      </c>
      <c r="I15" s="404" t="s">
        <v>224</v>
      </c>
      <c r="J15" s="404" t="str">
        <f t="shared" ca="1" si="1"/>
        <v>1.6</v>
      </c>
      <c r="K15" s="405" t="s">
        <v>2920</v>
      </c>
      <c r="L15" s="406" t="s">
        <v>259</v>
      </c>
      <c r="M15" s="407">
        <f>TERRAPLENAGEM!L54</f>
        <v>426.25</v>
      </c>
      <c r="N15" s="408">
        <f>'ORÇ. MATERIAL'!R37</f>
        <v>903.34</v>
      </c>
      <c r="O15" s="409">
        <f>P15-N15</f>
        <v>3828.0299999999997</v>
      </c>
      <c r="P15" s="410">
        <f>'ORÇAMENTO - ORIENTATIVO'!P15</f>
        <v>4731.37</v>
      </c>
      <c r="R15" s="400">
        <v>4011.01</v>
      </c>
      <c r="S15" s="400">
        <f>Q15+R15</f>
        <v>4011.01</v>
      </c>
      <c r="T15" s="412">
        <f>S15-P15</f>
        <v>-720.35999999999967</v>
      </c>
    </row>
    <row r="16" spans="1:28" s="400" customFormat="1" ht="15.75" x14ac:dyDescent="0.25">
      <c r="A16" s="387">
        <v>3</v>
      </c>
      <c r="B16" s="387">
        <v>0</v>
      </c>
      <c r="C16" s="387" t="str">
        <f t="shared" si="2"/>
        <v/>
      </c>
      <c r="D16" s="388">
        <v>1</v>
      </c>
      <c r="E16" s="389"/>
      <c r="F16" s="390"/>
      <c r="G16" s="413"/>
      <c r="H16" s="414"/>
      <c r="I16" s="415"/>
      <c r="J16" s="415" t="s">
        <v>193</v>
      </c>
      <c r="K16" s="416" t="s">
        <v>244</v>
      </c>
      <c r="L16" s="417"/>
      <c r="M16" s="418"/>
      <c r="N16" s="419">
        <f>SUM(N17:N36)</f>
        <v>3010288.66</v>
      </c>
      <c r="O16" s="419">
        <f>SUM(O17:O36)</f>
        <v>564693.28</v>
      </c>
      <c r="P16" s="419">
        <f>SUM(P17:P36)</f>
        <v>3228543.25</v>
      </c>
    </row>
    <row r="17" spans="1:16" s="400" customFormat="1" ht="15.75" x14ac:dyDescent="0.25">
      <c r="A17" s="387">
        <f t="shared" ca="1" si="0"/>
        <v>3</v>
      </c>
      <c r="B17" s="387" t="str">
        <f>IF(OR(C17=1,D17=1),SUMIF($A$8:A17,A17,$C$8:C17),"")</f>
        <v/>
      </c>
      <c r="C17" s="387" t="str">
        <f t="shared" si="2"/>
        <v/>
      </c>
      <c r="D17" s="388" t="str">
        <f t="shared" ref="D17:D25" si="3">IF(AND(CONCATENATE(K17,L17,M17,N17,O17,P17,Q17)=K17&amp;P17&amp;Q17,CONCATENATE(K17,L17,M17,N17,O17,P17,Q17)&lt;&gt;"",P17&lt;&gt;""),1,"")</f>
        <v/>
      </c>
      <c r="E17" s="389"/>
      <c r="F17" s="390"/>
      <c r="G17" s="420"/>
      <c r="H17" s="421"/>
      <c r="I17" s="422"/>
      <c r="J17" s="422"/>
      <c r="K17" s="423" t="s">
        <v>245</v>
      </c>
      <c r="L17" s="424"/>
      <c r="M17" s="425"/>
      <c r="N17" s="426"/>
      <c r="O17" s="427"/>
      <c r="P17" s="398"/>
    </row>
    <row r="18" spans="1:16" s="400" customFormat="1" ht="28.5" x14ac:dyDescent="0.25">
      <c r="A18" s="387">
        <v>3</v>
      </c>
      <c r="B18" s="387">
        <v>1</v>
      </c>
      <c r="C18" s="387">
        <f t="shared" si="2"/>
        <v>1</v>
      </c>
      <c r="D18" s="388" t="str">
        <f t="shared" si="3"/>
        <v/>
      </c>
      <c r="E18" s="389"/>
      <c r="F18" s="390"/>
      <c r="G18" s="402" t="s">
        <v>1</v>
      </c>
      <c r="H18" s="403">
        <v>100577</v>
      </c>
      <c r="I18" s="404" t="s">
        <v>224</v>
      </c>
      <c r="J18" s="404" t="str">
        <f t="shared" ref="J18:J24" si="4">IFERROR(IF(B18&lt;&gt;"",A18&amp;"."&amp;B18,""),"S/Nº")</f>
        <v>3.1</v>
      </c>
      <c r="K18" s="405" t="s">
        <v>2921</v>
      </c>
      <c r="L18" s="406" t="s">
        <v>33</v>
      </c>
      <c r="M18" s="407">
        <f>'SUBLEITO-BASE-SUB.'!H56</f>
        <v>71419.360000000001</v>
      </c>
      <c r="N18" s="408">
        <f>'ORÇ. MATERIAL'!R41</f>
        <v>21732.47</v>
      </c>
      <c r="O18" s="409">
        <f>P18-N18</f>
        <v>62542.369999999995</v>
      </c>
      <c r="P18" s="410">
        <f>'ORÇAMENTO - ORIENTATIVO'!P18</f>
        <v>84274.84</v>
      </c>
    </row>
    <row r="19" spans="1:16" s="400" customFormat="1" ht="28.5" x14ac:dyDescent="0.25">
      <c r="A19" s="387">
        <v>3</v>
      </c>
      <c r="B19" s="387">
        <v>2</v>
      </c>
      <c r="C19" s="387">
        <v>1</v>
      </c>
      <c r="D19" s="388" t="str">
        <f t="shared" si="3"/>
        <v/>
      </c>
      <c r="E19" s="389"/>
      <c r="F19" s="390"/>
      <c r="G19" s="402" t="s">
        <v>6</v>
      </c>
      <c r="H19" s="403">
        <v>4011219</v>
      </c>
      <c r="I19" s="404" t="s">
        <v>224</v>
      </c>
      <c r="J19" s="404" t="str">
        <f t="shared" si="4"/>
        <v>3.2</v>
      </c>
      <c r="K19" s="405" t="s">
        <v>807</v>
      </c>
      <c r="L19" s="406" t="s">
        <v>118</v>
      </c>
      <c r="M19" s="407">
        <f>'SUBLEITO-BASE-SUB.'!N56</f>
        <v>17854.830000000002</v>
      </c>
      <c r="N19" s="408">
        <f>'ORÇ. MATERIAL'!R43</f>
        <v>58721</v>
      </c>
      <c r="O19" s="409">
        <f>P19-N19</f>
        <v>165000.01</v>
      </c>
      <c r="P19" s="410">
        <f>'ORÇAMENTO - ORIENTATIVO'!P19</f>
        <v>223721.01</v>
      </c>
    </row>
    <row r="20" spans="1:16" s="400" customFormat="1" ht="15.75" x14ac:dyDescent="0.25">
      <c r="A20" s="387">
        <v>3</v>
      </c>
      <c r="B20" s="387">
        <v>3</v>
      </c>
      <c r="C20" s="387">
        <f t="shared" ref="C20:C25" si="5">IF(I20&gt;0,1,"")</f>
        <v>1</v>
      </c>
      <c r="D20" s="388" t="str">
        <f t="shared" si="3"/>
        <v/>
      </c>
      <c r="E20" s="389"/>
      <c r="F20" s="390"/>
      <c r="G20" s="402" t="s">
        <v>20</v>
      </c>
      <c r="H20" s="403" t="str">
        <f>'CPAV004-IMPRIMAÇÃO'!$A$7</f>
        <v>CPAV004</v>
      </c>
      <c r="I20" s="404" t="s">
        <v>224</v>
      </c>
      <c r="J20" s="404" t="str">
        <f t="shared" si="4"/>
        <v>3.3</v>
      </c>
      <c r="K20" s="405" t="s">
        <v>49</v>
      </c>
      <c r="L20" s="406" t="s">
        <v>33</v>
      </c>
      <c r="M20" s="407">
        <f>PAVIMENTO!H55</f>
        <v>64201.630000000005</v>
      </c>
      <c r="N20" s="408">
        <f>'ORÇ. MATERIAL'!R45</f>
        <v>20500.54</v>
      </c>
      <c r="O20" s="409">
        <f>P20-N20</f>
        <v>50121.249999999993</v>
      </c>
      <c r="P20" s="410">
        <f>'ORÇAMENTO - ORIENTATIVO'!P20</f>
        <v>70621.789999999994</v>
      </c>
    </row>
    <row r="21" spans="1:16" s="400" customFormat="1" ht="28.5" x14ac:dyDescent="0.25">
      <c r="A21" s="387">
        <v>3</v>
      </c>
      <c r="B21" s="387">
        <v>4</v>
      </c>
      <c r="C21" s="387">
        <f t="shared" si="5"/>
        <v>1</v>
      </c>
      <c r="D21" s="388" t="str">
        <f t="shared" si="3"/>
        <v/>
      </c>
      <c r="E21" s="389"/>
      <c r="F21" s="390"/>
      <c r="G21" s="402" t="s">
        <v>20</v>
      </c>
      <c r="H21" s="403" t="str">
        <f>'CPAV005-TSD-104389'!$A$7</f>
        <v>CPAV005-1</v>
      </c>
      <c r="I21" s="404" t="s">
        <v>224</v>
      </c>
      <c r="J21" s="404" t="str">
        <f t="shared" si="4"/>
        <v>3.4</v>
      </c>
      <c r="K21" s="405" t="s">
        <v>55</v>
      </c>
      <c r="L21" s="406" t="s">
        <v>33</v>
      </c>
      <c r="M21" s="407">
        <f>PAVIMENTO!H55</f>
        <v>64201.630000000005</v>
      </c>
      <c r="N21" s="408">
        <f>SUM('ORÇ. MATERIAL'!R46:R49)</f>
        <v>244637.41999999998</v>
      </c>
      <c r="O21" s="409">
        <f>P21-N21</f>
        <v>82148.87</v>
      </c>
      <c r="P21" s="410">
        <f>'ORÇAMENTO - ORIENTATIVO'!P21</f>
        <v>326786.28999999998</v>
      </c>
    </row>
    <row r="22" spans="1:16" s="400" customFormat="1" ht="15.75" x14ac:dyDescent="0.25">
      <c r="A22" s="387">
        <v>3</v>
      </c>
      <c r="B22" s="387"/>
      <c r="C22" s="387" t="str">
        <f t="shared" si="5"/>
        <v/>
      </c>
      <c r="D22" s="388" t="str">
        <f t="shared" si="3"/>
        <v/>
      </c>
      <c r="E22" s="389"/>
      <c r="F22" s="390"/>
      <c r="G22" s="391"/>
      <c r="H22" s="392"/>
      <c r="I22" s="393"/>
      <c r="J22" s="393" t="str">
        <f t="shared" si="4"/>
        <v/>
      </c>
      <c r="K22" s="428" t="s">
        <v>246</v>
      </c>
      <c r="L22" s="396"/>
      <c r="M22" s="397"/>
      <c r="N22" s="429"/>
      <c r="O22" s="430"/>
      <c r="P22" s="399"/>
    </row>
    <row r="23" spans="1:16" s="400" customFormat="1" ht="15.75" x14ac:dyDescent="0.25">
      <c r="A23" s="387">
        <v>3</v>
      </c>
      <c r="B23" s="387">
        <v>5</v>
      </c>
      <c r="C23" s="387">
        <f t="shared" si="5"/>
        <v>1</v>
      </c>
      <c r="D23" s="388" t="str">
        <f t="shared" si="3"/>
        <v/>
      </c>
      <c r="E23" s="389"/>
      <c r="F23" s="390"/>
      <c r="G23" s="402" t="s">
        <v>17</v>
      </c>
      <c r="H23" s="403"/>
      <c r="I23" s="404" t="s">
        <v>230</v>
      </c>
      <c r="J23" s="404" t="str">
        <f t="shared" si="4"/>
        <v>3.5</v>
      </c>
      <c r="K23" s="405" t="str">
        <f>ANP!B7</f>
        <v>ASFALTOS DILUÍDOS CM-30</v>
      </c>
      <c r="L23" s="406" t="s">
        <v>247</v>
      </c>
      <c r="M23" s="431">
        <f>PAVIMENTO!J55</f>
        <v>77.03</v>
      </c>
      <c r="N23" s="432">
        <f>'ORÇ. MATERIAL'!R51</f>
        <v>470084.04</v>
      </c>
      <c r="O23" s="409">
        <v>0</v>
      </c>
      <c r="P23" s="410">
        <f>'ORÇAMENTO - ORIENTATIVO'!P23</f>
        <v>408768.93</v>
      </c>
    </row>
    <row r="24" spans="1:16" s="400" customFormat="1" ht="15.75" x14ac:dyDescent="0.25">
      <c r="A24" s="387">
        <v>3</v>
      </c>
      <c r="B24" s="387">
        <v>6</v>
      </c>
      <c r="C24" s="387">
        <f t="shared" si="5"/>
        <v>1</v>
      </c>
      <c r="D24" s="388" t="str">
        <f t="shared" si="3"/>
        <v/>
      </c>
      <c r="E24" s="389"/>
      <c r="F24" s="390"/>
      <c r="G24" s="402" t="s">
        <v>17</v>
      </c>
      <c r="H24" s="403"/>
      <c r="I24" s="404" t="s">
        <v>230</v>
      </c>
      <c r="J24" s="404" t="str">
        <f t="shared" si="4"/>
        <v>3.6</v>
      </c>
      <c r="K24" s="433" t="str">
        <f>ANP!B33</f>
        <v>EMULSÕES ASFÁLTICAS RR-2C</v>
      </c>
      <c r="L24" s="434" t="s">
        <v>247</v>
      </c>
      <c r="M24" s="407">
        <f>PAVIMENTO!L55</f>
        <v>224.7</v>
      </c>
      <c r="N24" s="435">
        <f>'ORÇ. MATERIAL'!R52</f>
        <v>911607.9</v>
      </c>
      <c r="O24" s="409">
        <v>0</v>
      </c>
      <c r="P24" s="410">
        <f>'ORÇAMENTO - ORIENTATIVO'!P24</f>
        <v>792703.4</v>
      </c>
    </row>
    <row r="25" spans="1:16" s="400" customFormat="1" ht="15.75" x14ac:dyDescent="0.25">
      <c r="A25" s="387">
        <v>3</v>
      </c>
      <c r="B25" s="387" t="str">
        <f>IF(OR(C25=1,D25=1),SUMIF($A$8:A25,A25,$C$8:C25),"")</f>
        <v/>
      </c>
      <c r="C25" s="387" t="str">
        <f t="shared" si="5"/>
        <v/>
      </c>
      <c r="D25" s="388" t="str">
        <f t="shared" si="3"/>
        <v/>
      </c>
      <c r="E25" s="389"/>
      <c r="F25" s="390"/>
      <c r="G25" s="391"/>
      <c r="H25" s="392"/>
      <c r="I25" s="393"/>
      <c r="J25" s="393"/>
      <c r="K25" s="428" t="s">
        <v>248</v>
      </c>
      <c r="L25" s="396"/>
      <c r="M25" s="397"/>
      <c r="N25" s="429"/>
      <c r="O25" s="430"/>
      <c r="P25" s="399"/>
    </row>
    <row r="26" spans="1:16" s="400" customFormat="1" ht="15.75" x14ac:dyDescent="0.25">
      <c r="A26" s="387"/>
      <c r="B26" s="387"/>
      <c r="C26" s="387"/>
      <c r="D26" s="388"/>
      <c r="E26" s="389"/>
      <c r="F26" s="390"/>
      <c r="G26" s="391"/>
      <c r="H26" s="392"/>
      <c r="I26" s="393"/>
      <c r="J26" s="393"/>
      <c r="K26" s="414" t="s">
        <v>249</v>
      </c>
      <c r="L26" s="417"/>
      <c r="M26" s="397"/>
      <c r="N26" s="436"/>
      <c r="O26" s="430"/>
      <c r="P26" s="399"/>
    </row>
    <row r="27" spans="1:16" s="400" customFormat="1" ht="28.5" x14ac:dyDescent="0.25">
      <c r="A27" s="387">
        <v>3</v>
      </c>
      <c r="B27" s="387">
        <v>7</v>
      </c>
      <c r="C27" s="387">
        <f>IF(I27&gt;0,1,"")</f>
        <v>1</v>
      </c>
      <c r="D27" s="388" t="str">
        <f>IF(AND(CONCATENATE(K27,L27,M27,N27,O27,P27,Q27)=K27&amp;P27&amp;Q27,CONCATENATE(K27,L27,M27,N27,O27,P27,Q27)&lt;&gt;"",P27&lt;&gt;""),1,"")</f>
        <v/>
      </c>
      <c r="E27" s="389"/>
      <c r="F27" s="390"/>
      <c r="G27" s="402" t="s">
        <v>1</v>
      </c>
      <c r="H27" s="403">
        <v>93589</v>
      </c>
      <c r="I27" s="404" t="s">
        <v>224</v>
      </c>
      <c r="J27" s="404" t="str">
        <f t="shared" ref="J27:J36" si="6">IFERROR(IF(B27&lt;&gt;"",A27&amp;"."&amp;B27,""),"S/Nº")</f>
        <v>3.7</v>
      </c>
      <c r="K27" s="405" t="s">
        <v>262</v>
      </c>
      <c r="L27" s="406" t="s">
        <v>263</v>
      </c>
      <c r="M27" s="407">
        <f>'TRANSP. MAT.PAV'!K13</f>
        <v>147837.88</v>
      </c>
      <c r="N27" s="408">
        <f>'ORÇ. MATERIAL'!R56</f>
        <v>216952.61</v>
      </c>
      <c r="O27" s="409">
        <f>P27-N27</f>
        <v>182209.66000000003</v>
      </c>
      <c r="P27" s="410">
        <f>'ORÇAMENTO - ORIENTATIVO'!P27</f>
        <v>399162.27</v>
      </c>
    </row>
    <row r="28" spans="1:16" s="400" customFormat="1" ht="31.5" customHeight="1" x14ac:dyDescent="0.25">
      <c r="A28" s="387">
        <v>3</v>
      </c>
      <c r="B28" s="387">
        <v>8</v>
      </c>
      <c r="C28" s="387">
        <f>IF(I28&gt;0,1,"")</f>
        <v>1</v>
      </c>
      <c r="D28" s="388" t="str">
        <f>IF(AND(CONCATENATE(K28,L28,M28,N28,O28,P28,Q28)=K28&amp;P28&amp;Q28,CONCATENATE(K28,L28,M28,N28,O28,P28,Q28)&lt;&gt;"",P28&lt;&gt;""),1,"")</f>
        <v/>
      </c>
      <c r="E28" s="389"/>
      <c r="F28" s="390"/>
      <c r="G28" s="402" t="s">
        <v>1</v>
      </c>
      <c r="H28" s="403">
        <v>95875</v>
      </c>
      <c r="I28" s="404" t="s">
        <v>224</v>
      </c>
      <c r="J28" s="404" t="str">
        <f t="shared" si="6"/>
        <v>3.8</v>
      </c>
      <c r="K28" s="405" t="s">
        <v>264</v>
      </c>
      <c r="L28" s="406" t="s">
        <v>263</v>
      </c>
      <c r="M28" s="407">
        <f>'TRANSP. MAT.PAV'!K19</f>
        <v>19945.813999999998</v>
      </c>
      <c r="N28" s="408">
        <f>'ORÇ. MATERIAL'!R58</f>
        <v>26993.95</v>
      </c>
      <c r="O28" s="409">
        <f>P28-N28</f>
        <v>22671.119999999999</v>
      </c>
      <c r="P28" s="410">
        <f>'ORÇAMENTO - ORIENTATIVO'!P28</f>
        <v>49665.07</v>
      </c>
    </row>
    <row r="29" spans="1:16" s="400" customFormat="1" ht="17.25" customHeight="1" x14ac:dyDescent="0.25">
      <c r="A29" s="387"/>
      <c r="B29" s="387"/>
      <c r="C29" s="387"/>
      <c r="D29" s="388"/>
      <c r="E29" s="389"/>
      <c r="F29" s="390"/>
      <c r="G29" s="391"/>
      <c r="H29" s="392"/>
      <c r="I29" s="393"/>
      <c r="J29" s="393"/>
      <c r="K29" s="414" t="s">
        <v>250</v>
      </c>
      <c r="L29" s="417"/>
      <c r="M29" s="437"/>
      <c r="N29" s="438"/>
      <c r="O29" s="439"/>
      <c r="P29" s="440"/>
    </row>
    <row r="30" spans="1:16" s="400" customFormat="1" ht="28.5" x14ac:dyDescent="0.25">
      <c r="A30" s="387">
        <v>3</v>
      </c>
      <c r="B30" s="387">
        <v>9</v>
      </c>
      <c r="C30" s="387">
        <f>IF(I30&gt;0,1,"")</f>
        <v>1</v>
      </c>
      <c r="D30" s="388" t="str">
        <f>IF(AND(CONCATENATE(K30,L30,M30,N30,O30,P30,Q30)=K30&amp;P30&amp;Q30,CONCATENATE(K30,L30,M30,N30,O30,P30,Q30)&lt;&gt;"",P30&lt;&gt;""),1,"")</f>
        <v/>
      </c>
      <c r="E30" s="389"/>
      <c r="F30" s="390"/>
      <c r="G30" s="402" t="s">
        <v>1</v>
      </c>
      <c r="H30" s="403">
        <v>93589</v>
      </c>
      <c r="I30" s="404" t="s">
        <v>224</v>
      </c>
      <c r="J30" s="404" t="str">
        <f t="shared" si="6"/>
        <v>3.9</v>
      </c>
      <c r="K30" s="405" t="s">
        <v>262</v>
      </c>
      <c r="L30" s="406" t="s">
        <v>263</v>
      </c>
      <c r="M30" s="407">
        <f>'TRANSP. MAT.PAV'!K28</f>
        <v>144613.98000000001</v>
      </c>
      <c r="N30" s="408">
        <f>'ORÇ. MATERIAL'!R60</f>
        <v>469995.43</v>
      </c>
      <c r="O30" s="409">
        <v>0</v>
      </c>
      <c r="P30" s="410">
        <f>'ORÇAMENTO - ORIENTATIVO'!P30</f>
        <v>390457.74</v>
      </c>
    </row>
    <row r="31" spans="1:16" s="400" customFormat="1" ht="35.25" customHeight="1" x14ac:dyDescent="0.25">
      <c r="A31" s="387">
        <v>3</v>
      </c>
      <c r="B31" s="387">
        <v>10</v>
      </c>
      <c r="C31" s="387">
        <f>IF(I31&gt;0,1,"")</f>
        <v>1</v>
      </c>
      <c r="D31" s="388" t="str">
        <f>IF(AND(CONCATENATE(K31,L31,M31,N31,O31,P31,Q31)=K31&amp;P31&amp;Q31,CONCATENATE(K31,L31,M31,N31,O31,P31,Q31)&lt;&gt;"",P31&lt;&gt;""),1,"")</f>
        <v/>
      </c>
      <c r="E31" s="389"/>
      <c r="F31" s="390"/>
      <c r="G31" s="402" t="s">
        <v>1</v>
      </c>
      <c r="H31" s="403">
        <v>95875</v>
      </c>
      <c r="I31" s="404" t="s">
        <v>224</v>
      </c>
      <c r="J31" s="404" t="str">
        <f t="shared" si="6"/>
        <v>3.10</v>
      </c>
      <c r="K31" s="405" t="s">
        <v>264</v>
      </c>
      <c r="L31" s="406" t="s">
        <v>263</v>
      </c>
      <c r="M31" s="407">
        <f>'TRANSP. MAT.PAV'!K36</f>
        <v>42950.399999999994</v>
      </c>
      <c r="N31" s="408">
        <f>'ORÇ. MATERIAL'!R61</f>
        <v>128851.2</v>
      </c>
      <c r="O31" s="409">
        <v>0</v>
      </c>
      <c r="P31" s="410">
        <f>'ORÇAMENTO - ORIENTATIVO'!P31</f>
        <v>106946.49</v>
      </c>
    </row>
    <row r="32" spans="1:16" s="400" customFormat="1" ht="42.75" x14ac:dyDescent="0.25">
      <c r="A32" s="387">
        <v>3</v>
      </c>
      <c r="B32" s="387">
        <v>11</v>
      </c>
      <c r="C32" s="387">
        <f>IF(I32&gt;0,1,"")</f>
        <v>1</v>
      </c>
      <c r="D32" s="388" t="str">
        <f>IF(AND(CONCATENATE(K32,L32,M32,N32,O32,P32,Q32)=K32&amp;P32&amp;Q32,CONCATENATE(K32,L32,M32,N32,O32,P32,Q32)&lt;&gt;"",P32&lt;&gt;""),1,"")</f>
        <v/>
      </c>
      <c r="E32" s="389"/>
      <c r="F32" s="390"/>
      <c r="G32" s="402" t="s">
        <v>1</v>
      </c>
      <c r="H32" s="403">
        <v>93590</v>
      </c>
      <c r="I32" s="404" t="s">
        <v>224</v>
      </c>
      <c r="J32" s="404" t="str">
        <f t="shared" si="6"/>
        <v>3.11</v>
      </c>
      <c r="K32" s="405" t="s">
        <v>811</v>
      </c>
      <c r="L32" s="406" t="s">
        <v>263</v>
      </c>
      <c r="M32" s="407">
        <f>'TRANSP. MAT.PAV'!K44</f>
        <v>176975.98</v>
      </c>
      <c r="N32" s="408">
        <f>'ORÇ. MATERIAL'!R62</f>
        <v>208831.65</v>
      </c>
      <c r="O32" s="409">
        <v>0</v>
      </c>
      <c r="P32" s="410">
        <f>'ORÇAMENTO - ORIENTATIVO'!P32</f>
        <v>173436.46</v>
      </c>
    </row>
    <row r="33" spans="1:17" s="400" customFormat="1" ht="15.75" x14ac:dyDescent="0.25">
      <c r="A33" s="387"/>
      <c r="B33" s="387"/>
      <c r="C33" s="387"/>
      <c r="D33" s="388"/>
      <c r="E33" s="389"/>
      <c r="F33" s="390"/>
      <c r="G33" s="391"/>
      <c r="H33" s="392"/>
      <c r="I33" s="393"/>
      <c r="J33" s="393"/>
      <c r="K33" s="414" t="s">
        <v>251</v>
      </c>
      <c r="L33" s="417"/>
      <c r="M33" s="437"/>
      <c r="N33" s="438"/>
      <c r="O33" s="439"/>
      <c r="P33" s="440"/>
    </row>
    <row r="34" spans="1:17" s="400" customFormat="1" ht="42.75" x14ac:dyDescent="0.25">
      <c r="A34" s="387">
        <v>3</v>
      </c>
      <c r="B34" s="387">
        <v>12</v>
      </c>
      <c r="C34" s="387">
        <f>IF(I34&gt;0,1,"")</f>
        <v>1</v>
      </c>
      <c r="D34" s="388" t="str">
        <f>IF(AND(CONCATENATE(K34,L34,M34,N34,O34,P34,Q34)=K34&amp;P34&amp;Q34,CONCATENATE(K34,L34,M34,N34,O34,P34,Q34)&lt;&gt;"",P34&lt;&gt;""),1,"")</f>
        <v/>
      </c>
      <c r="E34" s="389"/>
      <c r="F34" s="390"/>
      <c r="G34" s="402" t="s">
        <v>1</v>
      </c>
      <c r="H34" s="403">
        <v>100966</v>
      </c>
      <c r="I34" s="404" t="s">
        <v>230</v>
      </c>
      <c r="J34" s="404" t="str">
        <f t="shared" si="6"/>
        <v>3.12</v>
      </c>
      <c r="K34" s="405" t="s">
        <v>2922</v>
      </c>
      <c r="L34" s="406" t="s">
        <v>280</v>
      </c>
      <c r="M34" s="407">
        <f>'TRANSP. MAT.PAV'!K52</f>
        <v>28839.34</v>
      </c>
      <c r="N34" s="408">
        <f>'ORÇ. MATERIAL'!R64</f>
        <v>50180.45</v>
      </c>
      <c r="O34" s="409">
        <v>0</v>
      </c>
      <c r="P34" s="410">
        <f>'ORÇAMENTO - ORIENTATIVO'!P34</f>
        <v>43835.79</v>
      </c>
    </row>
    <row r="35" spans="1:17" s="400" customFormat="1" ht="42.75" x14ac:dyDescent="0.25">
      <c r="A35" s="387">
        <v>3</v>
      </c>
      <c r="B35" s="387">
        <v>13</v>
      </c>
      <c r="C35" s="387">
        <f>IF(I35&gt;0,1,"")</f>
        <v>1</v>
      </c>
      <c r="D35" s="388" t="str">
        <f>IF(AND(CONCATENATE(K35,L35,M35,N35,O35,P35,Q35)=K35&amp;P35&amp;Q35,CONCATENATE(K35,L35,M35,N35,O35,P35,Q35)&lt;&gt;"",P35&lt;&gt;""),1,"")</f>
        <v/>
      </c>
      <c r="E35" s="389"/>
      <c r="F35" s="390"/>
      <c r="G35" s="402" t="s">
        <v>1</v>
      </c>
      <c r="H35" s="403">
        <v>102330</v>
      </c>
      <c r="I35" s="404" t="s">
        <v>230</v>
      </c>
      <c r="J35" s="404" t="str">
        <f t="shared" si="6"/>
        <v>3.13</v>
      </c>
      <c r="K35" s="405" t="s">
        <v>2923</v>
      </c>
      <c r="L35" s="406" t="s">
        <v>280</v>
      </c>
      <c r="M35" s="407">
        <f>'TRANSP. MAT.PAV'!K60</f>
        <v>9051.9</v>
      </c>
      <c r="N35" s="408">
        <f>'ORÇ. MATERIAL'!R65</f>
        <v>14754.59</v>
      </c>
      <c r="O35" s="409">
        <v>0</v>
      </c>
      <c r="P35" s="410">
        <f>'ORÇAMENTO - ORIENTATIVO'!P35</f>
        <v>12853.69</v>
      </c>
    </row>
    <row r="36" spans="1:17" s="400" customFormat="1" ht="57" x14ac:dyDescent="0.25">
      <c r="A36" s="387">
        <v>3</v>
      </c>
      <c r="B36" s="387">
        <v>14</v>
      </c>
      <c r="C36" s="387">
        <f>IF(I36&gt;0,1,"")</f>
        <v>1</v>
      </c>
      <c r="D36" s="388" t="str">
        <f>IF(AND(CONCATENATE(K36,L36,M36,N36,O36,P36,Q36)=K36&amp;P36&amp;Q36,CONCATENATE(K36,L36,M36,N36,O36,P36,Q36)&lt;&gt;"",P36&lt;&gt;""),1,"")</f>
        <v/>
      </c>
      <c r="E36" s="389"/>
      <c r="F36" s="390"/>
      <c r="G36" s="402" t="s">
        <v>1</v>
      </c>
      <c r="H36" s="403">
        <v>102331</v>
      </c>
      <c r="I36" s="404" t="s">
        <v>230</v>
      </c>
      <c r="J36" s="404" t="str">
        <f t="shared" si="6"/>
        <v>3.14</v>
      </c>
      <c r="K36" s="405" t="s">
        <v>2924</v>
      </c>
      <c r="L36" s="406" t="s">
        <v>280</v>
      </c>
      <c r="M36" s="407">
        <f>'TRANSP. MAT.PAV'!K68</f>
        <v>264199.07</v>
      </c>
      <c r="N36" s="408">
        <f>'ORÇ. MATERIAL'!R66</f>
        <v>166445.41</v>
      </c>
      <c r="O36" s="409">
        <v>0</v>
      </c>
      <c r="P36" s="410">
        <f>'ORÇAMENTO - ORIENTATIVO'!P36</f>
        <v>145309.48000000001</v>
      </c>
    </row>
    <row r="37" spans="1:17" s="400" customFormat="1" ht="15.75" x14ac:dyDescent="0.25">
      <c r="A37" s="387">
        <v>4</v>
      </c>
      <c r="B37" s="387">
        <v>0</v>
      </c>
      <c r="C37" s="387">
        <v>1</v>
      </c>
      <c r="D37" s="388"/>
      <c r="E37" s="389"/>
      <c r="F37" s="390"/>
      <c r="G37" s="413"/>
      <c r="H37" s="414"/>
      <c r="I37" s="415"/>
      <c r="J37" s="415" t="str">
        <f>IFERROR(IF(B37&lt;&gt;"",A37&amp;"."&amp;B37,""),"S/Nº")</f>
        <v>4.0</v>
      </c>
      <c r="K37" s="416" t="s">
        <v>252</v>
      </c>
      <c r="L37" s="417"/>
      <c r="M37" s="418"/>
      <c r="N37" s="419">
        <f>SUM(N38:N62)</f>
        <v>0</v>
      </c>
      <c r="O37" s="419">
        <f>SUM(O38:O62)</f>
        <v>4910654.4799999986</v>
      </c>
      <c r="P37" s="419">
        <f>SUM(P38:P62)</f>
        <v>4910654.4799999986</v>
      </c>
      <c r="Q37" s="441"/>
    </row>
    <row r="38" spans="1:17" s="400" customFormat="1" ht="15.75" x14ac:dyDescent="0.25">
      <c r="A38" s="387">
        <v>4</v>
      </c>
      <c r="B38" s="387">
        <v>1</v>
      </c>
      <c r="C38" s="387">
        <v>1</v>
      </c>
      <c r="D38" s="388"/>
      <c r="E38" s="389"/>
      <c r="F38" s="390"/>
      <c r="G38" s="420"/>
      <c r="H38" s="421"/>
      <c r="I38" s="422"/>
      <c r="J38" s="422" t="str">
        <f>IFERROR(IF(B38&lt;&gt;"",A38&amp;"."&amp;B38,""),"S/Nº")</f>
        <v>4.1</v>
      </c>
      <c r="K38" s="423" t="s">
        <v>253</v>
      </c>
      <c r="L38" s="424"/>
      <c r="M38" s="425"/>
      <c r="N38" s="426"/>
      <c r="O38" s="427"/>
      <c r="P38" s="398"/>
      <c r="Q38" s="441"/>
    </row>
    <row r="39" spans="1:17" s="400" customFormat="1" ht="57" x14ac:dyDescent="0.25">
      <c r="A39" s="387">
        <v>4</v>
      </c>
      <c r="B39" s="387">
        <v>1</v>
      </c>
      <c r="C39" s="387">
        <v>1</v>
      </c>
      <c r="D39" s="388"/>
      <c r="E39" s="389"/>
      <c r="F39" s="390"/>
      <c r="G39" s="402" t="s">
        <v>1</v>
      </c>
      <c r="H39" s="403">
        <v>94267</v>
      </c>
      <c r="I39" s="404" t="s">
        <v>224</v>
      </c>
      <c r="J39" s="404" t="str">
        <f>IFERROR(IF(B39&lt;&gt;"",A39&amp;"."&amp;B39,""),"S/Nº")</f>
        <v>4.1</v>
      </c>
      <c r="K39" s="405" t="s">
        <v>254</v>
      </c>
      <c r="L39" s="406" t="s">
        <v>255</v>
      </c>
      <c r="M39" s="407">
        <f>'MEIO-FIO E SARJETA'!F54</f>
        <v>13237.55</v>
      </c>
      <c r="N39" s="408">
        <v>0</v>
      </c>
      <c r="O39" s="409">
        <f>P39-N39</f>
        <v>895652.63</v>
      </c>
      <c r="P39" s="410">
        <f>'ORÇAMENTO - ORIENTATIVO'!P39</f>
        <v>895652.63</v>
      </c>
      <c r="Q39" s="441"/>
    </row>
    <row r="40" spans="1:17" s="400" customFormat="1" ht="57" x14ac:dyDescent="0.25">
      <c r="A40" s="387">
        <v>4</v>
      </c>
      <c r="B40" s="387">
        <v>2</v>
      </c>
      <c r="C40" s="387">
        <v>1</v>
      </c>
      <c r="D40" s="388"/>
      <c r="E40" s="389"/>
      <c r="F40" s="390"/>
      <c r="G40" s="402" t="s">
        <v>1</v>
      </c>
      <c r="H40" s="403">
        <v>94268</v>
      </c>
      <c r="I40" s="404" t="s">
        <v>224</v>
      </c>
      <c r="J40" s="404" t="str">
        <f>IFERROR(IF(B40&lt;&gt;"",A40&amp;"."&amp;B40,""),"S/Nº")</f>
        <v>4.2</v>
      </c>
      <c r="K40" s="433" t="s">
        <v>256</v>
      </c>
      <c r="L40" s="434" t="s">
        <v>255</v>
      </c>
      <c r="M40" s="407">
        <f>'MEIO-FIO E SARJETA'!H54</f>
        <v>1411.47</v>
      </c>
      <c r="N40" s="442">
        <v>0</v>
      </c>
      <c r="O40" s="409">
        <f>P40-N40</f>
        <v>103107.88</v>
      </c>
      <c r="P40" s="410">
        <f>'ORÇAMENTO - ORIENTATIVO'!P40</f>
        <v>103107.88</v>
      </c>
      <c r="Q40" s="441"/>
    </row>
    <row r="41" spans="1:17" s="400" customFormat="1" ht="15.75" x14ac:dyDescent="0.25">
      <c r="A41" s="387">
        <v>4</v>
      </c>
      <c r="B41" s="387">
        <v>2</v>
      </c>
      <c r="C41" s="387">
        <v>1</v>
      </c>
      <c r="D41" s="388"/>
      <c r="E41" s="389"/>
      <c r="F41" s="390"/>
      <c r="G41" s="391"/>
      <c r="H41" s="392"/>
      <c r="I41" s="393"/>
      <c r="J41" s="393"/>
      <c r="K41" s="428" t="s">
        <v>257</v>
      </c>
      <c r="L41" s="396"/>
      <c r="M41" s="397"/>
      <c r="N41" s="429"/>
      <c r="O41" s="430"/>
      <c r="P41" s="399"/>
      <c r="Q41" s="441"/>
    </row>
    <row r="42" spans="1:17" s="400" customFormat="1" ht="71.25" x14ac:dyDescent="0.25">
      <c r="A42" s="387">
        <v>4</v>
      </c>
      <c r="B42" s="387">
        <v>3</v>
      </c>
      <c r="C42" s="387">
        <v>1</v>
      </c>
      <c r="D42" s="388"/>
      <c r="E42" s="389"/>
      <c r="F42" s="390"/>
      <c r="G42" s="402" t="s">
        <v>1</v>
      </c>
      <c r="H42" s="403">
        <v>90092</v>
      </c>
      <c r="I42" s="404" t="s">
        <v>224</v>
      </c>
      <c r="J42" s="404" t="str">
        <f t="shared" ref="J42:J72" si="7">IFERROR(IF(B42&lt;&gt;"",A42&amp;"."&amp;B42,""),"S/Nº")</f>
        <v>4.3</v>
      </c>
      <c r="K42" s="405" t="s">
        <v>258</v>
      </c>
      <c r="L42" s="406" t="s">
        <v>259</v>
      </c>
      <c r="M42" s="407">
        <f>'DREN. MEM. CAL.'!J90+'DREN. MEM. CAL.'!J98+'DREN. MEM. CAL.'!K106+'DREN. MEM. CAL.'!G179+'DREN. MEM. CAL.'!F190+'DREN. MEM. CAL.'!F196</f>
        <v>14986.76</v>
      </c>
      <c r="N42" s="408">
        <v>0</v>
      </c>
      <c r="O42" s="409">
        <f>P42-N42</f>
        <v>86024</v>
      </c>
      <c r="P42" s="410">
        <f>'ORÇAMENTO - ORIENTATIVO'!P42</f>
        <v>86024</v>
      </c>
      <c r="Q42" s="441"/>
    </row>
    <row r="43" spans="1:17" s="400" customFormat="1" ht="71.25" x14ac:dyDescent="0.25">
      <c r="A43" s="387">
        <v>4</v>
      </c>
      <c r="B43" s="387">
        <v>4</v>
      </c>
      <c r="C43" s="387">
        <v>1</v>
      </c>
      <c r="D43" s="388"/>
      <c r="E43" s="389"/>
      <c r="F43" s="390"/>
      <c r="G43" s="402" t="s">
        <v>1</v>
      </c>
      <c r="H43" s="403">
        <v>93381</v>
      </c>
      <c r="I43" s="404" t="s">
        <v>224</v>
      </c>
      <c r="J43" s="404" t="str">
        <f t="shared" si="7"/>
        <v>4.4</v>
      </c>
      <c r="K43" s="405" t="s">
        <v>260</v>
      </c>
      <c r="L43" s="406" t="s">
        <v>259</v>
      </c>
      <c r="M43" s="407">
        <f>'DREN. MEM. CAL.'!G196+'DREN. MEM. CAL.'!G190</f>
        <v>8578.34</v>
      </c>
      <c r="N43" s="408">
        <v>0</v>
      </c>
      <c r="O43" s="409">
        <f t="shared" ref="O43:O62" si="8">P43-N43</f>
        <v>93074.98</v>
      </c>
      <c r="P43" s="410">
        <f>'ORÇAMENTO - ORIENTATIVO'!P43</f>
        <v>93074.98</v>
      </c>
      <c r="Q43" s="441"/>
    </row>
    <row r="44" spans="1:17" s="400" customFormat="1" ht="30.75" customHeight="1" x14ac:dyDescent="0.25">
      <c r="A44" s="387">
        <v>4</v>
      </c>
      <c r="B44" s="387">
        <v>5</v>
      </c>
      <c r="C44" s="387">
        <v>1</v>
      </c>
      <c r="D44" s="388"/>
      <c r="E44" s="389"/>
      <c r="F44" s="390"/>
      <c r="G44" s="402" t="s">
        <v>1</v>
      </c>
      <c r="H44" s="403">
        <v>101572</v>
      </c>
      <c r="I44" s="404" t="s">
        <v>224</v>
      </c>
      <c r="J44" s="404" t="str">
        <f t="shared" si="7"/>
        <v>4.5</v>
      </c>
      <c r="K44" s="405" t="s">
        <v>261</v>
      </c>
      <c r="L44" s="406" t="s">
        <v>33</v>
      </c>
      <c r="M44" s="407">
        <f>'DREN. MEM. CAL.'!J190+'DREN. MEM. CAL.'!J196</f>
        <v>16939.11</v>
      </c>
      <c r="N44" s="408">
        <v>0</v>
      </c>
      <c r="O44" s="409">
        <f t="shared" si="8"/>
        <v>285254.61</v>
      </c>
      <c r="P44" s="410">
        <f>'ORÇAMENTO - ORIENTATIVO'!P44</f>
        <v>285254.61</v>
      </c>
      <c r="Q44" s="441"/>
    </row>
    <row r="45" spans="1:17" s="400" customFormat="1" ht="28.5" x14ac:dyDescent="0.25">
      <c r="A45" s="387">
        <v>4</v>
      </c>
      <c r="B45" s="387">
        <v>6</v>
      </c>
      <c r="C45" s="387">
        <v>1</v>
      </c>
      <c r="D45" s="388"/>
      <c r="E45" s="389"/>
      <c r="F45" s="390"/>
      <c r="G45" s="402" t="s">
        <v>1</v>
      </c>
      <c r="H45" s="403">
        <v>93589</v>
      </c>
      <c r="I45" s="404" t="s">
        <v>224</v>
      </c>
      <c r="J45" s="404" t="str">
        <f t="shared" si="7"/>
        <v>4.6</v>
      </c>
      <c r="K45" s="405" t="s">
        <v>262</v>
      </c>
      <c r="L45" s="406" t="s">
        <v>263</v>
      </c>
      <c r="M45" s="407">
        <f>'TRANSP. DRENAGEM'!M39+'TRANSP. DRENAGEM'!M46</f>
        <v>5156.08</v>
      </c>
      <c r="N45" s="408">
        <v>0</v>
      </c>
      <c r="O45" s="409">
        <f t="shared" si="8"/>
        <v>13921.41</v>
      </c>
      <c r="P45" s="410">
        <f>'ORÇAMENTO - ORIENTATIVO'!P45</f>
        <v>13921.41</v>
      </c>
      <c r="Q45" s="441"/>
    </row>
    <row r="46" spans="1:17" s="400" customFormat="1" ht="42.75" x14ac:dyDescent="0.25">
      <c r="A46" s="387">
        <v>4</v>
      </c>
      <c r="B46" s="387">
        <v>7</v>
      </c>
      <c r="C46" s="387">
        <v>1</v>
      </c>
      <c r="D46" s="388"/>
      <c r="E46" s="389"/>
      <c r="F46" s="390"/>
      <c r="G46" s="402" t="s">
        <v>1</v>
      </c>
      <c r="H46" s="403">
        <v>95875</v>
      </c>
      <c r="I46" s="404" t="s">
        <v>224</v>
      </c>
      <c r="J46" s="404" t="str">
        <f t="shared" si="7"/>
        <v>4.7</v>
      </c>
      <c r="K46" s="405" t="s">
        <v>264</v>
      </c>
      <c r="L46" s="406" t="s">
        <v>263</v>
      </c>
      <c r="M46" s="407">
        <f>'TRANSP. DRENAGEM'!M42+'TRANSP. DRENAGEM'!M49</f>
        <v>5743.13</v>
      </c>
      <c r="N46" s="408">
        <v>0</v>
      </c>
      <c r="O46" s="409">
        <f t="shared" si="8"/>
        <v>14300.39</v>
      </c>
      <c r="P46" s="410">
        <f>'ORÇAMENTO - ORIENTATIVO'!P46</f>
        <v>14300.39</v>
      </c>
      <c r="Q46" s="441"/>
    </row>
    <row r="47" spans="1:17" s="400" customFormat="1" ht="57" x14ac:dyDescent="0.25">
      <c r="A47" s="387">
        <v>4</v>
      </c>
      <c r="B47" s="387">
        <v>8</v>
      </c>
      <c r="C47" s="387">
        <v>1</v>
      </c>
      <c r="D47" s="388"/>
      <c r="E47" s="389"/>
      <c r="F47" s="390"/>
      <c r="G47" s="402" t="s">
        <v>1</v>
      </c>
      <c r="H47" s="403">
        <v>92219</v>
      </c>
      <c r="I47" s="404" t="s">
        <v>224</v>
      </c>
      <c r="J47" s="404" t="str">
        <f t="shared" si="7"/>
        <v>4.8</v>
      </c>
      <c r="K47" s="405" t="s">
        <v>265</v>
      </c>
      <c r="L47" s="406" t="s">
        <v>255</v>
      </c>
      <c r="M47" s="407">
        <f>'DREN. MEM. CAL.'!C184</f>
        <v>286</v>
      </c>
      <c r="N47" s="408">
        <v>0</v>
      </c>
      <c r="O47" s="409">
        <f t="shared" si="8"/>
        <v>53662.18</v>
      </c>
      <c r="P47" s="410">
        <f>'ORÇAMENTO - ORIENTATIVO'!P47</f>
        <v>53662.18</v>
      </c>
      <c r="Q47" s="441"/>
    </row>
    <row r="48" spans="1:17" s="400" customFormat="1" ht="57" x14ac:dyDescent="0.25">
      <c r="A48" s="387">
        <v>4</v>
      </c>
      <c r="B48" s="387">
        <v>9</v>
      </c>
      <c r="C48" s="387">
        <v>1</v>
      </c>
      <c r="D48" s="388"/>
      <c r="E48" s="389"/>
      <c r="F48" s="390"/>
      <c r="G48" s="402" t="s">
        <v>1</v>
      </c>
      <c r="H48" s="403">
        <v>92221</v>
      </c>
      <c r="I48" s="404" t="s">
        <v>224</v>
      </c>
      <c r="J48" s="404" t="str">
        <f t="shared" si="7"/>
        <v>4.9</v>
      </c>
      <c r="K48" s="405" t="s">
        <v>266</v>
      </c>
      <c r="L48" s="406" t="s">
        <v>255</v>
      </c>
      <c r="M48" s="407">
        <f>'DREN. MEM. CAL.'!C192+'DREN. MEM. CAL.'!C193+'DREN. MEM. CAL.'!C185+'DREN. MEM. CAL.'!C186</f>
        <v>2521</v>
      </c>
      <c r="N48" s="408">
        <v>0</v>
      </c>
      <c r="O48" s="409">
        <f t="shared" si="8"/>
        <v>845921.55</v>
      </c>
      <c r="P48" s="410">
        <f>'ORÇAMENTO - ORIENTATIVO'!P48</f>
        <v>845921.55</v>
      </c>
      <c r="Q48" s="441"/>
    </row>
    <row r="49" spans="1:17" s="400" customFormat="1" ht="57" x14ac:dyDescent="0.25">
      <c r="A49" s="387">
        <v>4</v>
      </c>
      <c r="B49" s="387">
        <v>10</v>
      </c>
      <c r="C49" s="387">
        <v>1</v>
      </c>
      <c r="D49" s="388"/>
      <c r="E49" s="389"/>
      <c r="F49" s="390"/>
      <c r="G49" s="402" t="s">
        <v>1</v>
      </c>
      <c r="H49" s="403">
        <v>92223</v>
      </c>
      <c r="I49" s="404" t="s">
        <v>224</v>
      </c>
      <c r="J49" s="404" t="str">
        <f t="shared" si="7"/>
        <v>4.10</v>
      </c>
      <c r="K49" s="405" t="s">
        <v>267</v>
      </c>
      <c r="L49" s="406" t="s">
        <v>255</v>
      </c>
      <c r="M49" s="407">
        <f>'DREN. MEM. CAL.'!C194+'DREN. MEM. CAL.'!C187</f>
        <v>832</v>
      </c>
      <c r="N49" s="408">
        <v>0</v>
      </c>
      <c r="O49" s="409">
        <f t="shared" si="8"/>
        <v>442424.32000000001</v>
      </c>
      <c r="P49" s="410">
        <f>'ORÇAMENTO - ORIENTATIVO'!P49</f>
        <v>442424.32000000001</v>
      </c>
      <c r="Q49" s="441"/>
    </row>
    <row r="50" spans="1:17" s="400" customFormat="1" ht="57" x14ac:dyDescent="0.25">
      <c r="A50" s="387">
        <v>4</v>
      </c>
      <c r="B50" s="387">
        <v>11</v>
      </c>
      <c r="C50" s="387">
        <v>1</v>
      </c>
      <c r="D50" s="388"/>
      <c r="E50" s="389"/>
      <c r="F50" s="390"/>
      <c r="G50" s="402" t="s">
        <v>1</v>
      </c>
      <c r="H50" s="403">
        <v>92226</v>
      </c>
      <c r="I50" s="404" t="s">
        <v>224</v>
      </c>
      <c r="J50" s="404" t="str">
        <f t="shared" si="7"/>
        <v>4.11</v>
      </c>
      <c r="K50" s="405" t="s">
        <v>268</v>
      </c>
      <c r="L50" s="406" t="s">
        <v>255</v>
      </c>
      <c r="M50" s="407">
        <f>'DREN. MEM. CAL.'!C195+'DREN. MEM. CAL.'!C188</f>
        <v>1277</v>
      </c>
      <c r="N50" s="408">
        <v>0</v>
      </c>
      <c r="O50" s="409">
        <f t="shared" si="8"/>
        <v>816488.26</v>
      </c>
      <c r="P50" s="410">
        <f>'ORÇAMENTO - ORIENTATIVO'!P50</f>
        <v>816488.26</v>
      </c>
      <c r="Q50" s="441"/>
    </row>
    <row r="51" spans="1:17" s="400" customFormat="1" ht="57" x14ac:dyDescent="0.25">
      <c r="A51" s="387">
        <v>4</v>
      </c>
      <c r="B51" s="387">
        <v>12</v>
      </c>
      <c r="C51" s="387">
        <v>1</v>
      </c>
      <c r="D51" s="388"/>
      <c r="E51" s="389"/>
      <c r="F51" s="390"/>
      <c r="G51" s="402" t="s">
        <v>1</v>
      </c>
      <c r="H51" s="403">
        <v>92829</v>
      </c>
      <c r="I51" s="404" t="s">
        <v>224</v>
      </c>
      <c r="J51" s="404" t="str">
        <f t="shared" si="7"/>
        <v>4.12</v>
      </c>
      <c r="K51" s="405" t="s">
        <v>269</v>
      </c>
      <c r="L51" s="406" t="s">
        <v>255</v>
      </c>
      <c r="M51" s="407">
        <f>'DREN. MEM. CAL.'!C189</f>
        <v>447</v>
      </c>
      <c r="N51" s="408">
        <v>0</v>
      </c>
      <c r="O51" s="409">
        <f t="shared" si="8"/>
        <v>410109.09</v>
      </c>
      <c r="P51" s="410">
        <f>'ORÇAMENTO - ORIENTATIVO'!P51</f>
        <v>410109.09</v>
      </c>
      <c r="Q51" s="441"/>
    </row>
    <row r="52" spans="1:17" s="400" customFormat="1" ht="57" x14ac:dyDescent="0.25">
      <c r="A52" s="387">
        <v>4</v>
      </c>
      <c r="B52" s="387">
        <v>13</v>
      </c>
      <c r="C52" s="387">
        <v>1</v>
      </c>
      <c r="D52" s="388"/>
      <c r="E52" s="389"/>
      <c r="F52" s="390"/>
      <c r="G52" s="402" t="s">
        <v>1</v>
      </c>
      <c r="H52" s="403">
        <v>99290</v>
      </c>
      <c r="I52" s="404" t="s">
        <v>224</v>
      </c>
      <c r="J52" s="404" t="str">
        <f t="shared" si="7"/>
        <v>4.13</v>
      </c>
      <c r="K52" s="433" t="s">
        <v>270</v>
      </c>
      <c r="L52" s="434" t="s">
        <v>16</v>
      </c>
      <c r="M52" s="407">
        <f>'DREN. MEM. CAL.'!L175+'DREN. MEM. CAL.'!L140</f>
        <v>63</v>
      </c>
      <c r="N52" s="442">
        <v>0</v>
      </c>
      <c r="O52" s="409">
        <f t="shared" si="8"/>
        <v>266755.23</v>
      </c>
      <c r="P52" s="410">
        <f>'ORÇAMENTO - ORIENTATIVO'!P52</f>
        <v>266755.23</v>
      </c>
      <c r="Q52" s="441"/>
    </row>
    <row r="53" spans="1:17" s="400" customFormat="1" ht="42.75" x14ac:dyDescent="0.25">
      <c r="A53" s="387">
        <v>4</v>
      </c>
      <c r="B53" s="387">
        <v>14</v>
      </c>
      <c r="C53" s="387">
        <v>1</v>
      </c>
      <c r="D53" s="388"/>
      <c r="E53" s="389"/>
      <c r="F53" s="390"/>
      <c r="G53" s="402" t="s">
        <v>1</v>
      </c>
      <c r="H53" s="403">
        <v>99241</v>
      </c>
      <c r="I53" s="404" t="s">
        <v>224</v>
      </c>
      <c r="J53" s="404" t="str">
        <f t="shared" si="7"/>
        <v>4.14</v>
      </c>
      <c r="K53" s="433" t="s">
        <v>271</v>
      </c>
      <c r="L53" s="434" t="s">
        <v>255</v>
      </c>
      <c r="M53" s="407">
        <f>'DREN. MEM. CAL.'!K177</f>
        <v>27.85</v>
      </c>
      <c r="N53" s="442">
        <v>0</v>
      </c>
      <c r="O53" s="409">
        <f t="shared" si="8"/>
        <v>50342.77</v>
      </c>
      <c r="P53" s="410">
        <f>'ORÇAMENTO - ORIENTATIVO'!P53</f>
        <v>50342.77</v>
      </c>
      <c r="Q53" s="441"/>
    </row>
    <row r="54" spans="1:17" s="400" customFormat="1" ht="28.5" x14ac:dyDescent="0.25">
      <c r="A54" s="387">
        <v>4</v>
      </c>
      <c r="B54" s="387">
        <v>15</v>
      </c>
      <c r="C54" s="387">
        <v>1</v>
      </c>
      <c r="D54" s="388"/>
      <c r="E54" s="389"/>
      <c r="F54" s="390"/>
      <c r="G54" s="402" t="s">
        <v>1</v>
      </c>
      <c r="H54" s="403">
        <v>98114</v>
      </c>
      <c r="I54" s="404" t="s">
        <v>224</v>
      </c>
      <c r="J54" s="404" t="str">
        <f t="shared" si="7"/>
        <v>4.15</v>
      </c>
      <c r="K54" s="405" t="s">
        <v>272</v>
      </c>
      <c r="L54" s="406" t="s">
        <v>16</v>
      </c>
      <c r="M54" s="407">
        <f>COUNTA('DREN. MEM. CAL.'!B111:B140)+COUNTA('DREN. MEM. CAL.'!B143:B175)</f>
        <v>63</v>
      </c>
      <c r="N54" s="408">
        <v>0</v>
      </c>
      <c r="O54" s="409">
        <f t="shared" si="8"/>
        <v>44178.75</v>
      </c>
      <c r="P54" s="410">
        <f>'ORÇAMENTO - ORIENTATIVO'!P54</f>
        <v>44178.75</v>
      </c>
      <c r="Q54" s="441"/>
    </row>
    <row r="55" spans="1:17" s="400" customFormat="1" ht="42.75" x14ac:dyDescent="0.25">
      <c r="A55" s="387">
        <v>4</v>
      </c>
      <c r="B55" s="387">
        <v>16</v>
      </c>
      <c r="C55" s="387">
        <v>1</v>
      </c>
      <c r="D55" s="388"/>
      <c r="E55" s="389"/>
      <c r="F55" s="390"/>
      <c r="G55" s="402" t="s">
        <v>1</v>
      </c>
      <c r="H55" s="403">
        <v>97947</v>
      </c>
      <c r="I55" s="404" t="s">
        <v>224</v>
      </c>
      <c r="J55" s="404" t="str">
        <f t="shared" si="7"/>
        <v>4.16</v>
      </c>
      <c r="K55" s="405" t="s">
        <v>273</v>
      </c>
      <c r="L55" s="406" t="s">
        <v>16</v>
      </c>
      <c r="M55" s="407">
        <f>'DREN. MEM. CAL.'!I90</f>
        <v>5</v>
      </c>
      <c r="N55" s="408">
        <v>0</v>
      </c>
      <c r="O55" s="409">
        <f t="shared" si="8"/>
        <v>9619.2000000000007</v>
      </c>
      <c r="P55" s="410">
        <f>'ORÇAMENTO - ORIENTATIVO'!P55</f>
        <v>9619.2000000000007</v>
      </c>
      <c r="Q55" s="441"/>
    </row>
    <row r="56" spans="1:17" s="400" customFormat="1" ht="42.75" x14ac:dyDescent="0.25">
      <c r="A56" s="387">
        <v>4</v>
      </c>
      <c r="B56" s="387">
        <v>17</v>
      </c>
      <c r="C56" s="387">
        <v>1</v>
      </c>
      <c r="D56" s="388"/>
      <c r="E56" s="389"/>
      <c r="F56" s="390"/>
      <c r="G56" s="402" t="s">
        <v>1</v>
      </c>
      <c r="H56" s="403">
        <v>97948</v>
      </c>
      <c r="I56" s="404" t="s">
        <v>224</v>
      </c>
      <c r="J56" s="404" t="str">
        <f t="shared" si="7"/>
        <v>4.17</v>
      </c>
      <c r="K56" s="405" t="s">
        <v>274</v>
      </c>
      <c r="L56" s="406" t="s">
        <v>16</v>
      </c>
      <c r="M56" s="407">
        <f>'DREN. MEM. CAL.'!I98</f>
        <v>92</v>
      </c>
      <c r="N56" s="408">
        <v>0</v>
      </c>
      <c r="O56" s="409">
        <f t="shared" si="8"/>
        <v>324919.15999999997</v>
      </c>
      <c r="P56" s="410">
        <f>'ORÇAMENTO - ORIENTATIVO'!P56</f>
        <v>324919.15999999997</v>
      </c>
      <c r="Q56" s="441"/>
    </row>
    <row r="57" spans="1:17" s="400" customFormat="1" ht="28.5" x14ac:dyDescent="0.25">
      <c r="A57" s="387">
        <v>4</v>
      </c>
      <c r="B57" s="387">
        <v>18</v>
      </c>
      <c r="C57" s="387">
        <v>1</v>
      </c>
      <c r="D57" s="388"/>
      <c r="E57" s="389"/>
      <c r="F57" s="390"/>
      <c r="G57" s="402" t="s">
        <v>6</v>
      </c>
      <c r="H57" s="403">
        <v>2003767</v>
      </c>
      <c r="I57" s="404" t="s">
        <v>224</v>
      </c>
      <c r="J57" s="404" t="str">
        <f t="shared" si="7"/>
        <v>4.18</v>
      </c>
      <c r="K57" s="433" t="s">
        <v>275</v>
      </c>
      <c r="L57" s="434" t="s">
        <v>259</v>
      </c>
      <c r="M57" s="407">
        <f>'DREN. MEM. CAL.'!K196+'DREN. MEM. CAL.'!K190</f>
        <v>732.38</v>
      </c>
      <c r="N57" s="408">
        <v>0</v>
      </c>
      <c r="O57" s="409">
        <f t="shared" si="8"/>
        <v>78276.77</v>
      </c>
      <c r="P57" s="410">
        <f>'ORÇAMENTO - ORIENTATIVO'!P57</f>
        <v>78276.77</v>
      </c>
      <c r="Q57" s="441"/>
    </row>
    <row r="58" spans="1:17" s="400" customFormat="1" ht="28.5" x14ac:dyDescent="0.25">
      <c r="A58" s="387">
        <v>4</v>
      </c>
      <c r="B58" s="387">
        <v>19</v>
      </c>
      <c r="C58" s="387">
        <v>1</v>
      </c>
      <c r="D58" s="388"/>
      <c r="E58" s="389"/>
      <c r="F58" s="390"/>
      <c r="G58" s="402" t="s">
        <v>6</v>
      </c>
      <c r="H58" s="403">
        <v>2003457</v>
      </c>
      <c r="I58" s="404" t="s">
        <v>224</v>
      </c>
      <c r="J58" s="404" t="str">
        <f t="shared" si="7"/>
        <v>4.19</v>
      </c>
      <c r="K58" s="405" t="s">
        <v>276</v>
      </c>
      <c r="L58" s="406" t="s">
        <v>16</v>
      </c>
      <c r="M58" s="407">
        <v>1</v>
      </c>
      <c r="N58" s="408">
        <v>0</v>
      </c>
      <c r="O58" s="409">
        <f t="shared" si="8"/>
        <v>2887.64</v>
      </c>
      <c r="P58" s="410">
        <f>'ORÇAMENTO - ORIENTATIVO'!P58</f>
        <v>2887.64</v>
      </c>
      <c r="Q58" s="441"/>
    </row>
    <row r="59" spans="1:17" s="400" customFormat="1" ht="42.75" x14ac:dyDescent="0.25">
      <c r="A59" s="387">
        <v>4</v>
      </c>
      <c r="B59" s="387">
        <v>20</v>
      </c>
      <c r="C59" s="387">
        <v>1</v>
      </c>
      <c r="D59" s="388"/>
      <c r="E59" s="389"/>
      <c r="F59" s="390"/>
      <c r="G59" s="402" t="s">
        <v>1</v>
      </c>
      <c r="H59" s="403">
        <v>102740</v>
      </c>
      <c r="I59" s="404" t="s">
        <v>224</v>
      </c>
      <c r="J59" s="404" t="str">
        <f t="shared" si="7"/>
        <v>4.20</v>
      </c>
      <c r="K59" s="405" t="s">
        <v>277</v>
      </c>
      <c r="L59" s="406" t="s">
        <v>16</v>
      </c>
      <c r="M59" s="407">
        <v>1</v>
      </c>
      <c r="N59" s="408">
        <v>0</v>
      </c>
      <c r="O59" s="409">
        <f t="shared" si="8"/>
        <v>6381.75</v>
      </c>
      <c r="P59" s="410">
        <f>'ORÇAMENTO - ORIENTATIVO'!P59</f>
        <v>6381.75</v>
      </c>
      <c r="Q59" s="441"/>
    </row>
    <row r="60" spans="1:17" s="400" customFormat="1" ht="28.5" x14ac:dyDescent="0.25">
      <c r="A60" s="387">
        <v>4</v>
      </c>
      <c r="B60" s="387">
        <v>21</v>
      </c>
      <c r="C60" s="387">
        <v>1</v>
      </c>
      <c r="D60" s="388"/>
      <c r="E60" s="389"/>
      <c r="F60" s="390"/>
      <c r="G60" s="402" t="s">
        <v>6</v>
      </c>
      <c r="H60" s="403">
        <v>2003644</v>
      </c>
      <c r="I60" s="404" t="s">
        <v>224</v>
      </c>
      <c r="J60" s="404" t="str">
        <f t="shared" si="7"/>
        <v>4.21</v>
      </c>
      <c r="K60" s="405" t="s">
        <v>278</v>
      </c>
      <c r="L60" s="406" t="s">
        <v>16</v>
      </c>
      <c r="M60" s="407">
        <f>'DREN. MEM. CAL.'!J106</f>
        <v>19</v>
      </c>
      <c r="N60" s="408">
        <v>0</v>
      </c>
      <c r="O60" s="409">
        <f t="shared" si="8"/>
        <v>30252.560000000001</v>
      </c>
      <c r="P60" s="410">
        <f>'ORÇAMENTO - ORIENTATIVO'!P60</f>
        <v>30252.560000000001</v>
      </c>
      <c r="Q60" s="441"/>
    </row>
    <row r="61" spans="1:17" s="400" customFormat="1" ht="42.75" x14ac:dyDescent="0.25">
      <c r="A61" s="387">
        <v>4</v>
      </c>
      <c r="B61" s="387">
        <v>22</v>
      </c>
      <c r="C61" s="387">
        <v>1</v>
      </c>
      <c r="D61" s="388"/>
      <c r="E61" s="389"/>
      <c r="F61" s="390"/>
      <c r="G61" s="402" t="s">
        <v>1</v>
      </c>
      <c r="H61" s="403">
        <v>100951</v>
      </c>
      <c r="I61" s="404" t="s">
        <v>224</v>
      </c>
      <c r="J61" s="404" t="str">
        <f t="shared" si="7"/>
        <v>4.22</v>
      </c>
      <c r="K61" s="405" t="s">
        <v>279</v>
      </c>
      <c r="L61" s="406" t="s">
        <v>280</v>
      </c>
      <c r="M61" s="407">
        <f>'TRANSP. DRENAGEM'!M19</f>
        <v>6193.5499999999993</v>
      </c>
      <c r="N61" s="408">
        <v>0</v>
      </c>
      <c r="O61" s="409">
        <f t="shared" si="8"/>
        <v>19323.87</v>
      </c>
      <c r="P61" s="410">
        <f>'ORÇAMENTO - ORIENTATIVO'!P61</f>
        <v>19323.87</v>
      </c>
      <c r="Q61" s="441"/>
    </row>
    <row r="62" spans="1:17" s="400" customFormat="1" ht="42.75" x14ac:dyDescent="0.25">
      <c r="A62" s="387">
        <v>4</v>
      </c>
      <c r="B62" s="387">
        <v>23</v>
      </c>
      <c r="C62" s="387">
        <v>1</v>
      </c>
      <c r="D62" s="388"/>
      <c r="E62" s="389"/>
      <c r="F62" s="390"/>
      <c r="G62" s="402" t="s">
        <v>1</v>
      </c>
      <c r="H62" s="403">
        <v>100952</v>
      </c>
      <c r="I62" s="404" t="s">
        <v>224</v>
      </c>
      <c r="J62" s="404" t="str">
        <f t="shared" si="7"/>
        <v>4.23</v>
      </c>
      <c r="K62" s="433" t="s">
        <v>281</v>
      </c>
      <c r="L62" s="434" t="s">
        <v>280</v>
      </c>
      <c r="M62" s="407">
        <f>'TRANSP. DRENAGEM'!M34</f>
        <v>6193.5499999999993</v>
      </c>
      <c r="N62" s="442">
        <v>0</v>
      </c>
      <c r="O62" s="409">
        <f t="shared" si="8"/>
        <v>17775.48</v>
      </c>
      <c r="P62" s="410">
        <f>'ORÇAMENTO - ORIENTATIVO'!P62</f>
        <v>17775.48</v>
      </c>
      <c r="Q62" s="441"/>
    </row>
    <row r="63" spans="1:17" s="400" customFormat="1" ht="15.75" x14ac:dyDescent="0.25">
      <c r="A63" s="387">
        <v>5</v>
      </c>
      <c r="B63" s="387">
        <v>0</v>
      </c>
      <c r="C63" s="387" t="str">
        <f>IF(I63&gt;0,1,"")</f>
        <v/>
      </c>
      <c r="D63" s="388" t="str">
        <f>IF(AND(CONCATENATE(K63,L63,M63,N63,O63,P63,Q63)=K63&amp;P63&amp;Q63,CONCATENATE(K63,L63,M63,N63,O63,P63,Q63)&lt;&gt;"",P63&lt;&gt;""),1,"")</f>
        <v/>
      </c>
      <c r="E63" s="389"/>
      <c r="F63" s="390"/>
      <c r="G63" s="391"/>
      <c r="H63" s="392"/>
      <c r="I63" s="393"/>
      <c r="J63" s="393" t="str">
        <f t="shared" si="7"/>
        <v>5.0</v>
      </c>
      <c r="K63" s="395" t="s">
        <v>282</v>
      </c>
      <c r="L63" s="396"/>
      <c r="M63" s="397"/>
      <c r="N63" s="399">
        <f>SUM(N64:N71)</f>
        <v>0</v>
      </c>
      <c r="O63" s="399">
        <f>SUM(O64:O71)</f>
        <v>2026900.55</v>
      </c>
      <c r="P63" s="399">
        <f>SUM(P64:P71)</f>
        <v>2026900.55</v>
      </c>
    </row>
    <row r="64" spans="1:17" s="400" customFormat="1" ht="42.75" x14ac:dyDescent="0.25">
      <c r="A64" s="387">
        <v>5</v>
      </c>
      <c r="B64" s="387">
        <v>1</v>
      </c>
      <c r="C64" s="387">
        <f>IF(I64&gt;0,1,"")</f>
        <v>1</v>
      </c>
      <c r="D64" s="388" t="str">
        <f>IF(AND(CONCATENATE(K64,L64,M64,N64,O64,P64,Q64)=K64&amp;P64&amp;Q64,CONCATENATE(K64,L64,M64,N64,O64,P64,Q64)&lt;&gt;"",P64&lt;&gt;""),1,"")</f>
        <v/>
      </c>
      <c r="E64" s="389"/>
      <c r="F64" s="390"/>
      <c r="G64" s="402" t="s">
        <v>1</v>
      </c>
      <c r="H64" s="403">
        <v>97083</v>
      </c>
      <c r="I64" s="404" t="s">
        <v>224</v>
      </c>
      <c r="J64" s="404" t="str">
        <f t="shared" si="7"/>
        <v>5.1</v>
      </c>
      <c r="K64" s="405" t="s">
        <v>2925</v>
      </c>
      <c r="L64" s="406" t="s">
        <v>33</v>
      </c>
      <c r="M64" s="407">
        <f>CALÇADA!I53</f>
        <v>22740.78</v>
      </c>
      <c r="N64" s="408">
        <v>0</v>
      </c>
      <c r="O64" s="409">
        <f>P64-N64</f>
        <v>70951.23</v>
      </c>
      <c r="P64" s="410">
        <f>'ORÇAMENTO - ORIENTATIVO'!P64</f>
        <v>70951.23</v>
      </c>
    </row>
    <row r="65" spans="1:29" s="400" customFormat="1" ht="42.75" x14ac:dyDescent="0.25">
      <c r="A65" s="387">
        <v>5</v>
      </c>
      <c r="B65" s="387">
        <v>2</v>
      </c>
      <c r="C65" s="387">
        <f>IF(I65&gt;0,1,"")</f>
        <v>1</v>
      </c>
      <c r="D65" s="388" t="str">
        <f>IF(AND(CONCATENATE(K65,L65,M65,N65,O65,P65,Q65)=K65&amp;P65&amp;Q65,CONCATENATE(K65,L65,M65,N65,O65,P65,Q65)&lt;&gt;"",P65&lt;&gt;""),1,"")</f>
        <v/>
      </c>
      <c r="E65" s="389"/>
      <c r="F65" s="390"/>
      <c r="G65" s="402" t="s">
        <v>1</v>
      </c>
      <c r="H65" s="403">
        <v>94990</v>
      </c>
      <c r="I65" s="404" t="s">
        <v>224</v>
      </c>
      <c r="J65" s="404" t="str">
        <f t="shared" si="7"/>
        <v>5.2</v>
      </c>
      <c r="K65" s="405" t="s">
        <v>2926</v>
      </c>
      <c r="L65" s="406" t="s">
        <v>259</v>
      </c>
      <c r="M65" s="407">
        <f>CALÇADA!L53</f>
        <v>1364.25</v>
      </c>
      <c r="N65" s="408">
        <v>0</v>
      </c>
      <c r="O65" s="409">
        <f t="shared" ref="O65:O71" si="9">P65-N65</f>
        <v>1154046.3600000001</v>
      </c>
      <c r="P65" s="410">
        <f>'ORÇAMENTO - ORIENTATIVO'!P65</f>
        <v>1154046.3600000001</v>
      </c>
    </row>
    <row r="66" spans="1:29" s="400" customFormat="1" ht="28.5" x14ac:dyDescent="0.25">
      <c r="A66" s="387">
        <v>5</v>
      </c>
      <c r="B66" s="387">
        <v>3</v>
      </c>
      <c r="C66" s="387">
        <v>1</v>
      </c>
      <c r="D66" s="388"/>
      <c r="E66" s="389"/>
      <c r="F66" s="390"/>
      <c r="G66" s="402" t="s">
        <v>1</v>
      </c>
      <c r="H66" s="403">
        <v>97113</v>
      </c>
      <c r="I66" s="404" t="s">
        <v>224</v>
      </c>
      <c r="J66" s="404" t="str">
        <f t="shared" si="7"/>
        <v>5.3</v>
      </c>
      <c r="K66" s="405" t="s">
        <v>2927</v>
      </c>
      <c r="L66" s="406" t="s">
        <v>33</v>
      </c>
      <c r="M66" s="407">
        <f>CALÇADA!I53</f>
        <v>22740.78</v>
      </c>
      <c r="N66" s="408">
        <v>0</v>
      </c>
      <c r="O66" s="409">
        <f t="shared" si="9"/>
        <v>51394.16</v>
      </c>
      <c r="P66" s="410">
        <f>'ORÇAMENTO - ORIENTATIVO'!P66</f>
        <v>51394.16</v>
      </c>
    </row>
    <row r="67" spans="1:29" s="400" customFormat="1" ht="28.5" x14ac:dyDescent="0.25">
      <c r="A67" s="387">
        <v>5</v>
      </c>
      <c r="B67" s="387">
        <v>4</v>
      </c>
      <c r="C67" s="387">
        <v>1</v>
      </c>
      <c r="D67" s="388"/>
      <c r="E67" s="389"/>
      <c r="F67" s="390"/>
      <c r="G67" s="402" t="s">
        <v>6</v>
      </c>
      <c r="H67" s="403">
        <v>2003850</v>
      </c>
      <c r="I67" s="404" t="s">
        <v>224</v>
      </c>
      <c r="J67" s="404" t="str">
        <f t="shared" si="7"/>
        <v>5.4</v>
      </c>
      <c r="K67" s="405" t="s">
        <v>924</v>
      </c>
      <c r="L67" s="406" t="s">
        <v>118</v>
      </c>
      <c r="M67" s="407">
        <f>CALÇADA!N53</f>
        <v>1137.03</v>
      </c>
      <c r="N67" s="408">
        <v>0</v>
      </c>
      <c r="O67" s="409">
        <f t="shared" si="9"/>
        <v>178400</v>
      </c>
      <c r="P67" s="410">
        <f>'ORÇAMENTO - ORIENTATIVO'!P67</f>
        <v>178400</v>
      </c>
    </row>
    <row r="68" spans="1:29" s="400" customFormat="1" ht="28.5" x14ac:dyDescent="0.25">
      <c r="A68" s="387">
        <v>5</v>
      </c>
      <c r="B68" s="387">
        <v>5</v>
      </c>
      <c r="C68" s="387">
        <f>IF(I68&gt;0,1,"")</f>
        <v>1</v>
      </c>
      <c r="D68" s="388" t="str">
        <f>IF(AND(CONCATENATE(K68,L68,M68,N68,O68,P68,Q68)=K68&amp;P68&amp;Q68,CONCATENATE(K68,L68,M68,N68,O68,P68,Q68)&lt;&gt;"",P68&lt;&gt;""),1,"")</f>
        <v/>
      </c>
      <c r="E68" s="389"/>
      <c r="F68" s="390"/>
      <c r="G68" s="402" t="s">
        <v>20</v>
      </c>
      <c r="H68" s="403" t="s">
        <v>64</v>
      </c>
      <c r="I68" s="404" t="s">
        <v>224</v>
      </c>
      <c r="J68" s="404" t="str">
        <f t="shared" si="7"/>
        <v>5.5</v>
      </c>
      <c r="K68" s="433" t="s">
        <v>63</v>
      </c>
      <c r="L68" s="434" t="s">
        <v>33</v>
      </c>
      <c r="M68" s="407">
        <f>'PISO TATIL SÓ RAMPA'!G18</f>
        <v>39.600000000000009</v>
      </c>
      <c r="N68" s="442">
        <v>0</v>
      </c>
      <c r="O68" s="409">
        <f t="shared" si="9"/>
        <v>6520.53</v>
      </c>
      <c r="P68" s="410">
        <f>'ORÇAMENTO - ORIENTATIVO'!P68</f>
        <v>6520.53</v>
      </c>
    </row>
    <row r="69" spans="1:29" s="400" customFormat="1" ht="28.5" x14ac:dyDescent="0.25">
      <c r="A69" s="387">
        <v>5</v>
      </c>
      <c r="B69" s="387">
        <v>6</v>
      </c>
      <c r="C69" s="387">
        <v>1</v>
      </c>
      <c r="D69" s="388"/>
      <c r="E69" s="389"/>
      <c r="F69" s="390"/>
      <c r="G69" s="402" t="s">
        <v>1</v>
      </c>
      <c r="H69" s="403">
        <v>93595</v>
      </c>
      <c r="I69" s="404" t="s">
        <v>224</v>
      </c>
      <c r="J69" s="404" t="str">
        <f t="shared" si="7"/>
        <v>5.6</v>
      </c>
      <c r="K69" s="433" t="s">
        <v>923</v>
      </c>
      <c r="L69" s="434" t="s">
        <v>280</v>
      </c>
      <c r="M69" s="407">
        <f>'TRANSP.PASSEIO '!K8</f>
        <v>180891.73</v>
      </c>
      <c r="N69" s="442">
        <v>0</v>
      </c>
      <c r="O69" s="409">
        <f t="shared" si="9"/>
        <v>329222.94</v>
      </c>
      <c r="P69" s="410">
        <f>'ORÇAMENTO - ORIENTATIVO'!P69</f>
        <v>329222.94</v>
      </c>
    </row>
    <row r="70" spans="1:29" s="400" customFormat="1" ht="28.5" x14ac:dyDescent="0.25">
      <c r="A70" s="387">
        <v>5</v>
      </c>
      <c r="B70" s="387">
        <v>7</v>
      </c>
      <c r="C70" s="387">
        <v>1</v>
      </c>
      <c r="D70" s="388"/>
      <c r="E70" s="389"/>
      <c r="F70" s="390"/>
      <c r="G70" s="402" t="s">
        <v>1</v>
      </c>
      <c r="H70" s="403">
        <v>95878</v>
      </c>
      <c r="I70" s="404" t="s">
        <v>224</v>
      </c>
      <c r="J70" s="404" t="str">
        <f t="shared" si="7"/>
        <v>5.7</v>
      </c>
      <c r="K70" s="433" t="s">
        <v>926</v>
      </c>
      <c r="L70" s="434" t="s">
        <v>280</v>
      </c>
      <c r="M70" s="407">
        <f>'TRANSP.PASSEIO '!K14</f>
        <v>53724.9</v>
      </c>
      <c r="N70" s="442">
        <v>0</v>
      </c>
      <c r="O70" s="409">
        <f t="shared" si="9"/>
        <v>90257.83</v>
      </c>
      <c r="P70" s="410">
        <f>'ORÇAMENTO - ORIENTATIVO'!P70</f>
        <v>90257.83</v>
      </c>
    </row>
    <row r="71" spans="1:29" s="400" customFormat="1" ht="42.75" x14ac:dyDescent="0.25">
      <c r="A71" s="387">
        <v>5</v>
      </c>
      <c r="B71" s="387">
        <v>8</v>
      </c>
      <c r="C71" s="387">
        <v>1</v>
      </c>
      <c r="D71" s="388"/>
      <c r="E71" s="389"/>
      <c r="F71" s="390"/>
      <c r="G71" s="402" t="s">
        <v>1</v>
      </c>
      <c r="H71" s="403">
        <v>93596</v>
      </c>
      <c r="I71" s="404" t="s">
        <v>224</v>
      </c>
      <c r="J71" s="404" t="str">
        <f t="shared" si="7"/>
        <v>5.8</v>
      </c>
      <c r="K71" s="433" t="s">
        <v>927</v>
      </c>
      <c r="L71" s="434" t="s">
        <v>280</v>
      </c>
      <c r="M71" s="407">
        <f>'TRANSP.PASSEIO '!K20</f>
        <v>221375</v>
      </c>
      <c r="N71" s="442">
        <v>0</v>
      </c>
      <c r="O71" s="409">
        <f t="shared" si="9"/>
        <v>146107.5</v>
      </c>
      <c r="P71" s="410">
        <f>'ORÇAMENTO - ORIENTATIVO'!P71</f>
        <v>146107.5</v>
      </c>
    </row>
    <row r="72" spans="1:29" s="400" customFormat="1" ht="15.75" x14ac:dyDescent="0.25">
      <c r="A72" s="387">
        <v>6</v>
      </c>
      <c r="B72" s="387">
        <v>0</v>
      </c>
      <c r="C72" s="387" t="str">
        <f>IF(I72&gt;0,1,"")</f>
        <v/>
      </c>
      <c r="D72" s="388">
        <v>1</v>
      </c>
      <c r="E72" s="389"/>
      <c r="F72" s="390"/>
      <c r="G72" s="413"/>
      <c r="H72" s="414"/>
      <c r="I72" s="415"/>
      <c r="J72" s="415" t="str">
        <f t="shared" si="7"/>
        <v>6.0</v>
      </c>
      <c r="K72" s="416" t="s">
        <v>283</v>
      </c>
      <c r="L72" s="417"/>
      <c r="M72" s="418"/>
      <c r="N72" s="419">
        <f>SUM(N73:N81)</f>
        <v>257341.38</v>
      </c>
      <c r="O72" s="419">
        <f>SUM(O73:O81)</f>
        <v>14590.199999999997</v>
      </c>
      <c r="P72" s="419">
        <f>SUM(P73:P81)</f>
        <v>271931.57999999996</v>
      </c>
    </row>
    <row r="73" spans="1:29" s="400" customFormat="1" ht="15.75" x14ac:dyDescent="0.25">
      <c r="A73" s="387">
        <v>6</v>
      </c>
      <c r="B73" s="387">
        <v>1</v>
      </c>
      <c r="C73" s="387" t="str">
        <f>IF(I73&gt;0,1,"")</f>
        <v/>
      </c>
      <c r="D73" s="388" t="str">
        <f t="shared" ref="D73:D81" si="10">IF(AND(CONCATENATE(K73,L73,M73,N73,O73,P73,Q73)=K73&amp;P73&amp;Q73,CONCATENATE(K73,L73,M73,N73,O73,P73,Q73)&lt;&gt;"",P73&lt;&gt;""),1,"")</f>
        <v/>
      </c>
      <c r="E73" s="389"/>
      <c r="F73" s="390"/>
      <c r="G73" s="420"/>
      <c r="H73" s="421"/>
      <c r="I73" s="422"/>
      <c r="J73" s="422"/>
      <c r="K73" s="423" t="s">
        <v>284</v>
      </c>
      <c r="L73" s="424"/>
      <c r="M73" s="425"/>
      <c r="N73" s="426"/>
      <c r="O73" s="427"/>
      <c r="P73" s="398"/>
    </row>
    <row r="74" spans="1:29" s="400" customFormat="1" ht="28.5" x14ac:dyDescent="0.25">
      <c r="A74" s="387">
        <v>6</v>
      </c>
      <c r="B74" s="387">
        <v>1</v>
      </c>
      <c r="C74" s="387">
        <f t="shared" ref="C74:C81" si="11">IF(I74&gt;0,1,"")</f>
        <v>1</v>
      </c>
      <c r="D74" s="388" t="str">
        <f t="shared" si="10"/>
        <v/>
      </c>
      <c r="E74" s="389"/>
      <c r="F74" s="390"/>
      <c r="G74" s="402" t="s">
        <v>6</v>
      </c>
      <c r="H74" s="403">
        <v>5213444</v>
      </c>
      <c r="I74" s="404" t="s">
        <v>224</v>
      </c>
      <c r="J74" s="404" t="str">
        <f>IFERROR(IF(B74&lt;&gt;"",A74&amp;"."&amp;B74,""),"S/Nº")</f>
        <v>6.1</v>
      </c>
      <c r="K74" s="405" t="s">
        <v>2928</v>
      </c>
      <c r="L74" s="406" t="s">
        <v>16</v>
      </c>
      <c r="M74" s="407">
        <f>'SIN. VERTICAL'!C52</f>
        <v>89</v>
      </c>
      <c r="N74" s="408">
        <f>SUM('ORÇ. MATERIAL'!R94:R100)</f>
        <v>15351.57</v>
      </c>
      <c r="O74" s="409">
        <f>P74-N74</f>
        <v>7149.41</v>
      </c>
      <c r="P74" s="410">
        <f>'ORÇAMENTO - ORIENTATIVO'!P74</f>
        <v>22500.98</v>
      </c>
      <c r="R74" s="412"/>
    </row>
    <row r="75" spans="1:29" s="400" customFormat="1" ht="28.5" x14ac:dyDescent="0.25">
      <c r="A75" s="387">
        <v>6</v>
      </c>
      <c r="B75" s="387">
        <v>2</v>
      </c>
      <c r="C75" s="387">
        <f t="shared" si="11"/>
        <v>1</v>
      </c>
      <c r="D75" s="388" t="str">
        <f t="shared" si="10"/>
        <v/>
      </c>
      <c r="E75" s="389"/>
      <c r="F75" s="390"/>
      <c r="G75" s="402" t="s">
        <v>6</v>
      </c>
      <c r="H75" s="403">
        <v>5213440</v>
      </c>
      <c r="I75" s="404" t="s">
        <v>224</v>
      </c>
      <c r="J75" s="404" t="str">
        <f>IFERROR(IF(B75&lt;&gt;"",A75&amp;"."&amp;B75,""),"S/Nº")</f>
        <v>6.2</v>
      </c>
      <c r="K75" s="405" t="s">
        <v>2929</v>
      </c>
      <c r="L75" s="406" t="s">
        <v>16</v>
      </c>
      <c r="M75" s="407">
        <f>'SIN. VERTICAL'!D52</f>
        <v>129</v>
      </c>
      <c r="N75" s="408">
        <f>SUM('ORÇ. MATERIAL'!R101:R107)</f>
        <v>22245.49</v>
      </c>
      <c r="O75" s="409">
        <f>P75-N75</f>
        <v>10360.549999999999</v>
      </c>
      <c r="P75" s="410">
        <f>'ORÇAMENTO - ORIENTATIVO'!P75</f>
        <v>32606.04</v>
      </c>
      <c r="R75" s="412"/>
    </row>
    <row r="76" spans="1:29" s="400" customFormat="1" ht="28.5" x14ac:dyDescent="0.25">
      <c r="A76" s="387">
        <v>6</v>
      </c>
      <c r="B76" s="387">
        <v>3</v>
      </c>
      <c r="C76" s="387">
        <f t="shared" si="11"/>
        <v>1</v>
      </c>
      <c r="D76" s="388" t="str">
        <f t="shared" si="10"/>
        <v/>
      </c>
      <c r="E76" s="389"/>
      <c r="F76" s="390"/>
      <c r="G76" s="402" t="s">
        <v>6</v>
      </c>
      <c r="H76" s="403">
        <v>5213464</v>
      </c>
      <c r="I76" s="404" t="s">
        <v>224</v>
      </c>
      <c r="J76" s="404" t="str">
        <f>IFERROR(IF(B76&lt;&gt;"",A76&amp;"."&amp;B76,""),"S/Nº")</f>
        <v>6.3</v>
      </c>
      <c r="K76" s="405" t="s">
        <v>2930</v>
      </c>
      <c r="L76" s="406" t="s">
        <v>16</v>
      </c>
      <c r="M76" s="407">
        <f>'SIN. VERTICAL'!E52</f>
        <v>11</v>
      </c>
      <c r="N76" s="408">
        <f>SUM('ORÇ. MATERIAL'!R108:R114)</f>
        <v>1897.1599999999999</v>
      </c>
      <c r="O76" s="409">
        <f>P76-N76</f>
        <v>883.64000000000033</v>
      </c>
      <c r="P76" s="410">
        <f>'ORÇAMENTO - ORIENTATIVO'!P76</f>
        <v>2780.8</v>
      </c>
    </row>
    <row r="77" spans="1:29" s="400" customFormat="1" ht="37.5" customHeight="1" x14ac:dyDescent="0.25">
      <c r="A77" s="387">
        <v>6</v>
      </c>
      <c r="B77" s="387">
        <v>4</v>
      </c>
      <c r="C77" s="387">
        <f t="shared" si="11"/>
        <v>1</v>
      </c>
      <c r="D77" s="388" t="str">
        <f t="shared" si="10"/>
        <v/>
      </c>
      <c r="E77" s="389"/>
      <c r="F77" s="390"/>
      <c r="G77" s="402" t="s">
        <v>6</v>
      </c>
      <c r="H77" s="403">
        <v>5213855</v>
      </c>
      <c r="I77" s="404" t="s">
        <v>224</v>
      </c>
      <c r="J77" s="404" t="str">
        <f>IFERROR(IF(B77&lt;&gt;"",A77&amp;"."&amp;B77,""),"S/Nº")</f>
        <v>6.4</v>
      </c>
      <c r="K77" s="405" t="s">
        <v>2931</v>
      </c>
      <c r="L77" s="406" t="s">
        <v>16</v>
      </c>
      <c r="M77" s="407">
        <f>M74</f>
        <v>89</v>
      </c>
      <c r="N77" s="408">
        <f>SUM('ORÇ. MATERIAL'!R115:R124)</f>
        <v>38415.24</v>
      </c>
      <c r="O77" s="409">
        <f>P77-N77</f>
        <v>-2347.989999999998</v>
      </c>
      <c r="P77" s="410">
        <f>'ORÇAMENTO - ORIENTATIVO'!P77</f>
        <v>36067.25</v>
      </c>
      <c r="S77" s="443"/>
      <c r="T77" s="444"/>
      <c r="V77" s="445"/>
      <c r="W77" s="446"/>
      <c r="X77" s="447"/>
      <c r="Y77" s="448"/>
      <c r="Z77" s="449"/>
      <c r="AA77" s="450"/>
      <c r="AB77" s="451"/>
      <c r="AC77" s="452"/>
    </row>
    <row r="78" spans="1:29" s="400" customFormat="1" ht="42.75" x14ac:dyDescent="0.25">
      <c r="A78" s="387">
        <v>6</v>
      </c>
      <c r="B78" s="387">
        <v>5</v>
      </c>
      <c r="C78" s="387">
        <f t="shared" si="11"/>
        <v>1</v>
      </c>
      <c r="D78" s="388" t="str">
        <f t="shared" si="10"/>
        <v/>
      </c>
      <c r="E78" s="389"/>
      <c r="F78" s="390"/>
      <c r="G78" s="402" t="s">
        <v>6</v>
      </c>
      <c r="H78" s="403">
        <v>5213863</v>
      </c>
      <c r="I78" s="404" t="s">
        <v>224</v>
      </c>
      <c r="J78" s="404" t="str">
        <f>IFERROR(IF(B78&lt;&gt;"",A78&amp;"."&amp;B78,""),"S/Nº")</f>
        <v>6.5</v>
      </c>
      <c r="K78" s="405" t="s">
        <v>2932</v>
      </c>
      <c r="L78" s="406" t="s">
        <v>16</v>
      </c>
      <c r="M78" s="407">
        <f>M75+M76</f>
        <v>140</v>
      </c>
      <c r="N78" s="408">
        <f>SUM('ORÇ. MATERIAL'!R125:R133)</f>
        <v>59156.130000000005</v>
      </c>
      <c r="O78" s="409">
        <f>P78-N78</f>
        <v>3930.6699999999983</v>
      </c>
      <c r="P78" s="410">
        <f>'ORÇAMENTO - ORIENTATIVO'!P78</f>
        <v>63086.8</v>
      </c>
    </row>
    <row r="79" spans="1:29" s="400" customFormat="1" ht="15.75" x14ac:dyDescent="0.25">
      <c r="A79" s="387">
        <v>6</v>
      </c>
      <c r="B79" s="387">
        <v>6</v>
      </c>
      <c r="C79" s="387" t="str">
        <f t="shared" si="11"/>
        <v/>
      </c>
      <c r="D79" s="388" t="str">
        <f t="shared" si="10"/>
        <v/>
      </c>
      <c r="E79" s="389"/>
      <c r="F79" s="390"/>
      <c r="G79" s="391"/>
      <c r="H79" s="392"/>
      <c r="I79" s="393"/>
      <c r="J79" s="393"/>
      <c r="K79" s="428" t="s">
        <v>285</v>
      </c>
      <c r="L79" s="396"/>
      <c r="M79" s="397"/>
      <c r="N79" s="429"/>
      <c r="O79" s="430"/>
      <c r="P79" s="399"/>
    </row>
    <row r="80" spans="1:29" s="400" customFormat="1" ht="28.5" x14ac:dyDescent="0.25">
      <c r="A80" s="387">
        <v>6</v>
      </c>
      <c r="B80" s="387">
        <v>6</v>
      </c>
      <c r="C80" s="387">
        <f t="shared" si="11"/>
        <v>1</v>
      </c>
      <c r="D80" s="388" t="str">
        <f t="shared" si="10"/>
        <v/>
      </c>
      <c r="E80" s="389"/>
      <c r="F80" s="390"/>
      <c r="G80" s="402" t="s">
        <v>6</v>
      </c>
      <c r="H80" s="403">
        <v>5213401</v>
      </c>
      <c r="I80" s="404" t="s">
        <v>224</v>
      </c>
      <c r="J80" s="404" t="str">
        <f>IFERROR(IF(B80&lt;&gt;"",A80&amp;"."&amp;B80,""),"S/Nº")</f>
        <v>6.6</v>
      </c>
      <c r="K80" s="405" t="s">
        <v>957</v>
      </c>
      <c r="L80" s="406" t="s">
        <v>322</v>
      </c>
      <c r="M80" s="407">
        <f>'SIN. HORIZONTAL '!I104</f>
        <v>2060.91</v>
      </c>
      <c r="N80" s="408">
        <f>SUM('ORÇ. MATERIAL'!R135:R141)</f>
        <v>96133.53</v>
      </c>
      <c r="O80" s="409">
        <f>P80-N80</f>
        <v>-7658.6699999999983</v>
      </c>
      <c r="P80" s="410">
        <f>'ORÇAMENTO - ORIENTATIVO'!P80</f>
        <v>88474.86</v>
      </c>
      <c r="AB80" s="453"/>
    </row>
    <row r="81" spans="1:28" s="400" customFormat="1" ht="28.5" x14ac:dyDescent="0.25">
      <c r="A81" s="387">
        <v>6</v>
      </c>
      <c r="B81" s="387">
        <v>7</v>
      </c>
      <c r="C81" s="387">
        <f t="shared" si="11"/>
        <v>1</v>
      </c>
      <c r="D81" s="388" t="str">
        <f t="shared" si="10"/>
        <v/>
      </c>
      <c r="E81" s="389"/>
      <c r="F81" s="390"/>
      <c r="G81" s="402" t="s">
        <v>6</v>
      </c>
      <c r="H81" s="403">
        <v>5213405</v>
      </c>
      <c r="I81" s="404" t="s">
        <v>224</v>
      </c>
      <c r="J81" s="404" t="str">
        <f>IFERROR(IF(B81&lt;&gt;"",A81&amp;"."&amp;B81,""),"S/Nº")</f>
        <v>6.7</v>
      </c>
      <c r="K81" s="405" t="s">
        <v>958</v>
      </c>
      <c r="L81" s="406" t="s">
        <v>322</v>
      </c>
      <c r="M81" s="407">
        <f>'SIN. HORIZONTAL '!I105</f>
        <v>470.35</v>
      </c>
      <c r="N81" s="408">
        <f>SUM('ORÇ. MATERIAL'!R142:R148)</f>
        <v>24142.260000000002</v>
      </c>
      <c r="O81" s="409">
        <f>P81-N81</f>
        <v>2272.5899999999965</v>
      </c>
      <c r="P81" s="410">
        <f>'ORÇAMENTO - ORIENTATIVO'!P81</f>
        <v>26414.85</v>
      </c>
      <c r="AB81" s="453"/>
    </row>
    <row r="82" spans="1:28" ht="30" customHeight="1" x14ac:dyDescent="0.25">
      <c r="E82" s="454"/>
      <c r="F82" s="455"/>
      <c r="G82" s="456"/>
      <c r="H82" s="457"/>
      <c r="I82" s="457"/>
      <c r="J82" s="457"/>
      <c r="K82" s="457"/>
      <c r="L82" s="457"/>
      <c r="M82" s="458" t="s">
        <v>286</v>
      </c>
      <c r="N82" s="459">
        <f>SUM(N8:N81)/2</f>
        <v>3350768.5900000012</v>
      </c>
      <c r="O82" s="459">
        <f>SUM(O8:O81)/2</f>
        <v>7589528.6499999994</v>
      </c>
      <c r="P82" s="459">
        <f>SUM(P8:P81)/2</f>
        <v>10593858.550000001</v>
      </c>
    </row>
    <row r="83" spans="1:28" x14ac:dyDescent="0.25">
      <c r="N83" s="54">
        <f>'ORÇ. MATERIAL'!R149</f>
        <v>3350768.5899999994</v>
      </c>
    </row>
    <row r="84" spans="1:28" x14ac:dyDescent="0.25">
      <c r="P84" s="54">
        <f>'ORÇAMENTO - ORIENTATIVO'!P82</f>
        <v>10593858.550000001</v>
      </c>
    </row>
    <row r="88" spans="1:28" x14ac:dyDescent="0.25">
      <c r="P88" s="54">
        <v>6849400.9299999988</v>
      </c>
    </row>
    <row r="89" spans="1:28" x14ac:dyDescent="0.25">
      <c r="P89" s="54">
        <f>'ORÇ. MATERIAL'!R149</f>
        <v>3350768.5899999994</v>
      </c>
    </row>
    <row r="90" spans="1:28" x14ac:dyDescent="0.25">
      <c r="P90" s="54">
        <f>P89+P88</f>
        <v>10200169.519999998</v>
      </c>
    </row>
    <row r="91" spans="1:28" x14ac:dyDescent="0.25">
      <c r="P91" s="463">
        <f>P82</f>
        <v>10593858.550000001</v>
      </c>
    </row>
    <row r="92" spans="1:28" x14ac:dyDescent="0.25">
      <c r="P92" s="463">
        <f>P91-P90</f>
        <v>393689.03000000305</v>
      </c>
    </row>
  </sheetData>
  <mergeCells count="15">
    <mergeCell ref="G6:G7"/>
    <mergeCell ref="H6:H7"/>
    <mergeCell ref="I6:I7"/>
    <mergeCell ref="J6:J7"/>
    <mergeCell ref="K6:K7"/>
    <mergeCell ref="N1:O1"/>
    <mergeCell ref="N2:O2"/>
    <mergeCell ref="Q2:Q4"/>
    <mergeCell ref="N3:O3"/>
    <mergeCell ref="N4:O4"/>
    <mergeCell ref="L6:L7"/>
    <mergeCell ref="M6:M7"/>
    <mergeCell ref="N6:N7"/>
    <mergeCell ref="O6:O7"/>
    <mergeCell ref="P6:P7"/>
  </mergeCells>
  <conditionalFormatting sqref="G1:H4">
    <cfRule type="expression" dxfId="84" priority="22">
      <formula>$H1="VERIFICAR CÓDIGO"</formula>
    </cfRule>
  </conditionalFormatting>
  <conditionalFormatting sqref="G5:P5 G6:M7">
    <cfRule type="expression" dxfId="83" priority="27">
      <formula>$K5="VERIFICAR CÓDIGO"</formula>
    </cfRule>
  </conditionalFormatting>
  <conditionalFormatting sqref="G8:P1048576">
    <cfRule type="expression" dxfId="82" priority="1">
      <formula>$K8="VERIFICAR CÓDIGO"</formula>
    </cfRule>
  </conditionalFormatting>
  <conditionalFormatting sqref="L1:P4">
    <cfRule type="expression" dxfId="81" priority="8">
      <formula>$H1="VERIFICAR CÓDIGO"</formula>
    </cfRule>
  </conditionalFormatting>
  <conditionalFormatting sqref="N6:P6">
    <cfRule type="expression" dxfId="80" priority="7">
      <formula>$K7="VERIFICAR CÓDIGO"</formula>
    </cfRule>
  </conditionalFormatting>
  <dataValidations count="6">
    <dataValidation type="list" allowBlank="1" showInputMessage="1" showErrorMessage="1" sqref="Q2:Q4" xr:uid="{4918D3F5-0E10-4595-8900-ECA231D2C30E}">
      <formula1>#REF!</formula1>
    </dataValidation>
    <dataValidation type="list" allowBlank="1" showInputMessage="1" showErrorMessage="1" sqref="I9:I10 I34:I36 I30:I32 I27:I28 I42:I62 I64:I71 I80:I81 I39:I40 I12:I15 I23:I24 I74:I78 I18:I21" xr:uid="{7EB7F1B8-DFFC-4B82-8589-F8CD5CFB7622}">
      <formula1>$U$1:$U$2</formula1>
    </dataValidation>
    <dataValidation type="list" allowBlank="1" showInputMessage="1" showErrorMessage="1" sqref="P2" xr:uid="{584B49F6-BE8A-4DC5-9931-07582F2E0E1B}">
      <formula1>$S$1:$S$2</formula1>
    </dataValidation>
    <dataValidation type="list" allowBlank="1" showInputMessage="1" showErrorMessage="1" sqref="G23:G24 G34:G36 G30:G32 G27:G28 G64:G65 G18:G21 G74:G78 G80:G81 G39:G40 G68 G42:G62 G9:G10 G12:G15" xr:uid="{917CAC34-9306-48C7-BBCC-8B3E8577DBF1}">
      <formula1>$U$3:$U$9</formula1>
    </dataValidation>
    <dataValidation type="list" allowBlank="1" showInputMessage="1" showErrorMessage="1" sqref="G66:G67" xr:uid="{89F9EB19-5354-484E-B14B-D16A26CC5FF3}">
      <formula1>$U$3:$U$12</formula1>
    </dataValidation>
    <dataValidation type="list" allowBlank="1" showInputMessage="1" showErrorMessage="1" sqref="G69:G71" xr:uid="{3B7E0F91-0F45-410C-8F19-FAF028D78BDD}">
      <formula1>$U$3:$U$11</formula1>
    </dataValidation>
  </dataValidations>
  <printOptions horizontalCentered="1"/>
  <pageMargins left="0.59055118110236227" right="0.59055118110236227" top="1.7716535433070868" bottom="0.78740157480314965" header="0" footer="0"/>
  <pageSetup paperSize="9" scale="55" firstPageNumber="25" orientation="landscape" r:id="rId1"/>
  <headerFooter scaleWithDoc="0">
    <oddHeader>&amp;L&amp;G</oddHeader>
    <oddFooter>&amp;C&amp;"-,Negrito"&amp;12DIONI CAETANEO DE OLIVEIRA
&amp;"-,Regular"ENGENHEIRO CIVIL - CREA /MT 40957
DEPARTAMENTO DE ENGENHARIA</oddFooter>
  </headerFooter>
  <rowBreaks count="4" manualBreakCount="4">
    <brk id="24" min="6" max="16" man="1"/>
    <brk id="40" min="6" max="16" man="1"/>
    <brk id="62" min="6" max="16" man="1"/>
    <brk id="71" min="6" max="16"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9A566-CACA-4D74-B274-B72DB80AA26F}">
  <sheetPr codeName="Plan11">
    <tabColor rgb="FFC00000"/>
  </sheetPr>
  <dimension ref="A1:IC81"/>
  <sheetViews>
    <sheetView showGridLines="0" showZeros="0" tabSelected="1" view="pageLayout" topLeftCell="A7" zoomScaleNormal="85" zoomScaleSheetLayoutView="100" workbookViewId="0">
      <selection activeCell="F20" sqref="F20"/>
    </sheetView>
  </sheetViews>
  <sheetFormatPr defaultColWidth="8.85546875" defaultRowHeight="14.25" x14ac:dyDescent="0.2"/>
  <cols>
    <col min="1" max="2" width="8.85546875" style="593"/>
    <col min="3" max="3" width="26.140625" style="593" customWidth="1"/>
    <col min="4" max="4" width="18.5703125" style="593" customWidth="1"/>
    <col min="5" max="5" width="23.28515625" style="593" customWidth="1"/>
    <col min="6" max="6" width="28.5703125" style="593" customWidth="1"/>
    <col min="7" max="7" width="19" style="593" customWidth="1"/>
    <col min="8" max="8" width="12.28515625" style="593" customWidth="1"/>
    <col min="9" max="9" width="14.7109375" style="593" customWidth="1"/>
    <col min="10" max="10" width="8.85546875" style="593"/>
    <col min="11" max="11" width="15.85546875" style="593" customWidth="1"/>
    <col min="12" max="13" width="8.85546875" style="593"/>
    <col min="14" max="14" width="13.7109375" style="593" customWidth="1"/>
    <col min="15" max="15" width="13.28515625" style="593" customWidth="1"/>
    <col min="16" max="16384" width="8.85546875" style="593"/>
  </cols>
  <sheetData>
    <row r="1" spans="1:237" ht="15" customHeight="1" x14ac:dyDescent="0.2">
      <c r="B1" s="1" t="s">
        <v>0</v>
      </c>
      <c r="C1" s="811" t="str">
        <f>'ORÇAMENTO - GERAL'!H1</f>
        <v>PAVIMENTAÇÃO ASFÁLTICA E DRENAGEM</v>
      </c>
      <c r="D1" s="590"/>
      <c r="E1" s="590"/>
      <c r="F1" s="2"/>
      <c r="G1" s="590"/>
      <c r="H1" s="812"/>
      <c r="I1" s="1188" t="s">
        <v>221</v>
      </c>
      <c r="J1" s="1189"/>
      <c r="K1" s="1398" t="s">
        <v>523</v>
      </c>
      <c r="L1" s="1399"/>
      <c r="M1" s="814"/>
      <c r="N1" s="815"/>
    </row>
    <row r="2" spans="1:237" ht="15" customHeight="1" x14ac:dyDescent="0.2">
      <c r="B2" s="8" t="s">
        <v>2</v>
      </c>
      <c r="C2" s="816" t="str">
        <f>'ORÇAMENTO - GERAL'!H2</f>
        <v>RUAS DIVERSAS - BAIRRO JARDIM PLANALTO</v>
      </c>
      <c r="F2" s="9"/>
      <c r="H2" s="817"/>
      <c r="I2" s="1188" t="s">
        <v>227</v>
      </c>
      <c r="J2" s="1189"/>
      <c r="K2" s="1190" t="s">
        <v>229</v>
      </c>
      <c r="L2" s="1191"/>
      <c r="M2" s="818"/>
      <c r="N2" s="113"/>
    </row>
    <row r="3" spans="1:237" ht="15" customHeight="1" x14ac:dyDescent="0.2">
      <c r="B3" s="8" t="s">
        <v>5</v>
      </c>
      <c r="C3" s="816" t="str">
        <f>'ORÇAMENTO - GERAL'!H3</f>
        <v>MUNICÍPIO DE ARIPUANÃ</v>
      </c>
      <c r="F3" s="9"/>
      <c r="H3" s="817"/>
      <c r="I3" s="1181" t="s">
        <v>232</v>
      </c>
      <c r="J3" s="1182"/>
      <c r="K3" s="1400">
        <v>0</v>
      </c>
      <c r="L3" s="1401"/>
      <c r="M3" s="818"/>
      <c r="N3" s="113"/>
    </row>
    <row r="4" spans="1:237" ht="15" customHeight="1" x14ac:dyDescent="0.2">
      <c r="B4" s="14" t="s">
        <v>7</v>
      </c>
      <c r="C4" s="819" t="str">
        <f ca="1">'ORÇAMENTO - GERAL'!H4</f>
        <v>DEZEMBRO/2024</v>
      </c>
      <c r="D4" s="597"/>
      <c r="E4" s="597"/>
      <c r="F4" s="15"/>
      <c r="G4" s="597"/>
      <c r="H4" s="820"/>
      <c r="I4" s="1181" t="s">
        <v>233</v>
      </c>
      <c r="J4" s="1182"/>
      <c r="K4" s="1183" t="e">
        <f>#REF!</f>
        <v>#REF!</v>
      </c>
      <c r="L4" s="1184"/>
      <c r="M4" s="821"/>
      <c r="N4" s="822"/>
    </row>
    <row r="5" spans="1:237" ht="24" customHeight="1" x14ac:dyDescent="0.2">
      <c r="B5" s="1387" t="str">
        <f>CONCATENATE("PLANILHA ORÇAMENTÁRIA - ",'ORÇAMENTO - GERAL'!R2)</f>
        <v>PLANILHA ORÇAMENTÁRIA - NÃO DESONERADO</v>
      </c>
      <c r="C5" s="1388"/>
      <c r="D5" s="1388"/>
      <c r="E5" s="1388"/>
      <c r="F5" s="1388"/>
      <c r="G5" s="1388"/>
      <c r="H5" s="1389"/>
      <c r="I5" s="823"/>
      <c r="J5" s="823"/>
      <c r="K5" s="824"/>
      <c r="L5" s="824"/>
      <c r="M5" s="54"/>
      <c r="N5" s="54"/>
    </row>
    <row r="6" spans="1:237" ht="30" customHeight="1" x14ac:dyDescent="0.2">
      <c r="B6" s="464" t="s">
        <v>174</v>
      </c>
      <c r="C6" s="1390" t="s">
        <v>237</v>
      </c>
      <c r="D6" s="1391"/>
      <c r="E6" s="1391"/>
      <c r="F6" s="1391"/>
      <c r="G6" s="825" t="s">
        <v>524</v>
      </c>
      <c r="H6" s="467" t="s">
        <v>289</v>
      </c>
    </row>
    <row r="7" spans="1:237" ht="30" customHeight="1" x14ac:dyDescent="0.2">
      <c r="A7" s="593">
        <v>1</v>
      </c>
      <c r="B7" s="468" t="str">
        <f t="shared" ref="B7:B12" si="0">CONCATENATE(A7,".0")</f>
        <v>1.0</v>
      </c>
      <c r="C7" s="1392" t="str">
        <f>'ORÇAMENTO - GERAL'!L8</f>
        <v>ADMINISTRAÇÃO LOCAL</v>
      </c>
      <c r="D7" s="1393"/>
      <c r="E7" s="1393"/>
      <c r="F7" s="1394"/>
      <c r="G7" s="826">
        <f>'ORÇAMENTO - GERAL'!R8</f>
        <v>189613.08</v>
      </c>
      <c r="H7" s="827">
        <f>G7/$G$15</f>
        <v>1.4341443709680959E-2</v>
      </c>
      <c r="K7" s="593" t="e">
        <f>VLOOKUP('RESUMO - GERAL'!B7,'ORÇAMENTO - GERAL'!J:S,7,FALSE)</f>
        <v>#N/A</v>
      </c>
    </row>
    <row r="8" spans="1:237" ht="30" customHeight="1" x14ac:dyDescent="0.2">
      <c r="A8" s="593">
        <f>A7+1</f>
        <v>2</v>
      </c>
      <c r="B8" s="468" t="str">
        <f t="shared" si="0"/>
        <v>2.0</v>
      </c>
      <c r="C8" s="1392" t="str">
        <f>'ORÇAMENTO - GERAL'!L10</f>
        <v>SERVIÇOS PRELIMINARES</v>
      </c>
      <c r="D8" s="1393"/>
      <c r="E8" s="1393"/>
      <c r="F8" s="1394"/>
      <c r="G8" s="826">
        <f>'ORÇAMENTO - GERAL'!R10</f>
        <v>53413.07</v>
      </c>
      <c r="H8" s="827">
        <f t="shared" ref="H8:H14" si="1">G8/$G$15</f>
        <v>4.0399140015353833E-3</v>
      </c>
    </row>
    <row r="9" spans="1:237" ht="30" customHeight="1" x14ac:dyDescent="0.2">
      <c r="A9" s="593">
        <f>A8+1</f>
        <v>3</v>
      </c>
      <c r="B9" s="468" t="str">
        <f t="shared" si="0"/>
        <v>3.0</v>
      </c>
      <c r="C9" s="1392" t="str">
        <f>'ORÇAMENTO - GERAL'!L14</f>
        <v>MOBILIZAÇÃO E DESMOBILIZAÇÃO</v>
      </c>
      <c r="D9" s="1393"/>
      <c r="E9" s="1393"/>
      <c r="F9" s="1394"/>
      <c r="G9" s="826">
        <f>'ORÇAMENTO - GERAL'!R14</f>
        <v>287429.82</v>
      </c>
      <c r="H9" s="827">
        <f t="shared" si="1"/>
        <v>2.1739842968711499E-2</v>
      </c>
      <c r="I9" s="828"/>
    </row>
    <row r="10" spans="1:237" ht="30" customHeight="1" x14ac:dyDescent="0.2">
      <c r="A10" s="593">
        <f>A9+1</f>
        <v>4</v>
      </c>
      <c r="B10" s="829" t="str">
        <f t="shared" si="0"/>
        <v>4.0</v>
      </c>
      <c r="C10" s="1395" t="str">
        <f>'ORÇAMENTO - GERAL'!L17</f>
        <v>TERRAPLANAGEM</v>
      </c>
      <c r="D10" s="1396"/>
      <c r="E10" s="1396"/>
      <c r="F10" s="1397"/>
      <c r="G10" s="830">
        <f>'ORÇAMENTO - GERAL'!R17</f>
        <v>181619.87</v>
      </c>
      <c r="H10" s="827">
        <f t="shared" si="1"/>
        <v>1.3736874809293607E-2</v>
      </c>
      <c r="I10" s="828">
        <f>SUM(G7:G10)</f>
        <v>712075.84</v>
      </c>
    </row>
    <row r="11" spans="1:237" ht="30" customHeight="1" x14ac:dyDescent="0.2">
      <c r="A11" s="593">
        <f>A10+1</f>
        <v>5</v>
      </c>
      <c r="B11" s="829" t="str">
        <f t="shared" si="0"/>
        <v>5.0</v>
      </c>
      <c r="C11" s="1395" t="str">
        <f>'ORÇAMENTO - GERAL'!L22</f>
        <v>PAVIMENTAÇÃO</v>
      </c>
      <c r="D11" s="1396"/>
      <c r="E11" s="1396"/>
      <c r="F11" s="1397"/>
      <c r="G11" s="830">
        <f>'ORÇAMENTO - GERAL'!R22</f>
        <v>3811385.8800000004</v>
      </c>
      <c r="H11" s="827">
        <f t="shared" si="1"/>
        <v>0.2882753450020053</v>
      </c>
    </row>
    <row r="12" spans="1:237" ht="30" customHeight="1" x14ac:dyDescent="0.2">
      <c r="A12" s="593">
        <f>A11+1</f>
        <v>6</v>
      </c>
      <c r="B12" s="829" t="str">
        <f t="shared" si="0"/>
        <v>6.0</v>
      </c>
      <c r="C12" s="1395" t="str">
        <f>'ORÇAMENTO - GERAL'!L43</f>
        <v>DRENAGEM</v>
      </c>
      <c r="D12" s="1396"/>
      <c r="E12" s="1396"/>
      <c r="F12" s="1397"/>
      <c r="G12" s="830">
        <f>'ORÇAMENTO - GERAL'!R43</f>
        <v>5926633.7599999979</v>
      </c>
      <c r="H12" s="827">
        <f t="shared" si="1"/>
        <v>0.44826276993620262</v>
      </c>
    </row>
    <row r="13" spans="1:237" ht="30" customHeight="1" x14ac:dyDescent="0.2">
      <c r="B13" s="829" t="s">
        <v>532</v>
      </c>
      <c r="C13" s="1395" t="str">
        <f>'ORÇAMENTO - GERAL'!L69</f>
        <v>PASSEIO PÚBLICO E ACESSIBILIDADE UNIVERSAL</v>
      </c>
      <c r="D13" s="1396"/>
      <c r="E13" s="1396"/>
      <c r="F13" s="1397"/>
      <c r="G13" s="830">
        <f>'ORÇAMENTO - GERAL'!R69</f>
        <v>2443039.67</v>
      </c>
      <c r="H13" s="827">
        <f t="shared" si="1"/>
        <v>0.18478005793599547</v>
      </c>
    </row>
    <row r="14" spans="1:237" ht="30" customHeight="1" x14ac:dyDescent="0.2">
      <c r="A14" s="593">
        <f>A12+1</f>
        <v>7</v>
      </c>
      <c r="B14" s="829" t="s">
        <v>533</v>
      </c>
      <c r="C14" s="1395" t="str">
        <f>'ORÇAMENTO - GERAL'!L79</f>
        <v>SINALIZAÇÃO VIÁRIA</v>
      </c>
      <c r="D14" s="1396"/>
      <c r="E14" s="1396"/>
      <c r="F14" s="1397"/>
      <c r="G14" s="830">
        <f>'ORÇAMENTO - GERAL'!R79</f>
        <v>328203.22000000003</v>
      </c>
      <c r="H14" s="827">
        <f t="shared" si="1"/>
        <v>2.4823751636575055E-2</v>
      </c>
    </row>
    <row r="15" spans="1:237" ht="30" customHeight="1" x14ac:dyDescent="0.2">
      <c r="B15" s="1385" t="s">
        <v>312</v>
      </c>
      <c r="C15" s="1386"/>
      <c r="D15" s="1386"/>
      <c r="E15" s="1386"/>
      <c r="F15" s="1386"/>
      <c r="G15" s="832">
        <f>SUM(G7:G14)</f>
        <v>13221338.369999999</v>
      </c>
      <c r="H15" s="833">
        <f>SUM(H7:H14)</f>
        <v>0.99999999999999989</v>
      </c>
      <c r="I15" s="625"/>
      <c r="J15" s="625"/>
      <c r="K15" s="624"/>
      <c r="L15" s="627"/>
      <c r="M15" s="625"/>
      <c r="N15" s="625"/>
      <c r="O15" s="625"/>
      <c r="P15" s="625"/>
      <c r="Q15" s="624"/>
      <c r="R15" s="627"/>
      <c r="S15" s="625"/>
      <c r="T15" s="625"/>
      <c r="U15" s="625"/>
      <c r="V15" s="625"/>
      <c r="W15" s="624"/>
      <c r="X15" s="627"/>
      <c r="Y15" s="625"/>
      <c r="Z15" s="625"/>
      <c r="AA15" s="625"/>
      <c r="AB15" s="625"/>
      <c r="AC15" s="624"/>
      <c r="AD15" s="627"/>
      <c r="AE15" s="625"/>
      <c r="AF15" s="625"/>
      <c r="AG15" s="625"/>
      <c r="AH15" s="625"/>
      <c r="AI15" s="624"/>
      <c r="AJ15" s="627"/>
      <c r="AK15" s="625"/>
      <c r="AL15" s="625"/>
      <c r="AM15" s="625"/>
      <c r="AN15" s="625"/>
      <c r="AO15" s="624"/>
      <c r="AP15" s="627"/>
      <c r="AQ15" s="625"/>
      <c r="AR15" s="625"/>
      <c r="AS15" s="625"/>
      <c r="AT15" s="625"/>
      <c r="AU15" s="624"/>
      <c r="AV15" s="627"/>
      <c r="AW15" s="625"/>
      <c r="AX15" s="625"/>
      <c r="AY15" s="625"/>
      <c r="AZ15" s="625"/>
      <c r="BA15" s="624"/>
      <c r="BB15" s="627"/>
      <c r="BC15" s="625"/>
      <c r="BD15" s="625"/>
      <c r="BE15" s="625"/>
      <c r="BF15" s="625"/>
      <c r="BG15" s="624"/>
      <c r="BH15" s="627"/>
      <c r="BI15" s="625"/>
      <c r="BJ15" s="625"/>
      <c r="BK15" s="625"/>
      <c r="BL15" s="625"/>
      <c r="BM15" s="624"/>
      <c r="BN15" s="627"/>
      <c r="BO15" s="625"/>
      <c r="BP15" s="625"/>
      <c r="BQ15" s="625"/>
      <c r="BR15" s="625"/>
      <c r="BS15" s="624"/>
      <c r="BT15" s="627"/>
      <c r="BU15" s="625"/>
      <c r="BV15" s="625"/>
      <c r="BW15" s="625"/>
      <c r="BX15" s="625"/>
      <c r="BY15" s="624"/>
      <c r="BZ15" s="627"/>
      <c r="CA15" s="625"/>
      <c r="CB15" s="625"/>
      <c r="CC15" s="625"/>
      <c r="CD15" s="625"/>
      <c r="CE15" s="624"/>
      <c r="CF15" s="627"/>
      <c r="CG15" s="625"/>
      <c r="CH15" s="625"/>
      <c r="CI15" s="625"/>
      <c r="CJ15" s="625"/>
      <c r="CK15" s="624"/>
      <c r="CL15" s="627"/>
      <c r="CM15" s="625"/>
      <c r="CN15" s="625"/>
      <c r="CO15" s="625"/>
      <c r="CP15" s="625"/>
      <c r="CQ15" s="624"/>
      <c r="CR15" s="627"/>
      <c r="CS15" s="625"/>
      <c r="CT15" s="625"/>
      <c r="CU15" s="625"/>
      <c r="CV15" s="625"/>
      <c r="CW15" s="624"/>
      <c r="CX15" s="627"/>
      <c r="CY15" s="625"/>
      <c r="CZ15" s="625"/>
      <c r="DA15" s="625"/>
      <c r="DB15" s="625"/>
      <c r="DC15" s="624"/>
      <c r="DD15" s="627"/>
      <c r="DE15" s="625"/>
      <c r="DF15" s="625"/>
      <c r="DG15" s="625"/>
      <c r="DH15" s="625"/>
      <c r="DI15" s="624"/>
      <c r="DJ15" s="627"/>
      <c r="DK15" s="625"/>
      <c r="DL15" s="625"/>
      <c r="DM15" s="625"/>
      <c r="DN15" s="625"/>
      <c r="DO15" s="624"/>
      <c r="DP15" s="627"/>
      <c r="DQ15" s="625"/>
      <c r="DR15" s="625"/>
      <c r="DS15" s="625"/>
      <c r="DT15" s="625"/>
      <c r="DU15" s="624"/>
      <c r="DV15" s="627"/>
      <c r="DW15" s="625"/>
      <c r="DX15" s="625"/>
      <c r="DY15" s="625"/>
      <c r="DZ15" s="625"/>
      <c r="EA15" s="624"/>
      <c r="EB15" s="627"/>
      <c r="EC15" s="625"/>
      <c r="ED15" s="625"/>
      <c r="EE15" s="625"/>
      <c r="EF15" s="625"/>
      <c r="EG15" s="624"/>
      <c r="EH15" s="627"/>
      <c r="EI15" s="625"/>
      <c r="EJ15" s="625"/>
      <c r="EK15" s="625"/>
      <c r="EL15" s="625"/>
      <c r="EM15" s="624"/>
      <c r="EN15" s="627"/>
      <c r="EO15" s="625"/>
      <c r="EP15" s="625"/>
      <c r="EQ15" s="625"/>
      <c r="ER15" s="625"/>
      <c r="ES15" s="624"/>
      <c r="ET15" s="627"/>
      <c r="EU15" s="625"/>
      <c r="EV15" s="625"/>
      <c r="EW15" s="625"/>
      <c r="EX15" s="625"/>
      <c r="EY15" s="624"/>
      <c r="EZ15" s="627"/>
      <c r="FA15" s="625"/>
      <c r="FB15" s="625"/>
      <c r="FC15" s="625"/>
      <c r="FD15" s="625"/>
      <c r="FE15" s="624"/>
      <c r="FF15" s="627"/>
      <c r="FG15" s="625"/>
      <c r="FH15" s="625"/>
      <c r="FI15" s="625"/>
      <c r="FJ15" s="625"/>
      <c r="FK15" s="624"/>
      <c r="FL15" s="627"/>
      <c r="FM15" s="625"/>
      <c r="FN15" s="625"/>
      <c r="FO15" s="625"/>
      <c r="FP15" s="625"/>
      <c r="FQ15" s="624"/>
      <c r="FR15" s="627"/>
      <c r="FS15" s="625"/>
      <c r="FT15" s="625"/>
      <c r="FU15" s="625"/>
      <c r="FV15" s="625"/>
      <c r="FW15" s="624"/>
      <c r="FX15" s="627"/>
      <c r="FY15" s="625"/>
      <c r="FZ15" s="625"/>
      <c r="GA15" s="625"/>
      <c r="GB15" s="625"/>
      <c r="GC15" s="624"/>
      <c r="GD15" s="627"/>
      <c r="GE15" s="625"/>
      <c r="GF15" s="625"/>
      <c r="GG15" s="625"/>
      <c r="GH15" s="625"/>
      <c r="GI15" s="624"/>
      <c r="GJ15" s="627"/>
      <c r="GK15" s="625"/>
      <c r="GL15" s="625"/>
      <c r="GM15" s="625"/>
      <c r="GN15" s="625"/>
      <c r="GO15" s="624"/>
      <c r="GP15" s="627"/>
      <c r="GQ15" s="625"/>
      <c r="GR15" s="625"/>
      <c r="GS15" s="625"/>
      <c r="GT15" s="625"/>
      <c r="GU15" s="624"/>
      <c r="GV15" s="627"/>
      <c r="GW15" s="625"/>
      <c r="GX15" s="625"/>
      <c r="GY15" s="625"/>
      <c r="GZ15" s="625"/>
      <c r="HA15" s="624"/>
      <c r="HB15" s="627"/>
      <c r="HC15" s="625"/>
      <c r="HD15" s="625"/>
      <c r="HE15" s="625"/>
      <c r="HF15" s="625"/>
      <c r="HG15" s="624"/>
      <c r="HH15" s="627"/>
      <c r="HI15" s="625"/>
      <c r="HJ15" s="625"/>
      <c r="HK15" s="625"/>
      <c r="HL15" s="625"/>
      <c r="HM15" s="624"/>
      <c r="HN15" s="627"/>
      <c r="HO15" s="625"/>
      <c r="HP15" s="625"/>
      <c r="HQ15" s="625"/>
      <c r="HR15" s="625"/>
      <c r="HS15" s="624"/>
      <c r="HT15" s="627"/>
      <c r="HU15" s="625"/>
      <c r="HV15" s="625"/>
      <c r="HW15" s="625"/>
      <c r="HX15" s="625"/>
      <c r="HY15" s="624"/>
      <c r="HZ15" s="627"/>
      <c r="IA15" s="625"/>
      <c r="IB15" s="625"/>
      <c r="IC15" s="625"/>
    </row>
    <row r="16" spans="1:237" x14ac:dyDescent="0.2">
      <c r="G16" s="611"/>
    </row>
    <row r="81" spans="16:16" x14ac:dyDescent="0.2">
      <c r="P81" s="593">
        <f>SUM(P8:P80)/2</f>
        <v>0</v>
      </c>
    </row>
  </sheetData>
  <mergeCells count="19">
    <mergeCell ref="I1:J1"/>
    <mergeCell ref="K1:L1"/>
    <mergeCell ref="I2:J2"/>
    <mergeCell ref="K2:L2"/>
    <mergeCell ref="I3:J3"/>
    <mergeCell ref="K3:L3"/>
    <mergeCell ref="B15:F15"/>
    <mergeCell ref="I4:J4"/>
    <mergeCell ref="K4:L4"/>
    <mergeCell ref="B5:H5"/>
    <mergeCell ref="C6:F6"/>
    <mergeCell ref="C7:F7"/>
    <mergeCell ref="C8:F8"/>
    <mergeCell ref="C9:F9"/>
    <mergeCell ref="C10:F10"/>
    <mergeCell ref="C11:F11"/>
    <mergeCell ref="C12:F12"/>
    <mergeCell ref="C14:F14"/>
    <mergeCell ref="C13:F13"/>
  </mergeCells>
  <conditionalFormatting sqref="B5">
    <cfRule type="expression" dxfId="79" priority="1">
      <formula>$K5="VERIFICAR CÓDIGO"</formula>
    </cfRule>
  </conditionalFormatting>
  <dataValidations disablePrompts="1" count="1">
    <dataValidation type="list" allowBlank="1" showInputMessage="1" showErrorMessage="1" sqref="K2:L2" xr:uid="{1A9B0C02-4A1B-4795-8523-EBBAE52451DB}">
      <formula1>$R$1:$R$2</formula1>
    </dataValidation>
  </dataValidations>
  <printOptions horizontalCentered="1"/>
  <pageMargins left="0.59055118110236227" right="0.59055118110236227" top="1.7716535433070868" bottom="0.78740157480314965" header="0" footer="0"/>
  <pageSetup paperSize="9" scale="90" firstPageNumber="25" orientation="landscape" r:id="rId1"/>
  <headerFooter scaleWithDoc="0">
    <oddHeader>&amp;L&amp;G</oddHeader>
    <oddFooter>&amp;C&amp;"-,Negrito"&amp;12DIONI CAETANEO DE OLIVEIRA
&amp;"-,Regular"ENGENHEIRO CIVIL - CREA /MT 40957
DEPARTAMENTO DE ENGENHARIA</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DDE0A-446B-4ABF-9165-282884B31B5E}">
  <sheetPr codeName="Plan18" filterMode="1">
    <tabColor rgb="FF00B050"/>
  </sheetPr>
  <dimension ref="A1:P165"/>
  <sheetViews>
    <sheetView showGridLines="0" showZeros="0" view="pageLayout" topLeftCell="A19" zoomScale="60" zoomScaleNormal="115" zoomScaleSheetLayoutView="80" zoomScalePageLayoutView="60" workbookViewId="0">
      <selection activeCell="F3" sqref="F3"/>
    </sheetView>
  </sheetViews>
  <sheetFormatPr defaultColWidth="8.85546875" defaultRowHeight="14.25" x14ac:dyDescent="0.2"/>
  <cols>
    <col min="1" max="1" width="14.28515625" style="466" customWidth="1"/>
    <col min="2" max="2" width="16.5703125" style="466" customWidth="1"/>
    <col min="3" max="3" width="82.42578125" style="477" customWidth="1"/>
    <col min="4" max="4" width="10.7109375" style="466" customWidth="1"/>
    <col min="5" max="5" width="16.140625" style="478" customWidth="1"/>
    <col min="6" max="6" width="23.5703125" style="478" customWidth="1"/>
    <col min="7" max="8" width="11.7109375" style="478" customWidth="1"/>
    <col min="9" max="9" width="32.28515625" style="54" customWidth="1"/>
    <col min="10" max="10" width="17.85546875" style="54" bestFit="1" customWidth="1"/>
    <col min="11" max="11" width="22.85546875" style="54" bestFit="1" customWidth="1"/>
    <col min="12" max="12" width="16" style="54" bestFit="1" customWidth="1"/>
    <col min="13" max="13" width="20.140625" style="472" bestFit="1" customWidth="1"/>
    <col min="14" max="14" width="8.85546875" style="472"/>
    <col min="15" max="15" width="25.5703125" style="472" bestFit="1" customWidth="1"/>
    <col min="16" max="16" width="13.7109375" style="472" customWidth="1"/>
    <col min="17" max="17" width="13.28515625" style="472" customWidth="1"/>
    <col min="18" max="16384" width="8.85546875" style="472"/>
  </cols>
  <sheetData>
    <row r="1" spans="1:16" s="466" customFormat="1" ht="30" customHeight="1" thickBot="1" x14ac:dyDescent="0.25">
      <c r="A1" s="1404" t="s">
        <v>2882</v>
      </c>
      <c r="B1" s="1405"/>
      <c r="C1" s="1405"/>
      <c r="D1" s="1405"/>
      <c r="E1" s="1405"/>
      <c r="F1" s="1405"/>
      <c r="G1" s="1405"/>
      <c r="H1" s="1406"/>
      <c r="I1" s="1402" t="s">
        <v>2975</v>
      </c>
      <c r="J1" s="1403"/>
      <c r="K1" s="1402" t="s">
        <v>2974</v>
      </c>
      <c r="L1" s="1403"/>
      <c r="O1" s="7" t="s">
        <v>1</v>
      </c>
      <c r="P1" s="479" t="s">
        <v>313</v>
      </c>
    </row>
    <row r="2" spans="1:16" s="466" customFormat="1" ht="30" x14ac:dyDescent="0.2">
      <c r="A2" s="1158" t="s">
        <v>34</v>
      </c>
      <c r="B2" s="1160" t="s">
        <v>235</v>
      </c>
      <c r="C2" s="1163" t="s">
        <v>237</v>
      </c>
      <c r="D2" s="1158" t="s">
        <v>16</v>
      </c>
      <c r="E2" s="1159" t="s">
        <v>287</v>
      </c>
      <c r="F2" s="1159" t="s">
        <v>288</v>
      </c>
      <c r="G2" s="1167" t="s">
        <v>289</v>
      </c>
      <c r="H2" s="1159" t="s">
        <v>290</v>
      </c>
      <c r="I2" s="1167" t="s">
        <v>289</v>
      </c>
      <c r="J2" s="1159" t="s">
        <v>81</v>
      </c>
      <c r="K2" s="1167" t="s">
        <v>289</v>
      </c>
      <c r="L2" s="1159" t="s">
        <v>81</v>
      </c>
      <c r="O2" s="13" t="s">
        <v>4</v>
      </c>
    </row>
    <row r="3" spans="1:16" ht="19.5" x14ac:dyDescent="0.2">
      <c r="A3" s="468">
        <v>1</v>
      </c>
      <c r="B3" s="469" t="s">
        <v>17</v>
      </c>
      <c r="C3" s="470" t="s">
        <v>291</v>
      </c>
      <c r="D3" s="468" t="s">
        <v>292</v>
      </c>
      <c r="E3" s="471">
        <v>66071.709999999992</v>
      </c>
      <c r="F3" s="471">
        <v>395769.46</v>
      </c>
      <c r="G3" s="359">
        <f t="shared" ref="G3:G35" si="0">(F3/$F$36)*100</f>
        <v>13.725054275802403</v>
      </c>
      <c r="H3" s="359">
        <f>G3</f>
        <v>13.725054275802403</v>
      </c>
      <c r="I3" s="1162">
        <f>(J3/$J$36)*100</f>
        <v>13.771146216789356</v>
      </c>
      <c r="J3" s="359">
        <f>F3</f>
        <v>395769.46</v>
      </c>
      <c r="K3" s="359">
        <f>(L3/$L$36)*100</f>
        <v>0</v>
      </c>
      <c r="L3" s="359"/>
      <c r="M3" s="580" t="e">
        <f>F3=#REF!</f>
        <v>#REF!</v>
      </c>
      <c r="O3" s="7" t="s">
        <v>6</v>
      </c>
    </row>
    <row r="4" spans="1:16" ht="19.5" x14ac:dyDescent="0.2">
      <c r="A4" s="468"/>
      <c r="B4" s="469" t="s">
        <v>17</v>
      </c>
      <c r="C4" s="470" t="s">
        <v>314</v>
      </c>
      <c r="D4" s="468" t="s">
        <v>247</v>
      </c>
      <c r="E4" s="471">
        <v>224.7</v>
      </c>
      <c r="F4" s="471">
        <v>792703.4</v>
      </c>
      <c r="G4" s="359">
        <f t="shared" si="0"/>
        <v>27.49049203951488</v>
      </c>
      <c r="H4" s="359">
        <f t="shared" ref="H4:H35" si="1">G4+H3</f>
        <v>41.215546315317283</v>
      </c>
      <c r="I4" s="1162">
        <f t="shared" ref="I4:I35" si="2">(J4/$J$36)*100</f>
        <v>27.582811538682289</v>
      </c>
      <c r="J4" s="359">
        <f>F4</f>
        <v>792703.4</v>
      </c>
      <c r="K4" s="359">
        <f t="shared" ref="K4:K35" si="3">(L4/$L$36)*100</f>
        <v>0</v>
      </c>
      <c r="L4" s="359"/>
      <c r="M4" s="580" t="e">
        <f>F4=#REF!</f>
        <v>#REF!</v>
      </c>
      <c r="O4" s="7"/>
    </row>
    <row r="5" spans="1:16" ht="19.5" x14ac:dyDescent="0.2">
      <c r="A5" s="468">
        <v>5</v>
      </c>
      <c r="B5" s="469"/>
      <c r="C5" s="470" t="s">
        <v>309</v>
      </c>
      <c r="D5" s="468" t="s">
        <v>263</v>
      </c>
      <c r="E5" s="471" t="s">
        <v>310</v>
      </c>
      <c r="F5" s="471">
        <v>670840.68999999994</v>
      </c>
      <c r="G5" s="359">
        <f t="shared" si="0"/>
        <v>23.264364260614585</v>
      </c>
      <c r="H5" s="359">
        <f t="shared" si="1"/>
        <v>64.479910575931868</v>
      </c>
      <c r="I5" s="1162">
        <f t="shared" si="2"/>
        <v>23.019852562553812</v>
      </c>
      <c r="J5" s="359">
        <f>'[108]RESUMO MATERIAIS FINAL'!$F$5</f>
        <v>661568.36</v>
      </c>
      <c r="K5" s="359">
        <f t="shared" si="3"/>
        <v>96.073975986505317</v>
      </c>
      <c r="L5" s="359">
        <f>F5-'[108]RESUMO MATERIAIS FINAL'!$F$5</f>
        <v>9272.3299999999581</v>
      </c>
      <c r="M5" s="580" t="e">
        <f>F5=#REF!</f>
        <v>#REF!</v>
      </c>
      <c r="O5" s="7"/>
    </row>
    <row r="6" spans="1:16" ht="19.5" x14ac:dyDescent="0.2">
      <c r="A6" s="468"/>
      <c r="B6" s="469" t="s">
        <v>17</v>
      </c>
      <c r="C6" s="470" t="s">
        <v>315</v>
      </c>
      <c r="D6" s="468" t="s">
        <v>247</v>
      </c>
      <c r="E6" s="471">
        <v>77.03</v>
      </c>
      <c r="F6" s="471">
        <v>408768.93</v>
      </c>
      <c r="G6" s="359">
        <f t="shared" si="0"/>
        <v>14.175868321198084</v>
      </c>
      <c r="H6" s="359">
        <f t="shared" si="1"/>
        <v>78.655778897129949</v>
      </c>
      <c r="I6" s="1162">
        <f t="shared" si="2"/>
        <v>14.223474201143596</v>
      </c>
      <c r="J6" s="359">
        <f>F6</f>
        <v>408768.93</v>
      </c>
      <c r="K6" s="359">
        <f t="shared" si="3"/>
        <v>0</v>
      </c>
      <c r="L6" s="359"/>
      <c r="M6" s="580" t="e">
        <f>F6=#REF!</f>
        <v>#REF!</v>
      </c>
      <c r="O6" s="7"/>
    </row>
    <row r="7" spans="1:16" ht="19.5" x14ac:dyDescent="0.2">
      <c r="A7" s="468">
        <v>6</v>
      </c>
      <c r="B7" s="469"/>
      <c r="C7" s="470" t="s">
        <v>311</v>
      </c>
      <c r="D7" s="468" t="s">
        <v>280</v>
      </c>
      <c r="E7" s="471" t="s">
        <v>310</v>
      </c>
      <c r="F7" s="471">
        <v>201998.96000000002</v>
      </c>
      <c r="G7" s="359">
        <f t="shared" si="0"/>
        <v>7.0052062371251154</v>
      </c>
      <c r="H7" s="359">
        <f t="shared" si="1"/>
        <v>85.660985134255071</v>
      </c>
      <c r="I7" s="1162">
        <f t="shared" si="2"/>
        <v>7.0155468509024947</v>
      </c>
      <c r="J7" s="359">
        <f>'[108]RESUMO MATERIAIS FINAL'!$F$7</f>
        <v>201620.05000000002</v>
      </c>
      <c r="K7" s="359">
        <f t="shared" si="3"/>
        <v>3.9260240134946911</v>
      </c>
      <c r="L7" s="359">
        <f>F7-'[108]RESUMO MATERIAIS FINAL'!$F$7</f>
        <v>378.91000000000349</v>
      </c>
      <c r="M7" s="580" t="e">
        <f>F7=#REF!</f>
        <v>#REF!</v>
      </c>
      <c r="O7" s="7"/>
    </row>
    <row r="8" spans="1:16" ht="19.5" x14ac:dyDescent="0.2">
      <c r="A8" s="468">
        <v>3</v>
      </c>
      <c r="B8" s="469" t="s">
        <v>307</v>
      </c>
      <c r="C8" s="470" t="s">
        <v>316</v>
      </c>
      <c r="D8" s="468" t="s">
        <v>259</v>
      </c>
      <c r="E8" s="471">
        <v>967.25104999999996</v>
      </c>
      <c r="F8" s="471">
        <v>130578.89</v>
      </c>
      <c r="G8" s="359">
        <f t="shared" si="0"/>
        <v>4.5283998227756932</v>
      </c>
      <c r="H8" s="359">
        <f t="shared" si="1"/>
        <v>90.189384957030768</v>
      </c>
      <c r="I8" s="1162">
        <f t="shared" si="2"/>
        <v>4.5436072480581329</v>
      </c>
      <c r="J8" s="359">
        <f>F8</f>
        <v>130578.89</v>
      </c>
      <c r="K8" s="359">
        <f t="shared" si="3"/>
        <v>0</v>
      </c>
      <c r="L8" s="359"/>
      <c r="M8" s="580" t="e">
        <f>F8=#REF!</f>
        <v>#REF!</v>
      </c>
      <c r="O8" s="7"/>
    </row>
    <row r="9" spans="1:16" ht="28.5" x14ac:dyDescent="0.2">
      <c r="A9" s="468" t="s">
        <v>299</v>
      </c>
      <c r="B9" s="469" t="s">
        <v>13</v>
      </c>
      <c r="C9" s="470" t="s">
        <v>317</v>
      </c>
      <c r="D9" s="468" t="s">
        <v>318</v>
      </c>
      <c r="E9" s="471">
        <v>1518.7560000000001</v>
      </c>
      <c r="F9" s="471">
        <v>85496.23</v>
      </c>
      <c r="G9" s="359">
        <f t="shared" si="0"/>
        <v>2.9649594416064482</v>
      </c>
      <c r="H9" s="359">
        <f t="shared" si="1"/>
        <v>93.154344398637221</v>
      </c>
      <c r="I9" s="1162">
        <f t="shared" si="2"/>
        <v>2.9749164685780771</v>
      </c>
      <c r="J9" s="359">
        <f t="shared" ref="J9:J35" si="4">F9</f>
        <v>85496.23</v>
      </c>
      <c r="K9" s="359">
        <f t="shared" si="3"/>
        <v>0</v>
      </c>
      <c r="L9" s="359"/>
      <c r="M9" s="580" t="e">
        <f>F9=#REF!</f>
        <v>#REF!</v>
      </c>
      <c r="O9" s="7"/>
    </row>
    <row r="10" spans="1:16" ht="28.5" x14ac:dyDescent="0.2">
      <c r="A10" s="468" t="s">
        <v>296</v>
      </c>
      <c r="B10" s="469" t="s">
        <v>13</v>
      </c>
      <c r="C10" s="470" t="s">
        <v>319</v>
      </c>
      <c r="D10" s="468" t="s">
        <v>53</v>
      </c>
      <c r="E10" s="471">
        <v>2588.616</v>
      </c>
      <c r="F10" s="471">
        <v>75051.48</v>
      </c>
      <c r="G10" s="359">
        <f t="shared" si="0"/>
        <v>2.6027415972907524</v>
      </c>
      <c r="H10" s="359">
        <f t="shared" si="1"/>
        <v>95.75708599592798</v>
      </c>
      <c r="I10" s="1162">
        <f t="shared" si="2"/>
        <v>2.6114822120596215</v>
      </c>
      <c r="J10" s="359">
        <f t="shared" si="4"/>
        <v>75051.48</v>
      </c>
      <c r="K10" s="359">
        <f t="shared" si="3"/>
        <v>0</v>
      </c>
      <c r="L10" s="359"/>
      <c r="M10" s="580" t="e">
        <f>F10=#REF!</f>
        <v>#REF!</v>
      </c>
      <c r="O10" s="7"/>
    </row>
    <row r="11" spans="1:16" ht="19.5" x14ac:dyDescent="0.2">
      <c r="A11" s="468">
        <v>2</v>
      </c>
      <c r="B11" s="469" t="s">
        <v>306</v>
      </c>
      <c r="C11" s="470" t="s">
        <v>320</v>
      </c>
      <c r="D11" s="468" t="s">
        <v>259</v>
      </c>
      <c r="E11" s="471">
        <v>472.90105000000005</v>
      </c>
      <c r="F11" s="471">
        <v>63841.639999999992</v>
      </c>
      <c r="G11" s="359">
        <f t="shared" si="0"/>
        <v>2.2139908775584591</v>
      </c>
      <c r="H11" s="359">
        <f t="shared" si="1"/>
        <v>97.971076873486439</v>
      </c>
      <c r="I11" s="1162">
        <f t="shared" si="2"/>
        <v>2.2214259765258992</v>
      </c>
      <c r="J11" s="359">
        <f t="shared" si="4"/>
        <v>63841.639999999992</v>
      </c>
      <c r="K11" s="359">
        <f t="shared" si="3"/>
        <v>0</v>
      </c>
      <c r="L11" s="359"/>
      <c r="M11" s="580" t="e">
        <f>F11=#REF!</f>
        <v>#REF!</v>
      </c>
      <c r="O11" s="7"/>
    </row>
    <row r="12" spans="1:16" ht="28.5" x14ac:dyDescent="0.2">
      <c r="A12" s="468" t="s">
        <v>305</v>
      </c>
      <c r="B12" s="469" t="s">
        <v>13</v>
      </c>
      <c r="C12" s="470" t="s">
        <v>321</v>
      </c>
      <c r="D12" s="468" t="s">
        <v>322</v>
      </c>
      <c r="E12" s="471">
        <v>82.435819999999993</v>
      </c>
      <c r="F12" s="471">
        <v>29141.05</v>
      </c>
      <c r="G12" s="359">
        <f t="shared" si="0"/>
        <v>1.010594634825718</v>
      </c>
      <c r="H12" s="359">
        <f t="shared" si="1"/>
        <v>98.981671508312161</v>
      </c>
      <c r="I12" s="1162">
        <f t="shared" si="2"/>
        <v>1.0139884478725807</v>
      </c>
      <c r="J12" s="359">
        <f t="shared" si="4"/>
        <v>29141.05</v>
      </c>
      <c r="K12" s="359">
        <f t="shared" si="3"/>
        <v>0</v>
      </c>
      <c r="L12" s="359"/>
      <c r="M12" s="580" t="e">
        <f>F12=#REF!</f>
        <v>#REF!</v>
      </c>
      <c r="O12" s="7"/>
    </row>
    <row r="13" spans="1:16" ht="28.5" x14ac:dyDescent="0.2">
      <c r="A13" s="468" t="s">
        <v>302</v>
      </c>
      <c r="B13" s="469" t="s">
        <v>13</v>
      </c>
      <c r="C13" s="470" t="s">
        <v>323</v>
      </c>
      <c r="D13" s="468" t="s">
        <v>53</v>
      </c>
      <c r="E13" s="471">
        <v>885.94100000000003</v>
      </c>
      <c r="F13" s="471">
        <v>10022.91</v>
      </c>
      <c r="G13" s="359">
        <f t="shared" si="0"/>
        <v>0.34758867890282047</v>
      </c>
      <c r="H13" s="359">
        <f t="shared" si="1"/>
        <v>99.329260187214985</v>
      </c>
      <c r="I13" s="1162">
        <f t="shared" si="2"/>
        <v>0.3487559629480258</v>
      </c>
      <c r="J13" s="359">
        <f t="shared" si="4"/>
        <v>10022.91</v>
      </c>
      <c r="K13" s="359">
        <f t="shared" si="3"/>
        <v>0</v>
      </c>
      <c r="L13" s="359"/>
      <c r="M13" s="580" t="e">
        <f>F13=#REF!</f>
        <v>#REF!</v>
      </c>
      <c r="O13" s="7"/>
    </row>
    <row r="14" spans="1:16" ht="28.5" x14ac:dyDescent="0.2">
      <c r="A14" s="468" t="s">
        <v>297</v>
      </c>
      <c r="B14" s="469" t="s">
        <v>13</v>
      </c>
      <c r="C14" s="470" t="s">
        <v>324</v>
      </c>
      <c r="D14" s="468" t="s">
        <v>53</v>
      </c>
      <c r="E14" s="471">
        <v>159.613</v>
      </c>
      <c r="F14" s="471">
        <v>4775.7299999999996</v>
      </c>
      <c r="G14" s="359">
        <f t="shared" si="0"/>
        <v>0.16561953379772609</v>
      </c>
      <c r="H14" s="359">
        <f t="shared" si="1"/>
        <v>99.494879721012708</v>
      </c>
      <c r="I14" s="1162">
        <f t="shared" si="2"/>
        <v>0.16617572291178662</v>
      </c>
      <c r="J14" s="359">
        <f t="shared" si="4"/>
        <v>4775.7299999999996</v>
      </c>
      <c r="K14" s="359">
        <f t="shared" si="3"/>
        <v>0</v>
      </c>
      <c r="L14" s="359"/>
      <c r="M14" s="580" t="e">
        <f>F14=#REF!</f>
        <v>#REF!</v>
      </c>
      <c r="O14" s="7"/>
    </row>
    <row r="15" spans="1:16" ht="28.5" x14ac:dyDescent="0.2">
      <c r="A15" s="468">
        <v>4813</v>
      </c>
      <c r="B15" s="469" t="s">
        <v>4</v>
      </c>
      <c r="C15" s="470" t="s">
        <v>325</v>
      </c>
      <c r="D15" s="468" t="s">
        <v>326</v>
      </c>
      <c r="E15" s="471">
        <v>15.62</v>
      </c>
      <c r="F15" s="471">
        <v>3905</v>
      </c>
      <c r="G15" s="359">
        <f t="shared" si="0"/>
        <v>0.13542312473278859</v>
      </c>
      <c r="H15" s="359">
        <f t="shared" si="1"/>
        <v>99.63030284574549</v>
      </c>
      <c r="I15" s="1162">
        <f t="shared" si="2"/>
        <v>0.13587790724570417</v>
      </c>
      <c r="J15" s="359">
        <f t="shared" si="4"/>
        <v>3905</v>
      </c>
      <c r="K15" s="359">
        <f t="shared" si="3"/>
        <v>0</v>
      </c>
      <c r="L15" s="359"/>
      <c r="M15" s="580" t="e">
        <f>F15=#REF!</f>
        <v>#REF!</v>
      </c>
      <c r="O15" s="7"/>
    </row>
    <row r="16" spans="1:16" ht="28.5" x14ac:dyDescent="0.2">
      <c r="A16" s="468" t="s">
        <v>301</v>
      </c>
      <c r="B16" s="469" t="s">
        <v>13</v>
      </c>
      <c r="C16" s="470" t="s">
        <v>327</v>
      </c>
      <c r="D16" s="468" t="s">
        <v>53</v>
      </c>
      <c r="E16" s="471">
        <v>303.75119999999998</v>
      </c>
      <c r="F16" s="471">
        <v>3268.5699999999997</v>
      </c>
      <c r="G16" s="359">
        <f t="shared" si="0"/>
        <v>0.11335210315181836</v>
      </c>
      <c r="H16" s="359">
        <f t="shared" si="1"/>
        <v>99.743654948897301</v>
      </c>
      <c r="I16" s="1162">
        <f t="shared" si="2"/>
        <v>0.11373276601436397</v>
      </c>
      <c r="J16" s="359">
        <f t="shared" si="4"/>
        <v>3268.5699999999997</v>
      </c>
      <c r="K16" s="359">
        <f t="shared" si="3"/>
        <v>0</v>
      </c>
      <c r="L16" s="359"/>
      <c r="M16" s="580" t="e">
        <f>F16=#REF!</f>
        <v>#REF!</v>
      </c>
      <c r="O16" s="7"/>
    </row>
    <row r="17" spans="1:15" ht="28.5" x14ac:dyDescent="0.2">
      <c r="A17" s="468" t="s">
        <v>295</v>
      </c>
      <c r="B17" s="469" t="s">
        <v>13</v>
      </c>
      <c r="C17" s="470" t="s">
        <v>328</v>
      </c>
      <c r="D17" s="468" t="s">
        <v>53</v>
      </c>
      <c r="E17" s="471">
        <v>3248.0866500000002</v>
      </c>
      <c r="F17" s="471">
        <v>2199.59</v>
      </c>
      <c r="G17" s="359">
        <f t="shared" si="0"/>
        <v>7.6280499598206014E-2</v>
      </c>
      <c r="H17" s="359">
        <f t="shared" si="1"/>
        <v>99.819935448495514</v>
      </c>
      <c r="I17" s="1162">
        <f t="shared" si="2"/>
        <v>7.6536667349187834E-2</v>
      </c>
      <c r="J17" s="359">
        <f t="shared" si="4"/>
        <v>2199.59</v>
      </c>
      <c r="K17" s="359">
        <f t="shared" si="3"/>
        <v>0</v>
      </c>
      <c r="L17" s="359"/>
      <c r="M17" s="580" t="e">
        <f>F17=#REF!</f>
        <v>#REF!</v>
      </c>
      <c r="O17" s="7"/>
    </row>
    <row r="18" spans="1:15" ht="28.5" x14ac:dyDescent="0.2">
      <c r="A18" s="468" t="s">
        <v>298</v>
      </c>
      <c r="B18" s="469" t="s">
        <v>13</v>
      </c>
      <c r="C18" s="470" t="s">
        <v>329</v>
      </c>
      <c r="D18" s="468" t="s">
        <v>53</v>
      </c>
      <c r="E18" s="471">
        <v>146.32356999999999</v>
      </c>
      <c r="F18" s="471">
        <v>1704.38</v>
      </c>
      <c r="G18" s="359">
        <f t="shared" si="0"/>
        <v>5.9106905334717089E-2</v>
      </c>
      <c r="H18" s="359">
        <f t="shared" si="1"/>
        <v>99.879042353830229</v>
      </c>
      <c r="I18" s="1162">
        <f t="shared" si="2"/>
        <v>5.9305400141212113E-2</v>
      </c>
      <c r="J18" s="359">
        <f t="shared" si="4"/>
        <v>1704.38</v>
      </c>
      <c r="K18" s="359">
        <f t="shared" si="3"/>
        <v>0</v>
      </c>
      <c r="L18" s="359"/>
      <c r="M18" s="580" t="e">
        <f>F18=#REF!</f>
        <v>#REF!</v>
      </c>
      <c r="O18" s="7"/>
    </row>
    <row r="19" spans="1:15" ht="28.5" x14ac:dyDescent="0.2">
      <c r="A19" s="468" t="s">
        <v>300</v>
      </c>
      <c r="B19" s="469" t="s">
        <v>13</v>
      </c>
      <c r="C19" s="470" t="s">
        <v>330</v>
      </c>
      <c r="D19" s="468" t="s">
        <v>318</v>
      </c>
      <c r="E19" s="471">
        <v>75.937799999999996</v>
      </c>
      <c r="F19" s="471">
        <v>1234.32</v>
      </c>
      <c r="G19" s="359">
        <f t="shared" si="0"/>
        <v>4.2805498417458537E-2</v>
      </c>
      <c r="H19" s="359">
        <f t="shared" si="1"/>
        <v>99.921847852247694</v>
      </c>
      <c r="I19" s="1162">
        <f t="shared" si="2"/>
        <v>4.2949249288480811E-2</v>
      </c>
      <c r="J19" s="359">
        <f t="shared" si="4"/>
        <v>1234.32</v>
      </c>
      <c r="K19" s="359">
        <f t="shared" si="3"/>
        <v>0</v>
      </c>
      <c r="L19" s="359"/>
      <c r="M19" s="580" t="e">
        <f>F19=#REF!</f>
        <v>#REF!</v>
      </c>
      <c r="O19" s="7"/>
    </row>
    <row r="20" spans="1:15" ht="28.5" x14ac:dyDescent="0.2">
      <c r="A20" s="468" t="s">
        <v>294</v>
      </c>
      <c r="B20" s="469" t="s">
        <v>13</v>
      </c>
      <c r="C20" s="470" t="s">
        <v>331</v>
      </c>
      <c r="D20" s="468" t="s">
        <v>118</v>
      </c>
      <c r="E20" s="471">
        <v>7.2909000000000006</v>
      </c>
      <c r="F20" s="471">
        <v>941.29</v>
      </c>
      <c r="G20" s="359">
        <f t="shared" si="0"/>
        <v>3.2643388752810899E-2</v>
      </c>
      <c r="H20" s="359">
        <f t="shared" si="1"/>
        <v>99.954491241000511</v>
      </c>
      <c r="I20" s="1162">
        <f t="shared" si="2"/>
        <v>3.2753012883817899E-2</v>
      </c>
      <c r="J20" s="359">
        <f t="shared" si="4"/>
        <v>941.29</v>
      </c>
      <c r="K20" s="359">
        <f t="shared" si="3"/>
        <v>0</v>
      </c>
      <c r="L20" s="359"/>
      <c r="M20" s="580" t="e">
        <f>F20=#REF!</f>
        <v>#REF!</v>
      </c>
      <c r="O20" s="7"/>
    </row>
    <row r="21" spans="1:15" ht="28.5" x14ac:dyDescent="0.2">
      <c r="A21" s="468" t="s">
        <v>304</v>
      </c>
      <c r="B21" s="469" t="s">
        <v>13</v>
      </c>
      <c r="C21" s="470" t="s">
        <v>332</v>
      </c>
      <c r="D21" s="468" t="s">
        <v>53</v>
      </c>
      <c r="E21" s="471">
        <v>9.2327999999999992</v>
      </c>
      <c r="F21" s="471">
        <v>662.5200000000001</v>
      </c>
      <c r="G21" s="359">
        <f t="shared" si="0"/>
        <v>2.2975807579505021E-2</v>
      </c>
      <c r="H21" s="359">
        <f t="shared" si="1"/>
        <v>99.97746704858001</v>
      </c>
      <c r="I21" s="1162">
        <f t="shared" si="2"/>
        <v>2.3052965712784621E-2</v>
      </c>
      <c r="J21" s="359">
        <f t="shared" si="4"/>
        <v>662.5200000000001</v>
      </c>
      <c r="K21" s="359">
        <f t="shared" si="3"/>
        <v>0</v>
      </c>
      <c r="L21" s="359"/>
      <c r="M21" s="580" t="e">
        <f>F21=#REF!</f>
        <v>#REF!</v>
      </c>
      <c r="O21" s="7"/>
    </row>
    <row r="22" spans="1:15" ht="28.5" x14ac:dyDescent="0.2">
      <c r="A22" s="468">
        <v>4509</v>
      </c>
      <c r="B22" s="469" t="s">
        <v>4</v>
      </c>
      <c r="C22" s="470" t="s">
        <v>333</v>
      </c>
      <c r="D22" s="468" t="s">
        <v>334</v>
      </c>
      <c r="E22" s="471">
        <v>50.113645999999996</v>
      </c>
      <c r="F22" s="471">
        <v>284.64</v>
      </c>
      <c r="G22" s="359">
        <f t="shared" si="0"/>
        <v>9.8711493531218799E-3</v>
      </c>
      <c r="H22" s="359">
        <f t="shared" si="1"/>
        <v>99.987338197933127</v>
      </c>
      <c r="I22" s="1162">
        <f t="shared" si="2"/>
        <v>9.9042989803885366E-3</v>
      </c>
      <c r="J22" s="359">
        <f t="shared" si="4"/>
        <v>284.64</v>
      </c>
      <c r="K22" s="359">
        <f t="shared" si="3"/>
        <v>0</v>
      </c>
      <c r="L22" s="359"/>
      <c r="M22" s="580" t="e">
        <f>F22=#REF!</f>
        <v>#REF!</v>
      </c>
      <c r="O22" s="7"/>
    </row>
    <row r="23" spans="1:15" ht="19.5" x14ac:dyDescent="0.2">
      <c r="A23" s="468">
        <v>7340</v>
      </c>
      <c r="B23" s="469" t="s">
        <v>4</v>
      </c>
      <c r="C23" s="470" t="s">
        <v>335</v>
      </c>
      <c r="D23" s="468" t="s">
        <v>292</v>
      </c>
      <c r="E23" s="471">
        <v>2.543717</v>
      </c>
      <c r="F23" s="471">
        <v>84.75</v>
      </c>
      <c r="G23" s="359">
        <f t="shared" si="0"/>
        <v>2.9390806200009813E-3</v>
      </c>
      <c r="H23" s="359">
        <f t="shared" si="1"/>
        <v>99.990277278553123</v>
      </c>
      <c r="I23" s="1162">
        <f t="shared" si="2"/>
        <v>2.9489507398395465E-3</v>
      </c>
      <c r="J23" s="359">
        <f t="shared" si="4"/>
        <v>84.75</v>
      </c>
      <c r="K23" s="359">
        <f t="shared" si="3"/>
        <v>0</v>
      </c>
      <c r="L23" s="359"/>
      <c r="M23" s="580" t="e">
        <f>F23=#REF!</f>
        <v>#REF!</v>
      </c>
      <c r="O23" s="7"/>
    </row>
    <row r="24" spans="1:15" ht="28.5" x14ac:dyDescent="0.2">
      <c r="A24" s="468">
        <v>4491</v>
      </c>
      <c r="B24" s="469" t="s">
        <v>4</v>
      </c>
      <c r="C24" s="470" t="s">
        <v>336</v>
      </c>
      <c r="D24" s="468" t="s">
        <v>334</v>
      </c>
      <c r="E24" s="471">
        <v>7.26</v>
      </c>
      <c r="F24" s="471">
        <v>81.31</v>
      </c>
      <c r="G24" s="359">
        <f t="shared" si="0"/>
        <v>2.8197834243336851E-3</v>
      </c>
      <c r="H24" s="359">
        <f t="shared" si="1"/>
        <v>99.993097061977451</v>
      </c>
      <c r="I24" s="1162">
        <f t="shared" si="2"/>
        <v>2.8292529162991568E-3</v>
      </c>
      <c r="J24" s="359">
        <f t="shared" si="4"/>
        <v>81.31</v>
      </c>
      <c r="K24" s="359">
        <f t="shared" si="3"/>
        <v>0</v>
      </c>
      <c r="L24" s="359"/>
      <c r="M24" s="580" t="e">
        <f>F24=#REF!</f>
        <v>#REF!</v>
      </c>
      <c r="O24" s="7"/>
    </row>
    <row r="25" spans="1:15" ht="28.5" x14ac:dyDescent="0.2">
      <c r="A25" s="468" t="s">
        <v>293</v>
      </c>
      <c r="B25" s="469" t="s">
        <v>13</v>
      </c>
      <c r="C25" s="470" t="s">
        <v>337</v>
      </c>
      <c r="D25" s="468" t="s">
        <v>53</v>
      </c>
      <c r="E25" s="471">
        <v>9.7442899999999995</v>
      </c>
      <c r="F25" s="471">
        <v>61.04</v>
      </c>
      <c r="G25" s="359">
        <f t="shared" si="0"/>
        <v>2.1168316347476095E-3</v>
      </c>
      <c r="H25" s="359">
        <f t="shared" si="1"/>
        <v>99.995213893612203</v>
      </c>
      <c r="I25" s="1162">
        <f t="shared" si="2"/>
        <v>2.1239404502631965E-3</v>
      </c>
      <c r="J25" s="359">
        <f t="shared" si="4"/>
        <v>61.04</v>
      </c>
      <c r="K25" s="359">
        <f t="shared" si="3"/>
        <v>0</v>
      </c>
      <c r="L25" s="359"/>
      <c r="M25" s="580" t="e">
        <f>F25=#REF!</f>
        <v>#REF!</v>
      </c>
      <c r="O25" s="7"/>
    </row>
    <row r="26" spans="1:15" ht="28.5" x14ac:dyDescent="0.2">
      <c r="A26" s="468" t="s">
        <v>303</v>
      </c>
      <c r="B26" s="469" t="s">
        <v>13</v>
      </c>
      <c r="C26" s="470" t="s">
        <v>338</v>
      </c>
      <c r="D26" s="468" t="s">
        <v>318</v>
      </c>
      <c r="E26" s="471">
        <v>2.4553099999999999</v>
      </c>
      <c r="F26" s="471">
        <v>54.709999999999994</v>
      </c>
      <c r="G26" s="359">
        <f t="shared" si="0"/>
        <v>1.8973109229528458E-3</v>
      </c>
      <c r="H26" s="359">
        <f t="shared" si="1"/>
        <v>99.997111204535159</v>
      </c>
      <c r="I26" s="1162">
        <f t="shared" si="2"/>
        <v>1.9036825365973044E-3</v>
      </c>
      <c r="J26" s="359">
        <f t="shared" si="4"/>
        <v>54.709999999999994</v>
      </c>
      <c r="K26" s="359">
        <f t="shared" si="3"/>
        <v>0</v>
      </c>
      <c r="L26" s="359"/>
      <c r="M26" s="580" t="e">
        <f>F26=#REF!</f>
        <v>#REF!</v>
      </c>
      <c r="O26" s="7"/>
    </row>
    <row r="27" spans="1:15" ht="19.5" x14ac:dyDescent="0.2">
      <c r="A27" s="468">
        <v>43653</v>
      </c>
      <c r="B27" s="469" t="s">
        <v>4</v>
      </c>
      <c r="C27" s="470" t="s">
        <v>339</v>
      </c>
      <c r="D27" s="468" t="s">
        <v>292</v>
      </c>
      <c r="E27" s="471">
        <v>0.98223840000000007</v>
      </c>
      <c r="F27" s="471">
        <v>33.14</v>
      </c>
      <c r="G27" s="359">
        <f t="shared" si="0"/>
        <v>1.1492758908180829E-3</v>
      </c>
      <c r="H27" s="359">
        <f t="shared" si="1"/>
        <v>99.998260480425984</v>
      </c>
      <c r="I27" s="1162">
        <f t="shared" si="2"/>
        <v>1.1531354279443371E-3</v>
      </c>
      <c r="J27" s="359">
        <f t="shared" si="4"/>
        <v>33.14</v>
      </c>
      <c r="K27" s="359">
        <f t="shared" si="3"/>
        <v>0</v>
      </c>
      <c r="L27" s="359"/>
      <c r="M27" s="580" t="e">
        <f>F27=#REF!</f>
        <v>#REF!</v>
      </c>
      <c r="O27" s="7"/>
    </row>
    <row r="28" spans="1:15" ht="28.5" x14ac:dyDescent="0.2">
      <c r="A28" s="468">
        <v>4734</v>
      </c>
      <c r="B28" s="469" t="s">
        <v>4</v>
      </c>
      <c r="C28" s="470" t="s">
        <v>340</v>
      </c>
      <c r="D28" s="468" t="s">
        <v>60</v>
      </c>
      <c r="E28" s="471">
        <v>2.6638080000000001E-2</v>
      </c>
      <c r="F28" s="471">
        <v>12.63</v>
      </c>
      <c r="G28" s="359">
        <f t="shared" si="0"/>
        <v>4.3800104106917284E-4</v>
      </c>
      <c r="H28" s="359">
        <f t="shared" si="1"/>
        <v>99.998698481467059</v>
      </c>
      <c r="I28" s="1162">
        <f t="shared" si="2"/>
        <v>4.3947195096369883E-4</v>
      </c>
      <c r="J28" s="359">
        <f t="shared" si="4"/>
        <v>12.63</v>
      </c>
      <c r="K28" s="359">
        <f t="shared" si="3"/>
        <v>0</v>
      </c>
      <c r="L28" s="359"/>
      <c r="M28" s="580" t="e">
        <f>F28=#REF!</f>
        <v>#REF!</v>
      </c>
      <c r="O28" s="7"/>
    </row>
    <row r="29" spans="1:15" ht="19.5" x14ac:dyDescent="0.2">
      <c r="A29" s="468">
        <v>1379</v>
      </c>
      <c r="B29" s="469" t="s">
        <v>4</v>
      </c>
      <c r="C29" s="470" t="s">
        <v>341</v>
      </c>
      <c r="D29" s="468" t="s">
        <v>342</v>
      </c>
      <c r="E29" s="471">
        <v>12.692252159999999</v>
      </c>
      <c r="F29" s="471">
        <v>10.66</v>
      </c>
      <c r="G29" s="359">
        <f t="shared" si="0"/>
        <v>3.6968258889923849E-4</v>
      </c>
      <c r="H29" s="359">
        <f t="shared" si="1"/>
        <v>99.999068164055956</v>
      </c>
      <c r="I29" s="1162">
        <f t="shared" si="2"/>
        <v>3.7092406945946391E-4</v>
      </c>
      <c r="J29" s="359">
        <f t="shared" si="4"/>
        <v>10.66</v>
      </c>
      <c r="K29" s="359">
        <f t="shared" si="3"/>
        <v>0</v>
      </c>
      <c r="L29" s="359"/>
      <c r="M29" s="580" t="e">
        <f>F29=#REF!</f>
        <v>#REF!</v>
      </c>
      <c r="O29" s="7"/>
    </row>
    <row r="30" spans="1:15" ht="19.5" x14ac:dyDescent="0.2">
      <c r="A30" s="468">
        <v>7288</v>
      </c>
      <c r="B30" s="469" t="s">
        <v>4</v>
      </c>
      <c r="C30" s="470" t="s">
        <v>343</v>
      </c>
      <c r="D30" s="468" t="s">
        <v>292</v>
      </c>
      <c r="E30" s="471">
        <v>0.25740000000000002</v>
      </c>
      <c r="F30" s="471">
        <v>8.69</v>
      </c>
      <c r="G30" s="359">
        <f t="shared" si="0"/>
        <v>3.0136413672930419E-4</v>
      </c>
      <c r="H30" s="359">
        <f t="shared" si="1"/>
        <v>99.999369528192688</v>
      </c>
      <c r="I30" s="1162">
        <f t="shared" si="2"/>
        <v>3.02376187955229E-4</v>
      </c>
      <c r="J30" s="359">
        <f t="shared" si="4"/>
        <v>8.69</v>
      </c>
      <c r="K30" s="359">
        <f t="shared" si="3"/>
        <v>0</v>
      </c>
      <c r="L30" s="359"/>
      <c r="M30" s="580" t="e">
        <f>F30=#REF!</f>
        <v>#REF!</v>
      </c>
      <c r="O30" s="7"/>
    </row>
    <row r="31" spans="1:15" ht="19.5" x14ac:dyDescent="0.2">
      <c r="A31" s="468">
        <v>5065</v>
      </c>
      <c r="B31" s="469" t="s">
        <v>4</v>
      </c>
      <c r="C31" s="470" t="s">
        <v>344</v>
      </c>
      <c r="D31" s="468" t="s">
        <v>342</v>
      </c>
      <c r="E31" s="471">
        <v>0.17650599999999997</v>
      </c>
      <c r="F31" s="471">
        <v>6.45</v>
      </c>
      <c r="G31" s="359">
        <f t="shared" si="0"/>
        <v>2.2368224187618087E-4</v>
      </c>
      <c r="H31" s="359">
        <f t="shared" si="1"/>
        <v>99.999593210434568</v>
      </c>
      <c r="I31" s="1162">
        <f t="shared" si="2"/>
        <v>2.24433419138231E-4</v>
      </c>
      <c r="J31" s="359">
        <f t="shared" si="4"/>
        <v>6.45</v>
      </c>
      <c r="K31" s="359">
        <f t="shared" si="3"/>
        <v>0</v>
      </c>
      <c r="L31" s="359"/>
      <c r="M31" s="580" t="e">
        <f>F31=#REF!</f>
        <v>#REF!</v>
      </c>
      <c r="O31" s="7"/>
    </row>
    <row r="32" spans="1:15" ht="28.5" x14ac:dyDescent="0.2">
      <c r="A32" s="474">
        <v>370</v>
      </c>
      <c r="B32" s="474" t="s">
        <v>4</v>
      </c>
      <c r="C32" s="470" t="s">
        <v>345</v>
      </c>
      <c r="D32" s="468" t="s">
        <v>60</v>
      </c>
      <c r="E32" s="471">
        <v>3.7399040000000001E-2</v>
      </c>
      <c r="F32" s="471">
        <v>5.23</v>
      </c>
      <c r="G32" s="359">
        <f t="shared" si="0"/>
        <v>1.8137335271510482E-4</v>
      </c>
      <c r="H32" s="359">
        <f t="shared" si="1"/>
        <v>99.999774583787286</v>
      </c>
      <c r="I32" s="1162">
        <f t="shared" si="2"/>
        <v>1.8198244683611598E-4</v>
      </c>
      <c r="J32" s="359">
        <f t="shared" si="4"/>
        <v>5.23</v>
      </c>
      <c r="K32" s="359">
        <f t="shared" si="3"/>
        <v>0</v>
      </c>
      <c r="L32" s="359"/>
      <c r="M32" s="580" t="e">
        <f>F32=#REF!</f>
        <v>#REF!</v>
      </c>
      <c r="O32" s="7"/>
    </row>
    <row r="33" spans="1:15" ht="19.5" x14ac:dyDescent="0.2">
      <c r="A33" s="474">
        <v>5069</v>
      </c>
      <c r="B33" s="474" t="s">
        <v>4</v>
      </c>
      <c r="C33" s="470" t="s">
        <v>346</v>
      </c>
      <c r="D33" s="468" t="s">
        <v>342</v>
      </c>
      <c r="E33" s="471">
        <v>0.20618399999999998</v>
      </c>
      <c r="F33" s="471">
        <v>4.03</v>
      </c>
      <c r="G33" s="359">
        <f t="shared" si="0"/>
        <v>1.3975805190093163E-4</v>
      </c>
      <c r="H33" s="359">
        <f t="shared" si="1"/>
        <v>99.999914341839187</v>
      </c>
      <c r="I33" s="1162">
        <f t="shared" si="2"/>
        <v>1.4022739211272416E-4</v>
      </c>
      <c r="J33" s="359">
        <f t="shared" si="4"/>
        <v>4.03</v>
      </c>
      <c r="K33" s="359">
        <f t="shared" si="3"/>
        <v>0</v>
      </c>
      <c r="L33" s="359"/>
      <c r="M33" s="580" t="e">
        <f>F33=#REF!</f>
        <v>#REF!</v>
      </c>
      <c r="O33" s="7"/>
    </row>
    <row r="34" spans="1:15" ht="19.5" x14ac:dyDescent="0.2">
      <c r="A34" s="474">
        <v>5318</v>
      </c>
      <c r="B34" s="474" t="s">
        <v>4</v>
      </c>
      <c r="C34" s="470" t="s">
        <v>347</v>
      </c>
      <c r="D34" s="468" t="s">
        <v>292</v>
      </c>
      <c r="E34" s="359">
        <v>8.0387999999999987E-2</v>
      </c>
      <c r="F34" s="471">
        <v>1.56</v>
      </c>
      <c r="G34" s="359">
        <f t="shared" si="0"/>
        <v>5.409989105842515E-5</v>
      </c>
      <c r="H34" s="359">
        <f t="shared" si="1"/>
        <v>99.999968441730246</v>
      </c>
      <c r="I34" s="1162">
        <f t="shared" si="2"/>
        <v>5.4281571140409351E-5</v>
      </c>
      <c r="J34" s="359">
        <f t="shared" si="4"/>
        <v>1.56</v>
      </c>
      <c r="K34" s="359">
        <f t="shared" si="3"/>
        <v>0</v>
      </c>
      <c r="L34" s="359"/>
      <c r="M34" s="580" t="e">
        <f>F34=#REF!</f>
        <v>#REF!</v>
      </c>
      <c r="O34" s="7"/>
    </row>
    <row r="35" spans="1:15" ht="19.5" x14ac:dyDescent="0.2">
      <c r="A35" s="474">
        <v>3767</v>
      </c>
      <c r="B35" s="474" t="s">
        <v>4</v>
      </c>
      <c r="C35" s="470" t="s">
        <v>348</v>
      </c>
      <c r="D35" s="468" t="s">
        <v>349</v>
      </c>
      <c r="E35" s="359">
        <v>0.79200000000000004</v>
      </c>
      <c r="F35" s="471">
        <v>0.91</v>
      </c>
      <c r="G35" s="359">
        <f t="shared" si="0"/>
        <v>3.1558269784081338E-5</v>
      </c>
      <c r="H35" s="359">
        <f t="shared" si="1"/>
        <v>100.00000000000003</v>
      </c>
      <c r="I35" s="1162">
        <f t="shared" si="2"/>
        <v>3.1664249831905455E-5</v>
      </c>
      <c r="J35" s="359">
        <f t="shared" si="4"/>
        <v>0.91</v>
      </c>
      <c r="K35" s="359">
        <f t="shared" si="3"/>
        <v>0</v>
      </c>
      <c r="L35" s="923"/>
      <c r="M35" s="580" t="e">
        <f>F35=#REF!</f>
        <v>#REF!</v>
      </c>
      <c r="O35" s="7"/>
    </row>
    <row r="36" spans="1:15" s="475" customFormat="1" ht="18" x14ac:dyDescent="0.25">
      <c r="A36" s="1407" t="s">
        <v>312</v>
      </c>
      <c r="B36" s="1408"/>
      <c r="C36" s="1408"/>
      <c r="D36" s="1408"/>
      <c r="E36" s="1408"/>
      <c r="F36" s="480">
        <f>SUM(F3:F35)</f>
        <v>2883554.79</v>
      </c>
      <c r="G36" s="481">
        <f>SUM(G3:G35)</f>
        <v>100.00000000000003</v>
      </c>
      <c r="H36" s="481"/>
      <c r="I36" s="483"/>
      <c r="J36" s="480">
        <f>SUM(J3:J35)</f>
        <v>2873903.5500000003</v>
      </c>
      <c r="K36" s="483"/>
      <c r="L36" s="480">
        <f>SUM(L3:L35)</f>
        <v>9651.2399999999616</v>
      </c>
      <c r="O36" s="476"/>
    </row>
    <row r="37" spans="1:15" s="475" customFormat="1" ht="18" x14ac:dyDescent="0.25">
      <c r="A37" s="1409" t="s">
        <v>350</v>
      </c>
      <c r="B37" s="1410"/>
      <c r="C37" s="1410"/>
      <c r="D37" s="1410"/>
      <c r="E37" s="1410"/>
      <c r="F37" s="482">
        <f>4.614+3.405</f>
        <v>8.0190000000000001</v>
      </c>
      <c r="G37" s="483"/>
      <c r="H37" s="483"/>
      <c r="I37" s="483"/>
      <c r="J37" s="483"/>
      <c r="K37" s="483"/>
      <c r="L37" s="483"/>
      <c r="O37" s="476"/>
    </row>
    <row r="38" spans="1:15" s="475" customFormat="1" ht="18" x14ac:dyDescent="0.25">
      <c r="A38" s="1411" t="s">
        <v>351</v>
      </c>
      <c r="B38" s="1412"/>
      <c r="C38" s="1412"/>
      <c r="D38" s="1412"/>
      <c r="E38" s="1412"/>
      <c r="F38" s="484">
        <f>F36/F37</f>
        <v>359590.32173587731</v>
      </c>
      <c r="G38" s="485"/>
      <c r="H38" s="485"/>
      <c r="I38" s="483" t="s">
        <v>351</v>
      </c>
      <c r="J38" s="483">
        <f>J36/F37</f>
        <v>358386.77515899739</v>
      </c>
      <c r="K38" s="483" t="s">
        <v>351</v>
      </c>
      <c r="L38" s="483">
        <f>L36/F37</f>
        <v>1203.5465768799054</v>
      </c>
      <c r="O38" s="476"/>
    </row>
    <row r="39" spans="1:15" ht="15" x14ac:dyDescent="0.2">
      <c r="I39" s="543"/>
      <c r="J39" s="543"/>
      <c r="K39" s="543"/>
      <c r="L39" s="543"/>
    </row>
    <row r="40" spans="1:15" x14ac:dyDescent="0.2">
      <c r="F40" s="478" t="b">
        <f>F36='ORÇ. MATERIAL'!R149</f>
        <v>0</v>
      </c>
      <c r="I40" s="511"/>
      <c r="J40" s="511"/>
      <c r="K40" s="511"/>
      <c r="L40" s="511"/>
    </row>
    <row r="41" spans="1:15" x14ac:dyDescent="0.2">
      <c r="I41" s="410"/>
      <c r="J41" s="410"/>
      <c r="K41" s="538"/>
      <c r="L41" s="410"/>
    </row>
    <row r="42" spans="1:15" x14ac:dyDescent="0.2">
      <c r="I42" s="511"/>
      <c r="J42" s="511"/>
      <c r="K42" s="511"/>
      <c r="L42" s="511"/>
    </row>
    <row r="43" spans="1:15" x14ac:dyDescent="0.2">
      <c r="I43" s="410"/>
      <c r="J43" s="410"/>
      <c r="K43" s="538"/>
      <c r="L43" s="410">
        <v>5657.6</v>
      </c>
      <c r="N43" s="472">
        <f>7*1044.82</f>
        <v>7313.74</v>
      </c>
      <c r="O43" s="472">
        <f>6*1044.81</f>
        <v>6268.86</v>
      </c>
    </row>
    <row r="44" spans="1:15" x14ac:dyDescent="0.2">
      <c r="I44" s="511"/>
      <c r="J44" s="511"/>
      <c r="K44" s="511"/>
      <c r="L44" s="511"/>
    </row>
    <row r="45" spans="1:15" x14ac:dyDescent="0.2">
      <c r="I45" s="410"/>
      <c r="J45" s="410"/>
      <c r="K45" s="538"/>
      <c r="L45" s="410"/>
      <c r="N45" s="472">
        <f>N43-L43</f>
        <v>1656.1399999999994</v>
      </c>
      <c r="O45" s="472">
        <f>O43-L43</f>
        <v>611.25999999999931</v>
      </c>
    </row>
    <row r="46" spans="1:15" x14ac:dyDescent="0.2">
      <c r="I46" s="511"/>
      <c r="J46" s="511"/>
      <c r="K46" s="511"/>
      <c r="L46" s="511"/>
    </row>
    <row r="47" spans="1:15" x14ac:dyDescent="0.2">
      <c r="I47" s="410"/>
      <c r="J47" s="410"/>
      <c r="K47" s="538"/>
      <c r="L47" s="410"/>
    </row>
    <row r="48" spans="1:15" x14ac:dyDescent="0.2">
      <c r="I48" s="410"/>
      <c r="J48" s="410"/>
      <c r="K48" s="538"/>
      <c r="L48" s="410"/>
    </row>
    <row r="49" spans="9:12" x14ac:dyDescent="0.2">
      <c r="I49" s="410"/>
      <c r="J49" s="410"/>
      <c r="K49" s="538"/>
      <c r="L49" s="410"/>
    </row>
    <row r="50" spans="9:12" ht="15" x14ac:dyDescent="0.2">
      <c r="I50" s="501"/>
      <c r="J50" s="501"/>
      <c r="K50" s="501"/>
      <c r="L50" s="501"/>
    </row>
    <row r="51" spans="9:12" x14ac:dyDescent="0.2">
      <c r="I51" s="511"/>
      <c r="J51" s="511"/>
      <c r="K51" s="511"/>
      <c r="L51" s="511"/>
    </row>
    <row r="52" spans="9:12" x14ac:dyDescent="0.2">
      <c r="I52" s="511"/>
      <c r="J52" s="511"/>
      <c r="K52" s="511"/>
      <c r="L52" s="511"/>
    </row>
    <row r="53" spans="9:12" ht="15" x14ac:dyDescent="0.2">
      <c r="I53" s="501"/>
      <c r="J53" s="501"/>
      <c r="K53" s="501"/>
      <c r="L53" s="501"/>
    </row>
    <row r="54" spans="9:12" ht="15" x14ac:dyDescent="0.2">
      <c r="I54" s="553"/>
      <c r="J54" s="553"/>
      <c r="K54" s="553"/>
      <c r="L54" s="553"/>
    </row>
    <row r="55" spans="9:12" x14ac:dyDescent="0.2">
      <c r="I55" s="511"/>
      <c r="J55" s="511"/>
      <c r="K55" s="511"/>
      <c r="L55" s="511"/>
    </row>
    <row r="56" spans="9:12" x14ac:dyDescent="0.2">
      <c r="I56" s="410"/>
      <c r="J56" s="410"/>
      <c r="K56" s="515"/>
      <c r="L56" s="410"/>
    </row>
    <row r="57" spans="9:12" x14ac:dyDescent="0.2">
      <c r="I57" s="511"/>
      <c r="J57" s="511"/>
      <c r="K57" s="511"/>
      <c r="L57" s="511"/>
    </row>
    <row r="58" spans="9:12" x14ac:dyDescent="0.2">
      <c r="I58" s="410"/>
      <c r="J58" s="410"/>
      <c r="K58" s="515"/>
      <c r="L58" s="410"/>
    </row>
    <row r="59" spans="9:12" ht="15" x14ac:dyDescent="0.2">
      <c r="I59" s="1166"/>
      <c r="J59" s="1166"/>
      <c r="K59" s="1166"/>
      <c r="L59" s="1166"/>
    </row>
    <row r="60" spans="9:12" x14ac:dyDescent="0.2">
      <c r="I60" s="555"/>
      <c r="J60" s="511"/>
      <c r="K60" s="555"/>
      <c r="L60" s="511"/>
    </row>
    <row r="61" spans="9:12" x14ac:dyDescent="0.2">
      <c r="I61" s="555"/>
      <c r="J61" s="511"/>
      <c r="K61" s="555"/>
      <c r="L61" s="511"/>
    </row>
    <row r="62" spans="9:12" x14ac:dyDescent="0.2">
      <c r="I62" s="555"/>
      <c r="J62" s="511"/>
      <c r="K62" s="555"/>
      <c r="L62" s="511"/>
    </row>
    <row r="63" spans="9:12" ht="15" x14ac:dyDescent="0.2">
      <c r="I63" s="554"/>
      <c r="J63" s="554"/>
      <c r="K63" s="554"/>
      <c r="L63" s="554"/>
    </row>
    <row r="64" spans="9:12" x14ac:dyDescent="0.2">
      <c r="I64" s="555"/>
      <c r="J64" s="511"/>
      <c r="K64" s="555"/>
      <c r="L64" s="511"/>
    </row>
    <row r="65" spans="9:12" x14ac:dyDescent="0.2">
      <c r="I65" s="555"/>
      <c r="J65" s="511"/>
      <c r="K65" s="555"/>
      <c r="L65" s="511"/>
    </row>
    <row r="66" spans="9:12" x14ac:dyDescent="0.2">
      <c r="I66" s="555"/>
      <c r="J66" s="511"/>
      <c r="K66" s="555"/>
      <c r="L66" s="511"/>
    </row>
    <row r="67" spans="9:12" x14ac:dyDescent="0.2">
      <c r="I67" s="511"/>
      <c r="J67" s="511"/>
      <c r="K67" s="511"/>
      <c r="L67" s="511"/>
    </row>
    <row r="68" spans="9:12" ht="15" x14ac:dyDescent="0.2">
      <c r="I68" s="501"/>
      <c r="J68" s="501"/>
      <c r="K68" s="501"/>
      <c r="L68" s="501"/>
    </row>
    <row r="69" spans="9:12" x14ac:dyDescent="0.2">
      <c r="I69" s="511"/>
      <c r="J69" s="511"/>
      <c r="K69" s="511"/>
      <c r="L69" s="511"/>
    </row>
    <row r="70" spans="9:12" x14ac:dyDescent="0.2">
      <c r="I70" s="410"/>
      <c r="J70" s="410"/>
      <c r="K70" s="410"/>
      <c r="L70" s="410"/>
    </row>
    <row r="71" spans="9:12" x14ac:dyDescent="0.2">
      <c r="I71" s="410"/>
      <c r="J71" s="410"/>
      <c r="K71" s="410"/>
      <c r="L71" s="410"/>
    </row>
    <row r="72" spans="9:12" x14ac:dyDescent="0.2">
      <c r="I72" s="410"/>
      <c r="J72" s="410"/>
      <c r="K72" s="410"/>
      <c r="L72" s="410"/>
    </row>
    <row r="73" spans="9:12" x14ac:dyDescent="0.2">
      <c r="I73" s="410"/>
      <c r="J73" s="410"/>
      <c r="K73" s="410"/>
      <c r="L73" s="410"/>
    </row>
    <row r="74" spans="9:12" x14ac:dyDescent="0.2">
      <c r="I74" s="526"/>
      <c r="J74" s="526"/>
      <c r="K74" s="526"/>
      <c r="L74" s="526"/>
    </row>
    <row r="75" spans="9:12" x14ac:dyDescent="0.2">
      <c r="I75" s="410"/>
      <c r="J75" s="410"/>
      <c r="K75" s="410"/>
      <c r="L75" s="410"/>
    </row>
    <row r="76" spans="9:12" x14ac:dyDescent="0.2">
      <c r="I76" s="410"/>
      <c r="J76" s="410"/>
      <c r="K76" s="410"/>
      <c r="L76" s="410"/>
    </row>
    <row r="77" spans="9:12" x14ac:dyDescent="0.2">
      <c r="I77" s="410"/>
      <c r="J77" s="410"/>
      <c r="K77" s="410"/>
      <c r="L77" s="410"/>
    </row>
    <row r="78" spans="9:12" x14ac:dyDescent="0.2">
      <c r="I78" s="511"/>
      <c r="J78" s="511"/>
      <c r="K78" s="511"/>
      <c r="L78" s="511"/>
    </row>
    <row r="79" spans="9:12" x14ac:dyDescent="0.2">
      <c r="I79" s="410"/>
      <c r="J79" s="410"/>
      <c r="K79" s="410"/>
      <c r="L79" s="410"/>
    </row>
    <row r="80" spans="9:12" x14ac:dyDescent="0.2">
      <c r="I80" s="511"/>
      <c r="J80" s="511"/>
      <c r="K80" s="511"/>
      <c r="L80" s="511"/>
    </row>
    <row r="81" spans="9:12" x14ac:dyDescent="0.2">
      <c r="I81" s="410"/>
      <c r="J81" s="410"/>
      <c r="K81" s="410"/>
      <c r="L81" s="410"/>
    </row>
    <row r="82" spans="9:12" x14ac:dyDescent="0.2">
      <c r="I82" s="511"/>
      <c r="J82" s="511"/>
      <c r="K82" s="511"/>
      <c r="L82" s="511"/>
    </row>
    <row r="83" spans="9:12" x14ac:dyDescent="0.2">
      <c r="I83" s="410"/>
      <c r="J83" s="410"/>
      <c r="K83" s="410"/>
      <c r="L83" s="410"/>
    </row>
    <row r="84" spans="9:12" x14ac:dyDescent="0.2">
      <c r="I84" s="410"/>
      <c r="J84" s="410"/>
      <c r="K84" s="410"/>
      <c r="L84" s="410"/>
    </row>
    <row r="85" spans="9:12" x14ac:dyDescent="0.2">
      <c r="I85" s="410"/>
      <c r="J85" s="410"/>
      <c r="K85" s="410"/>
      <c r="L85" s="410"/>
    </row>
    <row r="86" spans="9:12" x14ac:dyDescent="0.2">
      <c r="I86" s="511"/>
      <c r="J86" s="511"/>
      <c r="K86" s="511"/>
      <c r="L86" s="511"/>
    </row>
    <row r="87" spans="9:12" x14ac:dyDescent="0.2">
      <c r="I87" s="410"/>
      <c r="J87" s="410"/>
      <c r="K87" s="410"/>
      <c r="L87" s="410"/>
    </row>
    <row r="88" spans="9:12" x14ac:dyDescent="0.2">
      <c r="I88" s="511"/>
      <c r="J88" s="511"/>
      <c r="K88" s="511"/>
      <c r="L88" s="511"/>
    </row>
    <row r="89" spans="9:12" x14ac:dyDescent="0.2">
      <c r="I89" s="410"/>
      <c r="J89" s="410"/>
      <c r="K89" s="410"/>
      <c r="L89" s="410"/>
    </row>
    <row r="90" spans="9:12" x14ac:dyDescent="0.2">
      <c r="I90" s="511"/>
      <c r="J90" s="511"/>
      <c r="K90" s="511"/>
      <c r="L90" s="511"/>
    </row>
    <row r="91" spans="9:12" x14ac:dyDescent="0.2">
      <c r="I91" s="410"/>
      <c r="J91" s="410"/>
      <c r="K91" s="410"/>
      <c r="L91" s="410"/>
    </row>
    <row r="92" spans="9:12" ht="15" x14ac:dyDescent="0.2">
      <c r="I92" s="541"/>
      <c r="J92" s="541"/>
      <c r="K92" s="541"/>
      <c r="L92" s="541"/>
    </row>
    <row r="93" spans="9:12" ht="15" x14ac:dyDescent="0.2">
      <c r="I93" s="543"/>
      <c r="J93" s="543"/>
      <c r="K93" s="543"/>
      <c r="L93" s="543"/>
    </row>
    <row r="94" spans="9:12" x14ac:dyDescent="0.2">
      <c r="I94" s="511"/>
      <c r="J94" s="511"/>
      <c r="K94" s="511"/>
      <c r="L94" s="511"/>
    </row>
    <row r="95" spans="9:12" x14ac:dyDescent="0.2">
      <c r="I95" s="410"/>
      <c r="J95" s="410"/>
      <c r="K95" s="410"/>
      <c r="L95" s="410"/>
    </row>
    <row r="96" spans="9:12" x14ac:dyDescent="0.2">
      <c r="I96" s="526"/>
      <c r="J96" s="526"/>
      <c r="K96" s="526"/>
      <c r="L96" s="526"/>
    </row>
    <row r="97" spans="9:12" x14ac:dyDescent="0.2">
      <c r="I97" s="576"/>
      <c r="J97" s="576"/>
      <c r="K97" s="576"/>
      <c r="L97" s="410"/>
    </row>
    <row r="98" spans="9:12" x14ac:dyDescent="0.2">
      <c r="I98" s="576"/>
      <c r="J98" s="576"/>
      <c r="K98" s="576"/>
      <c r="L98" s="410"/>
    </row>
    <row r="99" spans="9:12" x14ac:dyDescent="0.2">
      <c r="I99" s="526"/>
      <c r="J99" s="526"/>
      <c r="K99" s="526"/>
      <c r="L99" s="526"/>
    </row>
    <row r="100" spans="9:12" x14ac:dyDescent="0.2">
      <c r="I100" s="576"/>
      <c r="J100" s="576"/>
      <c r="K100" s="576"/>
      <c r="L100" s="410"/>
    </row>
    <row r="101" spans="9:12" x14ac:dyDescent="0.2">
      <c r="I101" s="511"/>
      <c r="J101" s="511"/>
      <c r="K101" s="511"/>
      <c r="L101" s="511"/>
    </row>
    <row r="102" spans="9:12" x14ac:dyDescent="0.2">
      <c r="I102" s="410"/>
      <c r="J102" s="410"/>
      <c r="K102" s="410"/>
      <c r="L102" s="410"/>
    </row>
    <row r="103" spans="9:12" x14ac:dyDescent="0.2">
      <c r="I103" s="526"/>
      <c r="J103" s="526"/>
      <c r="K103" s="526"/>
      <c r="L103" s="526"/>
    </row>
    <row r="104" spans="9:12" x14ac:dyDescent="0.2">
      <c r="I104" s="576"/>
      <c r="J104" s="576"/>
      <c r="K104" s="576"/>
      <c r="L104" s="410"/>
    </row>
    <row r="105" spans="9:12" x14ac:dyDescent="0.2">
      <c r="I105" s="576"/>
      <c r="J105" s="576"/>
      <c r="K105" s="576"/>
      <c r="L105" s="410"/>
    </row>
    <row r="106" spans="9:12" x14ac:dyDescent="0.2">
      <c r="I106" s="526"/>
      <c r="J106" s="526"/>
      <c r="K106" s="526"/>
      <c r="L106" s="526"/>
    </row>
    <row r="107" spans="9:12" x14ac:dyDescent="0.2">
      <c r="I107" s="576"/>
      <c r="J107" s="576"/>
      <c r="K107" s="576"/>
      <c r="L107" s="410"/>
    </row>
    <row r="108" spans="9:12" x14ac:dyDescent="0.2">
      <c r="I108" s="511"/>
      <c r="J108" s="511"/>
      <c r="K108" s="511"/>
      <c r="L108" s="511"/>
    </row>
    <row r="109" spans="9:12" x14ac:dyDescent="0.2">
      <c r="I109" s="410"/>
      <c r="J109" s="410"/>
      <c r="K109" s="410"/>
      <c r="L109" s="410"/>
    </row>
    <row r="110" spans="9:12" x14ac:dyDescent="0.2">
      <c r="I110" s="526"/>
      <c r="J110" s="526"/>
      <c r="K110" s="526"/>
      <c r="L110" s="526"/>
    </row>
    <row r="111" spans="9:12" x14ac:dyDescent="0.2">
      <c r="I111" s="576"/>
      <c r="J111" s="576"/>
      <c r="K111" s="576"/>
      <c r="L111" s="410"/>
    </row>
    <row r="112" spans="9:12" x14ac:dyDescent="0.2">
      <c r="I112" s="576"/>
      <c r="J112" s="576"/>
      <c r="K112" s="576"/>
      <c r="L112" s="410"/>
    </row>
    <row r="113" spans="9:12" x14ac:dyDescent="0.2">
      <c r="I113" s="526"/>
      <c r="J113" s="526"/>
      <c r="K113" s="526"/>
      <c r="L113" s="526"/>
    </row>
    <row r="114" spans="9:12" x14ac:dyDescent="0.2">
      <c r="I114" s="410"/>
      <c r="J114" s="410"/>
      <c r="K114" s="410"/>
      <c r="L114" s="410"/>
    </row>
    <row r="115" spans="9:12" x14ac:dyDescent="0.2">
      <c r="I115" s="511"/>
      <c r="J115" s="511"/>
      <c r="K115" s="511"/>
      <c r="L115" s="511"/>
    </row>
    <row r="116" spans="9:12" x14ac:dyDescent="0.2">
      <c r="I116" s="410"/>
      <c r="J116" s="410"/>
      <c r="K116" s="410"/>
      <c r="L116" s="410"/>
    </row>
    <row r="117" spans="9:12" x14ac:dyDescent="0.2">
      <c r="I117" s="576"/>
      <c r="J117" s="576"/>
      <c r="K117" s="576"/>
      <c r="L117" s="410"/>
    </row>
    <row r="118" spans="9:12" x14ac:dyDescent="0.2">
      <c r="I118" s="576"/>
      <c r="J118" s="576"/>
      <c r="K118" s="576"/>
      <c r="L118" s="410"/>
    </row>
    <row r="119" spans="9:12" x14ac:dyDescent="0.2">
      <c r="I119" s="526"/>
      <c r="J119" s="526"/>
      <c r="K119" s="526"/>
      <c r="L119" s="526"/>
    </row>
    <row r="120" spans="9:12" x14ac:dyDescent="0.2">
      <c r="I120" s="576"/>
      <c r="J120" s="576"/>
      <c r="K120" s="576"/>
      <c r="L120" s="410"/>
    </row>
    <row r="121" spans="9:12" x14ac:dyDescent="0.2">
      <c r="I121" s="576"/>
      <c r="J121" s="576"/>
      <c r="K121" s="576"/>
      <c r="L121" s="410"/>
    </row>
    <row r="122" spans="9:12" x14ac:dyDescent="0.2">
      <c r="I122" s="576"/>
      <c r="J122" s="576"/>
      <c r="K122" s="576"/>
      <c r="L122" s="410"/>
    </row>
    <row r="123" spans="9:12" x14ac:dyDescent="0.2">
      <c r="I123" s="576"/>
      <c r="J123" s="576"/>
      <c r="K123" s="576"/>
      <c r="L123" s="410"/>
    </row>
    <row r="124" spans="9:12" x14ac:dyDescent="0.2">
      <c r="I124" s="576"/>
      <c r="J124" s="576"/>
      <c r="K124" s="576"/>
      <c r="L124" s="410"/>
    </row>
    <row r="125" spans="9:12" x14ac:dyDescent="0.2">
      <c r="I125" s="511"/>
      <c r="J125" s="511"/>
      <c r="K125" s="511"/>
      <c r="L125" s="511"/>
    </row>
    <row r="126" spans="9:12" x14ac:dyDescent="0.2">
      <c r="I126" s="576"/>
      <c r="J126" s="576"/>
      <c r="K126" s="576"/>
      <c r="L126" s="410"/>
    </row>
    <row r="127" spans="9:12" x14ac:dyDescent="0.2">
      <c r="I127" s="410"/>
      <c r="J127" s="410"/>
      <c r="K127" s="410"/>
      <c r="L127" s="410"/>
    </row>
    <row r="128" spans="9:12" x14ac:dyDescent="0.2">
      <c r="I128" s="526"/>
      <c r="J128" s="526"/>
      <c r="K128" s="526"/>
      <c r="L128" s="526"/>
    </row>
    <row r="129" spans="9:12" x14ac:dyDescent="0.2">
      <c r="I129" s="576"/>
      <c r="J129" s="576"/>
      <c r="K129" s="576"/>
      <c r="L129" s="410"/>
    </row>
    <row r="130" spans="9:12" x14ac:dyDescent="0.2">
      <c r="I130" s="576"/>
      <c r="J130" s="576"/>
      <c r="K130" s="576"/>
      <c r="L130" s="410"/>
    </row>
    <row r="131" spans="9:12" x14ac:dyDescent="0.2">
      <c r="I131" s="576"/>
      <c r="J131" s="576"/>
      <c r="K131" s="576"/>
      <c r="L131" s="410"/>
    </row>
    <row r="132" spans="9:12" x14ac:dyDescent="0.2">
      <c r="I132" s="576"/>
      <c r="J132" s="576"/>
      <c r="K132" s="576"/>
      <c r="L132" s="410"/>
    </row>
    <row r="133" spans="9:12" x14ac:dyDescent="0.2">
      <c r="I133" s="410"/>
      <c r="J133" s="410"/>
      <c r="K133" s="410"/>
      <c r="L133" s="410"/>
    </row>
    <row r="134" spans="9:12" ht="15" x14ac:dyDescent="0.2">
      <c r="I134" s="501"/>
      <c r="J134" s="501"/>
      <c r="K134" s="501"/>
      <c r="L134" s="501"/>
    </row>
    <row r="135" spans="9:12" x14ac:dyDescent="0.2">
      <c r="I135" s="511"/>
      <c r="J135" s="511"/>
      <c r="K135" s="511"/>
      <c r="L135" s="511"/>
    </row>
    <row r="136" spans="9:12" x14ac:dyDescent="0.2">
      <c r="I136" s="410"/>
      <c r="J136" s="410"/>
      <c r="K136" s="410"/>
      <c r="L136" s="410"/>
    </row>
    <row r="137" spans="9:12" x14ac:dyDescent="0.2">
      <c r="I137" s="576"/>
      <c r="J137" s="576"/>
      <c r="K137" s="576"/>
      <c r="L137" s="410"/>
    </row>
    <row r="138" spans="9:12" x14ac:dyDescent="0.2">
      <c r="I138" s="576"/>
      <c r="J138" s="576"/>
      <c r="K138" s="576"/>
      <c r="L138" s="410"/>
    </row>
    <row r="139" spans="9:12" x14ac:dyDescent="0.2">
      <c r="I139" s="410"/>
      <c r="J139" s="410"/>
      <c r="K139" s="410"/>
      <c r="L139" s="410"/>
    </row>
    <row r="140" spans="9:12" x14ac:dyDescent="0.2">
      <c r="I140" s="410"/>
      <c r="J140" s="410"/>
      <c r="K140" s="410"/>
      <c r="L140" s="410"/>
    </row>
    <row r="141" spans="9:12" x14ac:dyDescent="0.2">
      <c r="I141" s="576"/>
      <c r="J141" s="576"/>
      <c r="K141" s="576"/>
      <c r="L141" s="410"/>
    </row>
    <row r="142" spans="9:12" x14ac:dyDescent="0.2">
      <c r="I142" s="511"/>
      <c r="J142" s="511"/>
      <c r="K142" s="511"/>
      <c r="L142" s="511"/>
    </row>
    <row r="143" spans="9:12" x14ac:dyDescent="0.2">
      <c r="I143" s="410"/>
      <c r="J143" s="410"/>
      <c r="K143" s="410"/>
      <c r="L143" s="410"/>
    </row>
    <row r="144" spans="9:12" x14ac:dyDescent="0.2">
      <c r="I144" s="576"/>
      <c r="J144" s="576"/>
      <c r="K144" s="576"/>
      <c r="L144" s="410"/>
    </row>
    <row r="145" spans="9:12" x14ac:dyDescent="0.2">
      <c r="I145" s="576"/>
      <c r="J145" s="576"/>
      <c r="K145" s="576"/>
      <c r="L145" s="410"/>
    </row>
    <row r="146" spans="9:12" x14ac:dyDescent="0.2">
      <c r="I146" s="576"/>
      <c r="J146" s="576"/>
      <c r="K146" s="576"/>
      <c r="L146" s="410"/>
    </row>
    <row r="147" spans="9:12" x14ac:dyDescent="0.2">
      <c r="I147" s="576"/>
      <c r="J147" s="576"/>
      <c r="K147" s="576"/>
      <c r="L147" s="410"/>
    </row>
    <row r="148" spans="9:12" x14ac:dyDescent="0.2">
      <c r="I148" s="410"/>
      <c r="J148" s="410"/>
      <c r="K148" s="410"/>
      <c r="L148" s="410"/>
    </row>
    <row r="149" spans="9:12" ht="15" x14ac:dyDescent="0.2">
      <c r="I149" s="1165"/>
      <c r="J149" s="579"/>
      <c r="K149" s="1165"/>
      <c r="L149" s="579"/>
    </row>
    <row r="152" spans="9:12" x14ac:dyDescent="0.2">
      <c r="K152" s="463"/>
    </row>
    <row r="153" spans="9:12" x14ac:dyDescent="0.2">
      <c r="I153" s="463"/>
      <c r="J153" s="463"/>
      <c r="K153" s="463"/>
      <c r="L153" s="463"/>
    </row>
    <row r="155" spans="9:12" x14ac:dyDescent="0.2">
      <c r="I155" s="463"/>
    </row>
    <row r="162" spans="9:12" x14ac:dyDescent="0.2">
      <c r="I162" s="584"/>
      <c r="J162" s="584"/>
      <c r="K162" s="584"/>
      <c r="L162" s="584"/>
    </row>
    <row r="163" spans="9:12" x14ac:dyDescent="0.2">
      <c r="I163" s="584"/>
      <c r="J163" s="584"/>
      <c r="K163" s="584"/>
      <c r="L163" s="584"/>
    </row>
    <row r="164" spans="9:12" x14ac:dyDescent="0.2">
      <c r="I164" s="587"/>
      <c r="J164" s="587"/>
      <c r="K164" s="587"/>
      <c r="L164" s="587"/>
    </row>
    <row r="165" spans="9:12" x14ac:dyDescent="0.2">
      <c r="I165" s="587"/>
      <c r="J165" s="587"/>
      <c r="K165" s="587"/>
      <c r="L165" s="587"/>
    </row>
  </sheetData>
  <autoFilter ref="A2:H38" xr:uid="{6880A41E-6209-4E26-A69E-D9C8E11A3E13}">
    <filterColumn colId="5">
      <customFilters>
        <customFilter operator="notEqual" val=" "/>
      </customFilters>
    </filterColumn>
    <sortState xmlns:xlrd2="http://schemas.microsoft.com/office/spreadsheetml/2017/richdata2" ref="A3:H38">
      <sortCondition descending="1" ref="F2:F35"/>
    </sortState>
  </autoFilter>
  <mergeCells count="6">
    <mergeCell ref="K1:L1"/>
    <mergeCell ref="A1:H1"/>
    <mergeCell ref="A36:E36"/>
    <mergeCell ref="A37:E37"/>
    <mergeCell ref="A38:E38"/>
    <mergeCell ref="I1:J1"/>
  </mergeCells>
  <conditionalFormatting sqref="I39:L161">
    <cfRule type="expression" dxfId="78" priority="1">
      <formula>$K39="VERIFICAR CÓDIGO"</formula>
    </cfRule>
  </conditionalFormatting>
  <conditionalFormatting sqref="I166:L1048576">
    <cfRule type="expression" dxfId="77" priority="4">
      <formula>$K166="VERIFICAR CÓDIGO"</formula>
    </cfRule>
  </conditionalFormatting>
  <dataValidations disablePrompts="1" count="1">
    <dataValidation type="list" allowBlank="1" showInputMessage="1" showErrorMessage="1" sqref="B3:B31" xr:uid="{E53F93EB-9E69-4AC0-AF27-73A552344823}">
      <formula1>$O$1:$O$69</formula1>
    </dataValidation>
  </dataValidations>
  <printOptions horizontalCentered="1"/>
  <pageMargins left="0.59055118110236227" right="0.59055118110236227" top="1.2598425196850394" bottom="0.78740157480314965" header="0" footer="0"/>
  <pageSetup paperSize="9" scale="42" firstPageNumber="25" fitToHeight="100" orientation="landscape" r:id="rId1"/>
  <headerFooter scaleWithDoc="0">
    <oddHeader>&amp;L&amp;G</oddHeader>
    <oddFooter>&amp;C&amp;"-,Negrito"&amp;12DIONI CAETANEO DE OLIVEIRA
&amp;"-,Regular"ENGENHEIRO CIVIL - CREA /MT 40957
DEPARTAMENTO DE ENGENHARIA</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C8F75-CBCF-4438-B486-223B4D54FCC1}">
  <sheetPr codeName="Plan12">
    <tabColor rgb="FFC00000"/>
  </sheetPr>
  <dimension ref="A1:AH96"/>
  <sheetViews>
    <sheetView showGridLines="0" view="pageLayout" zoomScale="55" zoomScaleNormal="85" zoomScaleSheetLayoutView="70" zoomScalePageLayoutView="55" workbookViewId="0">
      <selection activeCell="P93" sqref="P93"/>
    </sheetView>
  </sheetViews>
  <sheetFormatPr defaultColWidth="15.5703125" defaultRowHeight="14.25" x14ac:dyDescent="0.25"/>
  <cols>
    <col min="1" max="1" width="3.5703125" style="54" bestFit="1" customWidth="1"/>
    <col min="2" max="2" width="3.85546875" style="54" bestFit="1" customWidth="1"/>
    <col min="3" max="3" width="2.5703125" style="54" customWidth="1"/>
    <col min="4" max="4" width="2.5703125" style="54" bestFit="1" customWidth="1"/>
    <col min="5" max="5" width="2.85546875" style="54" bestFit="1" customWidth="1"/>
    <col min="6" max="6" width="14.7109375" style="54" customWidth="1"/>
    <col min="7" max="7" width="15.5703125" style="460"/>
    <col min="8" max="8" width="16.5703125" style="54" customWidth="1"/>
    <col min="9" max="9" width="16.85546875" style="54" bestFit="1" customWidth="1"/>
    <col min="10" max="11" width="14" style="54" customWidth="1"/>
    <col min="12" max="12" width="74.42578125" style="54" customWidth="1"/>
    <col min="13" max="13" width="11" style="340" customWidth="1"/>
    <col min="14" max="14" width="18.28515625" style="581" bestFit="1" customWidth="1"/>
    <col min="15" max="15" width="15.5703125" style="54"/>
    <col min="16" max="16" width="22.140625" style="54" bestFit="1" customWidth="1"/>
    <col min="17" max="17" width="15.5703125" style="462"/>
    <col min="18" max="18" width="21.140625" style="54" customWidth="1"/>
    <col min="19" max="19" width="12.85546875" style="54" customWidth="1"/>
    <col min="20" max="20" width="25.140625" style="54" bestFit="1" customWidth="1"/>
    <col min="21" max="21" width="25.140625" style="54" customWidth="1"/>
    <col min="22" max="22" width="25.42578125" style="54" customWidth="1"/>
    <col min="23" max="16384" width="15.5703125" style="54"/>
  </cols>
  <sheetData>
    <row r="1" spans="1:33" ht="45" customHeight="1" thickBot="1" x14ac:dyDescent="0.3">
      <c r="G1" s="1" t="s">
        <v>0</v>
      </c>
      <c r="H1" s="2" t="s">
        <v>220</v>
      </c>
      <c r="I1" s="3"/>
      <c r="J1" s="369"/>
      <c r="K1" s="369"/>
      <c r="L1" s="369"/>
      <c r="M1" s="363"/>
      <c r="N1" s="486"/>
      <c r="O1" s="1188" t="s">
        <v>221</v>
      </c>
      <c r="P1" s="1417"/>
      <c r="Q1" s="1189"/>
      <c r="R1" s="1398" t="s">
        <v>222</v>
      </c>
      <c r="S1" s="1399"/>
      <c r="T1" s="1133"/>
      <c r="U1" s="813"/>
      <c r="V1" s="372"/>
      <c r="X1" s="54" t="s">
        <v>223</v>
      </c>
      <c r="Z1" s="373" t="s">
        <v>224</v>
      </c>
      <c r="AG1" s="54" t="s">
        <v>225</v>
      </c>
    </row>
    <row r="2" spans="1:33" ht="15" customHeight="1" thickTop="1" x14ac:dyDescent="0.25">
      <c r="G2" s="8" t="s">
        <v>2</v>
      </c>
      <c r="H2" s="9" t="s">
        <v>226</v>
      </c>
      <c r="I2" s="10"/>
      <c r="N2" s="490"/>
      <c r="O2" s="1188" t="s">
        <v>227</v>
      </c>
      <c r="P2" s="1417"/>
      <c r="Q2" s="1189"/>
      <c r="R2" s="1418" t="s">
        <v>229</v>
      </c>
      <c r="S2" s="1419"/>
      <c r="T2" s="1134"/>
      <c r="U2" s="834"/>
      <c r="V2" s="1380" t="s">
        <v>228</v>
      </c>
      <c r="X2" s="54" t="s">
        <v>229</v>
      </c>
      <c r="Z2" s="376" t="s">
        <v>230</v>
      </c>
    </row>
    <row r="3" spans="1:33" ht="15" customHeight="1" x14ac:dyDescent="0.25">
      <c r="G3" s="8" t="s">
        <v>5</v>
      </c>
      <c r="H3" s="9" t="s">
        <v>231</v>
      </c>
      <c r="I3" s="10"/>
      <c r="N3" s="490"/>
      <c r="O3" s="1181" t="s">
        <v>232</v>
      </c>
      <c r="P3" s="1415"/>
      <c r="Q3" s="1182"/>
      <c r="R3" s="1400">
        <f>'BDI-SERVIÇOS'!K27</f>
        <v>0.20699999999999999</v>
      </c>
      <c r="S3" s="1401"/>
      <c r="T3" s="1135"/>
      <c r="U3" s="51"/>
      <c r="V3" s="1381"/>
      <c r="Z3" s="7" t="s">
        <v>1</v>
      </c>
    </row>
    <row r="4" spans="1:33" ht="15" customHeight="1" thickBot="1" x14ac:dyDescent="0.3">
      <c r="G4" s="14" t="s">
        <v>7</v>
      </c>
      <c r="H4" s="15" t="str">
        <f ca="1">UPPER(TEXT(TODAY(),"mmmm/aaaa"))</f>
        <v>DEZEMBRO/2024</v>
      </c>
      <c r="I4" s="16"/>
      <c r="J4" s="378"/>
      <c r="K4" s="378"/>
      <c r="L4" s="378"/>
      <c r="M4" s="379"/>
      <c r="N4" s="496"/>
      <c r="O4" s="1181" t="s">
        <v>233</v>
      </c>
      <c r="P4" s="1415"/>
      <c r="Q4" s="1182"/>
      <c r="R4" s="1183">
        <f>IF(R2="NÃO DESONERADO",15%,21.24%)</f>
        <v>0.15</v>
      </c>
      <c r="S4" s="1184"/>
      <c r="T4" s="1135"/>
      <c r="U4" s="51"/>
      <c r="V4" s="1382"/>
      <c r="Z4" s="13" t="s">
        <v>4</v>
      </c>
    </row>
    <row r="5" spans="1:33" ht="26.25" customHeight="1" thickTop="1" x14ac:dyDescent="0.25">
      <c r="G5" s="381"/>
      <c r="H5" s="382"/>
      <c r="I5" s="382"/>
      <c r="J5" s="382"/>
      <c r="K5" s="382"/>
      <c r="L5" s="383" t="str">
        <f>CONCATENATE("PLANILHA ORÇAMENTÁRIA - ",R2)</f>
        <v>PLANILHA ORÇAMENTÁRIA - NÃO DESONERADO</v>
      </c>
      <c r="M5" s="382"/>
      <c r="N5" s="841"/>
      <c r="O5" s="382"/>
      <c r="P5" s="382"/>
      <c r="Q5" s="382"/>
      <c r="R5" s="382"/>
      <c r="S5" s="498"/>
      <c r="T5" s="1136"/>
      <c r="U5" s="1136"/>
      <c r="Z5" s="7" t="s">
        <v>6</v>
      </c>
      <c r="AG5" s="385"/>
    </row>
    <row r="6" spans="1:33" ht="18" customHeight="1" x14ac:dyDescent="0.25">
      <c r="G6" s="1374" t="s">
        <v>235</v>
      </c>
      <c r="H6" s="1383" t="s">
        <v>34</v>
      </c>
      <c r="I6" s="1383" t="s">
        <v>236</v>
      </c>
      <c r="J6" s="1374" t="s">
        <v>2965</v>
      </c>
      <c r="K6" s="1383" t="s">
        <v>174</v>
      </c>
      <c r="L6" s="1383" t="s">
        <v>237</v>
      </c>
      <c r="M6" s="1374" t="s">
        <v>16</v>
      </c>
      <c r="N6" s="1413" t="s">
        <v>238</v>
      </c>
      <c r="O6" s="1383" t="s">
        <v>354</v>
      </c>
      <c r="P6" s="1383"/>
      <c r="Q6" s="1383"/>
      <c r="R6" s="1383"/>
      <c r="S6" s="1383"/>
      <c r="T6" s="1416" t="s">
        <v>2970</v>
      </c>
      <c r="U6" s="1374" t="s">
        <v>2971</v>
      </c>
      <c r="Z6" s="7" t="s">
        <v>8</v>
      </c>
      <c r="AG6" s="385"/>
    </row>
    <row r="7" spans="1:33" s="385" customFormat="1" ht="24" customHeight="1" x14ac:dyDescent="0.25">
      <c r="G7" s="1375"/>
      <c r="H7" s="1384"/>
      <c r="I7" s="1384"/>
      <c r="J7" s="1384"/>
      <c r="K7" s="1384"/>
      <c r="L7" s="1384"/>
      <c r="M7" s="1375"/>
      <c r="N7" s="1414"/>
      <c r="O7" s="499" t="s">
        <v>434</v>
      </c>
      <c r="P7" s="499" t="s">
        <v>2968</v>
      </c>
      <c r="Q7" s="499" t="s">
        <v>2969</v>
      </c>
      <c r="R7" s="386" t="s">
        <v>2976</v>
      </c>
      <c r="S7" s="386" t="s">
        <v>289</v>
      </c>
      <c r="T7" s="1416"/>
      <c r="U7" s="1374"/>
      <c r="Z7" s="7" t="s">
        <v>9</v>
      </c>
      <c r="AG7" s="54"/>
    </row>
    <row r="8" spans="1:33" s="400" customFormat="1" ht="15.75" x14ac:dyDescent="0.25">
      <c r="A8" s="387">
        <f t="shared" ref="A8:A23" ca="1" si="0">IF(LEN(D8),OFFSET(A8,-1,0)+1,OFFSET(A8,-1,0))</f>
        <v>1</v>
      </c>
      <c r="B8" s="387">
        <f ca="1">IF(OR(C8=1,D8=1),SUMIF($A$8:A8,A8,$C$8:C8),"")</f>
        <v>0</v>
      </c>
      <c r="C8" s="387" t="str">
        <f t="shared" ref="C8:C80" si="1">IF(I8&gt;0,1,"")</f>
        <v/>
      </c>
      <c r="D8" s="388">
        <f>IF(AND(CONCATENATE(L8,M8,N8,O8,Q8,R8,V8)=L8&amp;R8&amp;V8,CONCATENATE(L8,M8,N8,O8,Q8,R8,V8)&lt;&gt;"",R8&lt;&gt;""),1,"")</f>
        <v>1</v>
      </c>
      <c r="E8" s="389"/>
      <c r="F8" s="390"/>
      <c r="G8" s="391"/>
      <c r="H8" s="392"/>
      <c r="I8" s="393"/>
      <c r="J8" s="394"/>
      <c r="K8" s="394" t="s">
        <v>355</v>
      </c>
      <c r="L8" s="395" t="s">
        <v>528</v>
      </c>
      <c r="M8" s="396"/>
      <c r="N8" s="500"/>
      <c r="O8" s="429"/>
      <c r="P8" s="399">
        <f>P9</f>
        <v>0</v>
      </c>
      <c r="Q8" s="430"/>
      <c r="R8" s="399">
        <f>R9</f>
        <v>189613.08</v>
      </c>
      <c r="S8" s="553">
        <f t="shared" ref="S8:S22" si="2">IF(R8&gt;0,R8/$R$89,0)</f>
        <v>1.4341443709680959E-2</v>
      </c>
      <c r="T8" s="1137">
        <f>T9</f>
        <v>0</v>
      </c>
      <c r="U8" s="1138">
        <f>U9</f>
        <v>189613.08</v>
      </c>
      <c r="Z8" s="401" t="s">
        <v>13</v>
      </c>
    </row>
    <row r="9" spans="1:33" s="400" customFormat="1" ht="15.75" x14ac:dyDescent="0.25">
      <c r="A9" s="387">
        <f t="shared" ca="1" si="0"/>
        <v>1</v>
      </c>
      <c r="B9" s="387">
        <f ca="1">IF(OR(C9=1,D9=1),SUMIF($A$8:A9,A9,$C$8:C9),"")</f>
        <v>1</v>
      </c>
      <c r="C9" s="387">
        <f t="shared" si="1"/>
        <v>1</v>
      </c>
      <c r="D9" s="388" t="str">
        <f t="shared" ref="D9:D88" si="3">IF(AND(CONCATENATE(L9,M9,N9,O9,Q9,R9,V9)=L9&amp;R9&amp;V9,CONCATENATE(L9,M9,N9,O9,Q9,R9,V9)&lt;&gt;"",R9&lt;&gt;""),1,"")</f>
        <v/>
      </c>
      <c r="E9" s="389"/>
      <c r="F9" s="390"/>
      <c r="G9" s="1115" t="s">
        <v>20</v>
      </c>
      <c r="H9" s="1116" t="s">
        <v>14</v>
      </c>
      <c r="I9" s="1117" t="s">
        <v>224</v>
      </c>
      <c r="J9" s="1113" t="s">
        <v>2966</v>
      </c>
      <c r="K9" s="1117" t="str">
        <f t="shared" ref="K9:K21" ca="1" si="4">IFERROR(IF(C9&lt;&gt;"",B9&amp;"."&amp;C9,""),"S/Nº")</f>
        <v>1.1</v>
      </c>
      <c r="L9" s="1118" t="s">
        <v>15</v>
      </c>
      <c r="M9" s="1119" t="s">
        <v>16</v>
      </c>
      <c r="N9" s="1120">
        <v>1</v>
      </c>
      <c r="O9" s="1121">
        <v>157094.51999999999</v>
      </c>
      <c r="P9" s="1123"/>
      <c r="Q9" s="1122">
        <f>IFERROR(TRUNC(IF(I9="SERVIÇO",(1+$R$3)*$O9,(1+$R$4)*$O9),2),"0,00")</f>
        <v>189613.08</v>
      </c>
      <c r="R9" s="1123">
        <f>IF($V$2="OUTROS",TRUNC(N9*Q9,2),TRUNC(N9*Q9,2))</f>
        <v>189613.08</v>
      </c>
      <c r="S9" s="1124">
        <f t="shared" si="2"/>
        <v>1.4341443709680959E-2</v>
      </c>
      <c r="T9" s="1139"/>
      <c r="U9" s="1140">
        <f>R9</f>
        <v>189613.08</v>
      </c>
      <c r="Z9" s="401" t="s">
        <v>17</v>
      </c>
    </row>
    <row r="10" spans="1:33" s="453" customFormat="1" ht="15.75" x14ac:dyDescent="0.25">
      <c r="A10" s="387">
        <f t="shared" ca="1" si="0"/>
        <v>2</v>
      </c>
      <c r="B10" s="387">
        <f ca="1">IF(OR(C10=1,D10=1),SUMIF($A$8:A10,A10,$C$8:C10),"")</f>
        <v>0</v>
      </c>
      <c r="C10" s="387" t="str">
        <f t="shared" si="1"/>
        <v/>
      </c>
      <c r="D10" s="388">
        <f t="shared" si="3"/>
        <v>1</v>
      </c>
      <c r="E10" s="389"/>
      <c r="F10" s="390"/>
      <c r="G10" s="391"/>
      <c r="H10" s="392"/>
      <c r="I10" s="393"/>
      <c r="J10" s="393"/>
      <c r="K10" s="393" t="s">
        <v>189</v>
      </c>
      <c r="L10" s="395" t="s">
        <v>529</v>
      </c>
      <c r="M10" s="396"/>
      <c r="N10" s="500"/>
      <c r="O10" s="429"/>
      <c r="P10" s="399">
        <f>SUM(P11:P13)</f>
        <v>5114.42</v>
      </c>
      <c r="Q10" s="430"/>
      <c r="R10" s="399">
        <f>SUM(R11:R13)</f>
        <v>53413.07</v>
      </c>
      <c r="S10" s="553">
        <f t="shared" si="2"/>
        <v>4.0399140015353833E-3</v>
      </c>
      <c r="T10" s="1137">
        <f>SUM(T11:T13)</f>
        <v>1058.6499999999996</v>
      </c>
      <c r="U10" s="1138">
        <f>SUM(U11:U13)</f>
        <v>47240</v>
      </c>
      <c r="V10" s="842"/>
      <c r="W10" s="842"/>
      <c r="Y10" s="842"/>
      <c r="Z10" s="473" t="s">
        <v>20</v>
      </c>
    </row>
    <row r="11" spans="1:33" s="400" customFormat="1" ht="28.5" x14ac:dyDescent="0.25">
      <c r="A11" s="387">
        <f t="shared" ca="1" si="0"/>
        <v>2</v>
      </c>
      <c r="B11" s="387">
        <f ca="1">IF(OR(C11=1,D11=1),SUMIF($A$8:A11,A11,$C$8:C11),"")</f>
        <v>1</v>
      </c>
      <c r="C11" s="387">
        <f t="shared" si="1"/>
        <v>1</v>
      </c>
      <c r="D11" s="388" t="str">
        <f t="shared" si="3"/>
        <v/>
      </c>
      <c r="E11" s="389"/>
      <c r="F11" s="390"/>
      <c r="G11" s="402" t="s">
        <v>1</v>
      </c>
      <c r="H11" s="403">
        <v>103689</v>
      </c>
      <c r="I11" s="404" t="s">
        <v>224</v>
      </c>
      <c r="J11" s="1114" t="s">
        <v>2967</v>
      </c>
      <c r="K11" s="404" t="str">
        <f t="shared" ca="1" si="4"/>
        <v>1.1</v>
      </c>
      <c r="L11" s="405" t="s">
        <v>32</v>
      </c>
      <c r="M11" s="406" t="s">
        <v>33</v>
      </c>
      <c r="N11" s="538">
        <f>TRUNC((5*2.5)+(2.5*1.25),2)</f>
        <v>15.62</v>
      </c>
      <c r="O11" s="408">
        <v>312.57</v>
      </c>
      <c r="P11" s="410">
        <f>IF($V$2="OUTROS",TRUNC(N11*O11,2),TRUNC(N11*O11,2))</f>
        <v>4882.34</v>
      </c>
      <c r="Q11" s="409">
        <f>IFERROR(TRUNC(IF(I11="SERVIÇO",(1+$R$3)*$O11,(1+$R$4)*$O11),2),"0,00")</f>
        <v>377.27</v>
      </c>
      <c r="R11" s="410">
        <f>IF($V$2="OUTROS",TRUNC(N11*Q11,2),TRUNC(N11*Q11,2))</f>
        <v>5892.95</v>
      </c>
      <c r="S11" s="835">
        <f t="shared" si="2"/>
        <v>4.4571508837346248E-4</v>
      </c>
      <c r="T11" s="1141">
        <f>R11-P11</f>
        <v>1010.6099999999997</v>
      </c>
      <c r="U11" s="1142"/>
      <c r="V11" s="842"/>
      <c r="W11" s="843"/>
      <c r="Y11" s="842"/>
      <c r="Z11" s="842"/>
      <c r="AG11" s="453"/>
    </row>
    <row r="12" spans="1:33" s="400" customFormat="1" ht="42.75" x14ac:dyDescent="0.25">
      <c r="A12" s="387">
        <v>2</v>
      </c>
      <c r="B12" s="387">
        <v>2</v>
      </c>
      <c r="C12" s="387"/>
      <c r="D12" s="388">
        <v>1</v>
      </c>
      <c r="E12" s="389"/>
      <c r="F12" s="390"/>
      <c r="G12" s="402" t="s">
        <v>1</v>
      </c>
      <c r="H12" s="411">
        <v>103694</v>
      </c>
      <c r="I12" s="404" t="s">
        <v>224</v>
      </c>
      <c r="J12" s="1114" t="s">
        <v>2967</v>
      </c>
      <c r="K12" s="404" t="s">
        <v>357</v>
      </c>
      <c r="L12" s="405" t="s">
        <v>43</v>
      </c>
      <c r="M12" s="406" t="s">
        <v>16</v>
      </c>
      <c r="N12" s="538">
        <v>2</v>
      </c>
      <c r="O12" s="408">
        <v>116.04</v>
      </c>
      <c r="P12" s="410">
        <f>IF($V$2="OUTROS",TRUNC(N12*O12,2),TRUNC(N12*O12,2))</f>
        <v>232.08</v>
      </c>
      <c r="Q12" s="409">
        <f>IFERROR(TRUNC(IF(I12="SERVIÇO",(1+$R$3)*$O12,(1+$R$4)*$O12),2),"0,00")</f>
        <v>140.06</v>
      </c>
      <c r="R12" s="410">
        <f>IF($V$2="OUTROS",TRUNC(N12*Q12,2),TRUNC(N12*Q12,2))</f>
        <v>280.12</v>
      </c>
      <c r="S12" s="835">
        <f t="shared" si="2"/>
        <v>2.1186962481469267E-5</v>
      </c>
      <c r="T12" s="1141">
        <f>R12-P12</f>
        <v>48.039999999999992</v>
      </c>
      <c r="U12" s="1142"/>
      <c r="V12" s="842"/>
      <c r="W12" s="843"/>
      <c r="Y12" s="842"/>
      <c r="Z12" s="842"/>
      <c r="AG12" s="453"/>
    </row>
    <row r="13" spans="1:33" s="400" customFormat="1" ht="57" x14ac:dyDescent="0.25">
      <c r="A13" s="387">
        <f t="shared" ca="1" si="0"/>
        <v>2</v>
      </c>
      <c r="B13" s="387">
        <v>3</v>
      </c>
      <c r="C13" s="387">
        <f t="shared" si="1"/>
        <v>1</v>
      </c>
      <c r="D13" s="388" t="str">
        <f t="shared" si="3"/>
        <v/>
      </c>
      <c r="E13" s="389"/>
      <c r="F13" s="390"/>
      <c r="G13" s="1115" t="s">
        <v>1</v>
      </c>
      <c r="H13" s="1116">
        <v>104902</v>
      </c>
      <c r="I13" s="1117" t="s">
        <v>224</v>
      </c>
      <c r="J13" s="1113" t="s">
        <v>2966</v>
      </c>
      <c r="K13" s="1117" t="s">
        <v>358</v>
      </c>
      <c r="L13" s="1118" t="s">
        <v>2959</v>
      </c>
      <c r="M13" s="1119" t="s">
        <v>33</v>
      </c>
      <c r="N13" s="1120">
        <v>50</v>
      </c>
      <c r="O13" s="1121">
        <v>782.77</v>
      </c>
      <c r="P13" s="1123"/>
      <c r="Q13" s="1122">
        <f>IFERROR(TRUNC(IF(I13="SERVIÇO",(1+$R$3)*$O13,(1+$R$4)*$O13),2),"0,00")</f>
        <v>944.8</v>
      </c>
      <c r="R13" s="1123">
        <f>IF($V$2="OUTROS",TRUNC(N13*Q13,2),TRUNC(N13*Q13,2))</f>
        <v>47240</v>
      </c>
      <c r="S13" s="1124">
        <f t="shared" si="2"/>
        <v>3.5730119506804515E-3</v>
      </c>
      <c r="T13" s="1143"/>
      <c r="U13" s="1140">
        <f>R13</f>
        <v>47240</v>
      </c>
      <c r="Z13" s="842"/>
    </row>
    <row r="14" spans="1:33" s="453" customFormat="1" ht="15.75" x14ac:dyDescent="0.25">
      <c r="A14" s="387">
        <f t="shared" ca="1" si="0"/>
        <v>3</v>
      </c>
      <c r="B14" s="387">
        <f ca="1">IF(OR(C14=1,D14=1),SUMIF($A$8:A14,A14,$C$8:C14),"")</f>
        <v>0</v>
      </c>
      <c r="C14" s="387" t="str">
        <f t="shared" si="1"/>
        <v/>
      </c>
      <c r="D14" s="388">
        <f t="shared" si="3"/>
        <v>1</v>
      </c>
      <c r="E14" s="389"/>
      <c r="F14" s="390"/>
      <c r="G14" s="391"/>
      <c r="H14" s="392"/>
      <c r="I14" s="393"/>
      <c r="J14" s="393"/>
      <c r="K14" s="393" t="s">
        <v>193</v>
      </c>
      <c r="L14" s="395" t="s">
        <v>71</v>
      </c>
      <c r="M14" s="396"/>
      <c r="N14" s="500"/>
      <c r="O14" s="429"/>
      <c r="P14" s="399">
        <f>SUM(P15:P16)</f>
        <v>0</v>
      </c>
      <c r="Q14" s="430"/>
      <c r="R14" s="399">
        <f>SUM(R15:R16)</f>
        <v>287429.82</v>
      </c>
      <c r="S14" s="553">
        <f t="shared" si="2"/>
        <v>2.1739842968711499E-2</v>
      </c>
      <c r="T14" s="1137">
        <f>SUM(T15:T16)</f>
        <v>0</v>
      </c>
      <c r="U14" s="1138">
        <f>SUM(U15:U16)</f>
        <v>287429.82</v>
      </c>
      <c r="V14" s="842"/>
      <c r="W14" s="842"/>
      <c r="Y14" s="842"/>
      <c r="Z14" s="473" t="s">
        <v>20</v>
      </c>
    </row>
    <row r="15" spans="1:33" s="400" customFormat="1" ht="15.75" x14ac:dyDescent="0.25">
      <c r="A15" s="387">
        <f t="shared" ca="1" si="0"/>
        <v>3</v>
      </c>
      <c r="B15" s="387">
        <f ca="1">IF(OR(C15=1,D15=1),SUMIF($A$8:A15,A15,$C$8:C15),"")</f>
        <v>1</v>
      </c>
      <c r="C15" s="387">
        <f t="shared" si="1"/>
        <v>1</v>
      </c>
      <c r="D15" s="388" t="str">
        <f t="shared" si="3"/>
        <v/>
      </c>
      <c r="E15" s="389"/>
      <c r="F15" s="390"/>
      <c r="G15" s="1115" t="s">
        <v>20</v>
      </c>
      <c r="H15" s="1116" t="s">
        <v>530</v>
      </c>
      <c r="I15" s="1117" t="s">
        <v>224</v>
      </c>
      <c r="J15" s="1113" t="s">
        <v>2966</v>
      </c>
      <c r="K15" s="1117" t="str">
        <f t="shared" ca="1" si="4"/>
        <v>1.1</v>
      </c>
      <c r="L15" s="1118" t="s">
        <v>2960</v>
      </c>
      <c r="M15" s="1119" t="s">
        <v>16</v>
      </c>
      <c r="N15" s="1120">
        <v>1</v>
      </c>
      <c r="O15" s="1121">
        <f>'CPAV009- MOB_DESMOB'!L25</f>
        <v>119067.87000000002</v>
      </c>
      <c r="P15" s="1123"/>
      <c r="Q15" s="1122">
        <f>IFERROR(TRUNC(IF(I15="SERVIÇO",(1+$R$3)*$O15,(1+$R$4)*$O15),2),"0,00")</f>
        <v>143714.91</v>
      </c>
      <c r="R15" s="1123">
        <f>IF($V$2="OUTROS",TRUNC(N15*Q15,2),TRUNC(N15*Q15,2))</f>
        <v>143714.91</v>
      </c>
      <c r="S15" s="1124">
        <f t="shared" si="2"/>
        <v>1.0869921484355749E-2</v>
      </c>
      <c r="T15" s="1143"/>
      <c r="U15" s="1140">
        <f>R15</f>
        <v>143714.91</v>
      </c>
      <c r="V15" s="842"/>
      <c r="W15" s="842"/>
      <c r="Y15" s="842"/>
      <c r="Z15" s="842"/>
      <c r="AG15" s="453"/>
    </row>
    <row r="16" spans="1:33" s="400" customFormat="1" ht="15.75" x14ac:dyDescent="0.25">
      <c r="A16" s="387">
        <f t="shared" ca="1" si="0"/>
        <v>3</v>
      </c>
      <c r="B16" s="387">
        <f ca="1">IF(OR(C16=1,D16=1),SUMIF($A$8:A16,A16,$C$8:C16),"")</f>
        <v>2</v>
      </c>
      <c r="C16" s="387">
        <f t="shared" si="1"/>
        <v>1</v>
      </c>
      <c r="D16" s="388" t="str">
        <f t="shared" si="3"/>
        <v/>
      </c>
      <c r="E16" s="389"/>
      <c r="F16" s="390"/>
      <c r="G16" s="1115" t="s">
        <v>20</v>
      </c>
      <c r="H16" s="1116" t="s">
        <v>531</v>
      </c>
      <c r="I16" s="1117" t="s">
        <v>224</v>
      </c>
      <c r="J16" s="1113" t="s">
        <v>2966</v>
      </c>
      <c r="K16" s="1117" t="str">
        <f t="shared" ca="1" si="4"/>
        <v>2.1</v>
      </c>
      <c r="L16" s="1118" t="s">
        <v>2961</v>
      </c>
      <c r="M16" s="1119" t="s">
        <v>16</v>
      </c>
      <c r="N16" s="1120">
        <v>1</v>
      </c>
      <c r="O16" s="1121">
        <f>'CPAV009- MOB_DESMOB'!L26</f>
        <v>119067.87000000002</v>
      </c>
      <c r="P16" s="1123"/>
      <c r="Q16" s="1122">
        <f>IFERROR(TRUNC(IF(I16="SERVIÇO",(1+$R$3)*$O16,(1+$R$4)*$O16),2),"0,00")</f>
        <v>143714.91</v>
      </c>
      <c r="R16" s="1123">
        <f>IF($V$2="OUTROS",TRUNC(N16*Q16,2),TRUNC(N16*Q16,2))</f>
        <v>143714.91</v>
      </c>
      <c r="S16" s="1124">
        <f t="shared" si="2"/>
        <v>1.0869921484355749E-2</v>
      </c>
      <c r="T16" s="1143"/>
      <c r="U16" s="1140">
        <f>R16</f>
        <v>143714.91</v>
      </c>
      <c r="V16" s="842"/>
      <c r="W16" s="842"/>
      <c r="Y16" s="842"/>
      <c r="Z16" s="842"/>
      <c r="AG16" s="453"/>
    </row>
    <row r="17" spans="1:27" s="400" customFormat="1" ht="15.75" x14ac:dyDescent="0.25">
      <c r="A17" s="387">
        <f t="shared" ca="1" si="0"/>
        <v>4</v>
      </c>
      <c r="B17" s="387">
        <f ca="1">IF(OR(C17=1,D17=1),SUMIF($A$8:A17,A17,$C$8:C17),"")</f>
        <v>0</v>
      </c>
      <c r="C17" s="387" t="str">
        <f t="shared" si="1"/>
        <v/>
      </c>
      <c r="D17" s="388">
        <f t="shared" si="3"/>
        <v>1</v>
      </c>
      <c r="E17" s="389"/>
      <c r="F17" s="390"/>
      <c r="G17" s="391"/>
      <c r="H17" s="392"/>
      <c r="I17" s="393"/>
      <c r="J17" s="393"/>
      <c r="K17" s="393" t="s">
        <v>370</v>
      </c>
      <c r="L17" s="395" t="s">
        <v>243</v>
      </c>
      <c r="M17" s="396"/>
      <c r="N17" s="500"/>
      <c r="O17" s="429"/>
      <c r="P17" s="399">
        <f>SUM(P18:P21)</f>
        <v>150714.26999999999</v>
      </c>
      <c r="Q17" s="430"/>
      <c r="R17" s="399">
        <f>SUM(R18:R21)</f>
        <v>181619.87</v>
      </c>
      <c r="S17" s="553">
        <f t="shared" si="2"/>
        <v>1.3736874809293607E-2</v>
      </c>
      <c r="T17" s="1137">
        <f>SUM(T18:T21)</f>
        <v>30905.599999999991</v>
      </c>
      <c r="U17" s="1138">
        <f>SUM(U18:U21)</f>
        <v>0</v>
      </c>
    </row>
    <row r="18" spans="1:27" s="400" customFormat="1" ht="28.5" x14ac:dyDescent="0.25">
      <c r="A18" s="387">
        <f t="shared" ca="1" si="0"/>
        <v>4</v>
      </c>
      <c r="B18" s="387">
        <f ca="1">IF(OR(C18=1,D18=1),SUMIF($A$8:A18,A18,$C$8:C18),"")</f>
        <v>1</v>
      </c>
      <c r="C18" s="387">
        <f t="shared" si="1"/>
        <v>1</v>
      </c>
      <c r="D18" s="388" t="str">
        <f t="shared" si="3"/>
        <v/>
      </c>
      <c r="E18" s="389"/>
      <c r="F18" s="390"/>
      <c r="G18" s="402" t="s">
        <v>20</v>
      </c>
      <c r="H18" s="403" t="s">
        <v>115</v>
      </c>
      <c r="I18" s="404" t="s">
        <v>224</v>
      </c>
      <c r="J18" s="1114" t="s">
        <v>2967</v>
      </c>
      <c r="K18" s="404" t="str">
        <f t="shared" ca="1" si="4"/>
        <v>1.1</v>
      </c>
      <c r="L18" s="405" t="s">
        <v>116</v>
      </c>
      <c r="M18" s="406" t="s">
        <v>118</v>
      </c>
      <c r="N18" s="538">
        <f>TERRAPLENAGEM!K54</f>
        <v>21845.07</v>
      </c>
      <c r="O18" s="408">
        <v>1.51</v>
      </c>
      <c r="P18" s="410">
        <f>IF($V$2="OUTROS",TRUNC(N18*O18,2),TRUNC(N18*O18,2))</f>
        <v>32986.050000000003</v>
      </c>
      <c r="Q18" s="409">
        <f>IFERROR(TRUNC(IF(I18="SERVIÇO",(1+$R$3)*$O18,(1+$R$4)*$O18),2),"0,00")</f>
        <v>1.82</v>
      </c>
      <c r="R18" s="410">
        <f>IF($V$2="OUTROS",TRUNC(N18*Q18,2),TRUNC(N18*Q18,2))</f>
        <v>39758.019999999997</v>
      </c>
      <c r="S18" s="835">
        <f t="shared" si="2"/>
        <v>3.0071100888101692E-3</v>
      </c>
      <c r="T18" s="1141">
        <f>R18-P18</f>
        <v>6771.9699999999939</v>
      </c>
      <c r="U18" s="1142"/>
    </row>
    <row r="19" spans="1:27" s="400" customFormat="1" ht="28.5" x14ac:dyDescent="0.25">
      <c r="A19" s="387">
        <f t="shared" ca="1" si="0"/>
        <v>4</v>
      </c>
      <c r="B19" s="387">
        <f ca="1">IF(OR(C19=1,D19=1),SUMIF($A$8:A19,A19,$C$8:C19),"")</f>
        <v>2</v>
      </c>
      <c r="C19" s="387">
        <f t="shared" si="1"/>
        <v>1</v>
      </c>
      <c r="D19" s="388" t="str">
        <f t="shared" si="3"/>
        <v/>
      </c>
      <c r="E19" s="389"/>
      <c r="F19" s="390"/>
      <c r="G19" s="402" t="s">
        <v>1</v>
      </c>
      <c r="H19" s="403">
        <v>93592</v>
      </c>
      <c r="I19" s="404" t="s">
        <v>224</v>
      </c>
      <c r="J19" s="1114" t="s">
        <v>2967</v>
      </c>
      <c r="K19" s="404" t="str">
        <f t="shared" ca="1" si="4"/>
        <v>2.1</v>
      </c>
      <c r="L19" s="405" t="s">
        <v>2918</v>
      </c>
      <c r="M19" s="406" t="s">
        <v>263</v>
      </c>
      <c r="N19" s="538">
        <f>TERRAPLENAGEM!P54</f>
        <v>24568.42</v>
      </c>
      <c r="O19" s="408">
        <v>2.36</v>
      </c>
      <c r="P19" s="410">
        <f>IF($V$2="OUTROS",TRUNC(N19*O19,2),TRUNC(N19*O19,2))</f>
        <v>57981.47</v>
      </c>
      <c r="Q19" s="409">
        <f>IFERROR(TRUNC(IF(I19="SERVIÇO",(1+$R$3)*$O19,(1+$R$4)*$O19),2),"0,00")</f>
        <v>2.84</v>
      </c>
      <c r="R19" s="410">
        <f>IF($V$2="OUTROS",TRUNC(N19*Q19,2),TRUNC(N19*Q19,2))</f>
        <v>69774.31</v>
      </c>
      <c r="S19" s="835">
        <f t="shared" si="2"/>
        <v>5.2774014284606803E-3</v>
      </c>
      <c r="T19" s="1141">
        <f>R19-P19</f>
        <v>11792.839999999997</v>
      </c>
      <c r="U19" s="1142"/>
    </row>
    <row r="20" spans="1:27" s="400" customFormat="1" ht="42.75" x14ac:dyDescent="0.25">
      <c r="A20" s="387">
        <f t="shared" ca="1" si="0"/>
        <v>4</v>
      </c>
      <c r="B20" s="387">
        <f ca="1">IF(OR(C20=1,D20=1),SUMIF($A$8:A20,A20,$C$8:C20),"")</f>
        <v>3</v>
      </c>
      <c r="C20" s="387">
        <f t="shared" si="1"/>
        <v>1</v>
      </c>
      <c r="D20" s="388" t="str">
        <f t="shared" si="3"/>
        <v/>
      </c>
      <c r="E20" s="389"/>
      <c r="F20" s="390"/>
      <c r="G20" s="402" t="s">
        <v>1</v>
      </c>
      <c r="H20" s="403">
        <v>95876</v>
      </c>
      <c r="I20" s="404" t="s">
        <v>224</v>
      </c>
      <c r="J20" s="1114" t="s">
        <v>2967</v>
      </c>
      <c r="K20" s="404" t="str">
        <f t="shared" ca="1" si="4"/>
        <v>3.1</v>
      </c>
      <c r="L20" s="405" t="s">
        <v>2919</v>
      </c>
      <c r="M20" s="406" t="s">
        <v>263</v>
      </c>
      <c r="N20" s="538">
        <f>TERRAPLENAGEM!R54</f>
        <v>25828.82</v>
      </c>
      <c r="O20" s="408">
        <v>2.13</v>
      </c>
      <c r="P20" s="410">
        <f>IF($V$2="OUTROS",TRUNC(N20*O20,2),TRUNC(N20*O20,2))</f>
        <v>55015.38</v>
      </c>
      <c r="Q20" s="409">
        <f>IFERROR(TRUNC(IF(I20="SERVIÇO",(1+$R$3)*$O20,(1+$R$4)*$O20),2),"0,00")</f>
        <v>2.57</v>
      </c>
      <c r="R20" s="410">
        <f>IF($V$2="OUTROS",TRUNC(N20*Q20,2),TRUNC(N20*Q20,2))</f>
        <v>66380.06</v>
      </c>
      <c r="S20" s="835">
        <f t="shared" si="2"/>
        <v>5.0206762842270412E-3</v>
      </c>
      <c r="T20" s="1141">
        <f>R20-P20</f>
        <v>11364.68</v>
      </c>
      <c r="U20" s="1142"/>
    </row>
    <row r="21" spans="1:27" s="400" customFormat="1" ht="42.75" x14ac:dyDescent="0.25">
      <c r="A21" s="387">
        <f t="shared" ca="1" si="0"/>
        <v>4</v>
      </c>
      <c r="B21" s="387">
        <f ca="1">IF(OR(C21=1,D21=1),SUMIF($A$8:A21,A21,$C$8:C21),"")</f>
        <v>4</v>
      </c>
      <c r="C21" s="387">
        <f t="shared" si="1"/>
        <v>1</v>
      </c>
      <c r="D21" s="388" t="str">
        <f t="shared" si="3"/>
        <v/>
      </c>
      <c r="E21" s="389"/>
      <c r="F21" s="390"/>
      <c r="G21" s="402" t="s">
        <v>1</v>
      </c>
      <c r="H21" s="403">
        <v>96385</v>
      </c>
      <c r="I21" s="404" t="s">
        <v>224</v>
      </c>
      <c r="J21" s="1114" t="s">
        <v>2967</v>
      </c>
      <c r="K21" s="404" t="str">
        <f t="shared" ca="1" si="4"/>
        <v>4.1</v>
      </c>
      <c r="L21" s="405" t="s">
        <v>2920</v>
      </c>
      <c r="M21" s="406" t="s">
        <v>259</v>
      </c>
      <c r="N21" s="538">
        <f>TERRAPLENAGEM!L54</f>
        <v>426.25</v>
      </c>
      <c r="O21" s="408">
        <v>11.1</v>
      </c>
      <c r="P21" s="410">
        <f>IF($V$2="OUTROS",TRUNC(N21*O21,2),TRUNC(N21*O21,2))</f>
        <v>4731.37</v>
      </c>
      <c r="Q21" s="409">
        <f>IFERROR(TRUNC(IF(I21="SERVIÇO",(1+$R$3)*$O21,(1+$R$4)*$O21),2),"0,00")</f>
        <v>13.39</v>
      </c>
      <c r="R21" s="410">
        <f>IF($V$2="OUTROS",TRUNC(N21*Q21,2),TRUNC(N21*Q21,2))</f>
        <v>5707.48</v>
      </c>
      <c r="S21" s="835">
        <f t="shared" si="2"/>
        <v>4.3168700779571681E-4</v>
      </c>
      <c r="T21" s="1141">
        <f>R21-P21</f>
        <v>976.10999999999967</v>
      </c>
      <c r="U21" s="1142"/>
    </row>
    <row r="22" spans="1:27" s="400" customFormat="1" ht="15.75" x14ac:dyDescent="0.25">
      <c r="A22" s="387">
        <v>5</v>
      </c>
      <c r="B22" s="387">
        <v>0</v>
      </c>
      <c r="C22" s="387" t="str">
        <f t="shared" si="1"/>
        <v/>
      </c>
      <c r="D22" s="388">
        <v>1</v>
      </c>
      <c r="E22" s="389"/>
      <c r="F22" s="390"/>
      <c r="G22" s="413"/>
      <c r="H22" s="414"/>
      <c r="I22" s="415"/>
      <c r="J22" s="415"/>
      <c r="K22" s="415" t="s">
        <v>395</v>
      </c>
      <c r="L22" s="416" t="s">
        <v>244</v>
      </c>
      <c r="M22" s="417"/>
      <c r="N22" s="539"/>
      <c r="O22" s="436"/>
      <c r="P22" s="419">
        <f>SUM(P23:P42)</f>
        <v>3228543.25</v>
      </c>
      <c r="Q22" s="540"/>
      <c r="R22" s="419">
        <f>SUM(R23:R42)</f>
        <v>3811385.8800000004</v>
      </c>
      <c r="S22" s="836">
        <f t="shared" si="2"/>
        <v>0.2882753450020053</v>
      </c>
      <c r="T22" s="1144">
        <f>SUM(T23:T42)</f>
        <v>582842.62999999989</v>
      </c>
      <c r="U22" s="1145">
        <f>SUM(U23:U42)</f>
        <v>0</v>
      </c>
    </row>
    <row r="23" spans="1:27" s="400" customFormat="1" ht="15.75" x14ac:dyDescent="0.25">
      <c r="A23" s="387">
        <f t="shared" ca="1" si="0"/>
        <v>5</v>
      </c>
      <c r="B23" s="387" t="str">
        <f>IF(OR(C23=1,D23=1),SUMIF($A$8:A23,A23,$C$8:C23),"")</f>
        <v/>
      </c>
      <c r="C23" s="387" t="str">
        <f t="shared" si="1"/>
        <v/>
      </c>
      <c r="D23" s="388" t="str">
        <f t="shared" si="3"/>
        <v/>
      </c>
      <c r="E23" s="389"/>
      <c r="F23" s="390"/>
      <c r="G23" s="420"/>
      <c r="H23" s="421"/>
      <c r="I23" s="422"/>
      <c r="J23" s="422"/>
      <c r="K23" s="422"/>
      <c r="L23" s="423" t="s">
        <v>245</v>
      </c>
      <c r="M23" s="424"/>
      <c r="N23" s="542"/>
      <c r="O23" s="426"/>
      <c r="P23" s="426"/>
      <c r="Q23" s="427"/>
      <c r="R23" s="398"/>
      <c r="S23" s="837"/>
      <c r="T23" s="1126"/>
      <c r="U23" s="1127"/>
    </row>
    <row r="24" spans="1:27" s="400" customFormat="1" ht="28.5" x14ac:dyDescent="0.25">
      <c r="A24" s="387">
        <v>5</v>
      </c>
      <c r="B24" s="387">
        <v>1</v>
      </c>
      <c r="C24" s="387">
        <f t="shared" si="1"/>
        <v>1</v>
      </c>
      <c r="D24" s="388" t="str">
        <f t="shared" si="3"/>
        <v/>
      </c>
      <c r="E24" s="389"/>
      <c r="F24" s="390"/>
      <c r="G24" s="402" t="s">
        <v>1</v>
      </c>
      <c r="H24" s="403">
        <v>100577</v>
      </c>
      <c r="I24" s="404" t="s">
        <v>224</v>
      </c>
      <c r="J24" s="1114" t="s">
        <v>2967</v>
      </c>
      <c r="K24" s="404" t="str">
        <f>IFERROR(IF(C24&lt;&gt;"",B24&amp;"."&amp;C24,""),"S/Nº")</f>
        <v>1.1</v>
      </c>
      <c r="L24" s="405" t="s">
        <v>2921</v>
      </c>
      <c r="M24" s="406" t="s">
        <v>33</v>
      </c>
      <c r="N24" s="538">
        <f>'SUBLEITO-BASE-SUB.'!H56</f>
        <v>71419.360000000001</v>
      </c>
      <c r="O24" s="408">
        <v>1.18</v>
      </c>
      <c r="P24" s="410">
        <f>IF($V$2="OUTROS",TRUNC(N24*O24,2),TRUNC(N24*O24,2))</f>
        <v>84274.84</v>
      </c>
      <c r="Q24" s="409">
        <f>IFERROR(TRUNC(IF(I24="SERVIÇO",(1+$R$3)*$O24,(1+$R$4)*$O24),2),"0,00")</f>
        <v>1.42</v>
      </c>
      <c r="R24" s="410">
        <f>IF($V$2="OUTROS",TRUNC(N24*Q24,2),TRUNC(N24*Q24,2))</f>
        <v>101415.49</v>
      </c>
      <c r="S24" s="835">
        <f>IF(R24&gt;0,R24/$R$89,0)</f>
        <v>7.6705918237534683E-3</v>
      </c>
      <c r="T24" s="1141">
        <f>R24-P24</f>
        <v>17140.650000000009</v>
      </c>
      <c r="U24" s="1142"/>
    </row>
    <row r="25" spans="1:27" s="400" customFormat="1" ht="28.5" x14ac:dyDescent="0.25">
      <c r="A25" s="387">
        <v>5</v>
      </c>
      <c r="B25" s="387">
        <v>2</v>
      </c>
      <c r="C25" s="387">
        <v>1</v>
      </c>
      <c r="D25" s="388" t="str">
        <f t="shared" si="3"/>
        <v/>
      </c>
      <c r="E25" s="389"/>
      <c r="F25" s="390"/>
      <c r="G25" s="402" t="s">
        <v>6</v>
      </c>
      <c r="H25" s="403">
        <v>4011219</v>
      </c>
      <c r="I25" s="404" t="s">
        <v>224</v>
      </c>
      <c r="J25" s="1114" t="s">
        <v>2967</v>
      </c>
      <c r="K25" s="404" t="str">
        <f>IFERROR(IF(C25&lt;&gt;"",B25&amp;"."&amp;C25,""),"S/Nº")</f>
        <v>2.1</v>
      </c>
      <c r="L25" s="405" t="s">
        <v>807</v>
      </c>
      <c r="M25" s="406" t="s">
        <v>118</v>
      </c>
      <c r="N25" s="538">
        <f>'SUBLEITO-BASE-SUB.'!M56</f>
        <v>17854.830000000002</v>
      </c>
      <c r="O25" s="408">
        <v>12.53</v>
      </c>
      <c r="P25" s="410">
        <f>IF($V$2="OUTROS",TRUNC(N25*O25,2),TRUNC(N25*O25,2))</f>
        <v>223721.01</v>
      </c>
      <c r="Q25" s="409">
        <f>IFERROR(TRUNC(IF(I25="SERVIÇO",(1+$R$3)*$O25,(1+$R$4)*$O25),2),"0,00")</f>
        <v>15.12</v>
      </c>
      <c r="R25" s="410">
        <f>IF($V$2="OUTROS",TRUNC(N25*Q25,2),TRUNC(N25*Q25,2))</f>
        <v>269965.02</v>
      </c>
      <c r="S25" s="835">
        <f>IF(R25&gt;0,R25/$R$89,0)</f>
        <v>2.0418887441271957E-2</v>
      </c>
      <c r="T25" s="1141">
        <f>R25-P25</f>
        <v>46244.010000000009</v>
      </c>
      <c r="U25" s="1142"/>
    </row>
    <row r="26" spans="1:27" s="400" customFormat="1" ht="15.75" x14ac:dyDescent="0.25">
      <c r="A26" s="387">
        <v>5</v>
      </c>
      <c r="B26" s="387">
        <v>3</v>
      </c>
      <c r="C26" s="387">
        <f t="shared" si="1"/>
        <v>1</v>
      </c>
      <c r="D26" s="388" t="str">
        <f t="shared" si="3"/>
        <v/>
      </c>
      <c r="E26" s="389"/>
      <c r="F26" s="390"/>
      <c r="G26" s="402" t="s">
        <v>20</v>
      </c>
      <c r="H26" s="403" t="str">
        <f>'CPAV004-IMPRIMAÇÃO'!$A$7</f>
        <v>CPAV004</v>
      </c>
      <c r="I26" s="404" t="s">
        <v>224</v>
      </c>
      <c r="J26" s="1114" t="s">
        <v>2967</v>
      </c>
      <c r="K26" s="404" t="str">
        <f>IFERROR(IF(C26&lt;&gt;"",B26&amp;"."&amp;C26,""),"S/Nº")</f>
        <v>3.1</v>
      </c>
      <c r="L26" s="405" t="s">
        <v>49</v>
      </c>
      <c r="M26" s="406" t="s">
        <v>33</v>
      </c>
      <c r="N26" s="538">
        <f>PAVIMENTO!H55</f>
        <v>64201.630000000005</v>
      </c>
      <c r="O26" s="408">
        <v>1.1000000000000001</v>
      </c>
      <c r="P26" s="410">
        <f>IF($V$2="OUTROS",TRUNC(N26*O26,2),TRUNC(N26*O26,2))</f>
        <v>70621.789999999994</v>
      </c>
      <c r="Q26" s="409">
        <f>IFERROR(TRUNC(IF(I26="SERVIÇO",(1+$R$3)*$O26,(1+$R$4)*$O26),2),"0,00")</f>
        <v>1.32</v>
      </c>
      <c r="R26" s="410">
        <f>IF($V$2="OUTROS",TRUNC(N26*Q26,2),TRUNC(N26*Q26,2))</f>
        <v>84746.15</v>
      </c>
      <c r="S26" s="835">
        <f>IF(R26&gt;0,R26/$R$89,0)</f>
        <v>6.4098011584284107E-3</v>
      </c>
      <c r="T26" s="1141">
        <f>R26-P26</f>
        <v>14124.36</v>
      </c>
      <c r="U26" s="1142"/>
    </row>
    <row r="27" spans="1:27" s="400" customFormat="1" ht="28.5" x14ac:dyDescent="0.25">
      <c r="A27" s="387">
        <v>5</v>
      </c>
      <c r="B27" s="387">
        <v>4</v>
      </c>
      <c r="C27" s="387">
        <f t="shared" si="1"/>
        <v>1</v>
      </c>
      <c r="D27" s="388" t="str">
        <f t="shared" si="3"/>
        <v/>
      </c>
      <c r="E27" s="389"/>
      <c r="F27" s="390"/>
      <c r="G27" s="402" t="s">
        <v>20</v>
      </c>
      <c r="H27" s="403" t="str">
        <f>'CPAV005-TSD-104389'!$A$7</f>
        <v>CPAV005-1</v>
      </c>
      <c r="I27" s="404" t="s">
        <v>224</v>
      </c>
      <c r="J27" s="1114" t="s">
        <v>2967</v>
      </c>
      <c r="K27" s="404" t="str">
        <f>IFERROR(IF(C27&lt;&gt;"",B27&amp;"."&amp;C27,""),"S/Nº")</f>
        <v>4.1</v>
      </c>
      <c r="L27" s="405" t="s">
        <v>55</v>
      </c>
      <c r="M27" s="406" t="s">
        <v>33</v>
      </c>
      <c r="N27" s="538">
        <f>PAVIMENTO!H55</f>
        <v>64201.630000000005</v>
      </c>
      <c r="O27" s="408">
        <v>5.09</v>
      </c>
      <c r="P27" s="410">
        <f>IF($V$2="OUTROS",TRUNC(N27*O27,2),TRUNC(N27*O27,2))</f>
        <v>326786.28999999998</v>
      </c>
      <c r="Q27" s="409">
        <f>IFERROR(TRUNC(IF(I27="SERVIÇO",(1+$R$3)*$O27,(1+$R$4)*$O27),2),"0,00")</f>
        <v>6.14</v>
      </c>
      <c r="R27" s="410">
        <f>IF($V$2="OUTROS",TRUNC(N27*Q27,2),TRUNC(N27*Q27,2))</f>
        <v>394198</v>
      </c>
      <c r="S27" s="835">
        <f>IF(R27&gt;0,R27/$R$89,0)</f>
        <v>2.9815287149329649E-2</v>
      </c>
      <c r="T27" s="1141">
        <f>R27-P27</f>
        <v>67411.710000000021</v>
      </c>
      <c r="U27" s="1142"/>
    </row>
    <row r="28" spans="1:27" s="400" customFormat="1" ht="15.75" x14ac:dyDescent="0.25">
      <c r="A28" s="387">
        <v>5</v>
      </c>
      <c r="B28" s="387"/>
      <c r="C28" s="387" t="str">
        <f t="shared" si="1"/>
        <v/>
      </c>
      <c r="D28" s="388" t="str">
        <f t="shared" si="3"/>
        <v/>
      </c>
      <c r="E28" s="389"/>
      <c r="F28" s="390"/>
      <c r="G28" s="391"/>
      <c r="H28" s="392"/>
      <c r="I28" s="393"/>
      <c r="J28" s="393"/>
      <c r="K28" s="393"/>
      <c r="L28" s="428" t="s">
        <v>246</v>
      </c>
      <c r="M28" s="396"/>
      <c r="N28" s="500"/>
      <c r="O28" s="429"/>
      <c r="P28" s="429"/>
      <c r="Q28" s="430"/>
      <c r="R28" s="399"/>
      <c r="S28" s="553"/>
      <c r="T28" s="1126"/>
      <c r="U28" s="1127"/>
      <c r="V28"/>
      <c r="W28"/>
    </row>
    <row r="29" spans="1:27" s="400" customFormat="1" ht="15.75" x14ac:dyDescent="0.25">
      <c r="A29" s="387">
        <v>5</v>
      </c>
      <c r="B29" s="387">
        <v>5</v>
      </c>
      <c r="C29" s="387">
        <f t="shared" si="1"/>
        <v>1</v>
      </c>
      <c r="D29" s="388" t="str">
        <f t="shared" si="3"/>
        <v/>
      </c>
      <c r="E29" s="389"/>
      <c r="F29" s="390"/>
      <c r="G29" s="402" t="s">
        <v>17</v>
      </c>
      <c r="H29" s="403"/>
      <c r="I29" s="404" t="s">
        <v>230</v>
      </c>
      <c r="J29" s="1114" t="s">
        <v>2967</v>
      </c>
      <c r="K29" s="404" t="str">
        <f>IFERROR(IF(C29&lt;&gt;"",B29&amp;"."&amp;C29,""),"S/Nº")</f>
        <v>5.1</v>
      </c>
      <c r="L29" s="405" t="str">
        <f>ANP!B7</f>
        <v>ASFALTOS DILUÍDOS CM-30</v>
      </c>
      <c r="M29" s="406" t="s">
        <v>247</v>
      </c>
      <c r="N29" s="844">
        <f>PAVIMENTO!J55</f>
        <v>77.03</v>
      </c>
      <c r="O29" s="432">
        <f>TRUNC(ANP!E7*1000,2)</f>
        <v>5306.62</v>
      </c>
      <c r="P29" s="410">
        <f>IF($V$2="OUTROS",TRUNC(N29*O29,2),TRUNC(N29*O29,2))</f>
        <v>408768.93</v>
      </c>
      <c r="Q29" s="409">
        <f>IFERROR(TRUNC(IF(I29="SERVIÇO",(1+$R$3)*$O29,(1+$R$4)*$O29),2),"0,00")</f>
        <v>6102.61</v>
      </c>
      <c r="R29" s="410">
        <f>IF($V$2="OUTROS",TRUNC(N29*Q29,2),TRUNC(N29*Q29,2))</f>
        <v>470084.04</v>
      </c>
      <c r="S29" s="835">
        <f>IF(R29&gt;0,R29/$R$89,0)</f>
        <v>3.5554951158851551E-2</v>
      </c>
      <c r="T29" s="1141">
        <f>R29-P29</f>
        <v>61315.109999999986</v>
      </c>
      <c r="U29" s="1142"/>
      <c r="V29"/>
      <c r="W29"/>
    </row>
    <row r="30" spans="1:27" s="400" customFormat="1" ht="15.75" x14ac:dyDescent="0.25">
      <c r="A30" s="387">
        <v>5</v>
      </c>
      <c r="B30" s="387">
        <v>6</v>
      </c>
      <c r="C30" s="387">
        <f t="shared" si="1"/>
        <v>1</v>
      </c>
      <c r="D30" s="388" t="str">
        <f t="shared" si="3"/>
        <v/>
      </c>
      <c r="E30" s="389"/>
      <c r="F30" s="390"/>
      <c r="G30" s="402" t="s">
        <v>17</v>
      </c>
      <c r="H30" s="403"/>
      <c r="I30" s="404" t="s">
        <v>230</v>
      </c>
      <c r="J30" s="1114" t="s">
        <v>2967</v>
      </c>
      <c r="K30" s="404" t="str">
        <f>IFERROR(IF(C30&lt;&gt;"",B30&amp;"."&amp;C30,""),"S/Nº")</f>
        <v>6.1</v>
      </c>
      <c r="L30" s="433" t="str">
        <f>ANP!B33</f>
        <v>EMULSÕES ASFÁLTICAS RR-2C</v>
      </c>
      <c r="M30" s="434" t="s">
        <v>247</v>
      </c>
      <c r="N30" s="538">
        <f>PAVIMENTO!L55</f>
        <v>224.7</v>
      </c>
      <c r="O30" s="435">
        <f>TRUNC(ANP!E33*1000,2)</f>
        <v>3527.83</v>
      </c>
      <c r="P30" s="410">
        <f>IF($V$2="OUTROS",TRUNC(N30*O30,2),TRUNC(N30*O30,2))</f>
        <v>792703.4</v>
      </c>
      <c r="Q30" s="409">
        <f>IFERROR(TRUNC(IF(I30="SERVIÇO",(1+$R$3)*$O30,(1+$R$4)*$O30),2),"0,00")</f>
        <v>4057</v>
      </c>
      <c r="R30" s="410">
        <f>IF($V$2="OUTROS",TRUNC(N30*Q30,2),TRUNC(N30*Q30,2))</f>
        <v>911607.9</v>
      </c>
      <c r="S30" s="835">
        <f>IF(R30&gt;0,R30/$R$89,0)</f>
        <v>6.894974430640792E-2</v>
      </c>
      <c r="T30" s="1141">
        <f>R30-P30</f>
        <v>118904.5</v>
      </c>
      <c r="U30" s="1142"/>
      <c r="V30"/>
      <c r="W30"/>
    </row>
    <row r="31" spans="1:27" s="400" customFormat="1" ht="15.75" x14ac:dyDescent="0.25">
      <c r="A31" s="387">
        <v>5</v>
      </c>
      <c r="B31" s="387" t="str">
        <f>IF(OR(C31=1,D31=1),SUMIF($A$8:A31,A31,$C$8:C31),"")</f>
        <v/>
      </c>
      <c r="C31" s="387" t="str">
        <f t="shared" si="1"/>
        <v/>
      </c>
      <c r="D31" s="388" t="str">
        <f t="shared" si="3"/>
        <v/>
      </c>
      <c r="E31" s="389"/>
      <c r="F31" s="390"/>
      <c r="G31" s="391"/>
      <c r="H31" s="392"/>
      <c r="I31" s="393"/>
      <c r="J31" s="393"/>
      <c r="K31" s="393"/>
      <c r="L31" s="428" t="s">
        <v>248</v>
      </c>
      <c r="M31" s="396"/>
      <c r="N31" s="500"/>
      <c r="O31" s="429"/>
      <c r="P31" s="429"/>
      <c r="Q31" s="430"/>
      <c r="R31" s="399"/>
      <c r="S31" s="553"/>
      <c r="T31" s="1126"/>
      <c r="U31" s="1127"/>
      <c r="V31"/>
      <c r="W31"/>
    </row>
    <row r="32" spans="1:27" s="400" customFormat="1" ht="15.75" x14ac:dyDescent="0.25">
      <c r="A32" s="387"/>
      <c r="B32" s="387"/>
      <c r="C32" s="387"/>
      <c r="D32" s="388"/>
      <c r="E32" s="389"/>
      <c r="F32" s="390"/>
      <c r="G32" s="391"/>
      <c r="H32" s="392"/>
      <c r="I32" s="393"/>
      <c r="J32" s="393"/>
      <c r="K32" s="393"/>
      <c r="L32" s="414" t="s">
        <v>249</v>
      </c>
      <c r="M32" s="417"/>
      <c r="N32" s="397"/>
      <c r="O32" s="436"/>
      <c r="P32" s="436"/>
      <c r="Q32" s="430"/>
      <c r="R32" s="399"/>
      <c r="S32" s="1125"/>
      <c r="T32" s="1126"/>
      <c r="U32" s="1127"/>
      <c r="V32"/>
      <c r="W32"/>
      <c r="X32" s="1128"/>
      <c r="Y32" s="1128"/>
      <c r="Z32" s="1128"/>
      <c r="AA32" s="1128"/>
    </row>
    <row r="33" spans="1:27" s="400" customFormat="1" ht="28.5" x14ac:dyDescent="0.25">
      <c r="A33" s="387">
        <v>5</v>
      </c>
      <c r="B33" s="387">
        <v>7</v>
      </c>
      <c r="C33" s="387">
        <f t="shared" si="1"/>
        <v>1</v>
      </c>
      <c r="D33" s="388" t="str">
        <f t="shared" si="3"/>
        <v/>
      </c>
      <c r="E33" s="389"/>
      <c r="F33" s="390"/>
      <c r="G33" s="402" t="s">
        <v>1</v>
      </c>
      <c r="H33" s="403">
        <v>93589</v>
      </c>
      <c r="I33" s="404" t="s">
        <v>224</v>
      </c>
      <c r="J33" s="1114" t="s">
        <v>2967</v>
      </c>
      <c r="K33" s="404" t="str">
        <f t="shared" ref="K33:K42" si="5">IFERROR(IF(C33&lt;&gt;"",B33&amp;"."&amp;C33,""),"S/Nº")</f>
        <v>7.1</v>
      </c>
      <c r="L33" s="405" t="s">
        <v>262</v>
      </c>
      <c r="M33" s="406" t="s">
        <v>263</v>
      </c>
      <c r="N33" s="538">
        <f>'TRANSP. MAT.PAV'!K13</f>
        <v>147837.88</v>
      </c>
      <c r="O33" s="408">
        <v>2.7</v>
      </c>
      <c r="P33" s="410">
        <f t="shared" ref="P33:P42" si="6">IF($V$2="OUTROS",TRUNC(N33*O33,2),TRUNC(N33*O33,2))</f>
        <v>399162.27</v>
      </c>
      <c r="Q33" s="409">
        <f t="shared" ref="Q33:Q42" si="7">IFERROR(TRUNC(IF(I33="SERVIÇO",(1+$R$3)*$O33,(1+$R$4)*$O33),2),"0,00")</f>
        <v>3.25</v>
      </c>
      <c r="R33" s="410">
        <f t="shared" ref="R33:R42" si="8">IF($V$2="OUTROS",TRUNC(N33*Q33,2),TRUNC(N33*Q33,2))</f>
        <v>480473.11</v>
      </c>
      <c r="S33" s="835">
        <f>IF(R33&gt;0,R33/$R$89,0)</f>
        <v>3.6340731668302352E-2</v>
      </c>
      <c r="T33" s="1141">
        <f>R33-P33</f>
        <v>81310.839999999967</v>
      </c>
      <c r="U33" s="1142"/>
      <c r="V33"/>
      <c r="W33"/>
    </row>
    <row r="34" spans="1:27" s="400" customFormat="1" ht="31.5" customHeight="1" x14ac:dyDescent="0.25">
      <c r="A34" s="387">
        <v>5</v>
      </c>
      <c r="B34" s="387">
        <v>8</v>
      </c>
      <c r="C34" s="387">
        <f t="shared" si="1"/>
        <v>1</v>
      </c>
      <c r="D34" s="388" t="str">
        <f t="shared" si="3"/>
        <v/>
      </c>
      <c r="E34" s="389"/>
      <c r="F34" s="390"/>
      <c r="G34" s="402" t="s">
        <v>1</v>
      </c>
      <c r="H34" s="403">
        <v>95875</v>
      </c>
      <c r="I34" s="404" t="s">
        <v>224</v>
      </c>
      <c r="J34" s="1114" t="s">
        <v>2967</v>
      </c>
      <c r="K34" s="404" t="str">
        <f t="shared" si="5"/>
        <v>8.1</v>
      </c>
      <c r="L34" s="405" t="s">
        <v>264</v>
      </c>
      <c r="M34" s="406" t="s">
        <v>263</v>
      </c>
      <c r="N34" s="538">
        <f>'TRANSP. MAT.PAV'!K19</f>
        <v>19945.813999999998</v>
      </c>
      <c r="O34" s="408">
        <v>2.4900000000000002</v>
      </c>
      <c r="P34" s="410">
        <f t="shared" si="6"/>
        <v>49665.07</v>
      </c>
      <c r="Q34" s="409">
        <f t="shared" si="7"/>
        <v>3</v>
      </c>
      <c r="R34" s="410">
        <f t="shared" si="8"/>
        <v>59837.440000000002</v>
      </c>
      <c r="S34" s="835">
        <f>IF(R34&gt;0,R34/$R$89,0)</f>
        <v>4.5258232052947604E-3</v>
      </c>
      <c r="T34" s="1141">
        <f>R34-P34</f>
        <v>10172.370000000003</v>
      </c>
      <c r="U34" s="1142"/>
      <c r="V34"/>
      <c r="W34"/>
    </row>
    <row r="35" spans="1:27" s="400" customFormat="1" ht="15.75" x14ac:dyDescent="0.25">
      <c r="A35" s="387"/>
      <c r="B35" s="387"/>
      <c r="C35" s="387"/>
      <c r="D35" s="388"/>
      <c r="E35" s="389"/>
      <c r="F35" s="390"/>
      <c r="G35" s="391"/>
      <c r="H35" s="392"/>
      <c r="I35" s="393"/>
      <c r="J35" s="393"/>
      <c r="K35" s="393"/>
      <c r="L35" s="414" t="s">
        <v>250</v>
      </c>
      <c r="M35" s="417"/>
      <c r="N35" s="397"/>
      <c r="O35" s="436"/>
      <c r="P35" s="436"/>
      <c r="Q35" s="430"/>
      <c r="R35" s="399"/>
      <c r="S35" s="1125"/>
      <c r="T35" s="1126"/>
      <c r="U35" s="1127"/>
      <c r="V35"/>
      <c r="W35"/>
      <c r="X35" s="1128"/>
      <c r="Y35" s="1128"/>
      <c r="Z35" s="1128"/>
      <c r="AA35" s="1128"/>
    </row>
    <row r="36" spans="1:27" s="400" customFormat="1" ht="28.5" x14ac:dyDescent="0.25">
      <c r="A36" s="387">
        <v>5</v>
      </c>
      <c r="B36" s="387">
        <v>9</v>
      </c>
      <c r="C36" s="387">
        <f t="shared" si="1"/>
        <v>1</v>
      </c>
      <c r="D36" s="388" t="str">
        <f t="shared" si="3"/>
        <v/>
      </c>
      <c r="E36" s="389"/>
      <c r="F36" s="390"/>
      <c r="G36" s="402" t="s">
        <v>1</v>
      </c>
      <c r="H36" s="403">
        <v>93589</v>
      </c>
      <c r="I36" s="404" t="s">
        <v>224</v>
      </c>
      <c r="J36" s="1114" t="s">
        <v>2967</v>
      </c>
      <c r="K36" s="404" t="str">
        <f t="shared" si="5"/>
        <v>9.1</v>
      </c>
      <c r="L36" s="405" t="s">
        <v>262</v>
      </c>
      <c r="M36" s="406" t="s">
        <v>263</v>
      </c>
      <c r="N36" s="538">
        <f>'TRANSP. MAT.PAV'!K28</f>
        <v>144613.98000000001</v>
      </c>
      <c r="O36" s="408">
        <v>2.7</v>
      </c>
      <c r="P36" s="410">
        <f t="shared" si="6"/>
        <v>390457.74</v>
      </c>
      <c r="Q36" s="409">
        <f t="shared" si="7"/>
        <v>3.25</v>
      </c>
      <c r="R36" s="410">
        <f t="shared" si="8"/>
        <v>469995.43</v>
      </c>
      <c r="S36" s="835">
        <f>IF(R36&gt;0,R36/$R$89,0)</f>
        <v>3.5548249114208251E-2</v>
      </c>
      <c r="T36" s="1141">
        <f>R36-P36</f>
        <v>79537.69</v>
      </c>
      <c r="U36" s="1142"/>
      <c r="V36"/>
      <c r="W36"/>
    </row>
    <row r="37" spans="1:27" s="400" customFormat="1" ht="35.25" customHeight="1" x14ac:dyDescent="0.25">
      <c r="A37" s="387">
        <v>5</v>
      </c>
      <c r="B37" s="387">
        <v>10</v>
      </c>
      <c r="C37" s="387">
        <f t="shared" si="1"/>
        <v>1</v>
      </c>
      <c r="D37" s="388" t="str">
        <f t="shared" si="3"/>
        <v/>
      </c>
      <c r="E37" s="389"/>
      <c r="F37" s="390"/>
      <c r="G37" s="402" t="s">
        <v>1</v>
      </c>
      <c r="H37" s="403">
        <v>95875</v>
      </c>
      <c r="I37" s="404" t="s">
        <v>224</v>
      </c>
      <c r="J37" s="1114" t="s">
        <v>2967</v>
      </c>
      <c r="K37" s="404" t="str">
        <f t="shared" si="5"/>
        <v>10.1</v>
      </c>
      <c r="L37" s="405" t="s">
        <v>264</v>
      </c>
      <c r="M37" s="406" t="s">
        <v>263</v>
      </c>
      <c r="N37" s="538">
        <f>'TRANSP. MAT.PAV'!K36</f>
        <v>42950.399999999994</v>
      </c>
      <c r="O37" s="408">
        <v>2.4900000000000002</v>
      </c>
      <c r="P37" s="410">
        <f t="shared" si="6"/>
        <v>106946.49</v>
      </c>
      <c r="Q37" s="409">
        <f t="shared" si="7"/>
        <v>3</v>
      </c>
      <c r="R37" s="410">
        <f t="shared" si="8"/>
        <v>128851.2</v>
      </c>
      <c r="S37" s="835">
        <f>IF(R37&gt;0,R37/$R$89,0)</f>
        <v>9.7457002002437985E-3</v>
      </c>
      <c r="T37" s="1141">
        <f>R37-P37</f>
        <v>21904.709999999992</v>
      </c>
      <c r="U37" s="1142"/>
      <c r="V37"/>
      <c r="W37"/>
    </row>
    <row r="38" spans="1:27" s="400" customFormat="1" ht="42.75" x14ac:dyDescent="0.25">
      <c r="A38" s="387">
        <v>5</v>
      </c>
      <c r="B38" s="387">
        <v>11</v>
      </c>
      <c r="C38" s="387">
        <f t="shared" si="1"/>
        <v>1</v>
      </c>
      <c r="D38" s="388" t="str">
        <f t="shared" si="3"/>
        <v/>
      </c>
      <c r="E38" s="389"/>
      <c r="F38" s="390"/>
      <c r="G38" s="402" t="s">
        <v>1</v>
      </c>
      <c r="H38" s="403">
        <v>93590</v>
      </c>
      <c r="I38" s="404" t="s">
        <v>224</v>
      </c>
      <c r="J38" s="1114" t="s">
        <v>2967</v>
      </c>
      <c r="K38" s="404" t="str">
        <f t="shared" si="5"/>
        <v>11.1</v>
      </c>
      <c r="L38" s="405" t="s">
        <v>811</v>
      </c>
      <c r="M38" s="406" t="s">
        <v>263</v>
      </c>
      <c r="N38" s="538">
        <f>'TRANSP. MAT.PAV'!K44</f>
        <v>176975.98</v>
      </c>
      <c r="O38" s="408">
        <v>0.98</v>
      </c>
      <c r="P38" s="410">
        <f t="shared" si="6"/>
        <v>173436.46</v>
      </c>
      <c r="Q38" s="409">
        <f t="shared" si="7"/>
        <v>1.18</v>
      </c>
      <c r="R38" s="410">
        <f t="shared" si="8"/>
        <v>208831.65</v>
      </c>
      <c r="S38" s="835">
        <f>IF(R38&gt;0,R38/$R$89,0)</f>
        <v>1.5795046171259892E-2</v>
      </c>
      <c r="T38" s="1141">
        <f>R38-P38</f>
        <v>35395.19</v>
      </c>
      <c r="U38" s="1142"/>
      <c r="V38"/>
      <c r="W38"/>
    </row>
    <row r="39" spans="1:27" s="400" customFormat="1" ht="15.75" x14ac:dyDescent="0.25">
      <c r="A39" s="387"/>
      <c r="B39" s="387">
        <v>13</v>
      </c>
      <c r="C39" s="387"/>
      <c r="D39" s="388"/>
      <c r="E39" s="389"/>
      <c r="F39" s="390"/>
      <c r="G39" s="391"/>
      <c r="H39" s="392"/>
      <c r="I39" s="393"/>
      <c r="J39" s="393"/>
      <c r="K39" s="393"/>
      <c r="L39" s="414" t="s">
        <v>251</v>
      </c>
      <c r="M39" s="417"/>
      <c r="N39" s="437"/>
      <c r="O39" s="438"/>
      <c r="P39" s="438"/>
      <c r="Q39" s="439"/>
      <c r="R39" s="440"/>
      <c r="S39" s="1129"/>
      <c r="T39" s="1130"/>
      <c r="U39" s="1131"/>
      <c r="V39"/>
      <c r="W39"/>
      <c r="X39" s="1132"/>
      <c r="Y39" s="1132"/>
      <c r="Z39" s="1132"/>
      <c r="AA39" s="1132"/>
    </row>
    <row r="40" spans="1:27" s="400" customFormat="1" ht="42.75" x14ac:dyDescent="0.25">
      <c r="A40" s="387">
        <v>5</v>
      </c>
      <c r="B40" s="387">
        <v>12</v>
      </c>
      <c r="C40" s="387">
        <f t="shared" si="1"/>
        <v>1</v>
      </c>
      <c r="D40" s="388" t="str">
        <f t="shared" si="3"/>
        <v/>
      </c>
      <c r="E40" s="389"/>
      <c r="F40" s="390"/>
      <c r="G40" s="402" t="s">
        <v>1</v>
      </c>
      <c r="H40" s="403">
        <v>100966</v>
      </c>
      <c r="I40" s="404" t="s">
        <v>230</v>
      </c>
      <c r="J40" s="1114" t="s">
        <v>2967</v>
      </c>
      <c r="K40" s="404" t="str">
        <f t="shared" si="5"/>
        <v>12.1</v>
      </c>
      <c r="L40" s="405" t="s">
        <v>2922</v>
      </c>
      <c r="M40" s="406" t="s">
        <v>280</v>
      </c>
      <c r="N40" s="538">
        <f>'TRANSP. MAT.PAV'!K52</f>
        <v>28839.34</v>
      </c>
      <c r="O40" s="408">
        <v>1.52</v>
      </c>
      <c r="P40" s="410">
        <f t="shared" si="6"/>
        <v>43835.79</v>
      </c>
      <c r="Q40" s="409">
        <f t="shared" si="7"/>
        <v>1.74</v>
      </c>
      <c r="R40" s="410">
        <f t="shared" si="8"/>
        <v>50180.45</v>
      </c>
      <c r="S40" s="835">
        <f>IF(R40&gt;0,R40/$R$89,0)</f>
        <v>3.7954137921363857E-3</v>
      </c>
      <c r="T40" s="1141">
        <f>R40-P40</f>
        <v>6344.6599999999962</v>
      </c>
      <c r="U40" s="1142"/>
      <c r="V40"/>
      <c r="W40"/>
    </row>
    <row r="41" spans="1:27" s="400" customFormat="1" ht="42.75" x14ac:dyDescent="0.25">
      <c r="A41" s="387">
        <v>5</v>
      </c>
      <c r="B41" s="387">
        <v>13</v>
      </c>
      <c r="C41" s="387">
        <f t="shared" si="1"/>
        <v>1</v>
      </c>
      <c r="D41" s="388" t="str">
        <f t="shared" si="3"/>
        <v/>
      </c>
      <c r="E41" s="389"/>
      <c r="F41" s="390"/>
      <c r="G41" s="402" t="s">
        <v>1</v>
      </c>
      <c r="H41" s="403">
        <v>102330</v>
      </c>
      <c r="I41" s="404" t="s">
        <v>230</v>
      </c>
      <c r="J41" s="1114" t="s">
        <v>2967</v>
      </c>
      <c r="K41" s="404" t="str">
        <f t="shared" si="5"/>
        <v>13.1</v>
      </c>
      <c r="L41" s="405" t="s">
        <v>2923</v>
      </c>
      <c r="M41" s="406" t="s">
        <v>280</v>
      </c>
      <c r="N41" s="538">
        <f>'TRANSP. MAT.PAV'!K60</f>
        <v>9051.9</v>
      </c>
      <c r="O41" s="408">
        <v>1.42</v>
      </c>
      <c r="P41" s="410">
        <f t="shared" si="6"/>
        <v>12853.69</v>
      </c>
      <c r="Q41" s="409">
        <f t="shared" si="7"/>
        <v>1.63</v>
      </c>
      <c r="R41" s="410">
        <f t="shared" si="8"/>
        <v>14754.59</v>
      </c>
      <c r="S41" s="835">
        <f>IF(R41&gt;0,R41/$R$89,0)</f>
        <v>1.1159679593012338E-3</v>
      </c>
      <c r="T41" s="1141">
        <f>R41-P41</f>
        <v>1900.8999999999996</v>
      </c>
      <c r="U41" s="1142"/>
      <c r="V41"/>
      <c r="W41"/>
    </row>
    <row r="42" spans="1:27" s="400" customFormat="1" ht="57" x14ac:dyDescent="0.25">
      <c r="A42" s="387">
        <v>5</v>
      </c>
      <c r="B42" s="387">
        <v>14</v>
      </c>
      <c r="C42" s="387">
        <f t="shared" si="1"/>
        <v>1</v>
      </c>
      <c r="D42" s="388" t="str">
        <f t="shared" si="3"/>
        <v/>
      </c>
      <c r="E42" s="389"/>
      <c r="F42" s="390"/>
      <c r="G42" s="402" t="s">
        <v>1</v>
      </c>
      <c r="H42" s="403">
        <v>102331</v>
      </c>
      <c r="I42" s="404" t="s">
        <v>230</v>
      </c>
      <c r="J42" s="1114" t="s">
        <v>2967</v>
      </c>
      <c r="K42" s="404" t="str">
        <f t="shared" si="5"/>
        <v>14.1</v>
      </c>
      <c r="L42" s="405" t="s">
        <v>2924</v>
      </c>
      <c r="M42" s="406" t="s">
        <v>280</v>
      </c>
      <c r="N42" s="538">
        <f>'TRANSP. MAT.PAV'!K68</f>
        <v>264199.07</v>
      </c>
      <c r="O42" s="408">
        <v>0.55000000000000004</v>
      </c>
      <c r="P42" s="410">
        <f t="shared" si="6"/>
        <v>145309.48000000001</v>
      </c>
      <c r="Q42" s="409">
        <f t="shared" si="7"/>
        <v>0.63</v>
      </c>
      <c r="R42" s="410">
        <f t="shared" si="8"/>
        <v>166445.41</v>
      </c>
      <c r="S42" s="835">
        <f>IF(R42&gt;0,R42/$R$89,0)</f>
        <v>1.2589149853215655E-2</v>
      </c>
      <c r="T42" s="1141">
        <f>R42-P42</f>
        <v>21135.929999999993</v>
      </c>
      <c r="U42" s="1142"/>
      <c r="V42" s="441"/>
    </row>
    <row r="43" spans="1:27" s="400" customFormat="1" ht="15.75" x14ac:dyDescent="0.25">
      <c r="A43" s="387">
        <v>6</v>
      </c>
      <c r="B43" s="387">
        <v>0</v>
      </c>
      <c r="C43" s="387">
        <v>1</v>
      </c>
      <c r="D43" s="388"/>
      <c r="E43" s="389"/>
      <c r="F43" s="390"/>
      <c r="G43" s="413"/>
      <c r="H43" s="414"/>
      <c r="I43" s="415"/>
      <c r="J43" s="416"/>
      <c r="K43" s="415" t="s">
        <v>379</v>
      </c>
      <c r="L43" s="416" t="s">
        <v>252</v>
      </c>
      <c r="M43" s="417"/>
      <c r="N43" s="539"/>
      <c r="O43" s="436"/>
      <c r="P43" s="419">
        <f>SUM(P44:P68)</f>
        <v>4910654.4799999986</v>
      </c>
      <c r="Q43" s="540"/>
      <c r="R43" s="419">
        <f>SUM(R44:R68)</f>
        <v>5926633.7599999979</v>
      </c>
      <c r="S43" s="836">
        <f>IF(R43&gt;0,R43/$R$89,0)</f>
        <v>0.44826276993620262</v>
      </c>
      <c r="T43" s="1144">
        <f>SUM(T44:T68)</f>
        <v>1015979.2799999999</v>
      </c>
      <c r="U43" s="1145">
        <f>SUM(U44:U68)</f>
        <v>0</v>
      </c>
      <c r="V43" s="441"/>
    </row>
    <row r="44" spans="1:27" s="400" customFormat="1" ht="15.75" x14ac:dyDescent="0.25">
      <c r="A44" s="387">
        <v>6</v>
      </c>
      <c r="B44" s="387">
        <v>1</v>
      </c>
      <c r="C44" s="387">
        <v>1</v>
      </c>
      <c r="D44" s="388"/>
      <c r="E44" s="389"/>
      <c r="F44" s="390"/>
      <c r="G44" s="420"/>
      <c r="H44" s="421"/>
      <c r="I44" s="422"/>
      <c r="J44" s="423"/>
      <c r="K44" s="422" t="str">
        <f>IFERROR(IF(C44&lt;&gt;"",B44&amp;"."&amp;C44,""),"S/Nº")</f>
        <v>1.1</v>
      </c>
      <c r="L44" s="423" t="s">
        <v>253</v>
      </c>
      <c r="M44" s="424"/>
      <c r="N44" s="542"/>
      <c r="O44" s="426"/>
      <c r="P44" s="426"/>
      <c r="Q44" s="427"/>
      <c r="R44" s="398"/>
      <c r="S44" s="837"/>
      <c r="T44" s="1126"/>
      <c r="U44" s="1127"/>
      <c r="V44" s="441"/>
    </row>
    <row r="45" spans="1:27" s="400" customFormat="1" ht="57" x14ac:dyDescent="0.25">
      <c r="A45" s="387">
        <v>6</v>
      </c>
      <c r="B45" s="387">
        <v>1</v>
      </c>
      <c r="C45" s="387">
        <v>1</v>
      </c>
      <c r="D45" s="388"/>
      <c r="E45" s="389"/>
      <c r="F45" s="390"/>
      <c r="G45" s="402" t="s">
        <v>1</v>
      </c>
      <c r="H45" s="403">
        <v>94267</v>
      </c>
      <c r="I45" s="404" t="s">
        <v>224</v>
      </c>
      <c r="J45" s="1114" t="s">
        <v>2967</v>
      </c>
      <c r="K45" s="404" t="str">
        <f>IFERROR(IF(C45&lt;&gt;"",B45&amp;"."&amp;C45,""),"S/Nº")</f>
        <v>1.1</v>
      </c>
      <c r="L45" s="405" t="s">
        <v>254</v>
      </c>
      <c r="M45" s="406" t="s">
        <v>255</v>
      </c>
      <c r="N45" s="538">
        <f>'MEIO-FIO E SARJETA'!F54</f>
        <v>13237.55</v>
      </c>
      <c r="O45" s="408">
        <v>67.66</v>
      </c>
      <c r="P45" s="410">
        <f>IF($V$2="OUTROS",TRUNC(N45*O45,2),TRUNC(N45*O45,2))</f>
        <v>895652.63</v>
      </c>
      <c r="Q45" s="409">
        <f>IFERROR(TRUNC(IF(I45="SERVIÇO",(1+$R$3)*$O45,(1+$R$4)*$O45),2),"0,00")</f>
        <v>81.66</v>
      </c>
      <c r="R45" s="410">
        <f>IF($V$2="OUTROS",TRUNC(N45*Q45,2),TRUNC(N45*Q45,2))</f>
        <v>1080978.33</v>
      </c>
      <c r="S45" s="835">
        <f>IF(R45&gt;0,R45/$R$89,0)</f>
        <v>8.176012894827682E-2</v>
      </c>
      <c r="T45" s="1141">
        <f>R45-P45</f>
        <v>185325.70000000007</v>
      </c>
      <c r="U45" s="1142"/>
      <c r="V45" s="441"/>
    </row>
    <row r="46" spans="1:27" s="400" customFormat="1" ht="57" x14ac:dyDescent="0.25">
      <c r="A46" s="387">
        <v>6</v>
      </c>
      <c r="B46" s="387">
        <v>2</v>
      </c>
      <c r="C46" s="387">
        <v>1</v>
      </c>
      <c r="D46" s="388"/>
      <c r="E46" s="389"/>
      <c r="F46" s="390"/>
      <c r="G46" s="402" t="s">
        <v>1</v>
      </c>
      <c r="H46" s="403">
        <v>94268</v>
      </c>
      <c r="I46" s="404" t="s">
        <v>224</v>
      </c>
      <c r="J46" s="1114" t="s">
        <v>2967</v>
      </c>
      <c r="K46" s="404" t="str">
        <f>IFERROR(IF(C46&lt;&gt;"",B46&amp;"."&amp;C46,""),"S/Nº")</f>
        <v>2.1</v>
      </c>
      <c r="L46" s="433" t="s">
        <v>256</v>
      </c>
      <c r="M46" s="434" t="s">
        <v>255</v>
      </c>
      <c r="N46" s="538">
        <f>'MEIO-FIO E SARJETA'!H54</f>
        <v>1411.47</v>
      </c>
      <c r="O46" s="442">
        <v>73.05</v>
      </c>
      <c r="P46" s="410">
        <f>IF($V$2="OUTROS",TRUNC(N46*O46,2),TRUNC(N46*O46,2))</f>
        <v>103107.88</v>
      </c>
      <c r="Q46" s="409">
        <f>IFERROR(TRUNC(IF(I46="SERVIÇO",(1+$R$3)*$O46,(1+$R$4)*$O46),2),"0,00")</f>
        <v>88.17</v>
      </c>
      <c r="R46" s="410">
        <f>IF($V$2="OUTROS",TRUNC(N46*Q46,2),TRUNC(N46*Q46,2))</f>
        <v>124449.3</v>
      </c>
      <c r="S46" s="835">
        <f>IF(R46&gt;0,R46/$R$89,0)</f>
        <v>9.4127611378877381E-3</v>
      </c>
      <c r="T46" s="1141">
        <f>R46-P46</f>
        <v>21341.42</v>
      </c>
      <c r="U46" s="1142"/>
      <c r="V46" s="441"/>
    </row>
    <row r="47" spans="1:27" s="400" customFormat="1" ht="15.75" x14ac:dyDescent="0.25">
      <c r="A47" s="387">
        <v>6</v>
      </c>
      <c r="B47" s="387">
        <v>2</v>
      </c>
      <c r="C47" s="387">
        <v>1</v>
      </c>
      <c r="D47" s="388"/>
      <c r="E47" s="389"/>
      <c r="F47" s="390"/>
      <c r="G47" s="391"/>
      <c r="H47" s="392"/>
      <c r="I47" s="393"/>
      <c r="J47" s="422"/>
      <c r="K47" s="393"/>
      <c r="L47" s="428" t="s">
        <v>257</v>
      </c>
      <c r="M47" s="396"/>
      <c r="N47" s="500"/>
      <c r="O47" s="429"/>
      <c r="P47" s="429"/>
      <c r="Q47" s="430"/>
      <c r="R47" s="399"/>
      <c r="S47" s="553"/>
      <c r="T47" s="1126"/>
      <c r="U47" s="1127"/>
      <c r="V47" s="441"/>
    </row>
    <row r="48" spans="1:27" s="400" customFormat="1" ht="71.25" x14ac:dyDescent="0.25">
      <c r="A48" s="387">
        <v>6</v>
      </c>
      <c r="B48" s="387">
        <v>3</v>
      </c>
      <c r="C48" s="387">
        <v>1</v>
      </c>
      <c r="D48" s="388"/>
      <c r="E48" s="389"/>
      <c r="F48" s="390"/>
      <c r="G48" s="402" t="s">
        <v>1</v>
      </c>
      <c r="H48" s="403">
        <v>90092</v>
      </c>
      <c r="I48" s="404" t="s">
        <v>224</v>
      </c>
      <c r="J48" s="1114" t="s">
        <v>2967</v>
      </c>
      <c r="K48" s="404" t="str">
        <f t="shared" ref="K48:K76" si="9">IFERROR(IF(C48&lt;&gt;"",B48&amp;"."&amp;C48,""),"S/Nº")</f>
        <v>3.1</v>
      </c>
      <c r="L48" s="405" t="s">
        <v>258</v>
      </c>
      <c r="M48" s="406" t="s">
        <v>259</v>
      </c>
      <c r="N48" s="538">
        <f>'DREN. MEM. CAL.'!J90+'DREN. MEM. CAL.'!J98+'DREN. MEM. CAL.'!K106+'DREN. MEM. CAL.'!G179+'DREN. MEM. CAL.'!F190+'DREN. MEM. CAL.'!F196</f>
        <v>14986.76</v>
      </c>
      <c r="O48" s="408">
        <v>5.74</v>
      </c>
      <c r="P48" s="410">
        <f t="shared" ref="P48:P68" si="10">IF($V$2="OUTROS",TRUNC(N48*O48,2),TRUNC(N48*O48,2))</f>
        <v>86024</v>
      </c>
      <c r="Q48" s="409">
        <f t="shared" ref="Q48:Q68" si="11">IFERROR(TRUNC(IF(I48="SERVIÇO",(1+$R$3)*$O48,(1+$R$4)*$O48),2),"0,00")</f>
        <v>6.92</v>
      </c>
      <c r="R48" s="410">
        <f t="shared" ref="R48:R68" si="12">IF($V$2="OUTROS",TRUNC(N48*Q48,2),TRUNC(N48*Q48,2))</f>
        <v>103708.37</v>
      </c>
      <c r="S48" s="835">
        <f t="shared" ref="S48:S79" si="13">IF(R48&gt;0,R48/$R$89,0)</f>
        <v>7.8440145087974172E-3</v>
      </c>
      <c r="T48" s="1141">
        <f t="shared" ref="T48:T68" si="14">R48-P48</f>
        <v>17684.369999999995</v>
      </c>
      <c r="U48" s="1142"/>
      <c r="V48" s="441"/>
    </row>
    <row r="49" spans="1:22" s="400" customFormat="1" ht="71.25" x14ac:dyDescent="0.25">
      <c r="A49" s="387">
        <v>6</v>
      </c>
      <c r="B49" s="387">
        <v>4</v>
      </c>
      <c r="C49" s="387">
        <v>1</v>
      </c>
      <c r="D49" s="388"/>
      <c r="E49" s="389"/>
      <c r="F49" s="390"/>
      <c r="G49" s="402" t="s">
        <v>1</v>
      </c>
      <c r="H49" s="403">
        <v>93381</v>
      </c>
      <c r="I49" s="404" t="s">
        <v>224</v>
      </c>
      <c r="J49" s="1114" t="s">
        <v>2967</v>
      </c>
      <c r="K49" s="404" t="str">
        <f t="shared" si="9"/>
        <v>4.1</v>
      </c>
      <c r="L49" s="405" t="s">
        <v>260</v>
      </c>
      <c r="M49" s="406" t="s">
        <v>259</v>
      </c>
      <c r="N49" s="538">
        <f>'DREN. MEM. CAL.'!G196+'DREN. MEM. CAL.'!G190</f>
        <v>8578.34</v>
      </c>
      <c r="O49" s="408">
        <v>10.85</v>
      </c>
      <c r="P49" s="410">
        <f t="shared" si="10"/>
        <v>93074.98</v>
      </c>
      <c r="Q49" s="409">
        <f t="shared" si="11"/>
        <v>13.09</v>
      </c>
      <c r="R49" s="410">
        <f t="shared" si="12"/>
        <v>112290.47</v>
      </c>
      <c r="S49" s="835">
        <f t="shared" si="13"/>
        <v>8.4931242857223688E-3</v>
      </c>
      <c r="T49" s="1141">
        <f t="shared" si="14"/>
        <v>19215.490000000005</v>
      </c>
      <c r="U49" s="1142"/>
      <c r="V49" s="441"/>
    </row>
    <row r="50" spans="1:22" s="400" customFormat="1" ht="30.75" customHeight="1" x14ac:dyDescent="0.25">
      <c r="A50" s="387">
        <v>6</v>
      </c>
      <c r="B50" s="387">
        <v>5</v>
      </c>
      <c r="C50" s="387">
        <v>1</v>
      </c>
      <c r="D50" s="388"/>
      <c r="E50" s="389"/>
      <c r="F50" s="390"/>
      <c r="G50" s="402" t="s">
        <v>1</v>
      </c>
      <c r="H50" s="403">
        <v>101572</v>
      </c>
      <c r="I50" s="404" t="s">
        <v>224</v>
      </c>
      <c r="J50" s="1114" t="s">
        <v>2967</v>
      </c>
      <c r="K50" s="404" t="str">
        <f t="shared" si="9"/>
        <v>5.1</v>
      </c>
      <c r="L50" s="405" t="s">
        <v>261</v>
      </c>
      <c r="M50" s="406" t="s">
        <v>33</v>
      </c>
      <c r="N50" s="538">
        <f>'DREN. MEM. CAL.'!J190+'DREN. MEM. CAL.'!J196</f>
        <v>16939.11</v>
      </c>
      <c r="O50" s="408">
        <v>16.84</v>
      </c>
      <c r="P50" s="410">
        <f t="shared" si="10"/>
        <v>285254.61</v>
      </c>
      <c r="Q50" s="409">
        <f t="shared" si="11"/>
        <v>20.32</v>
      </c>
      <c r="R50" s="410">
        <f t="shared" si="12"/>
        <v>344202.71</v>
      </c>
      <c r="S50" s="835">
        <f t="shared" si="13"/>
        <v>2.6033877990825526E-2</v>
      </c>
      <c r="T50" s="1141">
        <f t="shared" si="14"/>
        <v>58948.100000000035</v>
      </c>
      <c r="U50" s="1142"/>
      <c r="V50" s="441"/>
    </row>
    <row r="51" spans="1:22" s="400" customFormat="1" ht="28.5" x14ac:dyDescent="0.25">
      <c r="A51" s="387">
        <v>6</v>
      </c>
      <c r="B51" s="387">
        <v>6</v>
      </c>
      <c r="C51" s="387">
        <v>1</v>
      </c>
      <c r="D51" s="388"/>
      <c r="E51" s="389"/>
      <c r="F51" s="390"/>
      <c r="G51" s="402" t="s">
        <v>1</v>
      </c>
      <c r="H51" s="403">
        <v>93589</v>
      </c>
      <c r="I51" s="404" t="s">
        <v>224</v>
      </c>
      <c r="J51" s="1114" t="s">
        <v>2967</v>
      </c>
      <c r="K51" s="404" t="str">
        <f t="shared" si="9"/>
        <v>6.1</v>
      </c>
      <c r="L51" s="405" t="s">
        <v>262</v>
      </c>
      <c r="M51" s="406" t="s">
        <v>263</v>
      </c>
      <c r="N51" s="538">
        <f>'TRANSP. DRENAGEM'!M39+'TRANSP. DRENAGEM'!M46</f>
        <v>5156.08</v>
      </c>
      <c r="O51" s="408">
        <v>2.7</v>
      </c>
      <c r="P51" s="410">
        <f t="shared" si="10"/>
        <v>13921.41</v>
      </c>
      <c r="Q51" s="409">
        <f t="shared" si="11"/>
        <v>3.25</v>
      </c>
      <c r="R51" s="410">
        <f t="shared" si="12"/>
        <v>16757.259999999998</v>
      </c>
      <c r="S51" s="835">
        <f t="shared" si="13"/>
        <v>1.267440521605832E-3</v>
      </c>
      <c r="T51" s="1141">
        <f t="shared" si="14"/>
        <v>2835.8499999999985</v>
      </c>
      <c r="U51" s="1142"/>
      <c r="V51" s="441"/>
    </row>
    <row r="52" spans="1:22" s="400" customFormat="1" ht="42.75" x14ac:dyDescent="0.25">
      <c r="A52" s="387">
        <v>6</v>
      </c>
      <c r="B52" s="387">
        <v>7</v>
      </c>
      <c r="C52" s="387">
        <v>1</v>
      </c>
      <c r="D52" s="388"/>
      <c r="E52" s="389"/>
      <c r="F52" s="390"/>
      <c r="G52" s="402" t="s">
        <v>1</v>
      </c>
      <c r="H52" s="403">
        <v>95875</v>
      </c>
      <c r="I52" s="404" t="s">
        <v>224</v>
      </c>
      <c r="J52" s="1114" t="s">
        <v>2967</v>
      </c>
      <c r="K52" s="404" t="str">
        <f t="shared" si="9"/>
        <v>7.1</v>
      </c>
      <c r="L52" s="405" t="s">
        <v>264</v>
      </c>
      <c r="M52" s="406" t="s">
        <v>263</v>
      </c>
      <c r="N52" s="538">
        <f>'TRANSP. DRENAGEM'!M42+'TRANSP. DRENAGEM'!M49</f>
        <v>5743.13</v>
      </c>
      <c r="O52" s="408">
        <v>2.4900000000000002</v>
      </c>
      <c r="P52" s="410">
        <f t="shared" si="10"/>
        <v>14300.39</v>
      </c>
      <c r="Q52" s="409">
        <f t="shared" si="11"/>
        <v>3</v>
      </c>
      <c r="R52" s="410">
        <f t="shared" si="12"/>
        <v>17229.39</v>
      </c>
      <c r="S52" s="835">
        <f t="shared" si="13"/>
        <v>1.3031502195794721E-3</v>
      </c>
      <c r="T52" s="1141">
        <f t="shared" si="14"/>
        <v>2929</v>
      </c>
      <c r="U52" s="1142"/>
      <c r="V52" s="441"/>
    </row>
    <row r="53" spans="1:22" s="400" customFormat="1" ht="57" x14ac:dyDescent="0.25">
      <c r="A53" s="387">
        <v>6</v>
      </c>
      <c r="B53" s="387">
        <v>8</v>
      </c>
      <c r="C53" s="387">
        <v>1</v>
      </c>
      <c r="D53" s="388"/>
      <c r="E53" s="389"/>
      <c r="F53" s="390"/>
      <c r="G53" s="402" t="s">
        <v>1</v>
      </c>
      <c r="H53" s="403">
        <v>92219</v>
      </c>
      <c r="I53" s="404" t="s">
        <v>224</v>
      </c>
      <c r="J53" s="1114" t="s">
        <v>2967</v>
      </c>
      <c r="K53" s="404" t="str">
        <f t="shared" si="9"/>
        <v>8.1</v>
      </c>
      <c r="L53" s="405" t="s">
        <v>265</v>
      </c>
      <c r="M53" s="406" t="s">
        <v>255</v>
      </c>
      <c r="N53" s="538">
        <f>'DREN. MEM. CAL.'!C184</f>
        <v>286</v>
      </c>
      <c r="O53" s="408">
        <v>187.63</v>
      </c>
      <c r="P53" s="410">
        <f t="shared" si="10"/>
        <v>53662.18</v>
      </c>
      <c r="Q53" s="409">
        <f t="shared" si="11"/>
        <v>226.46</v>
      </c>
      <c r="R53" s="410">
        <f t="shared" si="12"/>
        <v>64767.56</v>
      </c>
      <c r="S53" s="835">
        <f t="shared" si="13"/>
        <v>4.8987143500510838E-3</v>
      </c>
      <c r="T53" s="1141">
        <f t="shared" si="14"/>
        <v>11105.379999999997</v>
      </c>
      <c r="U53" s="1142"/>
      <c r="V53" s="441"/>
    </row>
    <row r="54" spans="1:22" s="400" customFormat="1" ht="57" x14ac:dyDescent="0.25">
      <c r="A54" s="387">
        <v>6</v>
      </c>
      <c r="B54" s="387">
        <v>9</v>
      </c>
      <c r="C54" s="387">
        <v>1</v>
      </c>
      <c r="D54" s="388"/>
      <c r="E54" s="389"/>
      <c r="F54" s="390"/>
      <c r="G54" s="402" t="s">
        <v>1</v>
      </c>
      <c r="H54" s="403">
        <v>92221</v>
      </c>
      <c r="I54" s="404" t="s">
        <v>224</v>
      </c>
      <c r="J54" s="1114" t="s">
        <v>2967</v>
      </c>
      <c r="K54" s="404" t="str">
        <f t="shared" si="9"/>
        <v>9.1</v>
      </c>
      <c r="L54" s="405" t="s">
        <v>266</v>
      </c>
      <c r="M54" s="406" t="s">
        <v>255</v>
      </c>
      <c r="N54" s="538">
        <f>'DREN. MEM. CAL.'!C192+'DREN. MEM. CAL.'!C193+'DREN. MEM. CAL.'!C185+'DREN. MEM. CAL.'!C186</f>
        <v>2521</v>
      </c>
      <c r="O54" s="408">
        <v>335.55</v>
      </c>
      <c r="P54" s="410">
        <f t="shared" si="10"/>
        <v>845921.55</v>
      </c>
      <c r="Q54" s="409">
        <f t="shared" si="11"/>
        <v>405</v>
      </c>
      <c r="R54" s="410">
        <f t="shared" si="12"/>
        <v>1021005</v>
      </c>
      <c r="S54" s="835">
        <f t="shared" si="13"/>
        <v>7.7224027660975747E-2</v>
      </c>
      <c r="T54" s="1141">
        <f t="shared" si="14"/>
        <v>175083.44999999995</v>
      </c>
      <c r="U54" s="1142"/>
      <c r="V54" s="441"/>
    </row>
    <row r="55" spans="1:22" s="400" customFormat="1" ht="57" x14ac:dyDescent="0.25">
      <c r="A55" s="387">
        <v>6</v>
      </c>
      <c r="B55" s="387">
        <v>10</v>
      </c>
      <c r="C55" s="387">
        <v>1</v>
      </c>
      <c r="D55" s="388"/>
      <c r="E55" s="389"/>
      <c r="F55" s="390"/>
      <c r="G55" s="402" t="s">
        <v>1</v>
      </c>
      <c r="H55" s="403">
        <v>92223</v>
      </c>
      <c r="I55" s="404" t="s">
        <v>224</v>
      </c>
      <c r="J55" s="1114" t="s">
        <v>2967</v>
      </c>
      <c r="K55" s="404" t="str">
        <f t="shared" si="9"/>
        <v>10.1</v>
      </c>
      <c r="L55" s="405" t="s">
        <v>267</v>
      </c>
      <c r="M55" s="406" t="s">
        <v>255</v>
      </c>
      <c r="N55" s="538">
        <f>'DREN. MEM. CAL.'!C194+'DREN. MEM. CAL.'!C187</f>
        <v>832</v>
      </c>
      <c r="O55" s="408">
        <v>531.76</v>
      </c>
      <c r="P55" s="410">
        <f t="shared" si="10"/>
        <v>442424.32000000001</v>
      </c>
      <c r="Q55" s="409">
        <f t="shared" si="11"/>
        <v>641.83000000000004</v>
      </c>
      <c r="R55" s="410">
        <f t="shared" si="12"/>
        <v>534002.56000000006</v>
      </c>
      <c r="S55" s="835">
        <f t="shared" si="13"/>
        <v>4.0389448106984659E-2</v>
      </c>
      <c r="T55" s="1141">
        <f t="shared" si="14"/>
        <v>91578.240000000049</v>
      </c>
      <c r="U55" s="1142"/>
      <c r="V55" s="441"/>
    </row>
    <row r="56" spans="1:22" s="400" customFormat="1" ht="57" x14ac:dyDescent="0.25">
      <c r="A56" s="387">
        <v>6</v>
      </c>
      <c r="B56" s="387">
        <v>11</v>
      </c>
      <c r="C56" s="387">
        <v>1</v>
      </c>
      <c r="D56" s="388"/>
      <c r="E56" s="389"/>
      <c r="F56" s="390"/>
      <c r="G56" s="402" t="s">
        <v>1</v>
      </c>
      <c r="H56" s="403">
        <v>92226</v>
      </c>
      <c r="I56" s="404" t="s">
        <v>224</v>
      </c>
      <c r="J56" s="1114" t="s">
        <v>2967</v>
      </c>
      <c r="K56" s="404" t="str">
        <f t="shared" si="9"/>
        <v>11.1</v>
      </c>
      <c r="L56" s="405" t="s">
        <v>268</v>
      </c>
      <c r="M56" s="406" t="s">
        <v>255</v>
      </c>
      <c r="N56" s="538">
        <f>'DREN. MEM. CAL.'!C195+'DREN. MEM. CAL.'!C188</f>
        <v>1277</v>
      </c>
      <c r="O56" s="408">
        <v>639.38</v>
      </c>
      <c r="P56" s="410">
        <f t="shared" si="10"/>
        <v>816488.26</v>
      </c>
      <c r="Q56" s="409">
        <f t="shared" si="11"/>
        <v>771.73</v>
      </c>
      <c r="R56" s="410">
        <f t="shared" si="12"/>
        <v>985499.21</v>
      </c>
      <c r="S56" s="835">
        <f t="shared" si="13"/>
        <v>7.4538536297970873E-2</v>
      </c>
      <c r="T56" s="1141">
        <f t="shared" si="14"/>
        <v>169010.94999999995</v>
      </c>
      <c r="U56" s="1142"/>
      <c r="V56" s="441"/>
    </row>
    <row r="57" spans="1:22" s="400" customFormat="1" ht="57" x14ac:dyDescent="0.25">
      <c r="A57" s="387">
        <v>6</v>
      </c>
      <c r="B57" s="387">
        <v>12</v>
      </c>
      <c r="C57" s="387">
        <v>1</v>
      </c>
      <c r="D57" s="388"/>
      <c r="E57" s="389"/>
      <c r="F57" s="390"/>
      <c r="G57" s="402" t="s">
        <v>1</v>
      </c>
      <c r="H57" s="403">
        <v>92829</v>
      </c>
      <c r="I57" s="404" t="s">
        <v>224</v>
      </c>
      <c r="J57" s="1114" t="s">
        <v>2967</v>
      </c>
      <c r="K57" s="404" t="str">
        <f t="shared" si="9"/>
        <v>12.1</v>
      </c>
      <c r="L57" s="405" t="s">
        <v>269</v>
      </c>
      <c r="M57" s="406" t="s">
        <v>255</v>
      </c>
      <c r="N57" s="538">
        <f>'DREN. MEM. CAL.'!C189</f>
        <v>447</v>
      </c>
      <c r="O57" s="408">
        <v>917.47</v>
      </c>
      <c r="P57" s="410">
        <f t="shared" si="10"/>
        <v>410109.09</v>
      </c>
      <c r="Q57" s="409">
        <f t="shared" si="11"/>
        <v>1107.3800000000001</v>
      </c>
      <c r="R57" s="410">
        <f t="shared" si="12"/>
        <v>494998.86</v>
      </c>
      <c r="S57" s="835">
        <f t="shared" si="13"/>
        <v>3.7439391243717181E-2</v>
      </c>
      <c r="T57" s="1141">
        <f t="shared" si="14"/>
        <v>84889.76999999996</v>
      </c>
      <c r="U57" s="1142"/>
      <c r="V57" s="441"/>
    </row>
    <row r="58" spans="1:22" s="400" customFormat="1" ht="57" x14ac:dyDescent="0.25">
      <c r="A58" s="387">
        <v>6</v>
      </c>
      <c r="B58" s="387">
        <v>13</v>
      </c>
      <c r="C58" s="387">
        <v>1</v>
      </c>
      <c r="D58" s="388"/>
      <c r="E58" s="389"/>
      <c r="F58" s="390"/>
      <c r="G58" s="402" t="s">
        <v>1</v>
      </c>
      <c r="H58" s="403">
        <v>99290</v>
      </c>
      <c r="I58" s="404" t="s">
        <v>224</v>
      </c>
      <c r="J58" s="1114" t="s">
        <v>2967</v>
      </c>
      <c r="K58" s="404" t="str">
        <f t="shared" si="9"/>
        <v>13.1</v>
      </c>
      <c r="L58" s="433" t="s">
        <v>270</v>
      </c>
      <c r="M58" s="434" t="s">
        <v>16</v>
      </c>
      <c r="N58" s="538">
        <f>'DREN. MEM. CAL.'!L175+'DREN. MEM. CAL.'!L140</f>
        <v>63</v>
      </c>
      <c r="O58" s="442">
        <v>4234.21</v>
      </c>
      <c r="P58" s="410">
        <f t="shared" si="10"/>
        <v>266755.23</v>
      </c>
      <c r="Q58" s="409">
        <f t="shared" si="11"/>
        <v>5110.6899999999996</v>
      </c>
      <c r="R58" s="410">
        <f t="shared" si="12"/>
        <v>321973.46999999997</v>
      </c>
      <c r="S58" s="835">
        <f t="shared" si="13"/>
        <v>2.4352562576461765E-2</v>
      </c>
      <c r="T58" s="1141">
        <f t="shared" si="14"/>
        <v>55218.239999999991</v>
      </c>
      <c r="U58" s="1142"/>
      <c r="V58" s="441"/>
    </row>
    <row r="59" spans="1:22" s="400" customFormat="1" ht="42.75" x14ac:dyDescent="0.25">
      <c r="A59" s="387">
        <v>6</v>
      </c>
      <c r="B59" s="387">
        <v>14</v>
      </c>
      <c r="C59" s="387">
        <v>1</v>
      </c>
      <c r="D59" s="388"/>
      <c r="E59" s="389"/>
      <c r="F59" s="390"/>
      <c r="G59" s="402" t="s">
        <v>1</v>
      </c>
      <c r="H59" s="403">
        <v>99241</v>
      </c>
      <c r="I59" s="404" t="s">
        <v>224</v>
      </c>
      <c r="J59" s="1114" t="s">
        <v>2967</v>
      </c>
      <c r="K59" s="404" t="str">
        <f t="shared" si="9"/>
        <v>14.1</v>
      </c>
      <c r="L59" s="433" t="s">
        <v>271</v>
      </c>
      <c r="M59" s="434" t="s">
        <v>255</v>
      </c>
      <c r="N59" s="538">
        <f>'DREN. MEM. CAL.'!K177</f>
        <v>27.85</v>
      </c>
      <c r="O59" s="442">
        <v>1807.64</v>
      </c>
      <c r="P59" s="410">
        <f t="shared" si="10"/>
        <v>50342.77</v>
      </c>
      <c r="Q59" s="409">
        <f t="shared" si="11"/>
        <v>2181.8200000000002</v>
      </c>
      <c r="R59" s="410">
        <f t="shared" si="12"/>
        <v>60763.68</v>
      </c>
      <c r="S59" s="835">
        <f t="shared" si="13"/>
        <v>4.5958796529915911E-3</v>
      </c>
      <c r="T59" s="1141">
        <f t="shared" si="14"/>
        <v>10420.910000000003</v>
      </c>
      <c r="U59" s="1142"/>
      <c r="V59" s="441"/>
    </row>
    <row r="60" spans="1:22" s="400" customFormat="1" ht="28.5" x14ac:dyDescent="0.25">
      <c r="A60" s="387">
        <v>6</v>
      </c>
      <c r="B60" s="387">
        <v>15</v>
      </c>
      <c r="C60" s="387">
        <v>1</v>
      </c>
      <c r="D60" s="388"/>
      <c r="E60" s="389"/>
      <c r="F60" s="390"/>
      <c r="G60" s="402" t="s">
        <v>1</v>
      </c>
      <c r="H60" s="403">
        <v>98114</v>
      </c>
      <c r="I60" s="404" t="s">
        <v>224</v>
      </c>
      <c r="J60" s="1114" t="s">
        <v>2967</v>
      </c>
      <c r="K60" s="404" t="str">
        <f t="shared" si="9"/>
        <v>15.1</v>
      </c>
      <c r="L60" s="405" t="s">
        <v>272</v>
      </c>
      <c r="M60" s="406" t="s">
        <v>16</v>
      </c>
      <c r="N60" s="538">
        <f>COUNTA('DREN. MEM. CAL.'!B111:B140)+COUNTA('DREN. MEM. CAL.'!B143:B175)</f>
        <v>63</v>
      </c>
      <c r="O60" s="408">
        <v>701.25</v>
      </c>
      <c r="P60" s="410">
        <f t="shared" si="10"/>
        <v>44178.75</v>
      </c>
      <c r="Q60" s="409">
        <f t="shared" si="11"/>
        <v>846.4</v>
      </c>
      <c r="R60" s="410">
        <f t="shared" si="12"/>
        <v>53323.199999999997</v>
      </c>
      <c r="S60" s="835">
        <f t="shared" si="13"/>
        <v>4.0331166564039761E-3</v>
      </c>
      <c r="T60" s="1141">
        <f t="shared" si="14"/>
        <v>9144.4499999999971</v>
      </c>
      <c r="U60" s="1142"/>
      <c r="V60" s="441"/>
    </row>
    <row r="61" spans="1:22" s="400" customFormat="1" ht="42.75" x14ac:dyDescent="0.25">
      <c r="A61" s="387">
        <v>6</v>
      </c>
      <c r="B61" s="387">
        <v>16</v>
      </c>
      <c r="C61" s="387">
        <v>1</v>
      </c>
      <c r="D61" s="388"/>
      <c r="E61" s="389"/>
      <c r="F61" s="390"/>
      <c r="G61" s="402" t="s">
        <v>1</v>
      </c>
      <c r="H61" s="403">
        <v>97947</v>
      </c>
      <c r="I61" s="404" t="s">
        <v>224</v>
      </c>
      <c r="J61" s="1114" t="s">
        <v>2967</v>
      </c>
      <c r="K61" s="404" t="str">
        <f t="shared" si="9"/>
        <v>16.1</v>
      </c>
      <c r="L61" s="405" t="s">
        <v>273</v>
      </c>
      <c r="M61" s="406" t="s">
        <v>16</v>
      </c>
      <c r="N61" s="538">
        <f>'DREN. MEM. CAL.'!I90</f>
        <v>5</v>
      </c>
      <c r="O61" s="408">
        <v>1923.84</v>
      </c>
      <c r="P61" s="410">
        <f t="shared" si="10"/>
        <v>9619.2000000000007</v>
      </c>
      <c r="Q61" s="409">
        <f t="shared" si="11"/>
        <v>2322.0700000000002</v>
      </c>
      <c r="R61" s="410">
        <f t="shared" si="12"/>
        <v>11610.35</v>
      </c>
      <c r="S61" s="835">
        <f t="shared" si="13"/>
        <v>8.7815239842469904E-4</v>
      </c>
      <c r="T61" s="1141">
        <f t="shared" si="14"/>
        <v>1991.1499999999996</v>
      </c>
      <c r="U61" s="1142"/>
      <c r="V61" s="441"/>
    </row>
    <row r="62" spans="1:22" s="400" customFormat="1" ht="42.75" x14ac:dyDescent="0.25">
      <c r="A62" s="387">
        <v>6</v>
      </c>
      <c r="B62" s="387">
        <v>17</v>
      </c>
      <c r="C62" s="387">
        <v>1</v>
      </c>
      <c r="D62" s="388"/>
      <c r="E62" s="389"/>
      <c r="F62" s="390"/>
      <c r="G62" s="402" t="s">
        <v>1</v>
      </c>
      <c r="H62" s="403">
        <v>97948</v>
      </c>
      <c r="I62" s="404" t="s">
        <v>224</v>
      </c>
      <c r="J62" s="1114" t="s">
        <v>2967</v>
      </c>
      <c r="K62" s="404" t="str">
        <f t="shared" si="9"/>
        <v>17.1</v>
      </c>
      <c r="L62" s="405" t="s">
        <v>274</v>
      </c>
      <c r="M62" s="406" t="s">
        <v>16</v>
      </c>
      <c r="N62" s="538">
        <f>'DREN. MEM. CAL.'!I98</f>
        <v>92</v>
      </c>
      <c r="O62" s="408">
        <v>3531.73</v>
      </c>
      <c r="P62" s="410">
        <f t="shared" si="10"/>
        <v>324919.15999999997</v>
      </c>
      <c r="Q62" s="409">
        <f t="shared" si="11"/>
        <v>4262.79</v>
      </c>
      <c r="R62" s="410">
        <f t="shared" si="12"/>
        <v>392176.68</v>
      </c>
      <c r="S62" s="835">
        <f t="shared" si="13"/>
        <v>2.9662403988530553E-2</v>
      </c>
      <c r="T62" s="1141">
        <f t="shared" si="14"/>
        <v>67257.520000000019</v>
      </c>
      <c r="U62" s="1142"/>
      <c r="V62" s="441"/>
    </row>
    <row r="63" spans="1:22" s="400" customFormat="1" ht="28.5" x14ac:dyDescent="0.25">
      <c r="A63" s="387">
        <v>6</v>
      </c>
      <c r="B63" s="387">
        <v>18</v>
      </c>
      <c r="C63" s="387">
        <v>1</v>
      </c>
      <c r="D63" s="388"/>
      <c r="E63" s="389"/>
      <c r="F63" s="390"/>
      <c r="G63" s="402" t="s">
        <v>6</v>
      </c>
      <c r="H63" s="403">
        <v>2003767</v>
      </c>
      <c r="I63" s="404" t="s">
        <v>224</v>
      </c>
      <c r="J63" s="1114" t="s">
        <v>2967</v>
      </c>
      <c r="K63" s="404" t="str">
        <f t="shared" si="9"/>
        <v>18.1</v>
      </c>
      <c r="L63" s="433" t="s">
        <v>275</v>
      </c>
      <c r="M63" s="434" t="s">
        <v>259</v>
      </c>
      <c r="N63" s="538">
        <f>'DREN. MEM. CAL.'!K196+'DREN. MEM. CAL.'!K190</f>
        <v>732.38</v>
      </c>
      <c r="O63" s="408">
        <v>106.88</v>
      </c>
      <c r="P63" s="410">
        <f t="shared" si="10"/>
        <v>78276.77</v>
      </c>
      <c r="Q63" s="409">
        <f t="shared" si="11"/>
        <v>129</v>
      </c>
      <c r="R63" s="410">
        <f t="shared" si="12"/>
        <v>94477.02</v>
      </c>
      <c r="S63" s="835">
        <f t="shared" si="13"/>
        <v>7.1457985081430156E-3</v>
      </c>
      <c r="T63" s="1141">
        <f t="shared" si="14"/>
        <v>16200.25</v>
      </c>
      <c r="U63" s="1142"/>
      <c r="V63" s="441"/>
    </row>
    <row r="64" spans="1:22" s="400" customFormat="1" ht="28.5" x14ac:dyDescent="0.25">
      <c r="A64" s="387">
        <v>6</v>
      </c>
      <c r="B64" s="387">
        <v>19</v>
      </c>
      <c r="C64" s="387">
        <v>1</v>
      </c>
      <c r="D64" s="388"/>
      <c r="E64" s="389"/>
      <c r="F64" s="390"/>
      <c r="G64" s="402" t="s">
        <v>6</v>
      </c>
      <c r="H64" s="403">
        <v>2003457</v>
      </c>
      <c r="I64" s="404" t="s">
        <v>224</v>
      </c>
      <c r="J64" s="1114" t="s">
        <v>2967</v>
      </c>
      <c r="K64" s="404" t="str">
        <f t="shared" si="9"/>
        <v>19.1</v>
      </c>
      <c r="L64" s="405" t="s">
        <v>276</v>
      </c>
      <c r="M64" s="406" t="s">
        <v>16</v>
      </c>
      <c r="N64" s="538">
        <v>1</v>
      </c>
      <c r="O64" s="408">
        <v>2887.64</v>
      </c>
      <c r="P64" s="410">
        <f t="shared" si="10"/>
        <v>2887.64</v>
      </c>
      <c r="Q64" s="409">
        <f t="shared" si="11"/>
        <v>3485.38</v>
      </c>
      <c r="R64" s="410">
        <f t="shared" si="12"/>
        <v>3485.38</v>
      </c>
      <c r="S64" s="835">
        <f t="shared" si="13"/>
        <v>2.6361778985314633E-4</v>
      </c>
      <c r="T64" s="1141">
        <f t="shared" si="14"/>
        <v>597.74000000000024</v>
      </c>
      <c r="U64" s="1142"/>
      <c r="V64" s="441"/>
    </row>
    <row r="65" spans="1:22" s="400" customFormat="1" ht="42.75" x14ac:dyDescent="0.25">
      <c r="A65" s="387">
        <v>6</v>
      </c>
      <c r="B65" s="387">
        <v>20</v>
      </c>
      <c r="C65" s="387">
        <v>1</v>
      </c>
      <c r="D65" s="388"/>
      <c r="E65" s="389"/>
      <c r="F65" s="390"/>
      <c r="G65" s="402" t="s">
        <v>1</v>
      </c>
      <c r="H65" s="403">
        <v>102740</v>
      </c>
      <c r="I65" s="404" t="s">
        <v>224</v>
      </c>
      <c r="J65" s="1114" t="s">
        <v>2967</v>
      </c>
      <c r="K65" s="404" t="str">
        <f t="shared" si="9"/>
        <v>20.1</v>
      </c>
      <c r="L65" s="405" t="s">
        <v>277</v>
      </c>
      <c r="M65" s="406" t="s">
        <v>16</v>
      </c>
      <c r="N65" s="538">
        <v>1</v>
      </c>
      <c r="O65" s="408">
        <v>6381.75</v>
      </c>
      <c r="P65" s="410">
        <f t="shared" si="10"/>
        <v>6381.75</v>
      </c>
      <c r="Q65" s="409">
        <f t="shared" si="11"/>
        <v>7702.77</v>
      </c>
      <c r="R65" s="410">
        <f t="shared" si="12"/>
        <v>7702.77</v>
      </c>
      <c r="S65" s="835">
        <f t="shared" si="13"/>
        <v>5.826013815271563E-4</v>
      </c>
      <c r="T65" s="1141">
        <f t="shared" si="14"/>
        <v>1321.0200000000004</v>
      </c>
      <c r="U65" s="1142"/>
      <c r="V65" s="441"/>
    </row>
    <row r="66" spans="1:22" s="400" customFormat="1" ht="28.5" x14ac:dyDescent="0.25">
      <c r="A66" s="387">
        <v>6</v>
      </c>
      <c r="B66" s="387">
        <v>21</v>
      </c>
      <c r="C66" s="387">
        <v>1</v>
      </c>
      <c r="D66" s="388"/>
      <c r="E66" s="389"/>
      <c r="F66" s="390"/>
      <c r="G66" s="402" t="s">
        <v>6</v>
      </c>
      <c r="H66" s="403">
        <v>2003644</v>
      </c>
      <c r="I66" s="404" t="s">
        <v>224</v>
      </c>
      <c r="J66" s="1114" t="s">
        <v>2967</v>
      </c>
      <c r="K66" s="404" t="str">
        <f t="shared" si="9"/>
        <v>21.1</v>
      </c>
      <c r="L66" s="405" t="s">
        <v>278</v>
      </c>
      <c r="M66" s="406" t="s">
        <v>16</v>
      </c>
      <c r="N66" s="538">
        <f>'DREN. MEM. CAL.'!J106</f>
        <v>19</v>
      </c>
      <c r="O66" s="408">
        <v>1592.24</v>
      </c>
      <c r="P66" s="410">
        <f t="shared" si="10"/>
        <v>30252.560000000001</v>
      </c>
      <c r="Q66" s="409">
        <f>IFERROR(TRUNC(IF(I66="SERVIÇO",(1+$R$3)*$O66,(1+$R$4)*$O66),2),"0,00")</f>
        <v>1921.83</v>
      </c>
      <c r="R66" s="410">
        <f>IF($V$2="OUTROS",TRUNC(N66*Q66,2),TRUNC(N66*Q66,2))</f>
        <v>36514.769999999997</v>
      </c>
      <c r="S66" s="835">
        <f t="shared" si="13"/>
        <v>2.7618058760869608E-3</v>
      </c>
      <c r="T66" s="1141">
        <f t="shared" si="14"/>
        <v>6262.2099999999955</v>
      </c>
      <c r="U66" s="1142"/>
      <c r="V66" s="441"/>
    </row>
    <row r="67" spans="1:22" s="400" customFormat="1" ht="42.75" x14ac:dyDescent="0.25">
      <c r="A67" s="387">
        <v>6</v>
      </c>
      <c r="B67" s="387">
        <v>22</v>
      </c>
      <c r="C67" s="387">
        <v>1</v>
      </c>
      <c r="D67" s="388"/>
      <c r="E67" s="389"/>
      <c r="F67" s="390"/>
      <c r="G67" s="402" t="s">
        <v>1</v>
      </c>
      <c r="H67" s="403">
        <v>100951</v>
      </c>
      <c r="I67" s="404" t="s">
        <v>224</v>
      </c>
      <c r="J67" s="1114" t="s">
        <v>2967</v>
      </c>
      <c r="K67" s="404" t="str">
        <f t="shared" si="9"/>
        <v>22.1</v>
      </c>
      <c r="L67" s="405" t="s">
        <v>279</v>
      </c>
      <c r="M67" s="406" t="s">
        <v>280</v>
      </c>
      <c r="N67" s="538">
        <f>'TRANSP. DRENAGEM'!M19</f>
        <v>6193.5499999999993</v>
      </c>
      <c r="O67" s="408">
        <v>3.12</v>
      </c>
      <c r="P67" s="410">
        <f t="shared" si="10"/>
        <v>19323.87</v>
      </c>
      <c r="Q67" s="409">
        <f t="shared" si="11"/>
        <v>3.76</v>
      </c>
      <c r="R67" s="410">
        <f t="shared" si="12"/>
        <v>23287.74</v>
      </c>
      <c r="S67" s="835">
        <f t="shared" si="13"/>
        <v>1.7613753878987974E-3</v>
      </c>
      <c r="T67" s="1141">
        <f t="shared" si="14"/>
        <v>3963.8700000000026</v>
      </c>
      <c r="U67" s="1142"/>
      <c r="V67" s="441"/>
    </row>
    <row r="68" spans="1:22" s="400" customFormat="1" ht="42.75" x14ac:dyDescent="0.25">
      <c r="A68" s="387">
        <v>6</v>
      </c>
      <c r="B68" s="387">
        <v>23</v>
      </c>
      <c r="C68" s="387">
        <v>1</v>
      </c>
      <c r="D68" s="388"/>
      <c r="E68" s="389"/>
      <c r="F68" s="390"/>
      <c r="G68" s="402" t="s">
        <v>1</v>
      </c>
      <c r="H68" s="403">
        <v>100952</v>
      </c>
      <c r="I68" s="404" t="s">
        <v>224</v>
      </c>
      <c r="J68" s="1114" t="s">
        <v>2967</v>
      </c>
      <c r="K68" s="404" t="str">
        <f t="shared" si="9"/>
        <v>23.1</v>
      </c>
      <c r="L68" s="405" t="s">
        <v>281</v>
      </c>
      <c r="M68" s="406" t="s">
        <v>280</v>
      </c>
      <c r="N68" s="538">
        <f>'TRANSP. DRENAGEM'!M34</f>
        <v>6193.5499999999993</v>
      </c>
      <c r="O68" s="408">
        <v>2.87</v>
      </c>
      <c r="P68" s="410">
        <f t="shared" si="10"/>
        <v>17775.48</v>
      </c>
      <c r="Q68" s="409">
        <f t="shared" si="11"/>
        <v>3.46</v>
      </c>
      <c r="R68" s="410">
        <f t="shared" si="12"/>
        <v>21429.68</v>
      </c>
      <c r="S68" s="835">
        <f t="shared" si="13"/>
        <v>1.620840447486407E-3</v>
      </c>
      <c r="T68" s="1141">
        <f t="shared" si="14"/>
        <v>3654.2000000000007</v>
      </c>
      <c r="U68" s="1142"/>
      <c r="V68" s="441"/>
    </row>
    <row r="69" spans="1:22" s="400" customFormat="1" ht="15.75" x14ac:dyDescent="0.25">
      <c r="A69" s="387">
        <v>7</v>
      </c>
      <c r="B69" s="387">
        <v>0</v>
      </c>
      <c r="C69" s="387" t="str">
        <f t="shared" si="1"/>
        <v/>
      </c>
      <c r="D69" s="388">
        <f t="shared" si="3"/>
        <v>1</v>
      </c>
      <c r="E69" s="389"/>
      <c r="F69" s="390"/>
      <c r="G69" s="391"/>
      <c r="H69" s="392"/>
      <c r="I69" s="393"/>
      <c r="J69" s="393"/>
      <c r="K69" s="393" t="s">
        <v>532</v>
      </c>
      <c r="L69" s="395" t="s">
        <v>282</v>
      </c>
      <c r="M69" s="396"/>
      <c r="N69" s="500"/>
      <c r="O69" s="429"/>
      <c r="P69" s="399">
        <f>SUM(P70:P77)</f>
        <v>2026900.55</v>
      </c>
      <c r="Q69" s="430"/>
      <c r="R69" s="399">
        <f>SUM(R70:R77)</f>
        <v>2443039.67</v>
      </c>
      <c r="S69" s="553">
        <f t="shared" si="13"/>
        <v>0.18478005793599547</v>
      </c>
      <c r="T69" s="1137">
        <f>SUM(T70:T77)</f>
        <v>416139.11999999988</v>
      </c>
      <c r="U69" s="1138">
        <f>SUM(U70:U77)</f>
        <v>0</v>
      </c>
    </row>
    <row r="70" spans="1:22" s="400" customFormat="1" ht="42.75" x14ac:dyDescent="0.25">
      <c r="A70" s="387">
        <v>7</v>
      </c>
      <c r="B70" s="387">
        <v>1</v>
      </c>
      <c r="C70" s="387">
        <f t="shared" si="1"/>
        <v>1</v>
      </c>
      <c r="D70" s="388" t="str">
        <f t="shared" si="3"/>
        <v/>
      </c>
      <c r="E70" s="389"/>
      <c r="F70" s="390"/>
      <c r="G70" s="402" t="s">
        <v>1</v>
      </c>
      <c r="H70" s="403">
        <v>97083</v>
      </c>
      <c r="I70" s="404" t="s">
        <v>224</v>
      </c>
      <c r="J70" s="1114" t="s">
        <v>2967</v>
      </c>
      <c r="K70" s="404" t="str">
        <f t="shared" si="9"/>
        <v>1.1</v>
      </c>
      <c r="L70" s="405" t="s">
        <v>2925</v>
      </c>
      <c r="M70" s="406" t="s">
        <v>33</v>
      </c>
      <c r="N70" s="538">
        <f>CALÇADA!I53</f>
        <v>22740.78</v>
      </c>
      <c r="O70" s="408">
        <v>3.12</v>
      </c>
      <c r="P70" s="410">
        <f t="shared" ref="P70:P77" si="15">IF($V$2="OUTROS",TRUNC(N70*O70,2),TRUNC(N70*O70,2))</f>
        <v>70951.23</v>
      </c>
      <c r="Q70" s="409">
        <f t="shared" ref="Q70:Q77" si="16">IFERROR(TRUNC(IF(I70="SERVIÇO",(1+$R$3)*$O70,(1+$R$4)*$O70),2),"0,00")</f>
        <v>3.76</v>
      </c>
      <c r="R70" s="410">
        <f t="shared" ref="R70:R77" si="17">IF($V$2="OUTROS",TRUNC(N70*Q70,2),TRUNC(N70*Q70,2))</f>
        <v>85505.33</v>
      </c>
      <c r="S70" s="835">
        <f t="shared" si="13"/>
        <v>6.4672219715680729E-3</v>
      </c>
      <c r="T70" s="1141">
        <f t="shared" ref="T70:T77" si="18">R70-P70</f>
        <v>14554.100000000006</v>
      </c>
      <c r="U70" s="1142"/>
    </row>
    <row r="71" spans="1:22" s="400" customFormat="1" ht="42.75" x14ac:dyDescent="0.25">
      <c r="A71" s="387">
        <v>7</v>
      </c>
      <c r="B71" s="387">
        <v>2</v>
      </c>
      <c r="C71" s="387">
        <f t="shared" si="1"/>
        <v>1</v>
      </c>
      <c r="D71" s="388" t="str">
        <f t="shared" si="3"/>
        <v/>
      </c>
      <c r="E71" s="389"/>
      <c r="F71" s="390"/>
      <c r="G71" s="402" t="s">
        <v>1</v>
      </c>
      <c r="H71" s="403">
        <v>94990</v>
      </c>
      <c r="I71" s="404" t="s">
        <v>224</v>
      </c>
      <c r="J71" s="1114" t="s">
        <v>2967</v>
      </c>
      <c r="K71" s="404" t="str">
        <f t="shared" si="9"/>
        <v>2.1</v>
      </c>
      <c r="L71" s="405" t="s">
        <v>2926</v>
      </c>
      <c r="M71" s="406" t="s">
        <v>259</v>
      </c>
      <c r="N71" s="538">
        <f>CALÇADA!L53</f>
        <v>1364.25</v>
      </c>
      <c r="O71" s="408">
        <v>845.92</v>
      </c>
      <c r="P71" s="410">
        <f t="shared" si="15"/>
        <v>1154046.3600000001</v>
      </c>
      <c r="Q71" s="409">
        <f t="shared" si="16"/>
        <v>1021.02</v>
      </c>
      <c r="R71" s="410">
        <f t="shared" si="17"/>
        <v>1392926.53</v>
      </c>
      <c r="S71" s="835">
        <f t="shared" si="13"/>
        <v>0.10535442714034404</v>
      </c>
      <c r="T71" s="1141">
        <f t="shared" si="18"/>
        <v>238880.16999999993</v>
      </c>
      <c r="U71" s="1142"/>
    </row>
    <row r="72" spans="1:22" s="400" customFormat="1" ht="28.5" x14ac:dyDescent="0.25">
      <c r="A72" s="387">
        <v>7</v>
      </c>
      <c r="B72" s="387">
        <v>3</v>
      </c>
      <c r="C72" s="387">
        <v>1</v>
      </c>
      <c r="D72" s="388"/>
      <c r="E72" s="389"/>
      <c r="F72" s="390"/>
      <c r="G72" s="402" t="s">
        <v>1</v>
      </c>
      <c r="H72" s="403">
        <v>97113</v>
      </c>
      <c r="I72" s="404" t="s">
        <v>224</v>
      </c>
      <c r="J72" s="1114" t="s">
        <v>2967</v>
      </c>
      <c r="K72" s="404" t="str">
        <f t="shared" si="9"/>
        <v>3.1</v>
      </c>
      <c r="L72" s="405" t="s">
        <v>2927</v>
      </c>
      <c r="M72" s="406" t="s">
        <v>33</v>
      </c>
      <c r="N72" s="538">
        <f>CALÇADA!I53</f>
        <v>22740.78</v>
      </c>
      <c r="O72" s="408">
        <v>2.2599999999999998</v>
      </c>
      <c r="P72" s="410">
        <f t="shared" si="15"/>
        <v>51394.16</v>
      </c>
      <c r="Q72" s="409">
        <f t="shared" si="16"/>
        <v>2.72</v>
      </c>
      <c r="R72" s="410">
        <f t="shared" si="17"/>
        <v>61854.92</v>
      </c>
      <c r="S72" s="835">
        <f t="shared" si="13"/>
        <v>4.6784159265110771E-3</v>
      </c>
      <c r="T72" s="1141">
        <f t="shared" si="18"/>
        <v>10460.759999999995</v>
      </c>
      <c r="U72" s="1142"/>
      <c r="V72" s="412">
        <f>R72</f>
        <v>61854.92</v>
      </c>
    </row>
    <row r="73" spans="1:22" s="400" customFormat="1" ht="28.5" x14ac:dyDescent="0.25">
      <c r="A73" s="387">
        <v>7</v>
      </c>
      <c r="B73" s="387">
        <v>4</v>
      </c>
      <c r="C73" s="387">
        <v>1</v>
      </c>
      <c r="D73" s="388"/>
      <c r="E73" s="389"/>
      <c r="F73" s="390"/>
      <c r="G73" s="402" t="s">
        <v>6</v>
      </c>
      <c r="H73" s="403">
        <v>2003850</v>
      </c>
      <c r="I73" s="404" t="s">
        <v>224</v>
      </c>
      <c r="J73" s="1114" t="s">
        <v>2967</v>
      </c>
      <c r="K73" s="404" t="str">
        <f t="shared" si="9"/>
        <v>4.1</v>
      </c>
      <c r="L73" s="405" t="s">
        <v>924</v>
      </c>
      <c r="M73" s="406" t="s">
        <v>118</v>
      </c>
      <c r="N73" s="538">
        <f>CALÇADA!N53</f>
        <v>1137.03</v>
      </c>
      <c r="O73" s="408">
        <v>156.9</v>
      </c>
      <c r="P73" s="410">
        <f t="shared" si="15"/>
        <v>178400</v>
      </c>
      <c r="Q73" s="409">
        <f t="shared" si="16"/>
        <v>189.37</v>
      </c>
      <c r="R73" s="410">
        <f t="shared" si="17"/>
        <v>215319.37</v>
      </c>
      <c r="S73" s="835">
        <f t="shared" si="13"/>
        <v>1.6285746871782088E-2</v>
      </c>
      <c r="T73" s="1141">
        <f t="shared" si="18"/>
        <v>36919.369999999995</v>
      </c>
      <c r="U73" s="1142"/>
      <c r="V73" s="412">
        <f>R73</f>
        <v>215319.37</v>
      </c>
    </row>
    <row r="74" spans="1:22" s="400" customFormat="1" ht="28.5" x14ac:dyDescent="0.25">
      <c r="A74" s="387">
        <v>7</v>
      </c>
      <c r="B74" s="387">
        <v>5</v>
      </c>
      <c r="C74" s="387">
        <f t="shared" si="1"/>
        <v>1</v>
      </c>
      <c r="D74" s="388" t="str">
        <f t="shared" si="3"/>
        <v/>
      </c>
      <c r="E74" s="389"/>
      <c r="F74" s="390"/>
      <c r="G74" s="402" t="s">
        <v>20</v>
      </c>
      <c r="H74" s="403" t="s">
        <v>64</v>
      </c>
      <c r="I74" s="404" t="s">
        <v>224</v>
      </c>
      <c r="J74" s="1114" t="s">
        <v>2967</v>
      </c>
      <c r="K74" s="404" t="str">
        <f t="shared" si="9"/>
        <v>5.1</v>
      </c>
      <c r="L74" s="433" t="s">
        <v>63</v>
      </c>
      <c r="M74" s="434" t="s">
        <v>33</v>
      </c>
      <c r="N74" s="538">
        <f>'PISO TATIL SÓ RAMPA'!G18</f>
        <v>39.600000000000009</v>
      </c>
      <c r="O74" s="442">
        <v>164.66</v>
      </c>
      <c r="P74" s="410">
        <f t="shared" si="15"/>
        <v>6520.53</v>
      </c>
      <c r="Q74" s="409">
        <f t="shared" si="16"/>
        <v>198.74</v>
      </c>
      <c r="R74" s="410">
        <f t="shared" si="17"/>
        <v>7870.1</v>
      </c>
      <c r="S74" s="835">
        <f t="shared" si="13"/>
        <v>5.9525743761748996E-4</v>
      </c>
      <c r="T74" s="1141">
        <f t="shared" si="18"/>
        <v>1349.5700000000006</v>
      </c>
      <c r="U74" s="1142"/>
    </row>
    <row r="75" spans="1:22" s="400" customFormat="1" ht="28.5" x14ac:dyDescent="0.25">
      <c r="A75" s="387">
        <v>7</v>
      </c>
      <c r="B75" s="387">
        <v>6</v>
      </c>
      <c r="C75" s="387">
        <v>1</v>
      </c>
      <c r="D75" s="388"/>
      <c r="E75" s="389"/>
      <c r="F75" s="390"/>
      <c r="G75" s="402" t="s">
        <v>1</v>
      </c>
      <c r="H75" s="403">
        <v>93595</v>
      </c>
      <c r="I75" s="404" t="s">
        <v>224</v>
      </c>
      <c r="J75" s="1114" t="s">
        <v>2967</v>
      </c>
      <c r="K75" s="404" t="str">
        <f t="shared" si="9"/>
        <v>6.1</v>
      </c>
      <c r="L75" s="433" t="s">
        <v>923</v>
      </c>
      <c r="M75" s="434" t="s">
        <v>280</v>
      </c>
      <c r="N75" s="538">
        <f>'TRANSP.PASSEIO '!K8</f>
        <v>180891.73</v>
      </c>
      <c r="O75" s="442">
        <v>1.82</v>
      </c>
      <c r="P75" s="410">
        <f t="shared" si="15"/>
        <v>329222.94</v>
      </c>
      <c r="Q75" s="409">
        <f t="shared" si="16"/>
        <v>2.19</v>
      </c>
      <c r="R75" s="410">
        <f t="shared" si="17"/>
        <v>396152.88</v>
      </c>
      <c r="S75" s="835">
        <f t="shared" si="13"/>
        <v>2.9963145100264158E-2</v>
      </c>
      <c r="T75" s="1141">
        <f t="shared" si="18"/>
        <v>66929.94</v>
      </c>
      <c r="U75" s="1142"/>
    </row>
    <row r="76" spans="1:22" s="400" customFormat="1" ht="28.5" x14ac:dyDescent="0.25">
      <c r="A76" s="387">
        <v>7</v>
      </c>
      <c r="B76" s="387">
        <v>7</v>
      </c>
      <c r="C76" s="387">
        <v>1</v>
      </c>
      <c r="D76" s="388"/>
      <c r="E76" s="389"/>
      <c r="F76" s="390"/>
      <c r="G76" s="402" t="s">
        <v>1</v>
      </c>
      <c r="H76" s="403">
        <v>95878</v>
      </c>
      <c r="I76" s="404" t="s">
        <v>224</v>
      </c>
      <c r="J76" s="1114" t="s">
        <v>2967</v>
      </c>
      <c r="K76" s="404" t="str">
        <f t="shared" si="9"/>
        <v>7.1</v>
      </c>
      <c r="L76" s="433" t="s">
        <v>926</v>
      </c>
      <c r="M76" s="434" t="s">
        <v>280</v>
      </c>
      <c r="N76" s="538">
        <f>'TRANSP.PASSEIO '!K14</f>
        <v>53724.9</v>
      </c>
      <c r="O76" s="442">
        <v>1.68</v>
      </c>
      <c r="P76" s="410">
        <f t="shared" si="15"/>
        <v>90257.83</v>
      </c>
      <c r="Q76" s="409">
        <f t="shared" si="16"/>
        <v>2.02</v>
      </c>
      <c r="R76" s="410">
        <f t="shared" si="17"/>
        <v>108524.29</v>
      </c>
      <c r="S76" s="835">
        <f t="shared" si="13"/>
        <v>8.2082681013783028E-3</v>
      </c>
      <c r="T76" s="1141">
        <f t="shared" si="18"/>
        <v>18266.459999999992</v>
      </c>
      <c r="U76" s="1142"/>
    </row>
    <row r="77" spans="1:22" s="400" customFormat="1" ht="42.75" x14ac:dyDescent="0.25">
      <c r="A77" s="387">
        <v>7</v>
      </c>
      <c r="B77" s="387">
        <v>8</v>
      </c>
      <c r="C77" s="387">
        <v>1</v>
      </c>
      <c r="D77" s="388"/>
      <c r="E77" s="389"/>
      <c r="F77" s="390"/>
      <c r="G77" s="402" t="s">
        <v>1</v>
      </c>
      <c r="H77" s="403">
        <v>93596</v>
      </c>
      <c r="I77" s="404" t="s">
        <v>224</v>
      </c>
      <c r="J77" s="1114" t="s">
        <v>2967</v>
      </c>
      <c r="K77" s="404" t="str">
        <f>IFERROR(IF(C77&lt;&gt;"",B77&amp;"."&amp;C77,""),"S/Nº")</f>
        <v>8.1</v>
      </c>
      <c r="L77" s="433" t="s">
        <v>927</v>
      </c>
      <c r="M77" s="434" t="s">
        <v>280</v>
      </c>
      <c r="N77" s="538">
        <f>'TRANSP.PASSEIO '!K20</f>
        <v>221375</v>
      </c>
      <c r="O77" s="442">
        <v>0.66</v>
      </c>
      <c r="P77" s="410">
        <f t="shared" si="15"/>
        <v>146107.5</v>
      </c>
      <c r="Q77" s="409">
        <f t="shared" si="16"/>
        <v>0.79</v>
      </c>
      <c r="R77" s="410">
        <f t="shared" si="17"/>
        <v>174886.25</v>
      </c>
      <c r="S77" s="835">
        <f t="shared" si="13"/>
        <v>1.3227575386530252E-2</v>
      </c>
      <c r="T77" s="1141">
        <f t="shared" si="18"/>
        <v>28778.75</v>
      </c>
      <c r="U77" s="1142"/>
    </row>
    <row r="78" spans="1:22" s="400" customFormat="1" ht="15.75" x14ac:dyDescent="0.25">
      <c r="A78" s="387"/>
      <c r="B78" s="387"/>
      <c r="C78" s="387"/>
      <c r="D78" s="388"/>
      <c r="E78" s="389"/>
      <c r="F78" s="390"/>
      <c r="G78" s="845"/>
      <c r="H78" s="846"/>
      <c r="I78" s="528"/>
      <c r="J78" s="1114" t="s">
        <v>2967</v>
      </c>
      <c r="K78" s="528"/>
      <c r="L78" s="847"/>
      <c r="M78" s="848"/>
      <c r="N78" s="849"/>
      <c r="O78" s="850"/>
      <c r="P78" s="850"/>
      <c r="Q78" s="851"/>
      <c r="R78" s="852"/>
      <c r="S78" s="853"/>
      <c r="T78" s="1146"/>
      <c r="U78" s="1147"/>
    </row>
    <row r="79" spans="1:22" s="400" customFormat="1" ht="15.75" x14ac:dyDescent="0.25">
      <c r="A79" s="387">
        <v>8</v>
      </c>
      <c r="B79" s="387">
        <v>0</v>
      </c>
      <c r="C79" s="387" t="str">
        <f t="shared" si="1"/>
        <v/>
      </c>
      <c r="D79" s="388">
        <v>1</v>
      </c>
      <c r="E79" s="389"/>
      <c r="F79" s="390"/>
      <c r="G79" s="413"/>
      <c r="H79" s="414"/>
      <c r="I79" s="415"/>
      <c r="J79" s="415"/>
      <c r="K79" s="415" t="s">
        <v>533</v>
      </c>
      <c r="L79" s="416" t="s">
        <v>283</v>
      </c>
      <c r="M79" s="417"/>
      <c r="N79" s="539"/>
      <c r="O79" s="436"/>
      <c r="P79" s="419">
        <f>SUM(P80:P88)</f>
        <v>271931.57999999996</v>
      </c>
      <c r="Q79" s="540"/>
      <c r="R79" s="419">
        <f>SUM(R80:R88)</f>
        <v>328203.22000000003</v>
      </c>
      <c r="S79" s="836">
        <f t="shared" si="13"/>
        <v>2.4823751636575055E-2</v>
      </c>
      <c r="T79" s="1144">
        <f>SUM(T80:T88)</f>
        <v>56271.640000000007</v>
      </c>
      <c r="U79" s="1145">
        <f>SUM(U80:U88)</f>
        <v>0</v>
      </c>
    </row>
    <row r="80" spans="1:22" s="400" customFormat="1" ht="15.75" x14ac:dyDescent="0.25">
      <c r="A80" s="387">
        <v>8</v>
      </c>
      <c r="B80" s="387">
        <v>1</v>
      </c>
      <c r="C80" s="387" t="str">
        <f t="shared" si="1"/>
        <v/>
      </c>
      <c r="D80" s="388" t="str">
        <f t="shared" si="3"/>
        <v/>
      </c>
      <c r="E80" s="389"/>
      <c r="F80" s="390"/>
      <c r="G80" s="420"/>
      <c r="H80" s="421"/>
      <c r="I80" s="422"/>
      <c r="J80" s="422"/>
      <c r="K80" s="422"/>
      <c r="L80" s="423" t="s">
        <v>284</v>
      </c>
      <c r="M80" s="424"/>
      <c r="N80" s="542"/>
      <c r="O80" s="426"/>
      <c r="P80" s="426"/>
      <c r="Q80" s="427"/>
      <c r="R80" s="398"/>
      <c r="S80" s="837"/>
      <c r="T80" s="1148"/>
      <c r="U80" s="1149"/>
    </row>
    <row r="81" spans="1:34" s="400" customFormat="1" ht="28.5" x14ac:dyDescent="0.25">
      <c r="A81" s="387">
        <v>8</v>
      </c>
      <c r="B81" s="387">
        <v>1</v>
      </c>
      <c r="C81" s="387">
        <f t="shared" ref="C81:C88" si="19">IF(I81&gt;0,1,"")</f>
        <v>1</v>
      </c>
      <c r="D81" s="388" t="str">
        <f t="shared" si="3"/>
        <v/>
      </c>
      <c r="E81" s="389"/>
      <c r="F81" s="390"/>
      <c r="G81" s="402" t="s">
        <v>6</v>
      </c>
      <c r="H81" s="403">
        <v>5213444</v>
      </c>
      <c r="I81" s="404" t="s">
        <v>224</v>
      </c>
      <c r="J81" s="1114" t="s">
        <v>2967</v>
      </c>
      <c r="K81" s="404" t="str">
        <f>IFERROR(IF(C81&lt;&gt;"",B81&amp;"."&amp;C81,""),"S/Nº")</f>
        <v>1.1</v>
      </c>
      <c r="L81" s="405" t="s">
        <v>2928</v>
      </c>
      <c r="M81" s="406" t="s">
        <v>16</v>
      </c>
      <c r="N81" s="538">
        <f>'SIN. VERTICAL'!C52</f>
        <v>89</v>
      </c>
      <c r="O81" s="408">
        <v>252.82</v>
      </c>
      <c r="P81" s="410">
        <f>IF($V$2="OUTROS",TRUNC(N81*O81,2),TRUNC(N81*O81,2))</f>
        <v>22500.98</v>
      </c>
      <c r="Q81" s="409">
        <f>IFERROR(TRUNC(IF(I81="SERVIÇO",(1+$R$3)*$O81,(1+$R$4)*$O81),2),"0,00")</f>
        <v>305.14999999999998</v>
      </c>
      <c r="R81" s="410">
        <f>IF($V$2="OUTROS",TRUNC(N81*Q81,2),TRUNC(N81*Q81,2))</f>
        <v>27158.35</v>
      </c>
      <c r="S81" s="835">
        <f>IF(R81&gt;0,R81/$R$89,0)</f>
        <v>2.0541301674589845E-3</v>
      </c>
      <c r="T81" s="1150">
        <f>R81-P81</f>
        <v>4657.369999999999</v>
      </c>
      <c r="U81" s="1151"/>
      <c r="W81" s="412"/>
    </row>
    <row r="82" spans="1:34" s="400" customFormat="1" ht="28.5" x14ac:dyDescent="0.25">
      <c r="A82" s="387">
        <v>8</v>
      </c>
      <c r="B82" s="387">
        <v>2</v>
      </c>
      <c r="C82" s="387">
        <f t="shared" si="19"/>
        <v>1</v>
      </c>
      <c r="D82" s="388" t="str">
        <f t="shared" si="3"/>
        <v/>
      </c>
      <c r="E82" s="389"/>
      <c r="F82" s="390"/>
      <c r="G82" s="402" t="s">
        <v>6</v>
      </c>
      <c r="H82" s="403">
        <v>5213440</v>
      </c>
      <c r="I82" s="404" t="s">
        <v>224</v>
      </c>
      <c r="J82" s="1114" t="s">
        <v>2967</v>
      </c>
      <c r="K82" s="404" t="str">
        <f>IFERROR(IF(C82&lt;&gt;"",B82&amp;"."&amp;C82,""),"S/Nº")</f>
        <v>2.1</v>
      </c>
      <c r="L82" s="405" t="s">
        <v>2929</v>
      </c>
      <c r="M82" s="406" t="s">
        <v>16</v>
      </c>
      <c r="N82" s="538">
        <f>'SIN. VERTICAL'!D52</f>
        <v>129</v>
      </c>
      <c r="O82" s="408">
        <v>252.76</v>
      </c>
      <c r="P82" s="410">
        <f>IF($V$2="OUTROS",TRUNC(N82*O82,2),TRUNC(N82*O82,2))</f>
        <v>32606.04</v>
      </c>
      <c r="Q82" s="409">
        <f>IFERROR(TRUNC(IF(I82="SERVIÇO",(1+$R$3)*$O82,(1+$R$4)*$O82),2),"0,00")</f>
        <v>305.08</v>
      </c>
      <c r="R82" s="410">
        <f>IF($V$2="OUTROS",TRUNC(N82*Q82,2),TRUNC(N82*Q82,2))</f>
        <v>39355.32</v>
      </c>
      <c r="S82" s="835">
        <f>IF(R82&gt;0,R82/$R$89,0)</f>
        <v>2.9766517502720869E-3</v>
      </c>
      <c r="T82" s="1141">
        <f>R82-P82</f>
        <v>6749.2799999999988</v>
      </c>
      <c r="U82" s="1142"/>
      <c r="W82" s="412"/>
    </row>
    <row r="83" spans="1:34" s="400" customFormat="1" ht="28.5" x14ac:dyDescent="0.25">
      <c r="A83" s="387">
        <v>8</v>
      </c>
      <c r="B83" s="387">
        <v>3</v>
      </c>
      <c r="C83" s="387">
        <f t="shared" si="19"/>
        <v>1</v>
      </c>
      <c r="D83" s="388" t="str">
        <f t="shared" si="3"/>
        <v/>
      </c>
      <c r="E83" s="389"/>
      <c r="F83" s="390"/>
      <c r="G83" s="402" t="s">
        <v>6</v>
      </c>
      <c r="H83" s="403">
        <v>5213464</v>
      </c>
      <c r="I83" s="404" t="s">
        <v>224</v>
      </c>
      <c r="J83" s="1114" t="s">
        <v>2967</v>
      </c>
      <c r="K83" s="404" t="str">
        <f>IFERROR(IF(C83&lt;&gt;"",B83&amp;"."&amp;C83,""),"S/Nº")</f>
        <v>3.1</v>
      </c>
      <c r="L83" s="405" t="s">
        <v>2930</v>
      </c>
      <c r="M83" s="406" t="s">
        <v>16</v>
      </c>
      <c r="N83" s="538">
        <f>'SIN. VERTICAL'!E52</f>
        <v>11</v>
      </c>
      <c r="O83" s="408">
        <v>252.8</v>
      </c>
      <c r="P83" s="410">
        <f>IF($V$2="OUTROS",TRUNC(N83*O83,2),TRUNC(N83*O83,2))</f>
        <v>2780.8</v>
      </c>
      <c r="Q83" s="409">
        <f>IFERROR(TRUNC(IF(I83="SERVIÇO",(1+$R$3)*$O83,(1+$R$4)*$O83),2),"0,00")</f>
        <v>305.12</v>
      </c>
      <c r="R83" s="410">
        <f>IF($V$2="OUTROS",TRUNC(N83*Q83,2),TRUNC(N83*Q83,2))</f>
        <v>3356.32</v>
      </c>
      <c r="S83" s="835">
        <f>IF(R83&gt;0,R83/$R$89,0)</f>
        <v>2.5385629700058879E-4</v>
      </c>
      <c r="T83" s="1141">
        <f>R83-P83</f>
        <v>575.52</v>
      </c>
      <c r="U83" s="1142"/>
    </row>
    <row r="84" spans="1:34" s="400" customFormat="1" ht="37.5" customHeight="1" x14ac:dyDescent="0.25">
      <c r="A84" s="387">
        <v>8</v>
      </c>
      <c r="B84" s="387">
        <v>4</v>
      </c>
      <c r="C84" s="387">
        <f t="shared" si="19"/>
        <v>1</v>
      </c>
      <c r="D84" s="388" t="str">
        <f t="shared" si="3"/>
        <v/>
      </c>
      <c r="E84" s="389"/>
      <c r="F84" s="390"/>
      <c r="G84" s="402" t="s">
        <v>6</v>
      </c>
      <c r="H84" s="403">
        <v>5213855</v>
      </c>
      <c r="I84" s="404" t="s">
        <v>224</v>
      </c>
      <c r="J84" s="1114" t="s">
        <v>2967</v>
      </c>
      <c r="K84" s="404" t="str">
        <f>IFERROR(IF(C84&lt;&gt;"",B84&amp;"."&amp;C84,""),"S/Nº")</f>
        <v>4.1</v>
      </c>
      <c r="L84" s="405" t="s">
        <v>2931</v>
      </c>
      <c r="M84" s="406" t="s">
        <v>16</v>
      </c>
      <c r="N84" s="538">
        <f>N81</f>
        <v>89</v>
      </c>
      <c r="O84" s="408">
        <v>405.25</v>
      </c>
      <c r="P84" s="410">
        <f>IF($V$2="OUTROS",TRUNC(N84*O84,2),TRUNC(N84*O84,2))</f>
        <v>36067.25</v>
      </c>
      <c r="Q84" s="409">
        <f>IFERROR(TRUNC(IF(I84="SERVIÇO",(1+$R$3)*$O84,(1+$R$4)*$O84),2),"0,00")</f>
        <v>489.13</v>
      </c>
      <c r="R84" s="410">
        <f>IF($V$2="OUTROS",TRUNC(N84*Q84,2),TRUNC(N84*Q84,2))</f>
        <v>43532.57</v>
      </c>
      <c r="S84" s="835">
        <f>IF(R84&gt;0,R84/$R$89,0)</f>
        <v>3.2925993406823307E-3</v>
      </c>
      <c r="T84" s="1141">
        <f>R84-P84</f>
        <v>7465.32</v>
      </c>
      <c r="U84" s="1142"/>
      <c r="X84" s="443"/>
      <c r="Y84" s="444"/>
      <c r="AA84" s="445"/>
      <c r="AB84" s="446"/>
      <c r="AC84" s="447"/>
      <c r="AD84" s="448"/>
      <c r="AE84" s="449"/>
      <c r="AF84" s="450"/>
      <c r="AG84" s="451"/>
      <c r="AH84" s="452"/>
    </row>
    <row r="85" spans="1:34" s="400" customFormat="1" ht="42.75" x14ac:dyDescent="0.25">
      <c r="A85" s="387">
        <v>8</v>
      </c>
      <c r="B85" s="387">
        <v>5</v>
      </c>
      <c r="C85" s="387">
        <f t="shared" si="19"/>
        <v>1</v>
      </c>
      <c r="D85" s="388" t="str">
        <f t="shared" si="3"/>
        <v/>
      </c>
      <c r="E85" s="389"/>
      <c r="F85" s="390"/>
      <c r="G85" s="402" t="s">
        <v>6</v>
      </c>
      <c r="H85" s="403">
        <v>5213863</v>
      </c>
      <c r="I85" s="404" t="s">
        <v>224</v>
      </c>
      <c r="J85" s="1114" t="s">
        <v>2967</v>
      </c>
      <c r="K85" s="404" t="str">
        <f>IFERROR(IF(C85&lt;&gt;"",B85&amp;"."&amp;C85,""),"S/Nº")</f>
        <v>5.1</v>
      </c>
      <c r="L85" s="405" t="s">
        <v>2932</v>
      </c>
      <c r="M85" s="406" t="s">
        <v>16</v>
      </c>
      <c r="N85" s="538">
        <f>N82+N83</f>
        <v>140</v>
      </c>
      <c r="O85" s="408">
        <v>450.62</v>
      </c>
      <c r="P85" s="410">
        <f>IF($V$2="OUTROS",TRUNC(N85*O85,2),TRUNC(N85*O85,2))</f>
        <v>63086.8</v>
      </c>
      <c r="Q85" s="409">
        <f>IFERROR(TRUNC(IF(I85="SERVIÇO",(1+$R$3)*$O85,(1+$R$4)*$O85),2),"0,00")</f>
        <v>543.89</v>
      </c>
      <c r="R85" s="410">
        <f>IF($V$2="OUTROS",TRUNC(N85*Q85,2),TRUNC(N85*Q85,2))</f>
        <v>76144.600000000006</v>
      </c>
      <c r="S85" s="835">
        <f>IF(R85&gt;0,R85/$R$89,0)</f>
        <v>5.7592202747625476E-3</v>
      </c>
      <c r="T85" s="1141">
        <f>R85-P85</f>
        <v>13057.800000000003</v>
      </c>
      <c r="U85" s="1142"/>
    </row>
    <row r="86" spans="1:34" s="400" customFormat="1" ht="15.75" x14ac:dyDescent="0.25">
      <c r="A86" s="387">
        <v>8</v>
      </c>
      <c r="B86" s="387">
        <v>6</v>
      </c>
      <c r="C86" s="387" t="str">
        <f t="shared" si="19"/>
        <v/>
      </c>
      <c r="D86" s="388" t="str">
        <f t="shared" si="3"/>
        <v/>
      </c>
      <c r="E86" s="389"/>
      <c r="F86" s="390"/>
      <c r="G86" s="391"/>
      <c r="H86" s="392"/>
      <c r="I86" s="393"/>
      <c r="J86" s="393"/>
      <c r="K86" s="393"/>
      <c r="L86" s="428" t="s">
        <v>285</v>
      </c>
      <c r="M86" s="396"/>
      <c r="N86" s="500"/>
      <c r="O86" s="429"/>
      <c r="P86" s="429"/>
      <c r="Q86" s="430"/>
      <c r="R86" s="399"/>
      <c r="S86" s="553"/>
      <c r="T86" s="1126"/>
      <c r="U86" s="1127"/>
    </row>
    <row r="87" spans="1:34" s="400" customFormat="1" ht="28.5" x14ac:dyDescent="0.25">
      <c r="A87" s="387">
        <v>8</v>
      </c>
      <c r="B87" s="387">
        <v>7</v>
      </c>
      <c r="C87" s="387">
        <f t="shared" si="19"/>
        <v>1</v>
      </c>
      <c r="D87" s="388" t="str">
        <f t="shared" si="3"/>
        <v/>
      </c>
      <c r="E87" s="389"/>
      <c r="F87" s="390"/>
      <c r="G87" s="402" t="s">
        <v>6</v>
      </c>
      <c r="H87" s="403">
        <v>5213401</v>
      </c>
      <c r="I87" s="404" t="s">
        <v>224</v>
      </c>
      <c r="J87" s="1114" t="s">
        <v>2967</v>
      </c>
      <c r="K87" s="404" t="str">
        <f>IFERROR(IF(C87&lt;&gt;"",B87&amp;"."&amp;C87,""),"S/Nº")</f>
        <v>7.1</v>
      </c>
      <c r="L87" s="405" t="s">
        <v>957</v>
      </c>
      <c r="M87" s="406" t="s">
        <v>322</v>
      </c>
      <c r="N87" s="538">
        <f>'SIN. HORIZONTAL '!I104</f>
        <v>2060.91</v>
      </c>
      <c r="O87" s="408">
        <v>42.93</v>
      </c>
      <c r="P87" s="410">
        <f>IF($V$2="OUTROS",TRUNC(N87*O87,2),TRUNC(N87*O87,2))</f>
        <v>88474.86</v>
      </c>
      <c r="Q87" s="409">
        <f>IFERROR(TRUNC(IF(I87="SERVIÇO",(1+$R$3)*$O87,(1+$R$4)*$O87),2),"0,00")</f>
        <v>51.81</v>
      </c>
      <c r="R87" s="410">
        <f>IF($V$2="OUTROS",TRUNC(N87*Q87,2),TRUNC(N87*Q87,2))</f>
        <v>106775.74</v>
      </c>
      <c r="S87" s="835">
        <f>IF(R87&gt;0,R87/$R$89,0)</f>
        <v>8.0760159835467551E-3</v>
      </c>
      <c r="T87" s="1141">
        <f>R87-P87</f>
        <v>18300.880000000005</v>
      </c>
      <c r="U87" s="1142"/>
      <c r="AG87" s="453"/>
    </row>
    <row r="88" spans="1:34" s="400" customFormat="1" ht="28.5" x14ac:dyDescent="0.25">
      <c r="A88" s="387">
        <v>8</v>
      </c>
      <c r="B88" s="387">
        <v>8</v>
      </c>
      <c r="C88" s="387">
        <f t="shared" si="19"/>
        <v>1</v>
      </c>
      <c r="D88" s="388" t="str">
        <f t="shared" si="3"/>
        <v/>
      </c>
      <c r="E88" s="389"/>
      <c r="F88" s="390"/>
      <c r="G88" s="402" t="s">
        <v>6</v>
      </c>
      <c r="H88" s="403">
        <v>5213405</v>
      </c>
      <c r="I88" s="404" t="s">
        <v>224</v>
      </c>
      <c r="J88" s="1114" t="s">
        <v>2967</v>
      </c>
      <c r="K88" s="404" t="str">
        <f>IFERROR(IF(C88&lt;&gt;"",B88&amp;"."&amp;C88,""),"S/Nº")</f>
        <v>8.1</v>
      </c>
      <c r="L88" s="405" t="s">
        <v>958</v>
      </c>
      <c r="M88" s="406" t="s">
        <v>322</v>
      </c>
      <c r="N88" s="538">
        <f>'SIN. HORIZONTAL '!I105</f>
        <v>470.35</v>
      </c>
      <c r="O88" s="408">
        <v>56.16</v>
      </c>
      <c r="P88" s="410">
        <f>IF($V$2="OUTROS",TRUNC(N88*O88,2),TRUNC(N88*O88,2))</f>
        <v>26414.85</v>
      </c>
      <c r="Q88" s="409">
        <f>IFERROR(TRUNC(IF(I88="SERVIÇO",(1+$R$3)*$O88,(1+$R$4)*$O88),2),"0,00")</f>
        <v>67.78</v>
      </c>
      <c r="R88" s="410">
        <f>IF($V$2="OUTROS",TRUNC(N88*Q88,2),TRUNC(N88*Q88,2))</f>
        <v>31880.32</v>
      </c>
      <c r="S88" s="835">
        <f>IF(R88&gt;0,R88/$R$89,0)</f>
        <v>2.4112778228517575E-3</v>
      </c>
      <c r="T88" s="1141">
        <f>R88-P88</f>
        <v>5465.4700000000012</v>
      </c>
      <c r="U88" s="1142"/>
      <c r="AG88" s="453"/>
    </row>
    <row r="89" spans="1:34" ht="30" customHeight="1" x14ac:dyDescent="0.25">
      <c r="E89" s="454"/>
      <c r="F89" s="455"/>
      <c r="G89" s="456"/>
      <c r="H89" s="457"/>
      <c r="I89" s="457"/>
      <c r="J89" s="457"/>
      <c r="K89" s="457"/>
      <c r="L89" s="458" t="s">
        <v>286</v>
      </c>
      <c r="M89" s="457"/>
      <c r="N89" s="854"/>
      <c r="O89" s="457"/>
      <c r="P89" s="459">
        <f>SUM(P8:P88)/2</f>
        <v>10593858.550000001</v>
      </c>
      <c r="Q89" s="839">
        <f>IF(P89&gt;0,P89/$P$89,0)</f>
        <v>1</v>
      </c>
      <c r="R89" s="459">
        <f>SUM(R8:R88)/2</f>
        <v>13221338.369999999</v>
      </c>
      <c r="S89" s="839">
        <f>IF(R89&gt;0,R89/$R$89,0)</f>
        <v>1</v>
      </c>
      <c r="T89" s="459">
        <f>SUM(T8:T88)/2</f>
        <v>2103196.92</v>
      </c>
      <c r="U89" s="459">
        <f>SUM(U8:U88)/2</f>
        <v>524282.9</v>
      </c>
    </row>
    <row r="90" spans="1:34" ht="15" x14ac:dyDescent="0.25">
      <c r="J90"/>
    </row>
    <row r="91" spans="1:34" ht="15" x14ac:dyDescent="0.25">
      <c r="J91"/>
      <c r="R91" s="463">
        <f>R89-P89</f>
        <v>2627479.8199999984</v>
      </c>
      <c r="U91" s="463">
        <f>T89+U89</f>
        <v>2627479.8199999998</v>
      </c>
    </row>
    <row r="92" spans="1:34" ht="15" x14ac:dyDescent="0.25">
      <c r="J92"/>
    </row>
    <row r="93" spans="1:34" ht="15" x14ac:dyDescent="0.25">
      <c r="J93"/>
      <c r="P93" s="463">
        <f>R89-P89</f>
        <v>2627479.8199999984</v>
      </c>
    </row>
    <row r="96" spans="1:34" x14ac:dyDescent="0.25">
      <c r="R96" s="463">
        <f>R89-R14-R13-R9</f>
        <v>12697055.469999999</v>
      </c>
    </row>
  </sheetData>
  <mergeCells count="20">
    <mergeCell ref="T6:T7"/>
    <mergeCell ref="U6:U7"/>
    <mergeCell ref="O1:Q1"/>
    <mergeCell ref="R1:S1"/>
    <mergeCell ref="O2:Q2"/>
    <mergeCell ref="R2:S2"/>
    <mergeCell ref="V2:V4"/>
    <mergeCell ref="O3:Q3"/>
    <mergeCell ref="R3:S3"/>
    <mergeCell ref="O4:Q4"/>
    <mergeCell ref="R4:S4"/>
    <mergeCell ref="N6:N7"/>
    <mergeCell ref="O6:S6"/>
    <mergeCell ref="G6:G7"/>
    <mergeCell ref="H6:H7"/>
    <mergeCell ref="I6:I7"/>
    <mergeCell ref="J6:J7"/>
    <mergeCell ref="L6:L7"/>
    <mergeCell ref="M6:M7"/>
    <mergeCell ref="K6:K7"/>
  </mergeCells>
  <conditionalFormatting sqref="G1:H4">
    <cfRule type="expression" dxfId="76" priority="36">
      <formula>$H1="VERIFICAR CÓDIGO"</formula>
    </cfRule>
  </conditionalFormatting>
  <conditionalFormatting sqref="G89:L89 P89:U89">
    <cfRule type="expression" dxfId="75" priority="6">
      <formula>#REF!="VERIFICAR CÓDIGO"</formula>
    </cfRule>
  </conditionalFormatting>
  <conditionalFormatting sqref="G6:S88">
    <cfRule type="expression" dxfId="74" priority="9">
      <formula>$L6="VERIFICAR CÓDIGO"</formula>
    </cfRule>
  </conditionalFormatting>
  <conditionalFormatting sqref="G5:U5 T90:U1048576">
    <cfRule type="expression" dxfId="73" priority="5">
      <formula>$L5="VERIFICAR CÓDIGO"</formula>
    </cfRule>
  </conditionalFormatting>
  <conditionalFormatting sqref="M89:O89 G90:I93 K90:S93 G94:S1048576">
    <cfRule type="expression" dxfId="72" priority="24">
      <formula>$L89="VERIFICAR CÓDIGO"</formula>
    </cfRule>
  </conditionalFormatting>
  <conditionalFormatting sqref="M1:U4">
    <cfRule type="expression" dxfId="71" priority="4">
      <formula>$H1="VERIFICAR CÓDIGO"</formula>
    </cfRule>
  </conditionalFormatting>
  <conditionalFormatting sqref="T6:U6">
    <cfRule type="expression" dxfId="70" priority="7">
      <formula>$L7="VERIFICAR CÓDIGO"</formula>
    </cfRule>
  </conditionalFormatting>
  <conditionalFormatting sqref="T8:U88">
    <cfRule type="expression" dxfId="69" priority="1">
      <formula>$L8="VERIFICAR CÓDIGO"</formula>
    </cfRule>
  </conditionalFormatting>
  <conditionalFormatting sqref="X32:AA32">
    <cfRule type="expression" dxfId="68" priority="17">
      <formula>$L32="VERIFICAR CÓDIGO"</formula>
    </cfRule>
  </conditionalFormatting>
  <conditionalFormatting sqref="X35:AA35">
    <cfRule type="expression" dxfId="67" priority="16">
      <formula>$L35="VERIFICAR CÓDIGO"</formula>
    </cfRule>
  </conditionalFormatting>
  <conditionalFormatting sqref="X39:AA39">
    <cfRule type="expression" dxfId="66" priority="15">
      <formula>$L39="VERIFICAR CÓDIGO"</formula>
    </cfRule>
  </conditionalFormatting>
  <dataValidations disablePrompts="1" count="6">
    <dataValidation type="list" allowBlank="1" showInputMessage="1" showErrorMessage="1" sqref="G72:G73 G75:G77" xr:uid="{8BD1478B-C608-4C3C-92BE-B51BD0F94C5F}">
      <formula1>$Z$3:$Z$11</formula1>
    </dataValidation>
    <dataValidation type="list" allowBlank="1" showInputMessage="1" showErrorMessage="1" sqref="V2:V4" xr:uid="{C972D330-E805-4029-A1A4-E50E9BBF5B30}">
      <formula1>#REF!</formula1>
    </dataValidation>
    <dataValidation type="list" allowBlank="1" showInputMessage="1" showErrorMessage="1" sqref="I9 I81:I85 I29:I30 I18:I21 I45:I46 I11:I13 I15:I16 I87:I88 I24:I27 I48:I68 I70:I78 I33:I34 I36:I38 I40:I42" xr:uid="{13E79371-9BA0-4A75-B559-70003A280B5D}">
      <formula1>$Z$1:$Z$2</formula1>
    </dataValidation>
    <dataValidation type="list" allowBlank="1" showInputMessage="1" showErrorMessage="1" sqref="R2:S2" xr:uid="{92DFF66C-5DBF-4C00-BCE8-066ABCCD2F01}">
      <formula1>$X$1:$X$2</formula1>
    </dataValidation>
    <dataValidation type="list" allowBlank="1" showInputMessage="1" showErrorMessage="1" sqref="G45:G46 G15:G16 G29:G30 G81:G85 G18:G21 G11:G13 G87:G88 G9 G24:G27 G48:G68 G70:G71 G74 G78 G33:G34 G36:G38 G40:G42" xr:uid="{1FC7E970-A594-4BE6-8E4F-0068BC2DBF07}">
      <formula1>$Z$3:$Z$10</formula1>
    </dataValidation>
    <dataValidation type="list" allowBlank="1" showInputMessage="1" showErrorMessage="1" sqref="T2:U2" xr:uid="{52C41D53-9226-47FC-852B-C61F7C803813}">
      <formula1>$Y$1:$Y$2</formula1>
    </dataValidation>
  </dataValidations>
  <printOptions horizontalCentered="1"/>
  <pageMargins left="0.59055118110236227" right="0.59055118110236227" top="1.7716535433070868" bottom="0.78740157480314965" header="0" footer="0"/>
  <pageSetup paperSize="9" scale="40" firstPageNumber="25" orientation="landscape" r:id="rId1"/>
  <headerFooter scaleWithDoc="0">
    <oddHeader>&amp;L&amp;G</oddHeader>
    <oddFooter>&amp;C&amp;"-,Negrito"&amp;12DIONI CAETANEO DE OLIVEIRA
&amp;"-,Regular"ENGENHEIRO CIVIL - CREA /MT 40957
DEPARTAMENTO DE ENGENHARIA</oddFooter>
  </headerFooter>
  <rowBreaks count="2" manualBreakCount="2">
    <brk id="39" min="6" max="20" man="1"/>
    <brk id="56" min="6" max="20" man="1"/>
  </rowBreaks>
  <legacyDrawingHF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D7AEB-E037-4395-9A6E-FB002225EA54}">
  <sheetPr codeName="Plan6">
    <tabColor rgb="FFC00000"/>
  </sheetPr>
  <dimension ref="A1:AJ165"/>
  <sheetViews>
    <sheetView showGridLines="0" view="pageBreakPreview" topLeftCell="N110" zoomScale="80" zoomScaleNormal="85" zoomScaleSheetLayoutView="80" zoomScalePageLayoutView="70" workbookViewId="0">
      <selection activeCell="T62" sqref="T62"/>
    </sheetView>
  </sheetViews>
  <sheetFormatPr defaultColWidth="15.5703125" defaultRowHeight="14.25" x14ac:dyDescent="0.25"/>
  <cols>
    <col min="1" max="1" width="2.5703125" style="54" bestFit="1" customWidth="1"/>
    <col min="2" max="2" width="3.85546875" style="54" bestFit="1" customWidth="1"/>
    <col min="3" max="3" width="2.5703125" style="54" customWidth="1"/>
    <col min="4" max="4" width="2.5703125" style="54" bestFit="1" customWidth="1"/>
    <col min="5" max="5" width="2.85546875" style="54" bestFit="1" customWidth="1"/>
    <col min="6" max="6" width="14.7109375" style="54" customWidth="1"/>
    <col min="7" max="7" width="15.5703125" style="460"/>
    <col min="8" max="8" width="16.5703125" style="54" customWidth="1"/>
    <col min="9" max="9" width="16.85546875" style="54" bestFit="1" customWidth="1"/>
    <col min="10" max="10" width="14" style="54" customWidth="1"/>
    <col min="11" max="11" width="74.42578125" style="54" customWidth="1"/>
    <col min="12" max="12" width="11" style="340" customWidth="1"/>
    <col min="13" max="14" width="18.28515625" style="581" bestFit="1" customWidth="1"/>
    <col min="15" max="15" width="15.5703125" style="54"/>
    <col min="16" max="16" width="15.5703125" style="462"/>
    <col min="17" max="17" width="20.7109375" style="462" bestFit="1" customWidth="1"/>
    <col min="18" max="22" width="32" style="54" customWidth="1"/>
    <col min="23" max="24" width="33.42578125" style="54" customWidth="1"/>
    <col min="25" max="25" width="21.28515625" style="54" bestFit="1" customWidth="1"/>
    <col min="26" max="16384" width="15.5703125" style="54"/>
  </cols>
  <sheetData>
    <row r="1" spans="7:35" ht="45" customHeight="1" thickBot="1" x14ac:dyDescent="0.3">
      <c r="G1" s="1" t="s">
        <v>0</v>
      </c>
      <c r="H1" s="2" t="s">
        <v>220</v>
      </c>
      <c r="I1" s="3"/>
      <c r="J1" s="369"/>
      <c r="K1" s="369"/>
      <c r="L1" s="363"/>
      <c r="M1" s="486"/>
      <c r="N1" s="487"/>
      <c r="O1" s="1424" t="s">
        <v>221</v>
      </c>
      <c r="P1" s="1425"/>
      <c r="Q1" s="488"/>
      <c r="R1" s="1428" t="s">
        <v>352</v>
      </c>
      <c r="S1" s="1157"/>
      <c r="T1" s="1157"/>
      <c r="U1" s="1157"/>
      <c r="V1" s="1157"/>
      <c r="W1" s="372"/>
      <c r="X1" s="493"/>
      <c r="Z1" s="54" t="s">
        <v>223</v>
      </c>
      <c r="AB1" s="373" t="s">
        <v>224</v>
      </c>
      <c r="AI1" s="54" t="s">
        <v>225</v>
      </c>
    </row>
    <row r="2" spans="7:35" ht="15" customHeight="1" thickTop="1" thickBot="1" x14ac:dyDescent="0.3">
      <c r="G2" s="8"/>
      <c r="H2" s="489"/>
      <c r="I2" s="10"/>
      <c r="M2" s="490"/>
      <c r="N2" s="491"/>
      <c r="O2" s="1426"/>
      <c r="P2" s="1427"/>
      <c r="Q2" s="492"/>
      <c r="R2" s="1429"/>
      <c r="S2" s="1157"/>
      <c r="T2" s="1157"/>
      <c r="U2" s="1157"/>
      <c r="V2" s="1157"/>
      <c r="W2" s="493"/>
      <c r="X2" s="493"/>
      <c r="AB2" s="7"/>
    </row>
    <row r="3" spans="7:35" ht="15" customHeight="1" thickTop="1" x14ac:dyDescent="0.25">
      <c r="G3" s="8" t="s">
        <v>2</v>
      </c>
      <c r="H3" s="9" t="s">
        <v>353</v>
      </c>
      <c r="I3" s="10"/>
      <c r="M3" s="490"/>
      <c r="N3" s="490"/>
      <c r="O3" s="1188" t="s">
        <v>227</v>
      </c>
      <c r="P3" s="1189"/>
      <c r="Q3" s="1170"/>
      <c r="R3" s="494" t="s">
        <v>229</v>
      </c>
      <c r="S3" s="1157"/>
      <c r="T3" s="1157"/>
      <c r="U3" s="1157"/>
      <c r="V3" s="1157"/>
      <c r="W3" s="1380" t="s">
        <v>228</v>
      </c>
      <c r="X3" s="1161"/>
      <c r="Z3" s="54" t="s">
        <v>229</v>
      </c>
      <c r="AB3" s="376" t="s">
        <v>230</v>
      </c>
    </row>
    <row r="4" spans="7:35" ht="15" customHeight="1" x14ac:dyDescent="0.25">
      <c r="G4" s="8" t="s">
        <v>5</v>
      </c>
      <c r="H4" s="9" t="s">
        <v>231</v>
      </c>
      <c r="I4" s="10"/>
      <c r="M4" s="490"/>
      <c r="N4" s="490"/>
      <c r="O4" s="1181" t="s">
        <v>232</v>
      </c>
      <c r="P4" s="1182"/>
      <c r="Q4" s="1171"/>
      <c r="R4" s="495">
        <v>0.20699999999999999</v>
      </c>
      <c r="S4" s="824"/>
      <c r="T4" s="824"/>
      <c r="U4" s="824"/>
      <c r="V4" s="824"/>
      <c r="W4" s="1381"/>
      <c r="X4" s="1161"/>
      <c r="AB4" s="7" t="s">
        <v>1</v>
      </c>
    </row>
    <row r="5" spans="7:35" ht="15" customHeight="1" thickBot="1" x14ac:dyDescent="0.3">
      <c r="G5" s="14" t="s">
        <v>7</v>
      </c>
      <c r="H5" s="15" t="str">
        <f ca="1">UPPER(TEXT(TODAY(),"mmmm/aaaa"))</f>
        <v>DEZEMBRO/2024</v>
      </c>
      <c r="I5" s="16"/>
      <c r="J5" s="378"/>
      <c r="K5" s="378"/>
      <c r="L5" s="379"/>
      <c r="M5" s="496"/>
      <c r="N5" s="496"/>
      <c r="O5" s="1181" t="s">
        <v>233</v>
      </c>
      <c r="P5" s="1182"/>
      <c r="Q5" s="1169"/>
      <c r="R5" s="497">
        <v>0.15</v>
      </c>
      <c r="S5" s="824"/>
      <c r="T5" s="824"/>
      <c r="U5" s="824"/>
      <c r="V5" s="824"/>
      <c r="W5" s="1382"/>
      <c r="X5" s="1161"/>
      <c r="AB5" s="13" t="s">
        <v>4</v>
      </c>
    </row>
    <row r="6" spans="7:35" ht="26.25" customHeight="1" thickTop="1" x14ac:dyDescent="0.25">
      <c r="G6" s="381"/>
      <c r="H6" s="382"/>
      <c r="I6" s="382"/>
      <c r="J6" s="382"/>
      <c r="K6" s="383" t="str">
        <f>CONCATENATE("PLANILHA ORÇAMENTÁRIA - ","AQUISIÇÃO DE MATERIAIS POR SERVIÇOS")</f>
        <v>PLANILHA ORÇAMENTÁRIA - AQUISIÇÃO DE MATERIAIS POR SERVIÇOS</v>
      </c>
      <c r="L6" s="382"/>
      <c r="M6" s="382"/>
      <c r="N6" s="382"/>
      <c r="O6" s="382"/>
      <c r="P6" s="382"/>
      <c r="Q6" s="382"/>
      <c r="R6" s="498"/>
      <c r="S6" s="1136"/>
      <c r="T6" s="1136"/>
      <c r="U6" s="1136"/>
      <c r="V6" s="1136"/>
      <c r="AB6" s="7" t="s">
        <v>6</v>
      </c>
      <c r="AI6" s="385"/>
    </row>
    <row r="7" spans="7:35" ht="18" customHeight="1" x14ac:dyDescent="0.25">
      <c r="G7" s="1374" t="s">
        <v>235</v>
      </c>
      <c r="H7" s="1383" t="s">
        <v>34</v>
      </c>
      <c r="I7" s="1383" t="s">
        <v>236</v>
      </c>
      <c r="J7" s="1383" t="s">
        <v>174</v>
      </c>
      <c r="K7" s="1383" t="s">
        <v>237</v>
      </c>
      <c r="L7" s="1374" t="s">
        <v>16</v>
      </c>
      <c r="M7" s="1421" t="s">
        <v>36</v>
      </c>
      <c r="N7" s="1413" t="s">
        <v>238</v>
      </c>
      <c r="O7" s="1383" t="s">
        <v>354</v>
      </c>
      <c r="P7" s="1383"/>
      <c r="Q7" s="1383"/>
      <c r="R7" s="1383"/>
      <c r="S7" s="1168"/>
      <c r="T7" s="1168"/>
      <c r="U7" s="1168"/>
      <c r="V7" s="1168"/>
      <c r="AB7" s="7" t="s">
        <v>8</v>
      </c>
      <c r="AI7" s="385"/>
    </row>
    <row r="8" spans="7:35" s="385" customFormat="1" ht="24" customHeight="1" x14ac:dyDescent="0.25">
      <c r="G8" s="1375"/>
      <c r="H8" s="1384"/>
      <c r="I8" s="1384"/>
      <c r="J8" s="1384"/>
      <c r="K8" s="1384"/>
      <c r="L8" s="1375"/>
      <c r="M8" s="1422"/>
      <c r="N8" s="1414"/>
      <c r="O8" s="499" t="s">
        <v>2977</v>
      </c>
      <c r="P8" s="499" t="s">
        <v>2978</v>
      </c>
      <c r="Q8" s="499" t="s">
        <v>2968</v>
      </c>
      <c r="R8" s="386" t="s">
        <v>2976</v>
      </c>
      <c r="S8" s="1164"/>
      <c r="T8" s="1164" t="s">
        <v>2972</v>
      </c>
      <c r="U8" s="1164"/>
      <c r="V8" s="1164" t="s">
        <v>2973</v>
      </c>
      <c r="W8" s="385">
        <v>283.11</v>
      </c>
      <c r="AB8" s="7" t="s">
        <v>9</v>
      </c>
      <c r="AI8" s="54"/>
    </row>
    <row r="9" spans="7:35" s="385" customFormat="1" ht="24" customHeight="1" x14ac:dyDescent="0.25">
      <c r="G9" s="391"/>
      <c r="H9" s="392"/>
      <c r="I9" s="393"/>
      <c r="J9" s="393" t="s">
        <v>355</v>
      </c>
      <c r="K9" s="395" t="s">
        <v>242</v>
      </c>
      <c r="L9" s="396"/>
      <c r="M9" s="500"/>
      <c r="N9" s="500"/>
      <c r="O9" s="429"/>
      <c r="P9" s="430"/>
      <c r="Q9" s="430"/>
      <c r="R9" s="501"/>
      <c r="S9" s="501"/>
      <c r="T9" s="501"/>
      <c r="U9" s="501"/>
      <c r="V9" s="501"/>
      <c r="Z9" s="502"/>
      <c r="AB9" s="54"/>
      <c r="AI9" s="54"/>
    </row>
    <row r="10" spans="7:35" s="385" customFormat="1" ht="39.75" customHeight="1" x14ac:dyDescent="0.25">
      <c r="G10" s="503" t="s">
        <v>1</v>
      </c>
      <c r="H10" s="504">
        <f>'ORÇAMENTO - GERAL'!H11</f>
        <v>103689</v>
      </c>
      <c r="I10" s="505" t="s">
        <v>224</v>
      </c>
      <c r="J10" s="505" t="s">
        <v>181</v>
      </c>
      <c r="K10" s="506" t="s">
        <v>32</v>
      </c>
      <c r="L10" s="507" t="s">
        <v>33</v>
      </c>
      <c r="M10" s="508"/>
      <c r="N10" s="508">
        <v>15.62</v>
      </c>
      <c r="O10" s="509"/>
      <c r="P10" s="510"/>
      <c r="Q10" s="510"/>
      <c r="R10" s="511"/>
      <c r="S10" s="511"/>
      <c r="T10" s="511"/>
      <c r="U10" s="511"/>
      <c r="V10" s="511"/>
      <c r="W10" s="502">
        <f>310.44</f>
        <v>310.44</v>
      </c>
      <c r="X10" s="580" t="e">
        <f>P10=#REF!</f>
        <v>#REF!</v>
      </c>
      <c r="Y10" s="512">
        <f>W10*N10</f>
        <v>4849.0727999999999</v>
      </c>
      <c r="Z10" s="502">
        <f>SUM(R11:R15)+Y11*N10</f>
        <v>5525.1111999999994</v>
      </c>
      <c r="AA10" s="502">
        <f>Z10-Y10</f>
        <v>676.03839999999946</v>
      </c>
      <c r="AB10" s="54">
        <v>10.52</v>
      </c>
      <c r="AC10" s="385">
        <v>13.48</v>
      </c>
      <c r="AI10" s="54"/>
    </row>
    <row r="11" spans="7:35" s="385" customFormat="1" ht="49.5" customHeight="1" x14ac:dyDescent="0.25">
      <c r="G11" s="71" t="s">
        <v>4</v>
      </c>
      <c r="H11" s="513">
        <v>7340</v>
      </c>
      <c r="I11" s="404" t="s">
        <v>356</v>
      </c>
      <c r="J11" s="404"/>
      <c r="K11" s="433" t="s">
        <v>335</v>
      </c>
      <c r="L11" s="434" t="s">
        <v>292</v>
      </c>
      <c r="M11" s="514">
        <f>0.5*0.3257</f>
        <v>0.16284999999999999</v>
      </c>
      <c r="N11" s="515">
        <f>M11*N10</f>
        <v>2.543717</v>
      </c>
      <c r="O11" s="442">
        <v>33.32</v>
      </c>
      <c r="P11" s="409">
        <f t="shared" ref="P11:P14" si="0">IFERROR(TRUNC(IF(I11="SERVIÇO",(1+$R$4)*$O11,(1+$R$5)*$O11),2),"0,00")</f>
        <v>38.31</v>
      </c>
      <c r="Q11" s="410">
        <f>IF($W$3="OUTROS",TRUNC(N11*O11,2),TRUNC(N11*O11,2))</f>
        <v>84.75</v>
      </c>
      <c r="R11" s="410">
        <f>IF($W$3="OUTROS",TRUNC(N11*P11,2),TRUNC(N11*P11,2))</f>
        <v>97.44</v>
      </c>
      <c r="S11" s="410"/>
      <c r="T11" s="410">
        <f>R11-Q11</f>
        <v>12.689999999999998</v>
      </c>
      <c r="U11" s="515">
        <f>V11/P11</f>
        <v>2.2122161315583395</v>
      </c>
      <c r="V11" s="410">
        <v>84.75</v>
      </c>
      <c r="W11" s="502">
        <f>SUM(R11:R15)</f>
        <v>4927.49</v>
      </c>
      <c r="X11" s="580" t="e">
        <f>P11=#REF!</f>
        <v>#REF!</v>
      </c>
      <c r="Y11" s="385">
        <v>38.26</v>
      </c>
      <c r="AB11" s="54">
        <v>11.57</v>
      </c>
      <c r="AC11" s="385">
        <v>8.61</v>
      </c>
      <c r="AD11" s="385">
        <f>0.3257</f>
        <v>0.32569999999999999</v>
      </c>
      <c r="AE11" s="385">
        <f>AD11*15.62</f>
        <v>5.087434</v>
      </c>
      <c r="AF11" s="385">
        <f>10.52*15.62</f>
        <v>164.32239999999999</v>
      </c>
      <c r="AI11" s="54"/>
    </row>
    <row r="12" spans="7:35" s="385" customFormat="1" ht="28.5" x14ac:dyDescent="0.25">
      <c r="G12" s="71" t="s">
        <v>4</v>
      </c>
      <c r="H12" s="513">
        <v>4813</v>
      </c>
      <c r="I12" s="404" t="s">
        <v>356</v>
      </c>
      <c r="J12" s="404"/>
      <c r="K12" s="433" t="s">
        <v>325</v>
      </c>
      <c r="L12" s="434" t="s">
        <v>326</v>
      </c>
      <c r="M12" s="514">
        <v>1</v>
      </c>
      <c r="N12" s="515">
        <f>M12*N10</f>
        <v>15.62</v>
      </c>
      <c r="O12" s="442">
        <v>250</v>
      </c>
      <c r="P12" s="409">
        <f t="shared" si="0"/>
        <v>287.5</v>
      </c>
      <c r="Q12" s="410">
        <f t="shared" ref="Q12:Q28" si="1">IF($W$3="OUTROS",TRUNC(N12*O12,2),TRUNC(N12*O12,2))</f>
        <v>3905</v>
      </c>
      <c r="R12" s="410">
        <f>IF($W$3="OUTROS",TRUNC(N12*P12,2),TRUNC(N12*P12,2))</f>
        <v>4490.75</v>
      </c>
      <c r="S12" s="410"/>
      <c r="T12" s="410">
        <f t="shared" ref="T12:T28" si="2">R12-Q12</f>
        <v>585.75</v>
      </c>
      <c r="U12" s="515">
        <f>V12/P12</f>
        <v>13.582608695652175</v>
      </c>
      <c r="V12" s="410">
        <f>Q12</f>
        <v>3905</v>
      </c>
      <c r="W12" s="502">
        <f>W11+TRUNC((Y17*N10),2)</f>
        <v>81189.64</v>
      </c>
      <c r="X12" s="580" t="e">
        <f>P12=#REF!</f>
        <v>#REF!</v>
      </c>
      <c r="Y12" s="385">
        <f>'ORÇAMENTO - ORIENTATIVO'!P8</f>
        <v>5114.42</v>
      </c>
      <c r="AB12" s="54">
        <v>22.09</v>
      </c>
      <c r="AC12" s="385">
        <f>SUM(AC10:AC11)</f>
        <v>22.09</v>
      </c>
      <c r="AF12" s="385">
        <f>11.57*15.62</f>
        <v>180.7234</v>
      </c>
      <c r="AI12" s="54"/>
    </row>
    <row r="13" spans="7:35" s="385" customFormat="1" ht="19.5" x14ac:dyDescent="0.25">
      <c r="G13" s="71" t="s">
        <v>4</v>
      </c>
      <c r="H13" s="513">
        <v>5065</v>
      </c>
      <c r="I13" s="404" t="s">
        <v>356</v>
      </c>
      <c r="J13" s="404"/>
      <c r="K13" s="433" t="s">
        <v>344</v>
      </c>
      <c r="L13" s="434" t="s">
        <v>342</v>
      </c>
      <c r="M13" s="514">
        <v>1.1299999999999999E-2</v>
      </c>
      <c r="N13" s="515">
        <f>M13*N10</f>
        <v>0.17650599999999997</v>
      </c>
      <c r="O13" s="442">
        <v>36.57</v>
      </c>
      <c r="P13" s="409">
        <f t="shared" si="0"/>
        <v>42.05</v>
      </c>
      <c r="Q13" s="410">
        <f t="shared" si="1"/>
        <v>6.45</v>
      </c>
      <c r="R13" s="410">
        <f>IF($W$3="OUTROS",TRUNC(N13*P13,2),TRUNC(N13*P13,2))</f>
        <v>7.42</v>
      </c>
      <c r="S13" s="410"/>
      <c r="T13" s="410">
        <f t="shared" si="2"/>
        <v>0.96999999999999975</v>
      </c>
      <c r="U13" s="515">
        <f>V13/P13</f>
        <v>0.15338882282996436</v>
      </c>
      <c r="V13" s="410">
        <f t="shared" ref="V13:V28" si="3">Q13</f>
        <v>6.45</v>
      </c>
      <c r="X13" s="580" t="e">
        <f>P13=#REF!</f>
        <v>#REF!</v>
      </c>
      <c r="AB13" s="54"/>
      <c r="AF13" s="385">
        <f>AF11+AF12</f>
        <v>345.04579999999999</v>
      </c>
      <c r="AG13" s="385">
        <f>AF13/15.62</f>
        <v>22.09</v>
      </c>
      <c r="AI13" s="54"/>
    </row>
    <row r="14" spans="7:35" s="385" customFormat="1" ht="24" customHeight="1" x14ac:dyDescent="0.25">
      <c r="G14" s="71" t="s">
        <v>4</v>
      </c>
      <c r="H14" s="513">
        <v>5069</v>
      </c>
      <c r="I14" s="404" t="s">
        <v>356</v>
      </c>
      <c r="J14" s="404"/>
      <c r="K14" s="433" t="s">
        <v>346</v>
      </c>
      <c r="L14" s="434" t="s">
        <v>342</v>
      </c>
      <c r="M14" s="514">
        <v>1.32E-2</v>
      </c>
      <c r="N14" s="515">
        <f>M14*N10</f>
        <v>0.20618399999999998</v>
      </c>
      <c r="O14" s="442">
        <v>19.59</v>
      </c>
      <c r="P14" s="409">
        <f t="shared" si="0"/>
        <v>22.52</v>
      </c>
      <c r="Q14" s="410">
        <f t="shared" si="1"/>
        <v>4.03</v>
      </c>
      <c r="R14" s="410">
        <f>IF($W$3="OUTROS",TRUNC(N14*P14,2),TRUNC(N14*P14,2))</f>
        <v>4.6399999999999997</v>
      </c>
      <c r="S14" s="410"/>
      <c r="T14" s="410">
        <f t="shared" si="2"/>
        <v>0.60999999999999943</v>
      </c>
      <c r="U14" s="515">
        <f>V14/P14</f>
        <v>0.17895204262877443</v>
      </c>
      <c r="V14" s="410">
        <f t="shared" si="3"/>
        <v>4.03</v>
      </c>
      <c r="X14" s="580" t="e">
        <f>P14=#REF!</f>
        <v>#REF!</v>
      </c>
      <c r="Y14" s="385">
        <v>22.09</v>
      </c>
      <c r="Z14" s="385">
        <f>Y14*0.5</f>
        <v>11.045</v>
      </c>
      <c r="AB14" s="54"/>
      <c r="AE14" s="385">
        <f>0.3257*15.62</f>
        <v>5.087434</v>
      </c>
      <c r="AF14" s="385">
        <f>AE14+AE15</f>
        <v>12.897434000000001</v>
      </c>
      <c r="AI14" s="54"/>
    </row>
    <row r="15" spans="7:35" s="385" customFormat="1" ht="28.5" x14ac:dyDescent="0.25">
      <c r="G15" s="71" t="s">
        <v>4</v>
      </c>
      <c r="H15" s="513">
        <v>4509</v>
      </c>
      <c r="I15" s="404" t="s">
        <v>356</v>
      </c>
      <c r="J15" s="404"/>
      <c r="K15" s="433" t="s">
        <v>333</v>
      </c>
      <c r="L15" s="434" t="s">
        <v>334</v>
      </c>
      <c r="M15" s="514">
        <v>3.2082999999999999</v>
      </c>
      <c r="N15" s="515">
        <f>M15*N10</f>
        <v>50.113645999999996</v>
      </c>
      <c r="O15" s="442">
        <v>5.68</v>
      </c>
      <c r="P15" s="409">
        <f t="shared" ref="P15:P24" si="4">IFERROR(TRUNC(IF(I15="SERVIÇO",(1+$R$4)*$O15,(1+$R$5)*$O15),2),"0,00")</f>
        <v>6.53</v>
      </c>
      <c r="Q15" s="410">
        <f t="shared" si="1"/>
        <v>284.64</v>
      </c>
      <c r="R15" s="410">
        <f>IF($W$3="OUTROS",TRUNC(N15*P15,2),TRUNC(N15*P15,2))</f>
        <v>327.24</v>
      </c>
      <c r="S15" s="410"/>
      <c r="T15" s="410">
        <f t="shared" si="2"/>
        <v>42.600000000000023</v>
      </c>
      <c r="U15" s="515">
        <f>V15/P15</f>
        <v>43.5895865237366</v>
      </c>
      <c r="V15" s="410">
        <f t="shared" si="3"/>
        <v>284.64</v>
      </c>
      <c r="W15" s="502">
        <f>SUM(R11:R15)</f>
        <v>4927.49</v>
      </c>
      <c r="X15" s="580" t="e">
        <f>P15=#REF!</f>
        <v>#REF!</v>
      </c>
      <c r="AB15" s="54"/>
      <c r="AE15" s="385">
        <f>0.5*15.62</f>
        <v>7.81</v>
      </c>
      <c r="AI15" s="54"/>
    </row>
    <row r="16" spans="7:35" s="385" customFormat="1" ht="42.75" x14ac:dyDescent="0.25">
      <c r="G16" s="503" t="s">
        <v>1</v>
      </c>
      <c r="H16" s="504">
        <v>103694</v>
      </c>
      <c r="I16" s="505" t="s">
        <v>224</v>
      </c>
      <c r="J16" s="505" t="s">
        <v>183</v>
      </c>
      <c r="K16" s="506" t="s">
        <v>43</v>
      </c>
      <c r="L16" s="507" t="s">
        <v>16</v>
      </c>
      <c r="M16" s="508"/>
      <c r="N16" s="508">
        <v>2</v>
      </c>
      <c r="O16" s="509"/>
      <c r="P16" s="510"/>
      <c r="Q16" s="510"/>
      <c r="R16" s="511"/>
      <c r="S16" s="511"/>
      <c r="T16" s="511"/>
      <c r="U16" s="511"/>
      <c r="V16" s="511"/>
      <c r="W16" s="385">
        <v>538.57000000000005</v>
      </c>
      <c r="X16" s="580" t="e">
        <f>P16=#REF!</f>
        <v>#REF!</v>
      </c>
      <c r="AB16" s="54"/>
      <c r="AI16" s="54"/>
    </row>
    <row r="17" spans="1:35" s="385" customFormat="1" ht="28.5" x14ac:dyDescent="0.25">
      <c r="G17" s="71" t="s">
        <v>4</v>
      </c>
      <c r="H17" s="513">
        <v>4491</v>
      </c>
      <c r="I17" s="404" t="s">
        <v>356</v>
      </c>
      <c r="J17" s="404"/>
      <c r="K17" s="433" t="s">
        <v>336</v>
      </c>
      <c r="L17" s="434" t="s">
        <v>334</v>
      </c>
      <c r="M17" s="514" t="s">
        <v>44</v>
      </c>
      <c r="N17" s="515">
        <f>M17*N16</f>
        <v>7.26</v>
      </c>
      <c r="O17" s="442">
        <v>11.2</v>
      </c>
      <c r="P17" s="409">
        <f t="shared" si="4"/>
        <v>12.88</v>
      </c>
      <c r="Q17" s="410">
        <f t="shared" si="1"/>
        <v>81.31</v>
      </c>
      <c r="R17" s="410">
        <f>IF($W$3="OUTROS",TRUNC(N17*P17,2),TRUNC(N17*P17,2))</f>
        <v>93.5</v>
      </c>
      <c r="S17" s="410"/>
      <c r="T17" s="410">
        <f t="shared" si="2"/>
        <v>12.189999999999998</v>
      </c>
      <c r="U17" s="515">
        <f>V17/P17</f>
        <v>6.3128881987577641</v>
      </c>
      <c r="V17" s="410">
        <f t="shared" si="3"/>
        <v>81.31</v>
      </c>
      <c r="W17" s="502">
        <f>W15+W16</f>
        <v>5466.0599999999995</v>
      </c>
      <c r="X17" s="580" t="e">
        <f>P17=#REF!</f>
        <v>#REF!</v>
      </c>
      <c r="Y17" s="502">
        <f>'ORÇAMENTO - ORIENTATIVO'!P9</f>
        <v>4882.34</v>
      </c>
      <c r="AB17" s="54"/>
      <c r="AI17" s="54"/>
    </row>
    <row r="18" spans="1:35" s="385" customFormat="1" ht="28.5" x14ac:dyDescent="0.25">
      <c r="G18" s="516" t="s">
        <v>1</v>
      </c>
      <c r="H18" s="517">
        <v>102197</v>
      </c>
      <c r="I18" s="518"/>
      <c r="J18" s="519"/>
      <c r="K18" s="520" t="s">
        <v>2894</v>
      </c>
      <c r="L18" s="521" t="s">
        <v>33</v>
      </c>
      <c r="M18" s="522">
        <v>0.99</v>
      </c>
      <c r="N18" s="523"/>
      <c r="O18" s="524"/>
      <c r="P18" s="525"/>
      <c r="Q18" s="525"/>
      <c r="R18" s="526"/>
      <c r="S18" s="526"/>
      <c r="T18" s="526"/>
      <c r="U18" s="526"/>
      <c r="V18" s="526"/>
      <c r="X18" s="580" t="e">
        <f>P18=#REF!</f>
        <v>#REF!</v>
      </c>
      <c r="AB18" s="54"/>
      <c r="AI18" s="54"/>
    </row>
    <row r="19" spans="1:35" s="385" customFormat="1" ht="28.5" x14ac:dyDescent="0.25">
      <c r="G19" s="71" t="s">
        <v>4</v>
      </c>
      <c r="H19" s="527">
        <v>3767</v>
      </c>
      <c r="I19" s="404" t="s">
        <v>356</v>
      </c>
      <c r="J19" s="528"/>
      <c r="K19" s="433" t="s">
        <v>348</v>
      </c>
      <c r="L19" s="434" t="s">
        <v>349</v>
      </c>
      <c r="M19" s="514">
        <v>0.39600000000000002</v>
      </c>
      <c r="N19" s="515">
        <f>M19*N16</f>
        <v>0.79200000000000004</v>
      </c>
      <c r="O19" s="442">
        <v>1.1599999999999999</v>
      </c>
      <c r="P19" s="409">
        <f t="shared" si="4"/>
        <v>1.33</v>
      </c>
      <c r="Q19" s="410">
        <f t="shared" si="1"/>
        <v>0.91</v>
      </c>
      <c r="R19" s="410">
        <f>IF($W$3="OUTROS",TRUNC(N19*P19,2),TRUNC(N19*P19,2))</f>
        <v>1.05</v>
      </c>
      <c r="S19" s="410"/>
      <c r="T19" s="410">
        <f t="shared" si="2"/>
        <v>0.14000000000000001</v>
      </c>
      <c r="U19" s="515">
        <f>V19/P19</f>
        <v>0.68421052631578949</v>
      </c>
      <c r="V19" s="410">
        <f t="shared" si="3"/>
        <v>0.91</v>
      </c>
      <c r="X19" s="580" t="e">
        <f>P19=#REF!</f>
        <v>#REF!</v>
      </c>
      <c r="AB19" s="54"/>
      <c r="AI19" s="54"/>
    </row>
    <row r="20" spans="1:35" s="385" customFormat="1" ht="19.5" x14ac:dyDescent="0.25">
      <c r="G20" s="71" t="s">
        <v>4</v>
      </c>
      <c r="H20" s="527">
        <v>5318</v>
      </c>
      <c r="I20" s="404" t="s">
        <v>356</v>
      </c>
      <c r="J20" s="528"/>
      <c r="K20" s="433" t="s">
        <v>347</v>
      </c>
      <c r="L20" s="434" t="s">
        <v>292</v>
      </c>
      <c r="M20" s="514">
        <v>2.7323999999999998E-2</v>
      </c>
      <c r="N20" s="515">
        <f>M20*N16</f>
        <v>5.4647999999999995E-2</v>
      </c>
      <c r="O20" s="442">
        <v>19.47</v>
      </c>
      <c r="P20" s="409">
        <f t="shared" si="4"/>
        <v>22.39</v>
      </c>
      <c r="Q20" s="410">
        <f t="shared" si="1"/>
        <v>1.06</v>
      </c>
      <c r="R20" s="410">
        <f>IF($W$3="OUTROS",TRUNC(N20*P20,2),TRUNC(N20*P20,2))</f>
        <v>1.22</v>
      </c>
      <c r="S20" s="410"/>
      <c r="T20" s="410">
        <f t="shared" si="2"/>
        <v>0.15999999999999992</v>
      </c>
      <c r="U20" s="515">
        <f>V20/P20</f>
        <v>4.7342563644484144E-2</v>
      </c>
      <c r="V20" s="410">
        <f t="shared" si="3"/>
        <v>1.06</v>
      </c>
      <c r="X20" s="580" t="e">
        <f>P20=#REF!</f>
        <v>#REF!</v>
      </c>
      <c r="AB20" s="54"/>
      <c r="AI20" s="54"/>
    </row>
    <row r="21" spans="1:35" s="385" customFormat="1" ht="19.5" x14ac:dyDescent="0.25">
      <c r="G21" s="71" t="s">
        <v>4</v>
      </c>
      <c r="H21" s="527">
        <v>43653</v>
      </c>
      <c r="I21" s="404" t="s">
        <v>356</v>
      </c>
      <c r="J21" s="528"/>
      <c r="K21" s="433" t="s">
        <v>339</v>
      </c>
      <c r="L21" s="434" t="s">
        <v>292</v>
      </c>
      <c r="M21" s="514">
        <v>0.49111920000000003</v>
      </c>
      <c r="N21" s="515">
        <f>M21*N16</f>
        <v>0.98223840000000007</v>
      </c>
      <c r="O21" s="442">
        <v>33.74</v>
      </c>
      <c r="P21" s="409">
        <f t="shared" si="4"/>
        <v>38.799999999999997</v>
      </c>
      <c r="Q21" s="410">
        <f t="shared" si="1"/>
        <v>33.14</v>
      </c>
      <c r="R21" s="410">
        <f>IF($W$3="OUTROS",TRUNC(N21*P21,2),TRUNC(N21*P21,2))</f>
        <v>38.11</v>
      </c>
      <c r="S21" s="410"/>
      <c r="T21" s="410">
        <f t="shared" si="2"/>
        <v>4.9699999999999989</v>
      </c>
      <c r="U21" s="515">
        <f>V21/P21</f>
        <v>0.85412371134020626</v>
      </c>
      <c r="V21" s="410">
        <f t="shared" si="3"/>
        <v>33.14</v>
      </c>
      <c r="X21" s="580" t="e">
        <f>P21=#REF!</f>
        <v>#REF!</v>
      </c>
      <c r="AB21" s="54"/>
      <c r="AI21" s="54"/>
    </row>
    <row r="22" spans="1:35" s="385" customFormat="1" ht="28.5" x14ac:dyDescent="0.25">
      <c r="G22" s="516" t="s">
        <v>1</v>
      </c>
      <c r="H22" s="529">
        <v>102218</v>
      </c>
      <c r="I22" s="518"/>
      <c r="J22" s="519"/>
      <c r="K22" s="520" t="s">
        <v>2895</v>
      </c>
      <c r="L22" s="521" t="s">
        <v>33</v>
      </c>
      <c r="M22" s="522">
        <v>0.99</v>
      </c>
      <c r="N22" s="523"/>
      <c r="O22" s="524"/>
      <c r="P22" s="525"/>
      <c r="Q22" s="525"/>
      <c r="R22" s="526"/>
      <c r="S22" s="526"/>
      <c r="T22" s="526"/>
      <c r="U22" s="526"/>
      <c r="V22" s="526"/>
      <c r="X22" s="580" t="e">
        <f>P22=#REF!</f>
        <v>#REF!</v>
      </c>
      <c r="AB22" s="54"/>
      <c r="AI22" s="54"/>
    </row>
    <row r="23" spans="1:35" s="385" customFormat="1" ht="19.5" x14ac:dyDescent="0.25">
      <c r="G23" s="71" t="s">
        <v>4</v>
      </c>
      <c r="H23" s="527">
        <v>5318</v>
      </c>
      <c r="I23" s="404" t="s">
        <v>356</v>
      </c>
      <c r="J23" s="528"/>
      <c r="K23" s="433" t="s">
        <v>347</v>
      </c>
      <c r="L23" s="434" t="s">
        <v>292</v>
      </c>
      <c r="M23" s="514">
        <v>1.2869999999999999E-2</v>
      </c>
      <c r="N23" s="515">
        <f>M23*N16</f>
        <v>2.5739999999999999E-2</v>
      </c>
      <c r="O23" s="442">
        <v>19.47</v>
      </c>
      <c r="P23" s="409">
        <f t="shared" si="4"/>
        <v>22.39</v>
      </c>
      <c r="Q23" s="410">
        <f t="shared" si="1"/>
        <v>0.5</v>
      </c>
      <c r="R23" s="410">
        <f>IF($W$3="OUTROS",TRUNC(N23*P23,2),TRUNC(N23*P23,2))</f>
        <v>0.56999999999999995</v>
      </c>
      <c r="S23" s="410"/>
      <c r="T23" s="410">
        <f t="shared" si="2"/>
        <v>6.9999999999999951E-2</v>
      </c>
      <c r="U23" s="515">
        <f>V23/P23</f>
        <v>2.2331397945511387E-2</v>
      </c>
      <c r="V23" s="410">
        <f t="shared" si="3"/>
        <v>0.5</v>
      </c>
      <c r="X23" s="580" t="e">
        <f>P23=#REF!</f>
        <v>#REF!</v>
      </c>
      <c r="AB23" s="54"/>
      <c r="AI23" s="54"/>
    </row>
    <row r="24" spans="1:35" s="385" customFormat="1" ht="19.5" x14ac:dyDescent="0.25">
      <c r="G24" s="71" t="s">
        <v>4</v>
      </c>
      <c r="H24" s="527">
        <v>7288</v>
      </c>
      <c r="I24" s="404" t="s">
        <v>356</v>
      </c>
      <c r="J24" s="528"/>
      <c r="K24" s="433" t="s">
        <v>343</v>
      </c>
      <c r="L24" s="434" t="s">
        <v>292</v>
      </c>
      <c r="M24" s="514">
        <v>0.12870000000000001</v>
      </c>
      <c r="N24" s="515">
        <f>M24*N16</f>
        <v>0.25740000000000002</v>
      </c>
      <c r="O24" s="442">
        <v>33.79</v>
      </c>
      <c r="P24" s="409">
        <f t="shared" si="4"/>
        <v>38.85</v>
      </c>
      <c r="Q24" s="410">
        <f t="shared" si="1"/>
        <v>8.69</v>
      </c>
      <c r="R24" s="410">
        <f>IF($W$3="OUTROS",TRUNC(N24*P24,2),TRUNC(N24*P24,2))</f>
        <v>9.99</v>
      </c>
      <c r="S24" s="410"/>
      <c r="T24" s="410">
        <f t="shared" si="2"/>
        <v>1.3000000000000007</v>
      </c>
      <c r="U24" s="515">
        <f>V24/P24</f>
        <v>0.22368082368082365</v>
      </c>
      <c r="V24" s="410">
        <f t="shared" si="3"/>
        <v>8.69</v>
      </c>
      <c r="X24" s="580" t="e">
        <f>P24=#REF!</f>
        <v>#REF!</v>
      </c>
      <c r="AB24" s="54"/>
      <c r="AI24" s="54"/>
    </row>
    <row r="25" spans="1:35" s="385" customFormat="1" ht="42.75" x14ac:dyDescent="0.25">
      <c r="G25" s="516" t="s">
        <v>1</v>
      </c>
      <c r="H25" s="529">
        <v>102486</v>
      </c>
      <c r="I25" s="518"/>
      <c r="J25" s="519"/>
      <c r="K25" s="520" t="s">
        <v>2896</v>
      </c>
      <c r="L25" s="521" t="s">
        <v>259</v>
      </c>
      <c r="M25" s="522">
        <v>2.24E-2</v>
      </c>
      <c r="N25" s="523"/>
      <c r="O25" s="524"/>
      <c r="P25" s="525"/>
      <c r="Q25" s="525"/>
      <c r="R25" s="526"/>
      <c r="S25" s="526"/>
      <c r="T25" s="526"/>
      <c r="U25" s="526"/>
      <c r="V25" s="526"/>
      <c r="X25" s="580" t="e">
        <f>P25=#REF!</f>
        <v>#REF!</v>
      </c>
      <c r="AB25" s="54"/>
      <c r="AI25" s="54"/>
    </row>
    <row r="26" spans="1:35" s="385" customFormat="1" ht="28.5" x14ac:dyDescent="0.25">
      <c r="G26" s="71" t="s">
        <v>4</v>
      </c>
      <c r="H26" s="527">
        <v>370</v>
      </c>
      <c r="I26" s="404" t="s">
        <v>356</v>
      </c>
      <c r="J26" s="528"/>
      <c r="K26" s="433" t="s">
        <v>345</v>
      </c>
      <c r="L26" s="434" t="s">
        <v>60</v>
      </c>
      <c r="M26" s="530">
        <v>1.8699520000000001E-2</v>
      </c>
      <c r="N26" s="515">
        <f>M26*N16</f>
        <v>3.7399040000000001E-2</v>
      </c>
      <c r="O26" s="442">
        <v>140</v>
      </c>
      <c r="P26" s="409">
        <f>IFERROR(TRUNC(IF(I26="SERVIÇO",(1+$R$4)*$O26,(1+$R$5)*$O26),2),"0,00")</f>
        <v>161</v>
      </c>
      <c r="Q26" s="410">
        <f t="shared" si="1"/>
        <v>5.23</v>
      </c>
      <c r="R26" s="410">
        <f>IF($W$3="OUTROS",TRUNC(N26*P26,2),TRUNC(N26*P26,2))</f>
        <v>6.02</v>
      </c>
      <c r="S26" s="410"/>
      <c r="T26" s="410">
        <f t="shared" si="2"/>
        <v>0.78999999999999915</v>
      </c>
      <c r="U26" s="515">
        <f>V26/P26</f>
        <v>3.248447204968944E-2</v>
      </c>
      <c r="V26" s="410">
        <f t="shared" si="3"/>
        <v>5.23</v>
      </c>
      <c r="X26" s="580" t="e">
        <f>P26=#REF!</f>
        <v>#REF!</v>
      </c>
      <c r="AB26" s="54"/>
      <c r="AI26" s="54"/>
    </row>
    <row r="27" spans="1:35" s="385" customFormat="1" ht="19.5" x14ac:dyDescent="0.25">
      <c r="G27" s="71" t="s">
        <v>4</v>
      </c>
      <c r="H27" s="527">
        <v>1379</v>
      </c>
      <c r="I27" s="404" t="s">
        <v>356</v>
      </c>
      <c r="J27" s="528"/>
      <c r="K27" s="433" t="s">
        <v>341</v>
      </c>
      <c r="L27" s="434" t="s">
        <v>342</v>
      </c>
      <c r="M27" s="530">
        <v>6.3461260799999994</v>
      </c>
      <c r="N27" s="515">
        <f>M27*N16</f>
        <v>12.692252159999999</v>
      </c>
      <c r="O27" s="442">
        <v>0.84</v>
      </c>
      <c r="P27" s="409">
        <f>IFERROR(TRUNC(IF(I27="SERVIÇO",(1+$R$4)*$O27,(1+$R$5)*$O27),2),"0,00")</f>
        <v>0.96</v>
      </c>
      <c r="Q27" s="410">
        <f t="shared" si="1"/>
        <v>10.66</v>
      </c>
      <c r="R27" s="410">
        <f>IF($W$3="OUTROS",TRUNC(N27*P27,2),TRUNC(N27*P27,2))</f>
        <v>12.18</v>
      </c>
      <c r="S27" s="410"/>
      <c r="T27" s="410">
        <f t="shared" si="2"/>
        <v>1.5199999999999996</v>
      </c>
      <c r="U27" s="515">
        <f>V27/P27</f>
        <v>11.104166666666668</v>
      </c>
      <c r="V27" s="410">
        <f t="shared" si="3"/>
        <v>10.66</v>
      </c>
      <c r="X27" s="580" t="e">
        <f>P27=#REF!</f>
        <v>#REF!</v>
      </c>
      <c r="AB27" s="54"/>
      <c r="AI27" s="54"/>
    </row>
    <row r="28" spans="1:35" s="385" customFormat="1" ht="28.5" x14ac:dyDescent="0.25">
      <c r="G28" s="71" t="s">
        <v>4</v>
      </c>
      <c r="H28" s="527">
        <v>4734</v>
      </c>
      <c r="I28" s="404" t="s">
        <v>356</v>
      </c>
      <c r="J28" s="531"/>
      <c r="K28" s="433" t="s">
        <v>340</v>
      </c>
      <c r="L28" s="434" t="s">
        <v>60</v>
      </c>
      <c r="M28" s="532">
        <v>1.3319040000000001E-2</v>
      </c>
      <c r="N28" s="533">
        <f>M28*N16</f>
        <v>2.6638080000000001E-2</v>
      </c>
      <c r="O28" s="442">
        <v>474.16</v>
      </c>
      <c r="P28" s="409">
        <f>IFERROR(TRUNC(IF(I28="SERVIÇO",(1+$R$4)*$O28,(1+$R$5)*$O28),2),"0,00")</f>
        <v>545.28</v>
      </c>
      <c r="Q28" s="410">
        <f t="shared" si="1"/>
        <v>12.63</v>
      </c>
      <c r="R28" s="410">
        <f>IF($W$3="OUTROS",TRUNC(N28*P28,2),TRUNC(N28*P28,2))</f>
        <v>14.52</v>
      </c>
      <c r="S28" s="410"/>
      <c r="T28" s="410">
        <f t="shared" si="2"/>
        <v>1.8899999999999988</v>
      </c>
      <c r="U28" s="515">
        <f>V28/P28</f>
        <v>2.3162411971830988E-2</v>
      </c>
      <c r="V28" s="410">
        <f t="shared" si="3"/>
        <v>12.63</v>
      </c>
      <c r="X28" s="580" t="e">
        <f>P28=#REF!</f>
        <v>#REF!</v>
      </c>
      <c r="AB28" s="54"/>
      <c r="AI28" s="54"/>
    </row>
    <row r="29" spans="1:35" s="400" customFormat="1" ht="19.5" x14ac:dyDescent="0.25">
      <c r="A29" s="387"/>
      <c r="B29" s="387"/>
      <c r="C29" s="387"/>
      <c r="D29" s="388"/>
      <c r="E29" s="389"/>
      <c r="F29" s="390"/>
      <c r="G29" s="391"/>
      <c r="H29" s="392"/>
      <c r="I29" s="393"/>
      <c r="J29" s="393" t="s">
        <v>189</v>
      </c>
      <c r="K29" s="395" t="s">
        <v>243</v>
      </c>
      <c r="L29" s="396"/>
      <c r="M29" s="500"/>
      <c r="N29" s="500"/>
      <c r="O29" s="429"/>
      <c r="P29" s="430"/>
      <c r="Q29" s="430"/>
      <c r="R29" s="501"/>
      <c r="S29" s="501"/>
      <c r="T29" s="501"/>
      <c r="U29" s="501"/>
      <c r="V29" s="501"/>
      <c r="W29" s="400">
        <v>23.96</v>
      </c>
      <c r="X29" s="580" t="e">
        <f>P29=#REF!</f>
        <v>#REF!</v>
      </c>
      <c r="Y29" s="400">
        <v>23.96</v>
      </c>
    </row>
    <row r="30" spans="1:35" s="400" customFormat="1" ht="28.5" x14ac:dyDescent="0.25">
      <c r="A30" s="387"/>
      <c r="B30" s="387"/>
      <c r="C30" s="387"/>
      <c r="D30" s="388"/>
      <c r="E30" s="389"/>
      <c r="F30" s="390"/>
      <c r="G30" s="503" t="s">
        <v>20</v>
      </c>
      <c r="H30" s="504" t="s">
        <v>115</v>
      </c>
      <c r="I30" s="505" t="s">
        <v>224</v>
      </c>
      <c r="J30" s="505" t="s">
        <v>191</v>
      </c>
      <c r="K30" s="534" t="s">
        <v>116</v>
      </c>
      <c r="L30" s="507" t="s">
        <v>118</v>
      </c>
      <c r="M30" s="508"/>
      <c r="N30" s="508">
        <v>21845.07</v>
      </c>
      <c r="O30" s="509"/>
      <c r="P30" s="510"/>
      <c r="Q30" s="510"/>
      <c r="R30" s="511"/>
      <c r="S30" s="511"/>
      <c r="T30" s="511"/>
      <c r="U30" s="511"/>
      <c r="V30" s="511"/>
      <c r="W30" s="400">
        <v>19.29</v>
      </c>
      <c r="X30" s="580" t="e">
        <f>P30=#REF!</f>
        <v>#REF!</v>
      </c>
      <c r="Y30" s="400">
        <v>38.58</v>
      </c>
    </row>
    <row r="31" spans="1:35" s="400" customFormat="1" ht="19.5" x14ac:dyDescent="0.25">
      <c r="A31" s="535"/>
      <c r="B31" s="535"/>
      <c r="C31" s="535"/>
      <c r="D31" s="536"/>
      <c r="E31" s="389"/>
      <c r="F31" s="390"/>
      <c r="G31" s="402" t="s">
        <v>17</v>
      </c>
      <c r="H31" s="403">
        <v>1</v>
      </c>
      <c r="I31" s="404" t="s">
        <v>356</v>
      </c>
      <c r="J31" s="404"/>
      <c r="K31" s="433" t="s">
        <v>291</v>
      </c>
      <c r="L31" s="434" t="s">
        <v>292</v>
      </c>
      <c r="M31" s="537"/>
      <c r="N31" s="538">
        <f>VLOOKUP($J30,'ORÇ. ÓLEO DIESEL'!$D:$O,12,FALSE)</f>
        <v>2013.71</v>
      </c>
      <c r="O31" s="442">
        <f>TRUNC(ANP!$E$34,2)</f>
        <v>5.99</v>
      </c>
      <c r="P31" s="409">
        <f>IFERROR(TRUNC(IF(I31="SERVIÇO",(1+$R$4)*$O31,(1+$R$5)*$O31),2),"0,00")</f>
        <v>6.88</v>
      </c>
      <c r="Q31" s="410">
        <f t="shared" ref="Q31" si="5">IF($W$3="OUTROS",TRUNC(N31*O31,2),TRUNC(N31*O31,2))</f>
        <v>12062.12</v>
      </c>
      <c r="R31" s="410">
        <f>IF($W$3="OUTROS",TRUNC(N31*P31,2),TRUNC(N31*P31,2))</f>
        <v>13854.32</v>
      </c>
      <c r="S31" s="410"/>
      <c r="T31" s="410">
        <f t="shared" ref="T31" si="6">R31-Q31</f>
        <v>1792.1999999999989</v>
      </c>
      <c r="U31" s="538">
        <f>V31/P31</f>
        <v>1753.2151162790699</v>
      </c>
      <c r="V31" s="410">
        <f t="shared" ref="V31" si="7">Q31</f>
        <v>12062.12</v>
      </c>
      <c r="X31" s="580" t="e">
        <f>P31=#REF!</f>
        <v>#REF!</v>
      </c>
      <c r="AA31" s="401" t="s">
        <v>17</v>
      </c>
    </row>
    <row r="32" spans="1:35" s="400" customFormat="1" ht="28.5" x14ac:dyDescent="0.25">
      <c r="A32" s="387"/>
      <c r="B32" s="387"/>
      <c r="C32" s="387"/>
      <c r="D32" s="388"/>
      <c r="E32" s="389"/>
      <c r="F32" s="390"/>
      <c r="G32" s="503" t="s">
        <v>1</v>
      </c>
      <c r="H32" s="504">
        <v>93592</v>
      </c>
      <c r="I32" s="505" t="s">
        <v>224</v>
      </c>
      <c r="J32" s="505" t="s">
        <v>357</v>
      </c>
      <c r="K32" s="534" t="s">
        <v>2918</v>
      </c>
      <c r="L32" s="507" t="s">
        <v>263</v>
      </c>
      <c r="M32" s="508"/>
      <c r="N32" s="508">
        <v>24568.42</v>
      </c>
      <c r="O32" s="509"/>
      <c r="P32" s="510"/>
      <c r="Q32" s="510"/>
      <c r="R32" s="511"/>
      <c r="S32" s="511"/>
      <c r="T32" s="511"/>
      <c r="U32" s="511"/>
      <c r="V32" s="511"/>
      <c r="X32" s="580" t="e">
        <f>P32=#REF!</f>
        <v>#REF!</v>
      </c>
    </row>
    <row r="33" spans="1:27" s="400" customFormat="1" ht="19.5" x14ac:dyDescent="0.25">
      <c r="A33" s="535"/>
      <c r="B33" s="535"/>
      <c r="C33" s="535"/>
      <c r="D33" s="536"/>
      <c r="E33" s="389"/>
      <c r="F33" s="390"/>
      <c r="G33" s="402" t="s">
        <v>17</v>
      </c>
      <c r="H33" s="403">
        <v>1</v>
      </c>
      <c r="I33" s="404" t="s">
        <v>356</v>
      </c>
      <c r="J33" s="404"/>
      <c r="K33" s="433" t="s">
        <v>291</v>
      </c>
      <c r="L33" s="434" t="s">
        <v>292</v>
      </c>
      <c r="M33" s="537"/>
      <c r="N33" s="538">
        <f>VLOOKUP($J32,'ORÇ. ÓLEO DIESEL'!$D:$O,12,FALSE)</f>
        <v>4706.2</v>
      </c>
      <c r="O33" s="442">
        <f>TRUNC(ANP!$E$34,2)</f>
        <v>5.99</v>
      </c>
      <c r="P33" s="409">
        <f>IFERROR(TRUNC(IF(I33="SERVIÇO",(1+$R$4)*$O33,(1+$R$5)*$O33),2),"0,00")</f>
        <v>6.88</v>
      </c>
      <c r="Q33" s="410">
        <f t="shared" ref="Q33" si="8">IF($W$3="OUTROS",TRUNC(N33*O33,2),TRUNC(N33*O33,2))</f>
        <v>28190.13</v>
      </c>
      <c r="R33" s="410">
        <f>IF($W$3="OUTROS",TRUNC(N33*P33,2),TRUNC(N33*P33,2))</f>
        <v>32378.65</v>
      </c>
      <c r="S33" s="410"/>
      <c r="T33" s="410">
        <f t="shared" ref="T33" si="9">R33-Q33</f>
        <v>4188.5200000000004</v>
      </c>
      <c r="U33" s="538">
        <f>V33/P33</f>
        <v>4097.4026162790697</v>
      </c>
      <c r="V33" s="410">
        <f t="shared" ref="V33" si="10">Q33</f>
        <v>28190.13</v>
      </c>
      <c r="X33" s="580" t="e">
        <f>P33=#REF!</f>
        <v>#REF!</v>
      </c>
      <c r="AA33" s="401" t="s">
        <v>17</v>
      </c>
    </row>
    <row r="34" spans="1:27" s="400" customFormat="1" ht="42.75" x14ac:dyDescent="0.25">
      <c r="A34" s="387"/>
      <c r="B34" s="387"/>
      <c r="C34" s="387"/>
      <c r="D34" s="388"/>
      <c r="E34" s="389"/>
      <c r="F34" s="390"/>
      <c r="G34" s="503" t="s">
        <v>1</v>
      </c>
      <c r="H34" s="504">
        <v>95876</v>
      </c>
      <c r="I34" s="505" t="s">
        <v>224</v>
      </c>
      <c r="J34" s="505" t="s">
        <v>358</v>
      </c>
      <c r="K34" s="534" t="s">
        <v>2919</v>
      </c>
      <c r="L34" s="507" t="s">
        <v>263</v>
      </c>
      <c r="M34" s="508"/>
      <c r="N34" s="508">
        <v>25828.82</v>
      </c>
      <c r="O34" s="509"/>
      <c r="P34" s="510"/>
      <c r="Q34" s="510"/>
      <c r="R34" s="511"/>
      <c r="S34" s="511"/>
      <c r="T34" s="511"/>
      <c r="U34" s="511"/>
      <c r="V34" s="511"/>
      <c r="X34" s="580" t="e">
        <f>P34=#REF!</f>
        <v>#REF!</v>
      </c>
    </row>
    <row r="35" spans="1:27" s="400" customFormat="1" ht="19.5" x14ac:dyDescent="0.25">
      <c r="A35" s="535"/>
      <c r="B35" s="535"/>
      <c r="C35" s="535"/>
      <c r="D35" s="536"/>
      <c r="E35" s="389"/>
      <c r="F35" s="390"/>
      <c r="G35" s="402" t="s">
        <v>17</v>
      </c>
      <c r="H35" s="403">
        <v>1</v>
      </c>
      <c r="I35" s="404" t="s">
        <v>356</v>
      </c>
      <c r="J35" s="404"/>
      <c r="K35" s="433" t="s">
        <v>291</v>
      </c>
      <c r="L35" s="434" t="s">
        <v>292</v>
      </c>
      <c r="M35" s="537"/>
      <c r="N35" s="538">
        <f>VLOOKUP($J34,'ORÇ. ÓLEO DIESEL'!$D:$O,12,FALSE)</f>
        <v>4490.93</v>
      </c>
      <c r="O35" s="442">
        <f>TRUNC(ANP!$E$34,2)</f>
        <v>5.99</v>
      </c>
      <c r="P35" s="409">
        <f>IFERROR(TRUNC(IF(I35="SERVIÇO",(1+$R$4)*$O35,(1+$R$5)*$O35),2),"0,00")</f>
        <v>6.88</v>
      </c>
      <c r="Q35" s="410">
        <f t="shared" ref="Q35" si="11">IF($W$3="OUTROS",TRUNC(N35*O35,2),TRUNC(N35*O35,2))</f>
        <v>26900.67</v>
      </c>
      <c r="R35" s="410">
        <f>IF($W$3="OUTROS",TRUNC(N35*P35,2),TRUNC(N35*P35,2))</f>
        <v>30897.59</v>
      </c>
      <c r="S35" s="410"/>
      <c r="T35" s="410">
        <f t="shared" ref="T35" si="12">R35-Q35</f>
        <v>3996.9200000000019</v>
      </c>
      <c r="U35" s="538">
        <f>V35/P35</f>
        <v>3909.9811046511627</v>
      </c>
      <c r="V35" s="410">
        <f t="shared" ref="V35" si="13">Q35</f>
        <v>26900.67</v>
      </c>
      <c r="X35" s="580" t="e">
        <f>P35=#REF!</f>
        <v>#REF!</v>
      </c>
      <c r="AA35" s="401" t="s">
        <v>17</v>
      </c>
    </row>
    <row r="36" spans="1:27" s="400" customFormat="1" ht="42.75" x14ac:dyDescent="0.25">
      <c r="A36" s="387"/>
      <c r="B36" s="387"/>
      <c r="C36" s="387"/>
      <c r="D36" s="388"/>
      <c r="E36" s="389"/>
      <c r="F36" s="390"/>
      <c r="G36" s="503" t="s">
        <v>1</v>
      </c>
      <c r="H36" s="504">
        <v>95876</v>
      </c>
      <c r="I36" s="505" t="s">
        <v>224</v>
      </c>
      <c r="J36" s="505" t="s">
        <v>359</v>
      </c>
      <c r="K36" s="534" t="s">
        <v>2919</v>
      </c>
      <c r="L36" s="507" t="s">
        <v>263</v>
      </c>
      <c r="M36" s="508"/>
      <c r="N36" s="508">
        <v>426.25</v>
      </c>
      <c r="O36" s="509"/>
      <c r="P36" s="510"/>
      <c r="Q36" s="510"/>
      <c r="R36" s="511"/>
      <c r="S36" s="511"/>
      <c r="T36" s="511"/>
      <c r="U36" s="511"/>
      <c r="V36" s="511"/>
      <c r="X36" s="580" t="e">
        <f>P36=#REF!</f>
        <v>#REF!</v>
      </c>
    </row>
    <row r="37" spans="1:27" s="400" customFormat="1" ht="19.5" x14ac:dyDescent="0.25">
      <c r="A37" s="535"/>
      <c r="B37" s="535"/>
      <c r="C37" s="535"/>
      <c r="D37" s="536"/>
      <c r="E37" s="389"/>
      <c r="F37" s="390"/>
      <c r="G37" s="402" t="s">
        <v>17</v>
      </c>
      <c r="H37" s="403">
        <v>1</v>
      </c>
      <c r="I37" s="404" t="s">
        <v>356</v>
      </c>
      <c r="J37" s="404"/>
      <c r="K37" s="433" t="s">
        <v>291</v>
      </c>
      <c r="L37" s="434" t="s">
        <v>292</v>
      </c>
      <c r="M37" s="537"/>
      <c r="N37" s="538">
        <f>VLOOKUP($J36,'ORÇ. ÓLEO DIESEL'!$D:$O,12,FALSE)</f>
        <v>131.30000000000001</v>
      </c>
      <c r="O37" s="442">
        <f>TRUNC(ANP!$E$34,2)</f>
        <v>5.99</v>
      </c>
      <c r="P37" s="409">
        <f>IFERROR(TRUNC(IF(I37="SERVIÇO",(1+$R$4)*$O37,(1+$R$5)*$O37),2),"0,00")</f>
        <v>6.88</v>
      </c>
      <c r="Q37" s="410">
        <f t="shared" ref="Q37" si="14">IF($W$3="OUTROS",TRUNC(N37*O37,2),TRUNC(N37*O37,2))</f>
        <v>786.48</v>
      </c>
      <c r="R37" s="410">
        <f>IF($W$3="OUTROS",TRUNC(N37*P37,2),TRUNC(N37*P37,2))</f>
        <v>903.34</v>
      </c>
      <c r="S37" s="410"/>
      <c r="T37" s="410">
        <f t="shared" ref="T37" si="15">R37-Q37</f>
        <v>116.86000000000001</v>
      </c>
      <c r="U37" s="538">
        <f>V37/P37</f>
        <v>114.31395348837209</v>
      </c>
      <c r="V37" s="410">
        <f t="shared" ref="V37" si="16">Q37</f>
        <v>786.48</v>
      </c>
      <c r="X37" s="580" t="e">
        <f>P37=#REF!</f>
        <v>#REF!</v>
      </c>
      <c r="AA37" s="401" t="s">
        <v>17</v>
      </c>
    </row>
    <row r="38" spans="1:27" s="400" customFormat="1" ht="19.5" x14ac:dyDescent="0.25">
      <c r="A38" s="387"/>
      <c r="B38" s="387"/>
      <c r="C38" s="387"/>
      <c r="D38" s="388"/>
      <c r="E38" s="389"/>
      <c r="F38" s="390"/>
      <c r="G38" s="413"/>
      <c r="H38" s="414"/>
      <c r="I38" s="415"/>
      <c r="J38" s="415" t="s">
        <v>193</v>
      </c>
      <c r="K38" s="416" t="s">
        <v>244</v>
      </c>
      <c r="L38" s="417"/>
      <c r="M38" s="539"/>
      <c r="N38" s="539"/>
      <c r="O38" s="436"/>
      <c r="P38" s="540"/>
      <c r="Q38" s="540"/>
      <c r="R38" s="541"/>
      <c r="S38" s="541"/>
      <c r="T38" s="541"/>
      <c r="U38" s="541"/>
      <c r="V38" s="541"/>
      <c r="X38" s="580" t="e">
        <f>P38=#REF!</f>
        <v>#REF!</v>
      </c>
    </row>
    <row r="39" spans="1:27" s="400" customFormat="1" ht="19.5" x14ac:dyDescent="0.25">
      <c r="A39" s="387"/>
      <c r="B39" s="387"/>
      <c r="C39" s="387"/>
      <c r="D39" s="388"/>
      <c r="E39" s="389"/>
      <c r="F39" s="390"/>
      <c r="G39" s="420"/>
      <c r="H39" s="421"/>
      <c r="I39" s="422"/>
      <c r="J39" s="422"/>
      <c r="K39" s="423" t="s">
        <v>245</v>
      </c>
      <c r="L39" s="424"/>
      <c r="M39" s="542"/>
      <c r="N39" s="542"/>
      <c r="O39" s="426"/>
      <c r="P39" s="427"/>
      <c r="Q39" s="427"/>
      <c r="R39" s="543"/>
      <c r="S39" s="543"/>
      <c r="T39" s="543"/>
      <c r="U39" s="543"/>
      <c r="V39" s="543"/>
      <c r="W39" s="412"/>
      <c r="X39" s="580" t="e">
        <f>P39=#REF!</f>
        <v>#REF!</v>
      </c>
    </row>
    <row r="40" spans="1:27" s="400" customFormat="1" ht="28.5" x14ac:dyDescent="0.25">
      <c r="A40" s="387"/>
      <c r="B40" s="387"/>
      <c r="C40" s="387"/>
      <c r="D40" s="388"/>
      <c r="E40" s="389"/>
      <c r="F40" s="390"/>
      <c r="G40" s="503" t="s">
        <v>1</v>
      </c>
      <c r="H40" s="504">
        <v>100577</v>
      </c>
      <c r="I40" s="505" t="s">
        <v>224</v>
      </c>
      <c r="J40" s="505" t="s">
        <v>195</v>
      </c>
      <c r="K40" s="534" t="s">
        <v>2921</v>
      </c>
      <c r="L40" s="507" t="s">
        <v>33</v>
      </c>
      <c r="M40" s="508"/>
      <c r="N40" s="508">
        <v>71419.360000000001</v>
      </c>
      <c r="O40" s="509"/>
      <c r="P40" s="510"/>
      <c r="Q40" s="510"/>
      <c r="R40" s="511"/>
      <c r="S40" s="511"/>
      <c r="T40" s="511"/>
      <c r="U40" s="511"/>
      <c r="V40" s="511"/>
      <c r="X40" s="580" t="e">
        <f>P40=#REF!</f>
        <v>#REF!</v>
      </c>
    </row>
    <row r="41" spans="1:27" s="400" customFormat="1" ht="19.5" x14ac:dyDescent="0.25">
      <c r="A41" s="535"/>
      <c r="B41" s="535"/>
      <c r="C41" s="535"/>
      <c r="D41" s="536"/>
      <c r="E41" s="389"/>
      <c r="F41" s="390"/>
      <c r="G41" s="402" t="s">
        <v>17</v>
      </c>
      <c r="H41" s="403">
        <v>1</v>
      </c>
      <c r="I41" s="404" t="s">
        <v>356</v>
      </c>
      <c r="J41" s="404"/>
      <c r="K41" s="433" t="s">
        <v>291</v>
      </c>
      <c r="L41" s="434" t="s">
        <v>292</v>
      </c>
      <c r="M41" s="537"/>
      <c r="N41" s="538">
        <f>VLOOKUP($J40,'ORÇ. ÓLEO DIESEL'!$D:$O,12,FALSE)</f>
        <v>3158.79</v>
      </c>
      <c r="O41" s="442">
        <f>TRUNC(ANP!$E$34,2)</f>
        <v>5.99</v>
      </c>
      <c r="P41" s="409">
        <f>IFERROR(TRUNC(IF(I41="SERVIÇO",(1+$R$4)*$O41,(1+$R$5)*$O41),2),"0,00")</f>
        <v>6.88</v>
      </c>
      <c r="Q41" s="410">
        <f t="shared" ref="Q41" si="17">IF($W$3="OUTROS",TRUNC(N41*O41,2),TRUNC(N41*O41,2))</f>
        <v>18921.150000000001</v>
      </c>
      <c r="R41" s="410">
        <f>IF($W$3="OUTROS",TRUNC(N41*P41,2),TRUNC(N41*P41,2))</f>
        <v>21732.47</v>
      </c>
      <c r="S41" s="410"/>
      <c r="T41" s="410">
        <f t="shared" ref="T41" si="18">R41-Q41</f>
        <v>2811.3199999999997</v>
      </c>
      <c r="U41" s="538">
        <f>V41/P41</f>
        <v>2750.167151162791</v>
      </c>
      <c r="V41" s="410">
        <f t="shared" ref="V41" si="19">Q41</f>
        <v>18921.150000000001</v>
      </c>
      <c r="X41" s="580" t="e">
        <f>P41=#REF!</f>
        <v>#REF!</v>
      </c>
      <c r="AA41" s="401" t="s">
        <v>17</v>
      </c>
    </row>
    <row r="42" spans="1:27" s="400" customFormat="1" ht="28.5" x14ac:dyDescent="0.25">
      <c r="A42" s="387"/>
      <c r="B42" s="387"/>
      <c r="C42" s="387"/>
      <c r="D42" s="388"/>
      <c r="E42" s="389"/>
      <c r="F42" s="390"/>
      <c r="G42" s="503" t="s">
        <v>6</v>
      </c>
      <c r="H42" s="504">
        <v>4011219</v>
      </c>
      <c r="I42" s="505" t="s">
        <v>224</v>
      </c>
      <c r="J42" s="505" t="s">
        <v>197</v>
      </c>
      <c r="K42" s="534" t="s">
        <v>807</v>
      </c>
      <c r="L42" s="507" t="s">
        <v>118</v>
      </c>
      <c r="M42" s="508"/>
      <c r="N42" s="508">
        <v>17854.830000000002</v>
      </c>
      <c r="O42" s="509"/>
      <c r="P42" s="510"/>
      <c r="Q42" s="510"/>
      <c r="R42" s="511"/>
      <c r="S42" s="511"/>
      <c r="T42" s="511"/>
      <c r="U42" s="511"/>
      <c r="V42" s="511"/>
      <c r="X42" s="580" t="e">
        <f>P42=#REF!</f>
        <v>#REF!</v>
      </c>
    </row>
    <row r="43" spans="1:27" s="400" customFormat="1" ht="19.5" x14ac:dyDescent="0.25">
      <c r="A43" s="535"/>
      <c r="B43" s="535"/>
      <c r="C43" s="535"/>
      <c r="D43" s="536"/>
      <c r="E43" s="389"/>
      <c r="F43" s="390"/>
      <c r="G43" s="402" t="s">
        <v>17</v>
      </c>
      <c r="H43" s="403">
        <v>1</v>
      </c>
      <c r="I43" s="404" t="s">
        <v>356</v>
      </c>
      <c r="J43" s="404"/>
      <c r="K43" s="433" t="s">
        <v>291</v>
      </c>
      <c r="L43" s="434" t="s">
        <v>292</v>
      </c>
      <c r="M43" s="537"/>
      <c r="N43" s="538">
        <f>VLOOKUP($J42,'ORÇ. ÓLEO DIESEL'!$D:$O,12,FALSE)</f>
        <v>8535.0299999999988</v>
      </c>
      <c r="O43" s="442">
        <f>TRUNC(ANP!$E$34,2)</f>
        <v>5.99</v>
      </c>
      <c r="P43" s="409">
        <f>IFERROR(TRUNC(IF(I43="SERVIÇO",(1+$R$4)*$O43,(1+$R$5)*$O43),2),"0,00")</f>
        <v>6.88</v>
      </c>
      <c r="Q43" s="410">
        <f t="shared" ref="Q43" si="20">IF($W$3="OUTROS",TRUNC(N43*O43,2),TRUNC(N43*O43,2))</f>
        <v>51124.82</v>
      </c>
      <c r="R43" s="410">
        <f>IF($W$3="OUTROS",TRUNC(N43*P43,2),TRUNC(N43*P43,2))</f>
        <v>58721</v>
      </c>
      <c r="S43" s="410"/>
      <c r="T43" s="410">
        <f t="shared" ref="T43" si="21">R43-Q43</f>
        <v>7596.18</v>
      </c>
      <c r="U43" s="538">
        <f>V43/P43</f>
        <v>7430.9331395348836</v>
      </c>
      <c r="V43" s="410">
        <f t="shared" ref="V43" si="22">Q43</f>
        <v>51124.82</v>
      </c>
      <c r="X43" s="580" t="e">
        <f>P43=#REF!</f>
        <v>#REF!</v>
      </c>
      <c r="AA43" s="401" t="s">
        <v>17</v>
      </c>
    </row>
    <row r="44" spans="1:27" s="400" customFormat="1" ht="19.5" x14ac:dyDescent="0.25">
      <c r="A44" s="387"/>
      <c r="B44" s="387"/>
      <c r="C44" s="387"/>
      <c r="D44" s="388"/>
      <c r="E44" s="389"/>
      <c r="F44" s="390"/>
      <c r="G44" s="503" t="s">
        <v>20</v>
      </c>
      <c r="H44" s="504" t="str">
        <f>'CPAV004-IMPRIMAÇÃO'!$A$7</f>
        <v>CPAV004</v>
      </c>
      <c r="I44" s="505" t="s">
        <v>224</v>
      </c>
      <c r="J44" s="505" t="s">
        <v>199</v>
      </c>
      <c r="K44" s="534" t="s">
        <v>49</v>
      </c>
      <c r="L44" s="507" t="s">
        <v>33</v>
      </c>
      <c r="M44" s="508"/>
      <c r="N44" s="508">
        <v>64201.630000000005</v>
      </c>
      <c r="O44" s="509"/>
      <c r="P44" s="510"/>
      <c r="Q44" s="510"/>
      <c r="R44" s="511"/>
      <c r="S44" s="511"/>
      <c r="T44" s="511"/>
      <c r="U44" s="511"/>
      <c r="V44" s="511"/>
      <c r="X44" s="580" t="e">
        <f>P44=#REF!</f>
        <v>#REF!</v>
      </c>
    </row>
    <row r="45" spans="1:27" s="400" customFormat="1" ht="19.5" x14ac:dyDescent="0.25">
      <c r="A45" s="535"/>
      <c r="B45" s="535"/>
      <c r="C45" s="535"/>
      <c r="D45" s="536"/>
      <c r="E45" s="389"/>
      <c r="F45" s="390"/>
      <c r="G45" s="402" t="s">
        <v>17</v>
      </c>
      <c r="H45" s="403">
        <v>1</v>
      </c>
      <c r="I45" s="404" t="s">
        <v>356</v>
      </c>
      <c r="J45" s="404"/>
      <c r="K45" s="433" t="s">
        <v>291</v>
      </c>
      <c r="L45" s="434" t="s">
        <v>292</v>
      </c>
      <c r="M45" s="537"/>
      <c r="N45" s="538">
        <f>VLOOKUP($J44,'ORÇ. ÓLEO DIESEL'!$D:$O,12,FALSE)</f>
        <v>2979.73</v>
      </c>
      <c r="O45" s="442">
        <f>TRUNC(ANP!$E$34,2)</f>
        <v>5.99</v>
      </c>
      <c r="P45" s="409">
        <f>IFERROR(TRUNC(IF(I45="SERVIÇO",(1+$R$4)*$O45,(1+$R$5)*$O45),2),"0,00")</f>
        <v>6.88</v>
      </c>
      <c r="Q45" s="410">
        <f t="shared" ref="Q45" si="23">IF($W$3="OUTROS",TRUNC(N45*O45,2),TRUNC(N45*O45,2))</f>
        <v>17848.580000000002</v>
      </c>
      <c r="R45" s="410">
        <f>IF($W$3="OUTROS",TRUNC(N45*P45,2),TRUNC(N45*P45,2))</f>
        <v>20500.54</v>
      </c>
      <c r="S45" s="410"/>
      <c r="T45" s="410">
        <f t="shared" ref="T45" si="24">R45-Q45</f>
        <v>2651.9599999999991</v>
      </c>
      <c r="U45" s="538">
        <f>V45/P45</f>
        <v>2594.2703488372094</v>
      </c>
      <c r="V45" s="410">
        <f t="shared" ref="V45" si="25">Q45</f>
        <v>17848.580000000002</v>
      </c>
      <c r="W45" s="400">
        <v>24.9968</v>
      </c>
      <c r="X45" s="580" t="e">
        <f>P45=#REF!</f>
        <v>#REF!</v>
      </c>
      <c r="AA45" s="401" t="s">
        <v>17</v>
      </c>
    </row>
    <row r="46" spans="1:27" s="400" customFormat="1" ht="28.5" x14ac:dyDescent="0.25">
      <c r="A46" s="387"/>
      <c r="B46" s="387"/>
      <c r="C46" s="387"/>
      <c r="D46" s="388"/>
      <c r="E46" s="389"/>
      <c r="F46" s="390"/>
      <c r="G46" s="503" t="s">
        <v>20</v>
      </c>
      <c r="H46" s="504" t="str">
        <f>'CPAV005-TSD-104389'!$A$7</f>
        <v>CPAV005-1</v>
      </c>
      <c r="I46" s="505" t="s">
        <v>224</v>
      </c>
      <c r="J46" s="505" t="s">
        <v>201</v>
      </c>
      <c r="K46" s="534" t="s">
        <v>55</v>
      </c>
      <c r="L46" s="507" t="s">
        <v>33</v>
      </c>
      <c r="M46" s="508"/>
      <c r="N46" s="508">
        <v>64201.630000000005</v>
      </c>
      <c r="O46" s="509"/>
      <c r="P46" s="510"/>
      <c r="Q46" s="510"/>
      <c r="R46" s="511"/>
      <c r="S46" s="511"/>
      <c r="T46" s="511"/>
      <c r="U46" s="511"/>
      <c r="V46" s="511"/>
      <c r="W46" s="400">
        <v>1018.25647</v>
      </c>
      <c r="X46" s="580" t="e">
        <f>P46=#REF!</f>
        <v>#REF!</v>
      </c>
    </row>
    <row r="47" spans="1:27" s="400" customFormat="1" ht="19.5" x14ac:dyDescent="0.25">
      <c r="A47" s="535"/>
      <c r="B47" s="535"/>
      <c r="C47" s="535"/>
      <c r="D47" s="536"/>
      <c r="E47" s="389"/>
      <c r="F47" s="390"/>
      <c r="G47" s="402" t="s">
        <v>17</v>
      </c>
      <c r="H47" s="403">
        <v>1</v>
      </c>
      <c r="I47" s="404" t="s">
        <v>356</v>
      </c>
      <c r="J47" s="404"/>
      <c r="K47" s="433" t="s">
        <v>291</v>
      </c>
      <c r="L47" s="544" t="s">
        <v>292</v>
      </c>
      <c r="M47" s="537"/>
      <c r="N47" s="538">
        <f>VLOOKUP($J46,'ORÇ. ÓLEO DIESEL'!$D:$O,12,FALSE)</f>
        <v>3251.0999999999995</v>
      </c>
      <c r="O47" s="442">
        <f>TRUNC(ANP!$E$34,2)</f>
        <v>5.99</v>
      </c>
      <c r="P47" s="409">
        <f>IFERROR(TRUNC(IF(I47="SERVIÇO",(1+$R$4)*$O47,(1+$R$5)*$O47),2),"0,00")</f>
        <v>6.88</v>
      </c>
      <c r="Q47" s="410">
        <f t="shared" ref="Q47:Q52" si="26">IF($W$3="OUTROS",TRUNC(N47*O47,2),TRUNC(N47*O47,2))</f>
        <v>19474.080000000002</v>
      </c>
      <c r="R47" s="410">
        <f>IF($W$3="OUTROS",TRUNC(N47*P47,2),TRUNC(N47*P47,2))</f>
        <v>22367.56</v>
      </c>
      <c r="S47" s="410"/>
      <c r="T47" s="410">
        <f t="shared" ref="T47:T52" si="27">R47-Q47</f>
        <v>2893.4799999999996</v>
      </c>
      <c r="U47" s="538">
        <f>V47/P47</f>
        <v>2830.5348837209303</v>
      </c>
      <c r="V47" s="410">
        <f t="shared" ref="V47:V49" si="28">Q47</f>
        <v>19474.080000000002</v>
      </c>
      <c r="X47" s="580" t="e">
        <f>P47=#REF!</f>
        <v>#REF!</v>
      </c>
      <c r="AA47" s="401" t="s">
        <v>17</v>
      </c>
    </row>
    <row r="48" spans="1:27" s="400" customFormat="1" ht="19.5" x14ac:dyDescent="0.25">
      <c r="A48" s="535"/>
      <c r="B48" s="535"/>
      <c r="C48" s="535"/>
      <c r="D48" s="536"/>
      <c r="E48" s="389"/>
      <c r="F48" s="390"/>
      <c r="G48" s="474" t="s">
        <v>306</v>
      </c>
      <c r="H48" s="474">
        <v>2</v>
      </c>
      <c r="I48" s="404" t="s">
        <v>356</v>
      </c>
      <c r="J48" s="531"/>
      <c r="K48" s="433" t="s">
        <v>320</v>
      </c>
      <c r="L48" s="545" t="s">
        <v>259</v>
      </c>
      <c r="M48" s="546">
        <v>7.3000000000000001E-3</v>
      </c>
      <c r="N48" s="538">
        <f>TRUNC((N46*M48),2)</f>
        <v>468.67</v>
      </c>
      <c r="O48" s="442">
        <f>COTAÇÃOBRITA!D10</f>
        <v>135</v>
      </c>
      <c r="P48" s="409">
        <f t="shared" ref="P48:P49" si="29">IFERROR(TRUNC(IF(I48="SERVIÇO",(1+$R$4)*$O48,(1+$R$5)*$O48),2),"0,00")</f>
        <v>155.25</v>
      </c>
      <c r="Q48" s="410">
        <f t="shared" si="26"/>
        <v>63270.45</v>
      </c>
      <c r="R48" s="410">
        <f>IF($W$3="OUTROS",TRUNC(N48*P48,2),TRUNC(N48*P48,2))</f>
        <v>72761.009999999995</v>
      </c>
      <c r="S48" s="410"/>
      <c r="T48" s="410">
        <f t="shared" si="27"/>
        <v>9490.5599999999977</v>
      </c>
      <c r="U48" s="538">
        <f>V48/P48</f>
        <v>407.53913043478258</v>
      </c>
      <c r="V48" s="410">
        <f t="shared" si="28"/>
        <v>63270.45</v>
      </c>
      <c r="X48" s="580" t="e">
        <f>P48=#REF!</f>
        <v>#REF!</v>
      </c>
    </row>
    <row r="49" spans="1:27" s="400" customFormat="1" ht="19.5" x14ac:dyDescent="0.25">
      <c r="A49" s="535"/>
      <c r="B49" s="535"/>
      <c r="C49" s="535"/>
      <c r="D49" s="536"/>
      <c r="E49" s="389"/>
      <c r="F49" s="390"/>
      <c r="G49" s="474" t="s">
        <v>307</v>
      </c>
      <c r="H49" s="474">
        <v>3</v>
      </c>
      <c r="I49" s="404" t="s">
        <v>356</v>
      </c>
      <c r="J49" s="531"/>
      <c r="K49" s="433" t="s">
        <v>316</v>
      </c>
      <c r="L49" s="545" t="s">
        <v>259</v>
      </c>
      <c r="M49" s="546">
        <v>1.4999999999999999E-2</v>
      </c>
      <c r="N49" s="538">
        <f>TRUNC((M49*N46),2)</f>
        <v>963.02</v>
      </c>
      <c r="O49" s="547">
        <f>COTAÇÃOBRITA!D15</f>
        <v>135</v>
      </c>
      <c r="P49" s="409">
        <f t="shared" si="29"/>
        <v>155.25</v>
      </c>
      <c r="Q49" s="410">
        <f t="shared" si="26"/>
        <v>130007.7</v>
      </c>
      <c r="R49" s="410">
        <f>IF($W$3="OUTROS",TRUNC(N49*P49,2),TRUNC(N49*P49,2))</f>
        <v>149508.85</v>
      </c>
      <c r="S49" s="410"/>
      <c r="T49" s="410">
        <f t="shared" si="27"/>
        <v>19501.150000000009</v>
      </c>
      <c r="U49" s="538">
        <f>V49/P49</f>
        <v>837.40869565217395</v>
      </c>
      <c r="V49" s="410">
        <f t="shared" si="28"/>
        <v>130007.7</v>
      </c>
      <c r="X49" s="580" t="e">
        <f>P49=#REF!</f>
        <v>#REF!</v>
      </c>
    </row>
    <row r="50" spans="1:27" s="400" customFormat="1" ht="19.5" x14ac:dyDescent="0.25">
      <c r="A50" s="387"/>
      <c r="B50" s="387"/>
      <c r="C50" s="387"/>
      <c r="D50" s="388"/>
      <c r="E50" s="389"/>
      <c r="F50" s="390"/>
      <c r="G50" s="391"/>
      <c r="H50" s="392"/>
      <c r="I50" s="393"/>
      <c r="J50" s="393"/>
      <c r="K50" s="428" t="s">
        <v>246</v>
      </c>
      <c r="L50" s="396"/>
      <c r="M50" s="500"/>
      <c r="N50" s="500"/>
      <c r="O50" s="429"/>
      <c r="P50" s="430"/>
      <c r="Q50" s="430"/>
      <c r="R50" s="501"/>
      <c r="S50" s="501"/>
      <c r="T50" s="501"/>
      <c r="U50" s="501"/>
      <c r="V50" s="501"/>
      <c r="X50" s="580" t="e">
        <f>P50=#REF!</f>
        <v>#REF!</v>
      </c>
    </row>
    <row r="51" spans="1:27" s="400" customFormat="1" ht="19.5" x14ac:dyDescent="0.25">
      <c r="A51" s="387"/>
      <c r="B51" s="387"/>
      <c r="C51" s="387"/>
      <c r="D51" s="388"/>
      <c r="E51" s="389"/>
      <c r="F51" s="390"/>
      <c r="G51" s="503" t="s">
        <v>17</v>
      </c>
      <c r="H51" s="504"/>
      <c r="I51" s="505" t="s">
        <v>230</v>
      </c>
      <c r="J51" s="505" t="s">
        <v>360</v>
      </c>
      <c r="K51" s="534" t="str">
        <f>ANP!B7</f>
        <v>ASFALTOS DILUÍDOS CM-30</v>
      </c>
      <c r="L51" s="507" t="s">
        <v>247</v>
      </c>
      <c r="M51" s="548"/>
      <c r="N51" s="549">
        <v>77.03</v>
      </c>
      <c r="O51" s="550">
        <f>TRUNC(ANP!E7*1000,2)</f>
        <v>5306.62</v>
      </c>
      <c r="P51" s="510">
        <f>IFERROR(TRUNC(IF(I51="SERVIÇO",(1+$R$4)*$O51,(1+$R$5)*$O51),2),"0,00")</f>
        <v>6102.61</v>
      </c>
      <c r="Q51" s="511">
        <f t="shared" si="26"/>
        <v>408768.93</v>
      </c>
      <c r="R51" s="511">
        <f>IF($W$3="OUTROS",TRUNC(N51*P51,2),TRUNC(N51*P51,2))</f>
        <v>470084.04</v>
      </c>
      <c r="S51" s="511"/>
      <c r="T51" s="511">
        <f t="shared" si="27"/>
        <v>61315.109999999986</v>
      </c>
      <c r="U51" s="511"/>
      <c r="V51" s="410">
        <f t="shared" ref="V51:V52" si="30">Q51</f>
        <v>408768.93</v>
      </c>
      <c r="X51" s="580" t="e">
        <f>P51=#REF!</f>
        <v>#REF!</v>
      </c>
    </row>
    <row r="52" spans="1:27" s="400" customFormat="1" ht="19.5" x14ac:dyDescent="0.25">
      <c r="A52" s="387"/>
      <c r="B52" s="387"/>
      <c r="C52" s="387"/>
      <c r="D52" s="388"/>
      <c r="E52" s="389"/>
      <c r="F52" s="390"/>
      <c r="G52" s="503" t="s">
        <v>17</v>
      </c>
      <c r="H52" s="504"/>
      <c r="I52" s="505" t="s">
        <v>230</v>
      </c>
      <c r="J52" s="505" t="s">
        <v>361</v>
      </c>
      <c r="K52" s="506" t="str">
        <f>ANP!B33</f>
        <v>EMULSÕES ASFÁLTICAS RR-2C</v>
      </c>
      <c r="L52" s="551" t="s">
        <v>247</v>
      </c>
      <c r="M52" s="508"/>
      <c r="N52" s="508">
        <v>224.7</v>
      </c>
      <c r="O52" s="552">
        <f>TRUNC(ANP!E33*1000,2)</f>
        <v>3527.83</v>
      </c>
      <c r="P52" s="510">
        <f>IFERROR(TRUNC(IF(I52="SERVIÇO",(1+$R$4)*$O52,(1+$R$5)*$O52),2),"0,00")</f>
        <v>4057</v>
      </c>
      <c r="Q52" s="511">
        <f t="shared" si="26"/>
        <v>792703.4</v>
      </c>
      <c r="R52" s="511">
        <f>IF($W$3="OUTROS",TRUNC(N52*P52,2),TRUNC(N52*P52,2))</f>
        <v>911607.9</v>
      </c>
      <c r="S52" s="511"/>
      <c r="T52" s="511">
        <f t="shared" si="27"/>
        <v>118904.5</v>
      </c>
      <c r="U52" s="511"/>
      <c r="V52" s="410">
        <f t="shared" si="30"/>
        <v>792703.4</v>
      </c>
      <c r="X52" s="580" t="e">
        <f>P52=#REF!</f>
        <v>#REF!</v>
      </c>
    </row>
    <row r="53" spans="1:27" s="400" customFormat="1" ht="19.5" x14ac:dyDescent="0.25">
      <c r="A53" s="387"/>
      <c r="B53" s="387"/>
      <c r="C53" s="387"/>
      <c r="D53" s="388"/>
      <c r="E53" s="389"/>
      <c r="F53" s="390"/>
      <c r="G53" s="391"/>
      <c r="H53" s="392"/>
      <c r="I53" s="393"/>
      <c r="J53" s="393"/>
      <c r="K53" s="428" t="s">
        <v>248</v>
      </c>
      <c r="L53" s="396"/>
      <c r="M53" s="500"/>
      <c r="N53" s="500"/>
      <c r="O53" s="429"/>
      <c r="P53" s="430"/>
      <c r="Q53" s="430"/>
      <c r="R53" s="501"/>
      <c r="S53" s="501"/>
      <c r="T53" s="501"/>
      <c r="U53" s="501"/>
      <c r="V53" s="501"/>
      <c r="X53" s="580" t="e">
        <f>P53=#REF!</f>
        <v>#REF!</v>
      </c>
    </row>
    <row r="54" spans="1:27" s="400" customFormat="1" ht="19.5" x14ac:dyDescent="0.25">
      <c r="A54" s="387"/>
      <c r="B54" s="387"/>
      <c r="C54" s="387"/>
      <c r="D54" s="388"/>
      <c r="E54" s="389"/>
      <c r="F54" s="390"/>
      <c r="G54" s="391"/>
      <c r="H54" s="392"/>
      <c r="I54" s="393"/>
      <c r="J54" s="393"/>
      <c r="K54" s="414" t="s">
        <v>249</v>
      </c>
      <c r="L54" s="417"/>
      <c r="M54" s="397"/>
      <c r="N54" s="436"/>
      <c r="O54" s="430"/>
      <c r="P54" s="399"/>
      <c r="Q54" s="399"/>
      <c r="R54" s="553"/>
      <c r="S54" s="553"/>
      <c r="T54" s="553"/>
      <c r="U54" s="553"/>
      <c r="V54" s="553"/>
      <c r="X54" s="580" t="e">
        <f>P54=#REF!</f>
        <v>#REF!</v>
      </c>
    </row>
    <row r="55" spans="1:27" s="400" customFormat="1" ht="28.5" x14ac:dyDescent="0.25">
      <c r="A55" s="387"/>
      <c r="B55" s="387"/>
      <c r="C55" s="387"/>
      <c r="D55" s="388"/>
      <c r="E55" s="389"/>
      <c r="F55" s="390"/>
      <c r="G55" s="503" t="s">
        <v>1</v>
      </c>
      <c r="H55" s="504">
        <v>93589</v>
      </c>
      <c r="I55" s="505" t="s">
        <v>224</v>
      </c>
      <c r="J55" s="505" t="s">
        <v>362</v>
      </c>
      <c r="K55" s="534" t="s">
        <v>262</v>
      </c>
      <c r="L55" s="507" t="s">
        <v>263</v>
      </c>
      <c r="M55" s="508"/>
      <c r="N55" s="508">
        <v>147837.88</v>
      </c>
      <c r="O55" s="509"/>
      <c r="P55" s="510"/>
      <c r="Q55" s="510"/>
      <c r="R55" s="511"/>
      <c r="S55" s="511"/>
      <c r="T55" s="511"/>
      <c r="U55" s="511"/>
      <c r="V55" s="511"/>
      <c r="X55" s="580" t="e">
        <f>P55=#REF!</f>
        <v>#REF!</v>
      </c>
    </row>
    <row r="56" spans="1:27" s="400" customFormat="1" ht="19.5" x14ac:dyDescent="0.25">
      <c r="A56" s="535"/>
      <c r="B56" s="535"/>
      <c r="C56" s="535"/>
      <c r="D56" s="536"/>
      <c r="E56" s="389"/>
      <c r="F56" s="390"/>
      <c r="G56" s="402" t="s">
        <v>17</v>
      </c>
      <c r="H56" s="403">
        <v>1</v>
      </c>
      <c r="I56" s="404" t="s">
        <v>356</v>
      </c>
      <c r="J56" s="404"/>
      <c r="K56" s="433" t="s">
        <v>291</v>
      </c>
      <c r="L56" s="434" t="s">
        <v>292</v>
      </c>
      <c r="M56" s="537"/>
      <c r="N56" s="538">
        <f>VLOOKUP($J55,'ORÇ. ÓLEO DIESEL'!$D:$O,12,FALSE)</f>
        <v>31533.81</v>
      </c>
      <c r="O56" s="442">
        <f>TRUNC(ANP!$E$34,2)</f>
        <v>5.99</v>
      </c>
      <c r="P56" s="409">
        <f>IFERROR(TRUNC(IF(I56="SERVIÇO",(1+$R$4)*$O56,(1+$R$5)*$O56),2),"0,00")</f>
        <v>6.88</v>
      </c>
      <c r="Q56" s="410">
        <f t="shared" ref="Q56" si="31">IF($W$3="OUTROS",TRUNC(N56*O56,2),TRUNC(N56*O56,2))</f>
        <v>188887.52</v>
      </c>
      <c r="R56" s="410">
        <f>IF($W$3="OUTROS",TRUNC(N56*P56,2),TRUNC(N56*P56,2))</f>
        <v>216952.61</v>
      </c>
      <c r="S56" s="410"/>
      <c r="T56" s="410">
        <f t="shared" ref="T56" si="32">R56-Q56</f>
        <v>28065.089999999997</v>
      </c>
      <c r="U56" s="515">
        <f>V56/P56</f>
        <v>27454.581395348836</v>
      </c>
      <c r="V56" s="410">
        <f t="shared" ref="V56" si="33">Q56</f>
        <v>188887.52</v>
      </c>
      <c r="X56" s="580" t="e">
        <f>P56=#REF!</f>
        <v>#REF!</v>
      </c>
      <c r="AA56" s="401" t="s">
        <v>17</v>
      </c>
    </row>
    <row r="57" spans="1:27" s="400" customFormat="1" ht="31.5" customHeight="1" x14ac:dyDescent="0.25">
      <c r="A57" s="387"/>
      <c r="B57" s="387"/>
      <c r="C57" s="387"/>
      <c r="D57" s="388"/>
      <c r="E57" s="389"/>
      <c r="F57" s="390"/>
      <c r="G57" s="503" t="s">
        <v>1</v>
      </c>
      <c r="H57" s="504">
        <v>95875</v>
      </c>
      <c r="I57" s="505" t="s">
        <v>224</v>
      </c>
      <c r="J57" s="505" t="s">
        <v>363</v>
      </c>
      <c r="K57" s="534" t="s">
        <v>264</v>
      </c>
      <c r="L57" s="507" t="s">
        <v>263</v>
      </c>
      <c r="M57" s="508"/>
      <c r="N57" s="508">
        <v>19945.813999999998</v>
      </c>
      <c r="O57" s="509"/>
      <c r="P57" s="510"/>
      <c r="Q57" s="510"/>
      <c r="R57" s="511"/>
      <c r="S57" s="511"/>
      <c r="T57" s="511"/>
      <c r="U57" s="511"/>
      <c r="V57" s="511"/>
      <c r="X57" s="580" t="e">
        <f>P57=#REF!</f>
        <v>#REF!</v>
      </c>
    </row>
    <row r="58" spans="1:27" s="400" customFormat="1" ht="19.5" x14ac:dyDescent="0.25">
      <c r="A58" s="535"/>
      <c r="B58" s="535"/>
      <c r="C58" s="535"/>
      <c r="D58" s="536"/>
      <c r="E58" s="389"/>
      <c r="F58" s="390"/>
      <c r="G58" s="402" t="s">
        <v>17</v>
      </c>
      <c r="H58" s="403">
        <v>1</v>
      </c>
      <c r="I58" s="404" t="s">
        <v>356</v>
      </c>
      <c r="J58" s="404"/>
      <c r="K58" s="433" t="s">
        <v>291</v>
      </c>
      <c r="L58" s="434" t="s">
        <v>292</v>
      </c>
      <c r="M58" s="537"/>
      <c r="N58" s="538">
        <f>VLOOKUP($J57,'ORÇ. ÓLEO DIESEL'!$D:$O,12,FALSE)</f>
        <v>3923.54</v>
      </c>
      <c r="O58" s="442">
        <f>TRUNC(ANP!$E$34,2)</f>
        <v>5.99</v>
      </c>
      <c r="P58" s="409">
        <f>IFERROR(TRUNC(IF(I58="SERVIÇO",(1+$R$4)*$O58,(1+$R$5)*$O58),2),"0,00")</f>
        <v>6.88</v>
      </c>
      <c r="Q58" s="410">
        <f t="shared" ref="Q58" si="34">IF($W$3="OUTROS",TRUNC(N58*O58,2),TRUNC(N58*O58,2))</f>
        <v>23502</v>
      </c>
      <c r="R58" s="410">
        <f>IF($W$3="OUTROS",TRUNC(N58*P58,2),TRUNC(N58*P58,2))</f>
        <v>26993.95</v>
      </c>
      <c r="S58" s="410"/>
      <c r="T58" s="410">
        <f t="shared" ref="T58" si="35">R58-Q58</f>
        <v>3491.9500000000007</v>
      </c>
      <c r="U58" s="515">
        <f>V58/P58</f>
        <v>3415.9883720930234</v>
      </c>
      <c r="V58" s="410">
        <f t="shared" ref="V58" si="36">Q58</f>
        <v>23502</v>
      </c>
      <c r="X58" s="580" t="e">
        <f>P58=#REF!</f>
        <v>#REF!</v>
      </c>
      <c r="AA58" s="401" t="s">
        <v>17</v>
      </c>
    </row>
    <row r="59" spans="1:27" s="400" customFormat="1" ht="19.5" x14ac:dyDescent="0.25">
      <c r="A59" s="387"/>
      <c r="B59" s="387"/>
      <c r="C59" s="387"/>
      <c r="D59" s="388"/>
      <c r="E59" s="389"/>
      <c r="F59" s="390"/>
      <c r="G59" s="391"/>
      <c r="H59" s="392"/>
      <c r="I59" s="393"/>
      <c r="J59" s="393"/>
      <c r="K59" s="414" t="s">
        <v>250</v>
      </c>
      <c r="L59" s="417"/>
      <c r="M59" s="437"/>
      <c r="N59" s="438"/>
      <c r="O59" s="439"/>
      <c r="P59" s="440"/>
      <c r="Q59" s="440"/>
      <c r="R59" s="1166"/>
      <c r="S59" s="1166"/>
      <c r="T59" s="1166"/>
      <c r="U59" s="1166"/>
      <c r="V59" s="1166"/>
      <c r="X59" s="580" t="e">
        <f>P59=#REF!</f>
        <v>#REF!</v>
      </c>
    </row>
    <row r="60" spans="1:27" s="400" customFormat="1" ht="28.5" x14ac:dyDescent="0.25">
      <c r="A60" s="535"/>
      <c r="B60" s="535"/>
      <c r="C60" s="535"/>
      <c r="D60" s="536"/>
      <c r="E60" s="389"/>
      <c r="F60" s="390">
        <v>5</v>
      </c>
      <c r="G60" s="503" t="s">
        <v>1</v>
      </c>
      <c r="H60" s="504">
        <v>93589</v>
      </c>
      <c r="I60" s="505" t="s">
        <v>224</v>
      </c>
      <c r="J60" s="505" t="s">
        <v>364</v>
      </c>
      <c r="K60" s="534" t="s">
        <v>262</v>
      </c>
      <c r="L60" s="507" t="s">
        <v>263</v>
      </c>
      <c r="M60" s="555">
        <f>'ORÇAMENTO - ORIENTATIVO'!M30</f>
        <v>144613.98000000001</v>
      </c>
      <c r="N60" s="556">
        <v>2.66</v>
      </c>
      <c r="O60" s="556">
        <v>2.7</v>
      </c>
      <c r="P60" s="510">
        <f>IFERROR(TRUNC(IF(I60="SERVIÇO",(1+$R$4)*$O60,(1+$R$5)*$O60),2),"0,00")</f>
        <v>3.25</v>
      </c>
      <c r="Q60" s="511">
        <f>IF($W$3="OUTROS",TRUNC(M60*N60,2),TRUNC(M60*N60,2))</f>
        <v>384673.18</v>
      </c>
      <c r="R60" s="511">
        <f>IF($W$3="OUTROS",TRUNC(M60*P60,2),TRUNC(M60*P60,2))</f>
        <v>469995.43</v>
      </c>
      <c r="S60" s="555">
        <f>T60/P60</f>
        <v>26253</v>
      </c>
      <c r="T60" s="511">
        <f>R60-Q60</f>
        <v>85322.25</v>
      </c>
      <c r="U60" s="555">
        <f>V60/P60</f>
        <v>118360.97846153846</v>
      </c>
      <c r="V60" s="511">
        <f t="shared" ref="V60:V62" si="37">Q60</f>
        <v>384673.18</v>
      </c>
      <c r="W60" s="400">
        <f>'ORÇAMENTO - ORIENTATIVO'!P30</f>
        <v>390457.74</v>
      </c>
      <c r="X60" s="580" t="e">
        <f>P60=#REF!</f>
        <v>#REF!</v>
      </c>
      <c r="Y60" s="412">
        <f>V60+T60</f>
        <v>469995.43</v>
      </c>
      <c r="AA60" s="401" t="s">
        <v>17</v>
      </c>
    </row>
    <row r="61" spans="1:27" s="400" customFormat="1" ht="42.75" x14ac:dyDescent="0.25">
      <c r="A61" s="387"/>
      <c r="B61" s="387"/>
      <c r="C61" s="387"/>
      <c r="D61" s="388"/>
      <c r="E61" s="389"/>
      <c r="F61" s="390">
        <v>5</v>
      </c>
      <c r="G61" s="503" t="s">
        <v>1</v>
      </c>
      <c r="H61" s="504">
        <v>95875</v>
      </c>
      <c r="I61" s="505" t="s">
        <v>224</v>
      </c>
      <c r="J61" s="505" t="s">
        <v>365</v>
      </c>
      <c r="K61" s="534" t="s">
        <v>264</v>
      </c>
      <c r="L61" s="507" t="s">
        <v>263</v>
      </c>
      <c r="M61" s="555">
        <f>'ORÇAMENTO - ORIENTATIVO'!M31</f>
        <v>42950.399999999994</v>
      </c>
      <c r="N61" s="556">
        <v>2.4500000000000002</v>
      </c>
      <c r="O61" s="556">
        <v>2.4900000000000002</v>
      </c>
      <c r="P61" s="510">
        <f>IFERROR(TRUNC(IF(I61="SERVIÇO",(1+$R$4)*$O61,(1+$R$5)*$O61),2),"0,00")</f>
        <v>3</v>
      </c>
      <c r="Q61" s="511">
        <f t="shared" ref="Q61:Q62" si="38">IF($W$3="OUTROS",TRUNC(M61*N61,2),TRUNC(M61*N61,2))</f>
        <v>105228.48</v>
      </c>
      <c r="R61" s="511">
        <f>IF($W$3="OUTROS",TRUNC(M61*P61,2),TRUNC(M61*P61,2))</f>
        <v>128851.2</v>
      </c>
      <c r="S61" s="555">
        <f>T61/P61</f>
        <v>7874.2400000000007</v>
      </c>
      <c r="T61" s="511">
        <f t="shared" ref="T61:T62" si="39">R61-Q61</f>
        <v>23622.720000000001</v>
      </c>
      <c r="U61" s="555">
        <f>V61/P61</f>
        <v>35076.159999999996</v>
      </c>
      <c r="V61" s="511">
        <f t="shared" si="37"/>
        <v>105228.48</v>
      </c>
      <c r="W61" s="400">
        <f>'ORÇAMENTO - ORIENTATIVO'!P31</f>
        <v>106946.49</v>
      </c>
      <c r="X61" s="580" t="e">
        <f>P61=#REF!</f>
        <v>#REF!</v>
      </c>
      <c r="Y61" s="412">
        <f t="shared" ref="Y61:Y66" si="40">V61+T61</f>
        <v>128851.2</v>
      </c>
    </row>
    <row r="62" spans="1:27" s="400" customFormat="1" ht="42.75" x14ac:dyDescent="0.25">
      <c r="A62" s="535"/>
      <c r="B62" s="535"/>
      <c r="C62" s="535"/>
      <c r="D62" s="536"/>
      <c r="E62" s="389"/>
      <c r="F62" s="390">
        <v>5</v>
      </c>
      <c r="G62" s="503" t="s">
        <v>1</v>
      </c>
      <c r="H62" s="504">
        <v>93590</v>
      </c>
      <c r="I62" s="505" t="s">
        <v>224</v>
      </c>
      <c r="J62" s="505" t="s">
        <v>366</v>
      </c>
      <c r="K62" s="534" t="s">
        <v>811</v>
      </c>
      <c r="L62" s="507" t="s">
        <v>263</v>
      </c>
      <c r="M62" s="555">
        <f>'ORÇAMENTO - ORIENTATIVO'!M32</f>
        <v>176975.98</v>
      </c>
      <c r="N62" s="556">
        <v>0.97</v>
      </c>
      <c r="O62" s="556">
        <v>0.98</v>
      </c>
      <c r="P62" s="510">
        <f>IFERROR(TRUNC(IF(I62="SERVIÇO",(1+$R$4)*$O62,(1+$R$5)*$O62),2),"0,00")</f>
        <v>1.18</v>
      </c>
      <c r="Q62" s="511">
        <f t="shared" si="38"/>
        <v>171666.7</v>
      </c>
      <c r="R62" s="511">
        <f>IF($W$3="OUTROS",TRUNC(M62*P62,2),TRUNC(M62*P62,2))</f>
        <v>208831.65</v>
      </c>
      <c r="S62" s="555">
        <f>T62/P62</f>
        <v>31495.720338983039</v>
      </c>
      <c r="T62" s="511">
        <f t="shared" si="39"/>
        <v>37164.949999999983</v>
      </c>
      <c r="U62" s="555">
        <f>V62/P62</f>
        <v>145480.25423728814</v>
      </c>
      <c r="V62" s="511">
        <f t="shared" si="37"/>
        <v>171666.7</v>
      </c>
      <c r="W62" s="400">
        <f>'ORÇAMENTO - ORIENTATIVO'!P32</f>
        <v>173436.46</v>
      </c>
      <c r="X62" s="580" t="e">
        <f>P62=#REF!</f>
        <v>#REF!</v>
      </c>
      <c r="Y62" s="412">
        <f t="shared" si="40"/>
        <v>208831.65</v>
      </c>
      <c r="AA62" s="401" t="s">
        <v>17</v>
      </c>
    </row>
    <row r="63" spans="1:27" s="400" customFormat="1" ht="19.5" x14ac:dyDescent="0.25">
      <c r="A63" s="387"/>
      <c r="B63" s="387"/>
      <c r="C63" s="387"/>
      <c r="D63" s="388"/>
      <c r="E63" s="389"/>
      <c r="F63" s="390"/>
      <c r="G63" s="391"/>
      <c r="H63" s="392"/>
      <c r="I63" s="393"/>
      <c r="J63" s="393"/>
      <c r="K63" s="414" t="s">
        <v>251</v>
      </c>
      <c r="L63" s="417"/>
      <c r="M63" s="437"/>
      <c r="N63" s="438"/>
      <c r="O63" s="439"/>
      <c r="P63" s="440"/>
      <c r="Q63" s="440"/>
      <c r="R63" s="1166"/>
      <c r="S63" s="554"/>
      <c r="T63" s="1166"/>
      <c r="U63" s="554"/>
      <c r="V63" s="1166"/>
      <c r="X63" s="580" t="e">
        <f>P63=#REF!</f>
        <v>#REF!</v>
      </c>
      <c r="Y63" s="412">
        <f t="shared" si="40"/>
        <v>0</v>
      </c>
    </row>
    <row r="64" spans="1:27" s="400" customFormat="1" ht="42.75" x14ac:dyDescent="0.25">
      <c r="A64" s="535"/>
      <c r="B64" s="535"/>
      <c r="C64" s="535"/>
      <c r="D64" s="536"/>
      <c r="E64" s="389"/>
      <c r="F64" s="390">
        <v>6</v>
      </c>
      <c r="G64" s="503" t="s">
        <v>1</v>
      </c>
      <c r="H64" s="504">
        <v>100966</v>
      </c>
      <c r="I64" s="505" t="s">
        <v>230</v>
      </c>
      <c r="J64" s="505" t="s">
        <v>367</v>
      </c>
      <c r="K64" s="534" t="s">
        <v>2922</v>
      </c>
      <c r="L64" s="507" t="s">
        <v>280</v>
      </c>
      <c r="M64" s="555">
        <f>'ORÇAMENTO - ORIENTATIVO'!M34</f>
        <v>28839.34</v>
      </c>
      <c r="N64" s="556">
        <v>1.51</v>
      </c>
      <c r="O64" s="556">
        <v>1.52</v>
      </c>
      <c r="P64" s="510">
        <f>IFERROR(TRUNC(IF(I64="SERVIÇO",(1+$R$4)*$O64,(1+$R$5)*$O64),2),"0,00")</f>
        <v>1.74</v>
      </c>
      <c r="Q64" s="511">
        <f>IF($W$3="OUTROS",TRUNC(M64*N64,2),TRUNC(M64*N64,2))</f>
        <v>43547.4</v>
      </c>
      <c r="R64" s="511">
        <f>IF($W$3="OUTROS",TRUNC(M64*P64,2),TRUNC(M64*P64,2))</f>
        <v>50180.45</v>
      </c>
      <c r="S64" s="555">
        <f>T64/P64</f>
        <v>3812.0977011494228</v>
      </c>
      <c r="T64" s="511">
        <f t="shared" ref="T64:T66" si="41">R64-Q64</f>
        <v>6633.0499999999956</v>
      </c>
      <c r="U64" s="555">
        <f>V64/P64</f>
        <v>25027.241379310344</v>
      </c>
      <c r="V64" s="511">
        <f t="shared" ref="V64:V66" si="42">Q64</f>
        <v>43547.4</v>
      </c>
      <c r="W64" s="400">
        <f>'ORÇAMENTO - ORIENTATIVO'!P34</f>
        <v>43835.79</v>
      </c>
      <c r="X64" s="580" t="e">
        <f>P64=#REF!</f>
        <v>#REF!</v>
      </c>
      <c r="Y64" s="412">
        <f t="shared" si="40"/>
        <v>50180.45</v>
      </c>
      <c r="AA64" s="401" t="s">
        <v>17</v>
      </c>
    </row>
    <row r="65" spans="1:28" s="400" customFormat="1" ht="42.75" x14ac:dyDescent="0.25">
      <c r="A65" s="387"/>
      <c r="B65" s="387"/>
      <c r="C65" s="387"/>
      <c r="D65" s="388"/>
      <c r="E65" s="389"/>
      <c r="F65" s="390">
        <v>6</v>
      </c>
      <c r="G65" s="503" t="s">
        <v>1</v>
      </c>
      <c r="H65" s="504">
        <v>102330</v>
      </c>
      <c r="I65" s="505" t="s">
        <v>230</v>
      </c>
      <c r="J65" s="505" t="s">
        <v>368</v>
      </c>
      <c r="K65" s="534" t="s">
        <v>2923</v>
      </c>
      <c r="L65" s="507" t="s">
        <v>280</v>
      </c>
      <c r="M65" s="555">
        <f>'ORÇAMENTO - ORIENTATIVO'!M35</f>
        <v>9051.9</v>
      </c>
      <c r="N65" s="556">
        <v>1.41</v>
      </c>
      <c r="O65" s="556">
        <v>1.42</v>
      </c>
      <c r="P65" s="510">
        <f>IFERROR(TRUNC(IF(I65="SERVIÇO",(1+$R$4)*$O65,(1+$R$5)*$O65),2),"0,00")</f>
        <v>1.63</v>
      </c>
      <c r="Q65" s="511">
        <f t="shared" ref="Q65:Q66" si="43">IF($W$3="OUTROS",TRUNC(M65*N65,2),TRUNC(M65*N65,2))</f>
        <v>12763.17</v>
      </c>
      <c r="R65" s="511">
        <f>IF($W$3="OUTROS",TRUNC(M65*P65,2),TRUNC(M65*P65,2))</f>
        <v>14754.59</v>
      </c>
      <c r="S65" s="555">
        <f>T65/P65</f>
        <v>1221.7300613496934</v>
      </c>
      <c r="T65" s="511">
        <f t="shared" si="41"/>
        <v>1991.42</v>
      </c>
      <c r="U65" s="555">
        <f>V65/P65</f>
        <v>7830.1656441717796</v>
      </c>
      <c r="V65" s="511">
        <f t="shared" si="42"/>
        <v>12763.17</v>
      </c>
      <c r="W65" s="400">
        <f>'ORÇAMENTO - ORIENTATIVO'!P35</f>
        <v>12853.69</v>
      </c>
      <c r="X65" s="580" t="e">
        <f>P65=#REF!</f>
        <v>#REF!</v>
      </c>
      <c r="Y65" s="412">
        <f t="shared" si="40"/>
        <v>14754.59</v>
      </c>
    </row>
    <row r="66" spans="1:28" s="400" customFormat="1" ht="57" x14ac:dyDescent="0.25">
      <c r="A66" s="535"/>
      <c r="B66" s="535"/>
      <c r="C66" s="535"/>
      <c r="D66" s="536"/>
      <c r="E66" s="389"/>
      <c r="F66" s="390">
        <v>6</v>
      </c>
      <c r="G66" s="503" t="s">
        <v>1</v>
      </c>
      <c r="H66" s="504">
        <v>102331</v>
      </c>
      <c r="I66" s="505" t="s">
        <v>230</v>
      </c>
      <c r="J66" s="505" t="s">
        <v>369</v>
      </c>
      <c r="K66" s="534" t="s">
        <v>2924</v>
      </c>
      <c r="L66" s="507" t="s">
        <v>280</v>
      </c>
      <c r="M66" s="555">
        <f>'ORÇAMENTO - ORIENTATIVO'!M36</f>
        <v>264199.07</v>
      </c>
      <c r="N66" s="556">
        <v>0.55000000000000004</v>
      </c>
      <c r="O66" s="556">
        <v>0.55000000000000004</v>
      </c>
      <c r="P66" s="510">
        <f>IFERROR(TRUNC(IF(I66="SERVIÇO",(1+$R$4)*$O66,(1+$R$5)*$O66),2),"0,00")</f>
        <v>0.63</v>
      </c>
      <c r="Q66" s="511">
        <f t="shared" si="43"/>
        <v>145309.48000000001</v>
      </c>
      <c r="R66" s="511">
        <f>IF($W$3="OUTROS",TRUNC(M66*P66,2),TRUNC(M66*P66,2))</f>
        <v>166445.41</v>
      </c>
      <c r="S66" s="555">
        <f>T66/P66</f>
        <v>33549.095238095229</v>
      </c>
      <c r="T66" s="511">
        <f t="shared" si="41"/>
        <v>21135.929999999993</v>
      </c>
      <c r="U66" s="555">
        <f>V66/P66</f>
        <v>230649.96825396825</v>
      </c>
      <c r="V66" s="511">
        <f t="shared" si="42"/>
        <v>145309.48000000001</v>
      </c>
      <c r="W66" s="400">
        <f>'ORÇAMENTO - ORIENTATIVO'!P36</f>
        <v>145309.48000000001</v>
      </c>
      <c r="X66" s="580" t="e">
        <f>P66=#REF!</f>
        <v>#REF!</v>
      </c>
      <c r="Y66" s="412">
        <f t="shared" si="40"/>
        <v>166445.41</v>
      </c>
      <c r="AA66" s="401" t="s">
        <v>17</v>
      </c>
    </row>
    <row r="67" spans="1:28" s="400" customFormat="1" ht="19.5" x14ac:dyDescent="0.25">
      <c r="A67" s="387"/>
      <c r="B67" s="387"/>
      <c r="C67" s="387"/>
      <c r="D67" s="388"/>
      <c r="E67" s="389"/>
      <c r="F67" s="390"/>
      <c r="G67" s="503"/>
      <c r="H67" s="504"/>
      <c r="I67" s="505"/>
      <c r="J67" s="505"/>
      <c r="K67" s="506"/>
      <c r="L67" s="551"/>
      <c r="M67" s="508"/>
      <c r="N67" s="508"/>
      <c r="O67" s="556"/>
      <c r="P67" s="510"/>
      <c r="Q67" s="510"/>
      <c r="R67" s="511"/>
      <c r="S67" s="511"/>
      <c r="T67" s="511"/>
      <c r="U67" s="511"/>
      <c r="V67" s="511"/>
      <c r="X67" s="580" t="e">
        <f>P67=#REF!</f>
        <v>#REF!</v>
      </c>
    </row>
    <row r="68" spans="1:28" s="400" customFormat="1" ht="19.5" hidden="1" x14ac:dyDescent="0.25">
      <c r="A68" s="387"/>
      <c r="B68" s="387"/>
      <c r="C68" s="387"/>
      <c r="D68" s="388"/>
      <c r="E68" s="389"/>
      <c r="F68" s="390"/>
      <c r="G68" s="391"/>
      <c r="H68" s="392"/>
      <c r="I68" s="393"/>
      <c r="J68" s="393" t="s">
        <v>370</v>
      </c>
      <c r="K68" s="395" t="s">
        <v>282</v>
      </c>
      <c r="L68" s="396"/>
      <c r="M68" s="500"/>
      <c r="N68" s="500"/>
      <c r="O68" s="429"/>
      <c r="P68" s="430"/>
      <c r="Q68" s="430"/>
      <c r="R68" s="501"/>
      <c r="S68" s="501"/>
      <c r="T68" s="501"/>
      <c r="U68" s="501"/>
      <c r="V68" s="501"/>
      <c r="X68" s="580" t="e">
        <f>P68=#REF!</f>
        <v>#REF!</v>
      </c>
    </row>
    <row r="69" spans="1:28" s="400" customFormat="1" ht="42.75" hidden="1" x14ac:dyDescent="0.25">
      <c r="A69" s="387"/>
      <c r="B69" s="387"/>
      <c r="C69" s="387"/>
      <c r="D69" s="388"/>
      <c r="E69" s="389"/>
      <c r="F69" s="390"/>
      <c r="G69" s="503" t="s">
        <v>1</v>
      </c>
      <c r="H69" s="504">
        <v>94990</v>
      </c>
      <c r="I69" s="505" t="s">
        <v>224</v>
      </c>
      <c r="J69" s="505" t="s">
        <v>371</v>
      </c>
      <c r="K69" s="534" t="s">
        <v>2926</v>
      </c>
      <c r="L69" s="507" t="s">
        <v>259</v>
      </c>
      <c r="M69" s="508"/>
      <c r="N69" s="508">
        <v>0</v>
      </c>
      <c r="O69" s="509"/>
      <c r="P69" s="510"/>
      <c r="Q69" s="510"/>
      <c r="R69" s="511"/>
      <c r="S69" s="511"/>
      <c r="T69" s="511"/>
      <c r="U69" s="511"/>
      <c r="V69" s="511"/>
      <c r="X69" s="580" t="e">
        <f>P69=#REF!</f>
        <v>#REF!</v>
      </c>
    </row>
    <row r="70" spans="1:28" s="400" customFormat="1" ht="28.5" hidden="1" x14ac:dyDescent="0.25">
      <c r="A70" s="557"/>
      <c r="B70" s="557"/>
      <c r="C70" s="557"/>
      <c r="D70" s="558"/>
      <c r="E70" s="389"/>
      <c r="F70" s="390"/>
      <c r="G70" s="402" t="s">
        <v>4</v>
      </c>
      <c r="H70" s="434">
        <v>2692</v>
      </c>
      <c r="I70" s="404" t="s">
        <v>356</v>
      </c>
      <c r="J70" s="404"/>
      <c r="K70" s="433" t="s">
        <v>2934</v>
      </c>
      <c r="L70" s="434" t="s">
        <v>292</v>
      </c>
      <c r="M70" s="537">
        <v>2.1299999999999999E-2</v>
      </c>
      <c r="N70" s="538">
        <f>TRUNC(N69*M70,5)</f>
        <v>0</v>
      </c>
      <c r="O70" s="442">
        <v>6.98</v>
      </c>
      <c r="P70" s="409">
        <f>IFERROR(TRUNC(IF(I70="SERVIÇO",(1+$R$4)*$O70,(1+$R$5)*$O70),2),"0,00")</f>
        <v>8.02</v>
      </c>
      <c r="Q70" s="409"/>
      <c r="R70" s="410">
        <f>IF($W$3="OUTROS",TRUNC(N70*P70,2),TRUNC(N70*P70,2))</f>
        <v>0</v>
      </c>
      <c r="S70" s="410"/>
      <c r="T70" s="410"/>
      <c r="U70" s="410"/>
      <c r="V70" s="410"/>
      <c r="X70" s="580" t="e">
        <f>P70=#REF!</f>
        <v>#REF!</v>
      </c>
      <c r="AB70" s="401" t="s">
        <v>17</v>
      </c>
    </row>
    <row r="71" spans="1:28" s="400" customFormat="1" ht="28.5" hidden="1" x14ac:dyDescent="0.25">
      <c r="A71" s="557"/>
      <c r="B71" s="557"/>
      <c r="C71" s="557"/>
      <c r="D71" s="558"/>
      <c r="E71" s="389"/>
      <c r="F71" s="390"/>
      <c r="G71" s="402" t="s">
        <v>4</v>
      </c>
      <c r="H71" s="434">
        <v>4509</v>
      </c>
      <c r="I71" s="404" t="s">
        <v>356</v>
      </c>
      <c r="J71" s="404"/>
      <c r="K71" s="433" t="s">
        <v>333</v>
      </c>
      <c r="L71" s="434" t="s">
        <v>334</v>
      </c>
      <c r="M71" s="537">
        <v>3.125</v>
      </c>
      <c r="N71" s="538">
        <f>TRUNC(N69*M71,5)</f>
        <v>0</v>
      </c>
      <c r="O71" s="442">
        <v>5.68</v>
      </c>
      <c r="P71" s="409">
        <f>IFERROR(TRUNC(IF(I71="SERVIÇO",(1+$R$4)*$O71,(1+$R$5)*$O71),2),"0,00")</f>
        <v>6.53</v>
      </c>
      <c r="Q71" s="409"/>
      <c r="R71" s="410">
        <f>IF($W$3="OUTROS",TRUNC(N71*P71,2),TRUNC(N71*P71,2))</f>
        <v>0</v>
      </c>
      <c r="S71" s="410"/>
      <c r="T71" s="410"/>
      <c r="U71" s="410"/>
      <c r="V71" s="410"/>
      <c r="X71" s="580" t="e">
        <f>P71=#REF!</f>
        <v>#REF!</v>
      </c>
      <c r="AB71" s="401" t="s">
        <v>17</v>
      </c>
    </row>
    <row r="72" spans="1:28" s="400" customFormat="1" ht="28.5" hidden="1" x14ac:dyDescent="0.25">
      <c r="A72" s="557"/>
      <c r="B72" s="557"/>
      <c r="C72" s="557"/>
      <c r="D72" s="558"/>
      <c r="E72" s="389"/>
      <c r="F72" s="390"/>
      <c r="G72" s="402" t="s">
        <v>4</v>
      </c>
      <c r="H72" s="434">
        <v>4517</v>
      </c>
      <c r="I72" s="404" t="s">
        <v>356</v>
      </c>
      <c r="J72" s="404"/>
      <c r="K72" s="433" t="s">
        <v>2935</v>
      </c>
      <c r="L72" s="434" t="s">
        <v>334</v>
      </c>
      <c r="M72" s="537">
        <v>2.5</v>
      </c>
      <c r="N72" s="538">
        <f>TRUNC(N69*M72,5)</f>
        <v>0</v>
      </c>
      <c r="O72" s="442">
        <v>3.92</v>
      </c>
      <c r="P72" s="409">
        <f>IFERROR(TRUNC(IF(I72="SERVIÇO",(1+$R$4)*$O72,(1+$R$5)*$O72),2),"0,00")</f>
        <v>4.5</v>
      </c>
      <c r="Q72" s="409"/>
      <c r="R72" s="410">
        <f>IF($W$3="OUTROS",TRUNC(N72*P72,2),TRUNC(N72*P72,2))</f>
        <v>0</v>
      </c>
      <c r="S72" s="410"/>
      <c r="T72" s="410"/>
      <c r="U72" s="410"/>
      <c r="V72" s="410"/>
      <c r="X72" s="580" t="e">
        <f>P72=#REF!</f>
        <v>#REF!</v>
      </c>
      <c r="AB72" s="401" t="s">
        <v>17</v>
      </c>
    </row>
    <row r="73" spans="1:28" s="400" customFormat="1" ht="19.5" hidden="1" x14ac:dyDescent="0.25">
      <c r="A73" s="557"/>
      <c r="B73" s="557"/>
      <c r="C73" s="557"/>
      <c r="D73" s="558"/>
      <c r="E73" s="389"/>
      <c r="F73" s="390"/>
      <c r="G73" s="402" t="s">
        <v>4</v>
      </c>
      <c r="H73" s="434">
        <v>5068</v>
      </c>
      <c r="I73" s="404" t="s">
        <v>356</v>
      </c>
      <c r="J73" s="404"/>
      <c r="K73" s="433" t="s">
        <v>2937</v>
      </c>
      <c r="L73" s="434" t="s">
        <v>342</v>
      </c>
      <c r="M73" s="537">
        <v>0.2994</v>
      </c>
      <c r="N73" s="538">
        <f>TRUNC(N69*M73,5)</f>
        <v>0</v>
      </c>
      <c r="O73" s="442">
        <v>19.23</v>
      </c>
      <c r="P73" s="409">
        <f>IFERROR(TRUNC(IF(I73="SERVIÇO",(1+$R$4)*$O73,(1+$R$5)*$O73),2),"0,00")</f>
        <v>22.11</v>
      </c>
      <c r="Q73" s="409"/>
      <c r="R73" s="410">
        <f>IF($W$3="OUTROS",TRUNC(N73*P73,2),TRUNC(N73*P73,2))</f>
        <v>0</v>
      </c>
      <c r="S73" s="410"/>
      <c r="T73" s="410"/>
      <c r="U73" s="410"/>
      <c r="V73" s="410"/>
      <c r="X73" s="580" t="e">
        <f>P73=#REF!</f>
        <v>#REF!</v>
      </c>
      <c r="AB73" s="401" t="s">
        <v>17</v>
      </c>
    </row>
    <row r="74" spans="1:28" s="567" customFormat="1" ht="42.75" hidden="1" x14ac:dyDescent="0.25">
      <c r="A74" s="559"/>
      <c r="B74" s="559"/>
      <c r="C74" s="559"/>
      <c r="D74" s="560"/>
      <c r="E74" s="561"/>
      <c r="F74" s="562"/>
      <c r="G74" s="563" t="s">
        <v>1</v>
      </c>
      <c r="H74" s="564">
        <v>94964</v>
      </c>
      <c r="I74" s="518" t="s">
        <v>224</v>
      </c>
      <c r="J74" s="518"/>
      <c r="K74" s="520" t="s">
        <v>2938</v>
      </c>
      <c r="L74" s="521" t="s">
        <v>259</v>
      </c>
      <c r="M74" s="565">
        <v>1.2315</v>
      </c>
      <c r="N74" s="566"/>
      <c r="O74" s="524"/>
      <c r="P74" s="525"/>
      <c r="Q74" s="525"/>
      <c r="R74" s="526"/>
      <c r="S74" s="526"/>
      <c r="T74" s="526"/>
      <c r="U74" s="526"/>
      <c r="V74" s="526"/>
      <c r="X74" s="580" t="e">
        <f>P74=#REF!</f>
        <v>#REF!</v>
      </c>
    </row>
    <row r="75" spans="1:28" s="400" customFormat="1" ht="28.5" hidden="1" x14ac:dyDescent="0.25">
      <c r="A75" s="557"/>
      <c r="B75" s="557"/>
      <c r="C75" s="557"/>
      <c r="D75" s="558"/>
      <c r="E75" s="389"/>
      <c r="F75" s="390"/>
      <c r="G75" s="402" t="s">
        <v>4</v>
      </c>
      <c r="H75" s="434">
        <v>370</v>
      </c>
      <c r="I75" s="404" t="s">
        <v>356</v>
      </c>
      <c r="J75" s="404"/>
      <c r="K75" s="433" t="s">
        <v>345</v>
      </c>
      <c r="L75" s="434" t="s">
        <v>60</v>
      </c>
      <c r="M75" s="537">
        <v>0.76090000000000002</v>
      </c>
      <c r="N75" s="568">
        <f>TRUNC(N69*M74*M75,5)</f>
        <v>0</v>
      </c>
      <c r="O75" s="442">
        <v>140</v>
      </c>
      <c r="P75" s="409">
        <f>IFERROR(TRUNC(IF(I75="SERVIÇO",(1+$R$4)*$O75,(1+$R$5)*$O75),2),"0,00")</f>
        <v>161</v>
      </c>
      <c r="Q75" s="409"/>
      <c r="R75" s="410">
        <f>IF($W$3="OUTROS",TRUNC(N75*P75,2),TRUNC(N75*P75,2))</f>
        <v>0</v>
      </c>
      <c r="S75" s="410"/>
      <c r="T75" s="410"/>
      <c r="U75" s="410"/>
      <c r="V75" s="410"/>
      <c r="X75" s="580" t="e">
        <f>P75=#REF!</f>
        <v>#REF!</v>
      </c>
      <c r="AB75" s="401" t="s">
        <v>17</v>
      </c>
    </row>
    <row r="76" spans="1:28" s="400" customFormat="1" ht="19.5" hidden="1" x14ac:dyDescent="0.25">
      <c r="A76" s="557"/>
      <c r="B76" s="557"/>
      <c r="C76" s="557"/>
      <c r="D76" s="558"/>
      <c r="E76" s="389"/>
      <c r="F76" s="390"/>
      <c r="G76" s="402" t="s">
        <v>4</v>
      </c>
      <c r="H76" s="434">
        <v>1379</v>
      </c>
      <c r="I76" s="404" t="s">
        <v>356</v>
      </c>
      <c r="J76" s="404"/>
      <c r="K76" s="433" t="s">
        <v>341</v>
      </c>
      <c r="L76" s="434" t="s">
        <v>342</v>
      </c>
      <c r="M76" s="537">
        <v>325.15890000000002</v>
      </c>
      <c r="N76" s="568">
        <f>TRUNC(N69*M74*M76,5)</f>
        <v>0</v>
      </c>
      <c r="O76" s="442">
        <v>0.84</v>
      </c>
      <c r="P76" s="409">
        <f>IFERROR(TRUNC(IF(I76="SERVIÇO",(1+$R$4)*$O76,(1+$R$5)*$O76),2),"0,00")</f>
        <v>0.96</v>
      </c>
      <c r="Q76" s="409"/>
      <c r="R76" s="410">
        <f>IF($W$3="OUTROS",TRUNC(N76*P76,2),TRUNC(N76*P76,2))</f>
        <v>0</v>
      </c>
      <c r="S76" s="410"/>
      <c r="T76" s="410"/>
      <c r="U76" s="410"/>
      <c r="V76" s="410"/>
      <c r="X76" s="580" t="e">
        <f>P76=#REF!</f>
        <v>#REF!</v>
      </c>
      <c r="AB76" s="401" t="s">
        <v>17</v>
      </c>
    </row>
    <row r="77" spans="1:28" s="400" customFormat="1" ht="28.5" hidden="1" x14ac:dyDescent="0.25">
      <c r="A77" s="557"/>
      <c r="B77" s="557"/>
      <c r="C77" s="557"/>
      <c r="D77" s="558"/>
      <c r="E77" s="389"/>
      <c r="F77" s="390"/>
      <c r="G77" s="402" t="s">
        <v>4</v>
      </c>
      <c r="H77" s="434">
        <v>4721</v>
      </c>
      <c r="I77" s="404" t="s">
        <v>356</v>
      </c>
      <c r="J77" s="404"/>
      <c r="K77" s="433" t="s">
        <v>2936</v>
      </c>
      <c r="L77" s="434" t="s">
        <v>60</v>
      </c>
      <c r="M77" s="537">
        <v>0.59119999999999995</v>
      </c>
      <c r="N77" s="568">
        <f>TRUNC(N69*M74*M77,5)</f>
        <v>0</v>
      </c>
      <c r="O77" s="442">
        <v>144.24</v>
      </c>
      <c r="P77" s="409">
        <f>IFERROR(TRUNC(IF(I77="SERVIÇO",(1+$R$4)*$O77,(1+$R$5)*$O77),2),"0,00")</f>
        <v>165.87</v>
      </c>
      <c r="Q77" s="409"/>
      <c r="R77" s="410">
        <f>IF($W$3="OUTROS",TRUNC(N77*P77,2),TRUNC(N77*P77,2))</f>
        <v>0</v>
      </c>
      <c r="S77" s="410"/>
      <c r="T77" s="410"/>
      <c r="U77" s="410"/>
      <c r="V77" s="410"/>
      <c r="W77" s="569"/>
      <c r="X77" s="580" t="e">
        <f>P77=#REF!</f>
        <v>#REF!</v>
      </c>
      <c r="AB77" s="401" t="s">
        <v>17</v>
      </c>
    </row>
    <row r="78" spans="1:28" s="400" customFormat="1" ht="28.5" hidden="1" x14ac:dyDescent="0.25">
      <c r="A78" s="557"/>
      <c r="B78" s="557"/>
      <c r="C78" s="557"/>
      <c r="D78" s="558"/>
      <c r="E78" s="389"/>
      <c r="F78" s="390"/>
      <c r="G78" s="503" t="s">
        <v>1</v>
      </c>
      <c r="H78" s="504">
        <v>97113</v>
      </c>
      <c r="I78" s="505" t="s">
        <v>224</v>
      </c>
      <c r="J78" s="505" t="s">
        <v>372</v>
      </c>
      <c r="K78" s="534" t="s">
        <v>2927</v>
      </c>
      <c r="L78" s="507" t="s">
        <v>33</v>
      </c>
      <c r="M78" s="508"/>
      <c r="N78" s="508"/>
      <c r="O78" s="509"/>
      <c r="P78" s="510"/>
      <c r="Q78" s="510"/>
      <c r="R78" s="511"/>
      <c r="S78" s="511"/>
      <c r="T78" s="511"/>
      <c r="U78" s="511"/>
      <c r="V78" s="511"/>
      <c r="W78" s="569"/>
      <c r="X78" s="580" t="e">
        <f>P78=#REF!</f>
        <v>#REF!</v>
      </c>
    </row>
    <row r="79" spans="1:28" s="400" customFormat="1" ht="28.5" hidden="1" customHeight="1" x14ac:dyDescent="0.25">
      <c r="A79" s="557"/>
      <c r="B79" s="557"/>
      <c r="C79" s="557"/>
      <c r="D79" s="558"/>
      <c r="E79" s="389"/>
      <c r="F79" s="390"/>
      <c r="G79" s="402" t="s">
        <v>4</v>
      </c>
      <c r="H79" s="434">
        <v>42408</v>
      </c>
      <c r="I79" s="404" t="s">
        <v>356</v>
      </c>
      <c r="J79" s="404"/>
      <c r="K79" s="433" t="s">
        <v>2933</v>
      </c>
      <c r="L79" s="434" t="s">
        <v>326</v>
      </c>
      <c r="M79" s="537">
        <v>1.1279999999999999</v>
      </c>
      <c r="N79" s="538">
        <f>TRUNC(N78*M79,5)</f>
        <v>0</v>
      </c>
      <c r="O79" s="442">
        <v>1.8</v>
      </c>
      <c r="P79" s="409">
        <f>IFERROR(TRUNC(IF(I79="SERVIÇO",(1+$R$4)*$O79,(1+$R$5)*$O79),2),"0,00")</f>
        <v>2.0699999999999998</v>
      </c>
      <c r="Q79" s="409"/>
      <c r="R79" s="410">
        <f>IF($W$3="OUTROS",TRUNC(N79*P79,2),TRUNC(N79*P79,2))</f>
        <v>0</v>
      </c>
      <c r="S79" s="410"/>
      <c r="T79" s="410"/>
      <c r="U79" s="410"/>
      <c r="V79" s="410"/>
      <c r="W79" s="569"/>
      <c r="X79" s="580" t="e">
        <f>P79=#REF!</f>
        <v>#REF!</v>
      </c>
    </row>
    <row r="80" spans="1:28" s="400" customFormat="1" ht="28.5" hidden="1" x14ac:dyDescent="0.25">
      <c r="A80" s="557"/>
      <c r="B80" s="557"/>
      <c r="C80" s="557"/>
      <c r="D80" s="558"/>
      <c r="E80" s="389"/>
      <c r="F80" s="390"/>
      <c r="G80" s="503" t="s">
        <v>6</v>
      </c>
      <c r="H80" s="504">
        <v>2003850</v>
      </c>
      <c r="I80" s="505" t="s">
        <v>224</v>
      </c>
      <c r="J80" s="505" t="s">
        <v>373</v>
      </c>
      <c r="K80" s="534" t="s">
        <v>924</v>
      </c>
      <c r="L80" s="507" t="s">
        <v>118</v>
      </c>
      <c r="M80" s="508"/>
      <c r="N80" s="508">
        <v>0</v>
      </c>
      <c r="O80" s="509"/>
      <c r="P80" s="510"/>
      <c r="Q80" s="510"/>
      <c r="R80" s="511"/>
      <c r="S80" s="511"/>
      <c r="T80" s="511"/>
      <c r="U80" s="511"/>
      <c r="V80" s="511"/>
      <c r="W80" s="569"/>
      <c r="X80" s="580" t="e">
        <f>P80=#REF!</f>
        <v>#REF!</v>
      </c>
    </row>
    <row r="81" spans="1:28" s="400" customFormat="1" ht="19.5" hidden="1" x14ac:dyDescent="0.25">
      <c r="A81" s="557"/>
      <c r="B81" s="557"/>
      <c r="C81" s="557"/>
      <c r="D81" s="558"/>
      <c r="E81" s="389"/>
      <c r="F81" s="390"/>
      <c r="G81" s="474" t="s">
        <v>308</v>
      </c>
      <c r="H81" s="403">
        <v>3</v>
      </c>
      <c r="I81" s="404" t="s">
        <v>356</v>
      </c>
      <c r="J81" s="404"/>
      <c r="K81" s="433" t="s">
        <v>374</v>
      </c>
      <c r="L81" s="545" t="s">
        <v>259</v>
      </c>
      <c r="M81" s="537">
        <v>1.575</v>
      </c>
      <c r="N81" s="538">
        <f>TRUNC(N80*M81,5)</f>
        <v>0</v>
      </c>
      <c r="O81" s="442">
        <f>COTAÇÃOBRITA!D20</f>
        <v>135</v>
      </c>
      <c r="P81" s="409">
        <f>IFERROR(TRUNC(IF(I81="SERVIÇO",(1+$R$4)*$O81,(1+$R$5)*$O81),2),"0,00")</f>
        <v>155.25</v>
      </c>
      <c r="Q81" s="409"/>
      <c r="R81" s="410">
        <f>IF($W$3="OUTROS",TRUNC(N81*P81,2),TRUNC(N81*P81,2))</f>
        <v>0</v>
      </c>
      <c r="S81" s="410"/>
      <c r="T81" s="410"/>
      <c r="U81" s="410"/>
      <c r="V81" s="410"/>
      <c r="W81" s="569"/>
      <c r="X81" s="580" t="e">
        <f>P81=#REF!</f>
        <v>#REF!</v>
      </c>
    </row>
    <row r="82" spans="1:28" s="400" customFormat="1" ht="28.5" hidden="1" x14ac:dyDescent="0.25">
      <c r="A82" s="387"/>
      <c r="B82" s="387"/>
      <c r="C82" s="387"/>
      <c r="D82" s="388"/>
      <c r="E82" s="389"/>
      <c r="F82" s="390"/>
      <c r="G82" s="503" t="s">
        <v>20</v>
      </c>
      <c r="H82" s="504" t="s">
        <v>64</v>
      </c>
      <c r="I82" s="505" t="s">
        <v>224</v>
      </c>
      <c r="J82" s="505" t="s">
        <v>375</v>
      </c>
      <c r="K82" s="506" t="s">
        <v>63</v>
      </c>
      <c r="L82" s="551" t="s">
        <v>33</v>
      </c>
      <c r="M82" s="508"/>
      <c r="N82" s="508"/>
      <c r="O82" s="556"/>
      <c r="P82" s="510"/>
      <c r="Q82" s="510"/>
      <c r="R82" s="511"/>
      <c r="S82" s="511"/>
      <c r="T82" s="511"/>
      <c r="U82" s="511"/>
      <c r="V82" s="511"/>
      <c r="X82" s="580" t="e">
        <f>P82=#REF!</f>
        <v>#REF!</v>
      </c>
    </row>
    <row r="83" spans="1:28" s="400" customFormat="1" ht="19.5" hidden="1" x14ac:dyDescent="0.25">
      <c r="A83" s="557"/>
      <c r="B83" s="557"/>
      <c r="C83" s="557"/>
      <c r="D83" s="558"/>
      <c r="E83" s="389"/>
      <c r="F83" s="390"/>
      <c r="G83" s="402" t="s">
        <v>4</v>
      </c>
      <c r="H83" s="434">
        <v>34357</v>
      </c>
      <c r="I83" s="404" t="s">
        <v>356</v>
      </c>
      <c r="J83" s="404"/>
      <c r="K83" s="433" t="s">
        <v>2909</v>
      </c>
      <c r="L83" s="434" t="s">
        <v>342</v>
      </c>
      <c r="M83" s="537">
        <v>0.33</v>
      </c>
      <c r="N83" s="538">
        <f>TRUNC(N82*M83,5)</f>
        <v>0</v>
      </c>
      <c r="O83" s="442">
        <v>6.63</v>
      </c>
      <c r="P83" s="409">
        <f>IFERROR(TRUNC(IF(I83="SERVIÇO",(1+$R$4)*$O83,(1+$R$5)*$O83),2),"0,00")</f>
        <v>7.62</v>
      </c>
      <c r="Q83" s="409"/>
      <c r="R83" s="410">
        <f>IF($W$3="OUTROS",TRUNC(N83*P83,2),TRUNC(N83*P83,2))</f>
        <v>0</v>
      </c>
      <c r="S83" s="410"/>
      <c r="T83" s="410"/>
      <c r="U83" s="410"/>
      <c r="V83" s="410"/>
      <c r="X83" s="580" t="e">
        <f>P83=#REF!</f>
        <v>#REF!</v>
      </c>
      <c r="AB83" s="401" t="s">
        <v>17</v>
      </c>
    </row>
    <row r="84" spans="1:28" s="400" customFormat="1" ht="19.5" hidden="1" x14ac:dyDescent="0.25">
      <c r="A84" s="557"/>
      <c r="B84" s="557"/>
      <c r="C84" s="557"/>
      <c r="D84" s="558"/>
      <c r="E84" s="389"/>
      <c r="F84" s="390"/>
      <c r="G84" s="402" t="s">
        <v>4</v>
      </c>
      <c r="H84" s="434">
        <v>34353</v>
      </c>
      <c r="I84" s="404" t="s">
        <v>356</v>
      </c>
      <c r="J84" s="404"/>
      <c r="K84" s="433" t="s">
        <v>2910</v>
      </c>
      <c r="L84" s="434" t="s">
        <v>342</v>
      </c>
      <c r="M84" s="537">
        <v>4</v>
      </c>
      <c r="N84" s="538">
        <f>TRUNC(N82*M84,5)</f>
        <v>0</v>
      </c>
      <c r="O84" s="442">
        <v>2.1</v>
      </c>
      <c r="P84" s="409">
        <f>IFERROR(TRUNC(IF(I84="SERVIÇO",(1+$R$4)*$O84,(1+$R$5)*$O84),2),"0,00")</f>
        <v>2.41</v>
      </c>
      <c r="Q84" s="409"/>
      <c r="R84" s="410">
        <f>IF($W$3="OUTROS",TRUNC(N84*P84,2),TRUNC(N84*P84,2))</f>
        <v>0</v>
      </c>
      <c r="S84" s="410"/>
      <c r="T84" s="410"/>
      <c r="U84" s="410"/>
      <c r="V84" s="410"/>
      <c r="X84" s="580" t="e">
        <f>P84=#REF!</f>
        <v>#REF!</v>
      </c>
      <c r="AB84" s="401" t="s">
        <v>17</v>
      </c>
    </row>
    <row r="85" spans="1:28" s="400" customFormat="1" ht="28.5" hidden="1" x14ac:dyDescent="0.25">
      <c r="A85" s="557"/>
      <c r="B85" s="557"/>
      <c r="C85" s="557"/>
      <c r="D85" s="558"/>
      <c r="E85" s="389"/>
      <c r="F85" s="390"/>
      <c r="G85" s="402" t="s">
        <v>4</v>
      </c>
      <c r="H85" s="434">
        <v>36178</v>
      </c>
      <c r="I85" s="404" t="s">
        <v>356</v>
      </c>
      <c r="J85" s="404"/>
      <c r="K85" s="433" t="s">
        <v>2911</v>
      </c>
      <c r="L85" s="434" t="s">
        <v>349</v>
      </c>
      <c r="M85" s="537">
        <v>6.56</v>
      </c>
      <c r="N85" s="538">
        <f>TRUNC(N82*M85,5)</f>
        <v>0</v>
      </c>
      <c r="O85" s="442">
        <v>17.82</v>
      </c>
      <c r="P85" s="409">
        <f>IFERROR(TRUNC(IF(I85="SERVIÇO",(1+$R$4)*$O85,(1+$R$5)*$O85),2),"0,00")</f>
        <v>20.49</v>
      </c>
      <c r="Q85" s="409"/>
      <c r="R85" s="410">
        <f>IF($W$3="OUTROS",TRUNC(N85*P85,2),TRUNC(N85*P85,2))</f>
        <v>0</v>
      </c>
      <c r="S85" s="410"/>
      <c r="T85" s="410"/>
      <c r="U85" s="410"/>
      <c r="V85" s="410"/>
      <c r="X85" s="580" t="e">
        <f>P85=#REF!</f>
        <v>#REF!</v>
      </c>
      <c r="AB85" s="401" t="s">
        <v>17</v>
      </c>
    </row>
    <row r="86" spans="1:28" s="400" customFormat="1" ht="28.5" hidden="1" x14ac:dyDescent="0.25">
      <c r="A86" s="557"/>
      <c r="B86" s="557"/>
      <c r="C86" s="557"/>
      <c r="D86" s="558"/>
      <c r="E86" s="389"/>
      <c r="F86" s="390"/>
      <c r="G86" s="503" t="s">
        <v>1</v>
      </c>
      <c r="H86" s="504">
        <f>'ORÇAMENTO - ORIENTATIVO'!H69</f>
        <v>93595</v>
      </c>
      <c r="I86" s="505" t="s">
        <v>224</v>
      </c>
      <c r="J86" s="505" t="s">
        <v>376</v>
      </c>
      <c r="K86" s="534" t="s">
        <v>923</v>
      </c>
      <c r="L86" s="507" t="s">
        <v>280</v>
      </c>
      <c r="M86" s="508"/>
      <c r="N86" s="508">
        <v>0</v>
      </c>
      <c r="O86" s="509"/>
      <c r="P86" s="510"/>
      <c r="Q86" s="510"/>
      <c r="R86" s="511"/>
      <c r="S86" s="511"/>
      <c r="T86" s="511"/>
      <c r="U86" s="511"/>
      <c r="V86" s="511"/>
      <c r="X86" s="580" t="e">
        <f>P86=#REF!</f>
        <v>#REF!</v>
      </c>
    </row>
    <row r="87" spans="1:28" s="400" customFormat="1" ht="19.5" hidden="1" x14ac:dyDescent="0.25">
      <c r="A87" s="557"/>
      <c r="B87" s="557"/>
      <c r="C87" s="557"/>
      <c r="D87" s="558"/>
      <c r="E87" s="389"/>
      <c r="F87" s="390"/>
      <c r="G87" s="402" t="s">
        <v>17</v>
      </c>
      <c r="H87" s="403">
        <v>1</v>
      </c>
      <c r="I87" s="404" t="s">
        <v>356</v>
      </c>
      <c r="J87" s="404"/>
      <c r="K87" s="433" t="s">
        <v>291</v>
      </c>
      <c r="L87" s="434" t="s">
        <v>292</v>
      </c>
      <c r="M87" s="537"/>
      <c r="N87" s="538">
        <f>VLOOKUP($J86,'ORÇ. ÓLEO DIESEL'!$D:$O,12,FALSE)</f>
        <v>0</v>
      </c>
      <c r="O87" s="442">
        <f>TRUNC(ANP!$E$34,2)</f>
        <v>5.99</v>
      </c>
      <c r="P87" s="409">
        <f>IFERROR(TRUNC(IF(I87="SERVIÇO",(1+$R$4)*$O87,(1+$R$5)*$O87),2),"0,00")</f>
        <v>6.88</v>
      </c>
      <c r="Q87" s="409"/>
      <c r="R87" s="410">
        <f>IF($W$3="OUTROS",TRUNC(N87*P87,2),TRUNC(N87*P87,2))</f>
        <v>0</v>
      </c>
      <c r="S87" s="410"/>
      <c r="T87" s="410"/>
      <c r="U87" s="410"/>
      <c r="V87" s="410"/>
      <c r="X87" s="580" t="e">
        <f>P87=#REF!</f>
        <v>#REF!</v>
      </c>
    </row>
    <row r="88" spans="1:28" s="400" customFormat="1" ht="28.5" hidden="1" x14ac:dyDescent="0.25">
      <c r="A88" s="557"/>
      <c r="B88" s="557"/>
      <c r="C88" s="557"/>
      <c r="D88" s="558"/>
      <c r="E88" s="389"/>
      <c r="F88" s="390"/>
      <c r="G88" s="503" t="s">
        <v>1</v>
      </c>
      <c r="H88" s="504">
        <f>'ORÇAMENTO - ORIENTATIVO'!H70</f>
        <v>95878</v>
      </c>
      <c r="I88" s="505" t="s">
        <v>224</v>
      </c>
      <c r="J88" s="505" t="s">
        <v>377</v>
      </c>
      <c r="K88" s="534" t="s">
        <v>926</v>
      </c>
      <c r="L88" s="507" t="s">
        <v>280</v>
      </c>
      <c r="M88" s="508"/>
      <c r="N88" s="508">
        <v>0</v>
      </c>
      <c r="O88" s="509"/>
      <c r="P88" s="510"/>
      <c r="Q88" s="510"/>
      <c r="R88" s="511"/>
      <c r="S88" s="511"/>
      <c r="T88" s="511"/>
      <c r="U88" s="511"/>
      <c r="V88" s="511"/>
      <c r="X88" s="580" t="e">
        <f>P88=#REF!</f>
        <v>#REF!</v>
      </c>
    </row>
    <row r="89" spans="1:28" s="400" customFormat="1" ht="19.5" hidden="1" x14ac:dyDescent="0.25">
      <c r="A89" s="557"/>
      <c r="B89" s="557"/>
      <c r="C89" s="557"/>
      <c r="D89" s="558"/>
      <c r="E89" s="389"/>
      <c r="F89" s="390"/>
      <c r="G89" s="402" t="s">
        <v>17</v>
      </c>
      <c r="H89" s="403">
        <v>1</v>
      </c>
      <c r="I89" s="404" t="s">
        <v>356</v>
      </c>
      <c r="J89" s="404"/>
      <c r="K89" s="433" t="s">
        <v>291</v>
      </c>
      <c r="L89" s="434" t="s">
        <v>292</v>
      </c>
      <c r="M89" s="537"/>
      <c r="N89" s="538">
        <f>VLOOKUP($J88,'ORÇ. ÓLEO DIESEL'!$D:$O,12,FALSE)</f>
        <v>0</v>
      </c>
      <c r="O89" s="442">
        <f>TRUNC(ANP!$E$34,2)</f>
        <v>5.99</v>
      </c>
      <c r="P89" s="409">
        <f>IFERROR(TRUNC(IF(I89="SERVIÇO",(1+$R$4)*$O89,(1+$R$5)*$O89),2),"0,00")</f>
        <v>6.88</v>
      </c>
      <c r="Q89" s="409"/>
      <c r="R89" s="410">
        <f>IF($W$3="OUTROS",TRUNC(N89*P89,2),TRUNC(N89*P89,2))</f>
        <v>0</v>
      </c>
      <c r="S89" s="410"/>
      <c r="T89" s="410"/>
      <c r="U89" s="410"/>
      <c r="V89" s="410"/>
      <c r="X89" s="580" t="e">
        <f>P89=#REF!</f>
        <v>#REF!</v>
      </c>
    </row>
    <row r="90" spans="1:28" s="400" customFormat="1" ht="42.75" hidden="1" x14ac:dyDescent="0.25">
      <c r="A90" s="557"/>
      <c r="B90" s="557"/>
      <c r="C90" s="557"/>
      <c r="D90" s="558"/>
      <c r="E90" s="389"/>
      <c r="F90" s="390"/>
      <c r="G90" s="503" t="s">
        <v>1</v>
      </c>
      <c r="H90" s="504">
        <f>'ORÇAMENTO - ORIENTATIVO'!H71</f>
        <v>93596</v>
      </c>
      <c r="I90" s="505" t="s">
        <v>224</v>
      </c>
      <c r="J90" s="505" t="s">
        <v>378</v>
      </c>
      <c r="K90" s="534" t="s">
        <v>927</v>
      </c>
      <c r="L90" s="507" t="s">
        <v>280</v>
      </c>
      <c r="M90" s="508"/>
      <c r="N90" s="508">
        <v>0</v>
      </c>
      <c r="O90" s="509"/>
      <c r="P90" s="510"/>
      <c r="Q90" s="510"/>
      <c r="R90" s="511"/>
      <c r="S90" s="511"/>
      <c r="T90" s="511"/>
      <c r="U90" s="511"/>
      <c r="V90" s="511"/>
      <c r="X90" s="580" t="e">
        <f>P90=#REF!</f>
        <v>#REF!</v>
      </c>
    </row>
    <row r="91" spans="1:28" s="400" customFormat="1" ht="19.5" hidden="1" x14ac:dyDescent="0.25">
      <c r="A91" s="557"/>
      <c r="B91" s="557"/>
      <c r="C91" s="557"/>
      <c r="D91" s="558"/>
      <c r="E91" s="389"/>
      <c r="F91" s="390"/>
      <c r="G91" s="402" t="s">
        <v>17</v>
      </c>
      <c r="H91" s="403">
        <v>1</v>
      </c>
      <c r="I91" s="404" t="s">
        <v>356</v>
      </c>
      <c r="J91" s="404"/>
      <c r="K91" s="433" t="s">
        <v>291</v>
      </c>
      <c r="L91" s="434" t="s">
        <v>292</v>
      </c>
      <c r="M91" s="537"/>
      <c r="N91" s="538">
        <f>VLOOKUP($J90,'ORÇ. ÓLEO DIESEL'!$D:$O,12,FALSE)</f>
        <v>0</v>
      </c>
      <c r="O91" s="442">
        <f>TRUNC(ANP!$E$34,2)</f>
        <v>5.99</v>
      </c>
      <c r="P91" s="409">
        <f>IFERROR(TRUNC(IF(I91="SERVIÇO",(1+$R$4)*$O91,(1+$R$5)*$O91),2),"0,00")</f>
        <v>6.88</v>
      </c>
      <c r="Q91" s="409"/>
      <c r="R91" s="410">
        <f>IF($W$3="OUTROS",TRUNC(N91*P91,2),TRUNC(N91*P91,2))</f>
        <v>0</v>
      </c>
      <c r="S91" s="410"/>
      <c r="T91" s="410"/>
      <c r="U91" s="410"/>
      <c r="V91" s="410"/>
      <c r="X91" s="580" t="e">
        <f>P91=#REF!</f>
        <v>#REF!</v>
      </c>
    </row>
    <row r="92" spans="1:28" s="400" customFormat="1" ht="19.5" x14ac:dyDescent="0.25">
      <c r="A92" s="387"/>
      <c r="B92" s="387"/>
      <c r="C92" s="387"/>
      <c r="D92" s="388"/>
      <c r="E92" s="389"/>
      <c r="F92" s="390"/>
      <c r="G92" s="413"/>
      <c r="H92" s="414"/>
      <c r="I92" s="415"/>
      <c r="J92" s="415" t="s">
        <v>379</v>
      </c>
      <c r="K92" s="416" t="s">
        <v>283</v>
      </c>
      <c r="L92" s="417"/>
      <c r="M92" s="539"/>
      <c r="N92" s="539"/>
      <c r="O92" s="436"/>
      <c r="P92" s="540"/>
      <c r="Q92" s="540"/>
      <c r="R92" s="541"/>
      <c r="S92" s="541"/>
      <c r="T92" s="541"/>
      <c r="U92" s="541"/>
      <c r="V92" s="541"/>
      <c r="X92" s="580" t="e">
        <f>P92=#REF!</f>
        <v>#REF!</v>
      </c>
    </row>
    <row r="93" spans="1:28" s="400" customFormat="1" ht="19.5" x14ac:dyDescent="0.25">
      <c r="A93" s="387"/>
      <c r="B93" s="387"/>
      <c r="C93" s="387"/>
      <c r="D93" s="388"/>
      <c r="E93" s="389"/>
      <c r="F93" s="390"/>
      <c r="G93" s="420"/>
      <c r="H93" s="421"/>
      <c r="I93" s="422"/>
      <c r="J93" s="422"/>
      <c r="K93" s="423" t="s">
        <v>284</v>
      </c>
      <c r="L93" s="424"/>
      <c r="M93" s="542"/>
      <c r="N93" s="542"/>
      <c r="O93" s="426"/>
      <c r="P93" s="427"/>
      <c r="Q93" s="427"/>
      <c r="R93" s="543"/>
      <c r="S93" s="543"/>
      <c r="T93" s="543"/>
      <c r="U93" s="543"/>
      <c r="V93" s="543"/>
      <c r="X93" s="580" t="e">
        <f>P93=#REF!</f>
        <v>#REF!</v>
      </c>
    </row>
    <row r="94" spans="1:28" s="400" customFormat="1" ht="28.5" x14ac:dyDescent="0.25">
      <c r="A94" s="387"/>
      <c r="B94" s="387"/>
      <c r="C94" s="387"/>
      <c r="D94" s="388"/>
      <c r="E94" s="389"/>
      <c r="F94" s="390"/>
      <c r="G94" s="503" t="s">
        <v>6</v>
      </c>
      <c r="H94" s="504">
        <v>5213444</v>
      </c>
      <c r="I94" s="505" t="s">
        <v>224</v>
      </c>
      <c r="J94" s="505" t="s">
        <v>380</v>
      </c>
      <c r="K94" s="534" t="s">
        <v>2928</v>
      </c>
      <c r="L94" s="507" t="s">
        <v>16</v>
      </c>
      <c r="M94" s="508"/>
      <c r="N94" s="508">
        <v>89</v>
      </c>
      <c r="O94" s="509"/>
      <c r="P94" s="510"/>
      <c r="Q94" s="510"/>
      <c r="R94" s="511"/>
      <c r="S94" s="511"/>
      <c r="T94" s="511"/>
      <c r="U94" s="511"/>
      <c r="V94" s="511"/>
      <c r="X94" s="580" t="e">
        <f>P94=#REF!</f>
        <v>#REF!</v>
      </c>
      <c r="Y94" s="412"/>
    </row>
    <row r="95" spans="1:28" s="400" customFormat="1" ht="19.5" x14ac:dyDescent="0.25">
      <c r="A95" s="535"/>
      <c r="B95" s="535"/>
      <c r="C95" s="535"/>
      <c r="D95" s="536"/>
      <c r="E95" s="389"/>
      <c r="F95" s="390"/>
      <c r="G95" s="402" t="s">
        <v>17</v>
      </c>
      <c r="H95" s="403">
        <v>1</v>
      </c>
      <c r="I95" s="404" t="s">
        <v>356</v>
      </c>
      <c r="J95" s="404"/>
      <c r="K95" s="433" t="s">
        <v>291</v>
      </c>
      <c r="L95" s="434" t="s">
        <v>292</v>
      </c>
      <c r="M95" s="537"/>
      <c r="N95" s="538">
        <f>VLOOKUP($J94,'ORÇ. ÓLEO DIESEL'!$D:$O,12,FALSE)</f>
        <v>184.23</v>
      </c>
      <c r="O95" s="442">
        <f>TRUNC(ANP!$E$34,2)</f>
        <v>5.99</v>
      </c>
      <c r="P95" s="409">
        <f>IFERROR(TRUNC(IF(I95="SERVIÇO",(1+$R$4)*$O95,(1+$R$5)*$O95),2),"0,00")</f>
        <v>6.88</v>
      </c>
      <c r="Q95" s="410">
        <f t="shared" ref="Q95" si="44">IF($W$3="OUTROS",TRUNC(N95*O95,2),TRUNC(N95*O95,2))</f>
        <v>1103.53</v>
      </c>
      <c r="R95" s="410">
        <f>IF($W$3="OUTROS",TRUNC(N95*P95,2),TRUNC(N95*P95,2))</f>
        <v>1267.5</v>
      </c>
      <c r="S95" s="410"/>
      <c r="T95" s="410">
        <f t="shared" ref="T95" si="45">R95-Q95</f>
        <v>163.97000000000003</v>
      </c>
      <c r="U95" s="410"/>
      <c r="V95" s="410">
        <f t="shared" ref="V95" si="46">Q95</f>
        <v>1103.53</v>
      </c>
      <c r="X95" s="580" t="e">
        <f>P95=#REF!</f>
        <v>#REF!</v>
      </c>
      <c r="AA95" s="401" t="s">
        <v>17</v>
      </c>
    </row>
    <row r="96" spans="1:28" s="567" customFormat="1" ht="28.5" x14ac:dyDescent="0.25">
      <c r="A96" s="559"/>
      <c r="B96" s="559"/>
      <c r="C96" s="559"/>
      <c r="D96" s="560"/>
      <c r="E96" s="561"/>
      <c r="F96" s="562"/>
      <c r="G96" s="563" t="s">
        <v>6</v>
      </c>
      <c r="H96" s="564">
        <v>5213414</v>
      </c>
      <c r="I96" s="518"/>
      <c r="J96" s="518"/>
      <c r="K96" s="520" t="s">
        <v>2939</v>
      </c>
      <c r="L96" s="521" t="s">
        <v>322</v>
      </c>
      <c r="M96" s="565">
        <v>0.36004000000000003</v>
      </c>
      <c r="N96" s="566"/>
      <c r="O96" s="524"/>
      <c r="P96" s="525"/>
      <c r="Q96" s="525"/>
      <c r="R96" s="526"/>
      <c r="S96" s="526"/>
      <c r="T96" s="526"/>
      <c r="U96" s="526"/>
      <c r="V96" s="526"/>
      <c r="X96" s="580" t="e">
        <f>P96=#REF!</f>
        <v>#REF!</v>
      </c>
    </row>
    <row r="97" spans="1:28" s="400" customFormat="1" ht="28.5" x14ac:dyDescent="0.25">
      <c r="A97" s="570"/>
      <c r="B97" s="570"/>
      <c r="C97" s="570"/>
      <c r="D97" s="571"/>
      <c r="E97" s="389"/>
      <c r="F97" s="390"/>
      <c r="G97" s="402" t="s">
        <v>13</v>
      </c>
      <c r="H97" s="403" t="s">
        <v>298</v>
      </c>
      <c r="I97" s="572" t="s">
        <v>356</v>
      </c>
      <c r="J97" s="404"/>
      <c r="K97" s="433" t="s">
        <v>329</v>
      </c>
      <c r="L97" s="434" t="s">
        <v>53</v>
      </c>
      <c r="M97" s="573">
        <v>1.7749999999999999</v>
      </c>
      <c r="N97" s="574">
        <f>TRUNC(N94*M96*M97,5)</f>
        <v>56.877310000000001</v>
      </c>
      <c r="O97" s="575">
        <v>11.648099999999999</v>
      </c>
      <c r="P97" s="409">
        <f t="shared" ref="P97:P98" si="47">IFERROR(TRUNC(IF(I97="SERVIÇO",(1+$R$4)*$O97,(1+$R$5)*$O97),2),"0,00")</f>
        <v>13.39</v>
      </c>
      <c r="Q97" s="410">
        <f t="shared" ref="Q97:Q98" si="48">IF($W$3="OUTROS",TRUNC(N97*O97,2),TRUNC(N97*O97,2))</f>
        <v>662.51</v>
      </c>
      <c r="R97" s="576">
        <f>IF($W$3="OUTROS",TRUNC(N97*P97,2),TRUNC(N97*P97,2))</f>
        <v>761.58</v>
      </c>
      <c r="S97" s="576"/>
      <c r="T97" s="410">
        <f t="shared" ref="T97:T98" si="49">R97-Q97</f>
        <v>99.07000000000005</v>
      </c>
      <c r="U97" s="576"/>
      <c r="V97" s="410">
        <f t="shared" ref="V97:V98" si="50">Q97</f>
        <v>662.51</v>
      </c>
      <c r="W97" s="577"/>
      <c r="X97" s="580" t="e">
        <f>P97=#REF!</f>
        <v>#REF!</v>
      </c>
      <c r="AB97" s="401"/>
    </row>
    <row r="98" spans="1:28" s="400" customFormat="1" ht="28.5" x14ac:dyDescent="0.25">
      <c r="A98" s="570"/>
      <c r="B98" s="570"/>
      <c r="C98" s="570"/>
      <c r="D98" s="571"/>
      <c r="E98" s="389"/>
      <c r="F98" s="390"/>
      <c r="G98" s="402" t="s">
        <v>13</v>
      </c>
      <c r="H98" s="403" t="s">
        <v>305</v>
      </c>
      <c r="I98" s="572" t="s">
        <v>356</v>
      </c>
      <c r="J98" s="404"/>
      <c r="K98" s="433" t="s">
        <v>321</v>
      </c>
      <c r="L98" s="434" t="s">
        <v>322</v>
      </c>
      <c r="M98" s="573">
        <v>1</v>
      </c>
      <c r="N98" s="574">
        <f>TRUNC(N94*M96*M98,5)</f>
        <v>32.043559999999999</v>
      </c>
      <c r="O98" s="575">
        <v>353.5</v>
      </c>
      <c r="P98" s="409">
        <f t="shared" si="47"/>
        <v>406.52</v>
      </c>
      <c r="Q98" s="410">
        <f t="shared" si="48"/>
        <v>11327.39</v>
      </c>
      <c r="R98" s="576">
        <f>IF($W$3="OUTROS",TRUNC(N98*P98,2),TRUNC(N98*P98,2))</f>
        <v>13026.34</v>
      </c>
      <c r="S98" s="576"/>
      <c r="T98" s="410">
        <f t="shared" si="49"/>
        <v>1698.9500000000007</v>
      </c>
      <c r="U98" s="576"/>
      <c r="V98" s="410">
        <f t="shared" si="50"/>
        <v>11327.39</v>
      </c>
      <c r="W98" s="577"/>
      <c r="X98" s="580" t="e">
        <f>P98=#REF!</f>
        <v>#REF!</v>
      </c>
      <c r="AB98" s="401"/>
    </row>
    <row r="99" spans="1:28" s="567" customFormat="1" ht="28.5" x14ac:dyDescent="0.25">
      <c r="A99" s="559"/>
      <c r="B99" s="559"/>
      <c r="C99" s="559"/>
      <c r="D99" s="560"/>
      <c r="E99" s="561"/>
      <c r="F99" s="562"/>
      <c r="G99" s="563" t="s">
        <v>6</v>
      </c>
      <c r="H99" s="564">
        <v>5212552</v>
      </c>
      <c r="I99" s="518"/>
      <c r="J99" s="518"/>
      <c r="K99" s="520" t="s">
        <v>2940</v>
      </c>
      <c r="L99" s="521" t="s">
        <v>322</v>
      </c>
      <c r="M99" s="565">
        <v>1</v>
      </c>
      <c r="N99" s="566"/>
      <c r="O99" s="524"/>
      <c r="P99" s="525"/>
      <c r="Q99" s="525"/>
      <c r="R99" s="526"/>
      <c r="S99" s="526"/>
      <c r="T99" s="526"/>
      <c r="U99" s="526"/>
      <c r="V99" s="526"/>
      <c r="X99" s="580" t="e">
        <f>P99=#REF!</f>
        <v>#REF!</v>
      </c>
    </row>
    <row r="100" spans="1:28" s="400" customFormat="1" ht="28.5" x14ac:dyDescent="0.25">
      <c r="A100" s="570"/>
      <c r="B100" s="570"/>
      <c r="C100" s="570"/>
      <c r="D100" s="571"/>
      <c r="E100" s="389"/>
      <c r="F100" s="390"/>
      <c r="G100" s="402" t="s">
        <v>13</v>
      </c>
      <c r="H100" s="403" t="s">
        <v>304</v>
      </c>
      <c r="I100" s="572" t="s">
        <v>356</v>
      </c>
      <c r="J100" s="404"/>
      <c r="K100" s="433" t="s">
        <v>332</v>
      </c>
      <c r="L100" s="434" t="s">
        <v>53</v>
      </c>
      <c r="M100" s="573">
        <v>0.112</v>
      </c>
      <c r="N100" s="574">
        <f>TRUNC(N94*M96*M100,5)</f>
        <v>3.58887</v>
      </c>
      <c r="O100" s="575">
        <v>71.758899999999997</v>
      </c>
      <c r="P100" s="409">
        <f>IFERROR(TRUNC(IF(I100="SERVIÇO",(1+$R$4)*$O100,(1+$R$5)*$O100),2),"0,00")</f>
        <v>82.52</v>
      </c>
      <c r="Q100" s="410">
        <f t="shared" ref="Q100" si="51">IF($W$3="OUTROS",TRUNC(N100*O100,2),TRUNC(N100*O100,2))</f>
        <v>257.52999999999997</v>
      </c>
      <c r="R100" s="576">
        <f>IF($W$3="OUTROS",TRUNC(N100*P100,2),TRUNC(N100*P100,2))</f>
        <v>296.14999999999998</v>
      </c>
      <c r="S100" s="576"/>
      <c r="T100" s="410">
        <f t="shared" ref="T100" si="52">R100-Q100</f>
        <v>38.620000000000005</v>
      </c>
      <c r="U100" s="576"/>
      <c r="V100" s="410">
        <f t="shared" ref="V100" si="53">Q100</f>
        <v>257.52999999999997</v>
      </c>
      <c r="W100" s="577"/>
      <c r="X100" s="580" t="e">
        <f>P100=#REF!</f>
        <v>#REF!</v>
      </c>
      <c r="AB100" s="401"/>
    </row>
    <row r="101" spans="1:28" s="400" customFormat="1" ht="28.5" x14ac:dyDescent="0.25">
      <c r="A101" s="387"/>
      <c r="B101" s="387"/>
      <c r="C101" s="387"/>
      <c r="D101" s="388"/>
      <c r="E101" s="389"/>
      <c r="F101" s="390"/>
      <c r="G101" s="503" t="s">
        <v>6</v>
      </c>
      <c r="H101" s="504">
        <v>5213440</v>
      </c>
      <c r="I101" s="505" t="s">
        <v>224</v>
      </c>
      <c r="J101" s="505" t="s">
        <v>381</v>
      </c>
      <c r="K101" s="534" t="s">
        <v>2929</v>
      </c>
      <c r="L101" s="507" t="s">
        <v>16</v>
      </c>
      <c r="M101" s="508"/>
      <c r="N101" s="508">
        <v>129</v>
      </c>
      <c r="O101" s="509"/>
      <c r="P101" s="510"/>
      <c r="Q101" s="510"/>
      <c r="R101" s="511"/>
      <c r="S101" s="511"/>
      <c r="T101" s="511"/>
      <c r="U101" s="511"/>
      <c r="V101" s="511"/>
      <c r="X101" s="580" t="e">
        <f>P101=#REF!</f>
        <v>#REF!</v>
      </c>
      <c r="Y101" s="412"/>
    </row>
    <row r="102" spans="1:28" s="400" customFormat="1" ht="19.5" x14ac:dyDescent="0.25">
      <c r="A102" s="535"/>
      <c r="B102" s="535"/>
      <c r="C102" s="535"/>
      <c r="D102" s="536"/>
      <c r="E102" s="389"/>
      <c r="F102" s="390"/>
      <c r="G102" s="402" t="s">
        <v>17</v>
      </c>
      <c r="H102" s="403">
        <v>1</v>
      </c>
      <c r="I102" s="404" t="s">
        <v>356</v>
      </c>
      <c r="J102" s="404"/>
      <c r="K102" s="433" t="s">
        <v>291</v>
      </c>
      <c r="L102" s="434" t="s">
        <v>292</v>
      </c>
      <c r="M102" s="537"/>
      <c r="N102" s="538">
        <f>VLOOKUP($J101,'ORÇ. ÓLEO DIESEL'!$D:$O,12,FALSE)</f>
        <v>267.02999999999997</v>
      </c>
      <c r="O102" s="442">
        <f>TRUNC(ANP!$E$34,2)</f>
        <v>5.99</v>
      </c>
      <c r="P102" s="409">
        <f>IFERROR(TRUNC(IF(I102="SERVIÇO",(1+$R$4)*$O102,(1+$R$5)*$O102),2),"0,00")</f>
        <v>6.88</v>
      </c>
      <c r="Q102" s="410">
        <f t="shared" ref="Q102" si="54">IF($W$3="OUTROS",TRUNC(N102*O102,2),TRUNC(N102*O102,2))</f>
        <v>1599.5</v>
      </c>
      <c r="R102" s="410">
        <f>IF($W$3="OUTROS",TRUNC(N102*P102,2),TRUNC(N102*P102,2))</f>
        <v>1837.16</v>
      </c>
      <c r="S102" s="410"/>
      <c r="T102" s="410">
        <f t="shared" ref="T102" si="55">R102-Q102</f>
        <v>237.66000000000008</v>
      </c>
      <c r="U102" s="410"/>
      <c r="V102" s="410">
        <f t="shared" ref="V102" si="56">Q102</f>
        <v>1599.5</v>
      </c>
      <c r="X102" s="580" t="e">
        <f>P102=#REF!</f>
        <v>#REF!</v>
      </c>
      <c r="AA102" s="401" t="s">
        <v>17</v>
      </c>
    </row>
    <row r="103" spans="1:28" s="567" customFormat="1" ht="28.5" x14ac:dyDescent="0.25">
      <c r="A103" s="559"/>
      <c r="B103" s="559"/>
      <c r="C103" s="559"/>
      <c r="D103" s="560"/>
      <c r="E103" s="561"/>
      <c r="F103" s="562"/>
      <c r="G103" s="563" t="s">
        <v>6</v>
      </c>
      <c r="H103" s="564">
        <v>5213414</v>
      </c>
      <c r="I103" s="518"/>
      <c r="J103" s="518"/>
      <c r="K103" s="520" t="s">
        <v>2939</v>
      </c>
      <c r="L103" s="521" t="s">
        <v>322</v>
      </c>
      <c r="M103" s="565">
        <v>0.35993999999999998</v>
      </c>
      <c r="N103" s="566"/>
      <c r="O103" s="524"/>
      <c r="P103" s="525"/>
      <c r="Q103" s="525"/>
      <c r="R103" s="526"/>
      <c r="S103" s="526"/>
      <c r="T103" s="526"/>
      <c r="U103" s="526"/>
      <c r="V103" s="526"/>
      <c r="X103" s="580" t="e">
        <f>P103=#REF!</f>
        <v>#REF!</v>
      </c>
    </row>
    <row r="104" spans="1:28" s="400" customFormat="1" ht="28.5" x14ac:dyDescent="0.25">
      <c r="A104" s="570"/>
      <c r="B104" s="570"/>
      <c r="C104" s="570"/>
      <c r="D104" s="571"/>
      <c r="E104" s="389"/>
      <c r="F104" s="390"/>
      <c r="G104" s="402" t="s">
        <v>13</v>
      </c>
      <c r="H104" s="403" t="s">
        <v>298</v>
      </c>
      <c r="I104" s="572" t="s">
        <v>356</v>
      </c>
      <c r="J104" s="404"/>
      <c r="K104" s="433" t="s">
        <v>329</v>
      </c>
      <c r="L104" s="434" t="s">
        <v>53</v>
      </c>
      <c r="M104" s="573">
        <v>1.7749999999999999</v>
      </c>
      <c r="N104" s="574">
        <f>TRUNC(N101*M103*M104,5)</f>
        <v>82.417259999999999</v>
      </c>
      <c r="O104" s="575">
        <v>11.648099999999999</v>
      </c>
      <c r="P104" s="409">
        <f t="shared" ref="P104:P105" si="57">IFERROR(TRUNC(IF(I104="SERVIÇO",(1+$R$4)*$O104,(1+$R$5)*$O104),2),"0,00")</f>
        <v>13.39</v>
      </c>
      <c r="Q104" s="410">
        <f t="shared" ref="Q104:Q105" si="58">IF($W$3="OUTROS",TRUNC(N104*O104,2),TRUNC(N104*O104,2))</f>
        <v>960</v>
      </c>
      <c r="R104" s="576">
        <f>IF($W$3="OUTROS",TRUNC(N104*P104,2),TRUNC(N104*P104,2))</f>
        <v>1103.56</v>
      </c>
      <c r="S104" s="576"/>
      <c r="T104" s="410">
        <f t="shared" ref="T104:T105" si="59">R104-Q104</f>
        <v>143.55999999999995</v>
      </c>
      <c r="U104" s="576"/>
      <c r="V104" s="410">
        <f t="shared" ref="V104:V105" si="60">Q104</f>
        <v>960</v>
      </c>
      <c r="W104" s="577"/>
      <c r="X104" s="580" t="e">
        <f>P104=#REF!</f>
        <v>#REF!</v>
      </c>
      <c r="AB104" s="401"/>
    </row>
    <row r="105" spans="1:28" s="400" customFormat="1" ht="28.5" x14ac:dyDescent="0.25">
      <c r="A105" s="570"/>
      <c r="B105" s="570"/>
      <c r="C105" s="570"/>
      <c r="D105" s="571"/>
      <c r="E105" s="389"/>
      <c r="F105" s="390"/>
      <c r="G105" s="402" t="s">
        <v>13</v>
      </c>
      <c r="H105" s="403" t="s">
        <v>305</v>
      </c>
      <c r="I105" s="572" t="s">
        <v>356</v>
      </c>
      <c r="J105" s="404"/>
      <c r="K105" s="433" t="s">
        <v>321</v>
      </c>
      <c r="L105" s="434" t="s">
        <v>322</v>
      </c>
      <c r="M105" s="573">
        <v>1</v>
      </c>
      <c r="N105" s="574">
        <f>TRUNC(N101*M103*M105,5)</f>
        <v>46.432259999999999</v>
      </c>
      <c r="O105" s="575">
        <v>353.5</v>
      </c>
      <c r="P105" s="409">
        <f t="shared" si="57"/>
        <v>406.52</v>
      </c>
      <c r="Q105" s="410">
        <f t="shared" si="58"/>
        <v>16413.8</v>
      </c>
      <c r="R105" s="576">
        <f>IF($W$3="OUTROS",TRUNC(N105*P105,2),TRUNC(N105*P105,2))</f>
        <v>18875.64</v>
      </c>
      <c r="S105" s="576"/>
      <c r="T105" s="410">
        <f t="shared" si="59"/>
        <v>2461.84</v>
      </c>
      <c r="U105" s="576"/>
      <c r="V105" s="410">
        <f t="shared" si="60"/>
        <v>16413.8</v>
      </c>
      <c r="W105" s="577"/>
      <c r="X105" s="580" t="e">
        <f>P105=#REF!</f>
        <v>#REF!</v>
      </c>
      <c r="AB105" s="401"/>
    </row>
    <row r="106" spans="1:28" s="567" customFormat="1" ht="28.5" x14ac:dyDescent="0.25">
      <c r="A106" s="559"/>
      <c r="B106" s="559"/>
      <c r="C106" s="559"/>
      <c r="D106" s="560"/>
      <c r="E106" s="561"/>
      <c r="F106" s="562"/>
      <c r="G106" s="563" t="s">
        <v>6</v>
      </c>
      <c r="H106" s="564">
        <v>5212552</v>
      </c>
      <c r="I106" s="518"/>
      <c r="J106" s="518"/>
      <c r="K106" s="520" t="s">
        <v>2940</v>
      </c>
      <c r="L106" s="521" t="s">
        <v>322</v>
      </c>
      <c r="M106" s="565">
        <v>1</v>
      </c>
      <c r="N106" s="566"/>
      <c r="O106" s="524"/>
      <c r="P106" s="525"/>
      <c r="Q106" s="525"/>
      <c r="R106" s="526"/>
      <c r="S106" s="526"/>
      <c r="T106" s="526"/>
      <c r="U106" s="526"/>
      <c r="V106" s="526"/>
      <c r="X106" s="580" t="e">
        <f>P106=#REF!</f>
        <v>#REF!</v>
      </c>
    </row>
    <row r="107" spans="1:28" s="400" customFormat="1" ht="28.5" x14ac:dyDescent="0.25">
      <c r="A107" s="570"/>
      <c r="B107" s="570"/>
      <c r="C107" s="570"/>
      <c r="D107" s="571"/>
      <c r="E107" s="389"/>
      <c r="F107" s="390"/>
      <c r="G107" s="402" t="s">
        <v>13</v>
      </c>
      <c r="H107" s="403" t="s">
        <v>304</v>
      </c>
      <c r="I107" s="572" t="s">
        <v>356</v>
      </c>
      <c r="J107" s="404"/>
      <c r="K107" s="433" t="s">
        <v>332</v>
      </c>
      <c r="L107" s="434" t="s">
        <v>53</v>
      </c>
      <c r="M107" s="573">
        <v>0.112</v>
      </c>
      <c r="N107" s="574">
        <f>TRUNC(N101*M103*M107,5)</f>
        <v>5.2004099999999998</v>
      </c>
      <c r="O107" s="575">
        <v>71.758899999999997</v>
      </c>
      <c r="P107" s="409">
        <f>IFERROR(TRUNC(IF(I107="SERVIÇO",(1+$R$4)*$O107,(1+$R$5)*$O107),2),"0,00")</f>
        <v>82.52</v>
      </c>
      <c r="Q107" s="410">
        <f t="shared" ref="Q107" si="61">IF($W$3="OUTROS",TRUNC(N107*O107,2),TRUNC(N107*O107,2))</f>
        <v>373.17</v>
      </c>
      <c r="R107" s="576">
        <f>IF($W$3="OUTROS",TRUNC(N107*P107,2),TRUNC(N107*P107,2))</f>
        <v>429.13</v>
      </c>
      <c r="S107" s="576"/>
      <c r="T107" s="410">
        <f t="shared" ref="T107" si="62">R107-Q107</f>
        <v>55.95999999999998</v>
      </c>
      <c r="U107" s="576"/>
      <c r="V107" s="410">
        <f t="shared" ref="V107" si="63">Q107</f>
        <v>373.17</v>
      </c>
      <c r="W107" s="577"/>
      <c r="X107" s="580" t="e">
        <f>P107=#REF!</f>
        <v>#REF!</v>
      </c>
      <c r="AB107" s="401"/>
    </row>
    <row r="108" spans="1:28" s="400" customFormat="1" ht="28.5" x14ac:dyDescent="0.25">
      <c r="A108" s="387"/>
      <c r="B108" s="387"/>
      <c r="C108" s="387"/>
      <c r="D108" s="388"/>
      <c r="E108" s="389"/>
      <c r="F108" s="390"/>
      <c r="G108" s="503" t="s">
        <v>6</v>
      </c>
      <c r="H108" s="504">
        <v>5213464</v>
      </c>
      <c r="I108" s="505" t="s">
        <v>224</v>
      </c>
      <c r="J108" s="505" t="s">
        <v>382</v>
      </c>
      <c r="K108" s="534" t="s">
        <v>2930</v>
      </c>
      <c r="L108" s="507" t="s">
        <v>16</v>
      </c>
      <c r="M108" s="508"/>
      <c r="N108" s="508">
        <v>11</v>
      </c>
      <c r="O108" s="509"/>
      <c r="P108" s="510"/>
      <c r="Q108" s="510"/>
      <c r="R108" s="511"/>
      <c r="S108" s="511"/>
      <c r="T108" s="511"/>
      <c r="U108" s="511"/>
      <c r="V108" s="511"/>
      <c r="X108" s="580" t="e">
        <f>P108=#REF!</f>
        <v>#REF!</v>
      </c>
      <c r="Y108" s="580" t="e">
        <f>R108=#REF!</f>
        <v>#REF!</v>
      </c>
    </row>
    <row r="109" spans="1:28" s="400" customFormat="1" ht="19.5" x14ac:dyDescent="0.25">
      <c r="A109" s="535"/>
      <c r="B109" s="535"/>
      <c r="C109" s="535"/>
      <c r="D109" s="536"/>
      <c r="E109" s="389"/>
      <c r="F109" s="390"/>
      <c r="G109" s="402" t="s">
        <v>17</v>
      </c>
      <c r="H109" s="403">
        <v>1</v>
      </c>
      <c r="I109" s="404" t="s">
        <v>356</v>
      </c>
      <c r="J109" s="404"/>
      <c r="K109" s="433" t="s">
        <v>291</v>
      </c>
      <c r="L109" s="434" t="s">
        <v>292</v>
      </c>
      <c r="M109" s="537"/>
      <c r="N109" s="538">
        <f>VLOOKUP($J108,'ORÇ. ÓLEO DIESEL'!$D:$O,12,FALSE)</f>
        <v>22.77</v>
      </c>
      <c r="O109" s="442">
        <f>TRUNC(ANP!$E$34,2)</f>
        <v>5.99</v>
      </c>
      <c r="P109" s="409">
        <f>IFERROR(TRUNC(IF(I109="SERVIÇO",(1+$R$4)*$O109,(1+$R$5)*$O109),2),"0,00")</f>
        <v>6.88</v>
      </c>
      <c r="Q109" s="410">
        <f t="shared" ref="Q109" si="64">IF($W$3="OUTROS",TRUNC(N109*O109,2),TRUNC(N109*O109,2))</f>
        <v>136.38999999999999</v>
      </c>
      <c r="R109" s="410">
        <f>IF($W$3="OUTROS",TRUNC(N109*P109,2),TRUNC(N109*P109,2))</f>
        <v>156.65</v>
      </c>
      <c r="S109" s="410"/>
      <c r="T109" s="410">
        <f t="shared" ref="T109" si="65">R109-Q109</f>
        <v>20.260000000000019</v>
      </c>
      <c r="U109" s="410"/>
      <c r="V109" s="410">
        <f t="shared" ref="V109" si="66">Q109</f>
        <v>136.38999999999999</v>
      </c>
      <c r="X109" s="580" t="e">
        <f>P109=#REF!</f>
        <v>#REF!</v>
      </c>
      <c r="Y109" s="580" t="e">
        <f>R109=#REF!</f>
        <v>#REF!</v>
      </c>
      <c r="AA109" s="401" t="s">
        <v>17</v>
      </c>
    </row>
    <row r="110" spans="1:28" s="567" customFormat="1" ht="28.5" x14ac:dyDescent="0.25">
      <c r="A110" s="559"/>
      <c r="B110" s="559"/>
      <c r="C110" s="559"/>
      <c r="D110" s="560"/>
      <c r="E110" s="561"/>
      <c r="F110" s="562"/>
      <c r="G110" s="563" t="s">
        <v>6</v>
      </c>
      <c r="H110" s="564">
        <v>5213414</v>
      </c>
      <c r="I110" s="518"/>
      <c r="J110" s="518"/>
      <c r="K110" s="520" t="s">
        <v>2939</v>
      </c>
      <c r="L110" s="521" t="s">
        <v>322</v>
      </c>
      <c r="M110" s="565">
        <v>0.36</v>
      </c>
      <c r="N110" s="566"/>
      <c r="O110" s="524"/>
      <c r="P110" s="525"/>
      <c r="Q110" s="525"/>
      <c r="R110" s="526"/>
      <c r="S110" s="526"/>
      <c r="T110" s="526"/>
      <c r="U110" s="526"/>
      <c r="V110" s="526"/>
      <c r="X110" s="580" t="e">
        <f>P110=#REF!</f>
        <v>#REF!</v>
      </c>
    </row>
    <row r="111" spans="1:28" s="400" customFormat="1" ht="28.5" x14ac:dyDescent="0.25">
      <c r="A111" s="570"/>
      <c r="B111" s="570"/>
      <c r="C111" s="570"/>
      <c r="D111" s="571"/>
      <c r="E111" s="389"/>
      <c r="F111" s="390"/>
      <c r="G111" s="402" t="s">
        <v>13</v>
      </c>
      <c r="H111" s="403" t="s">
        <v>298</v>
      </c>
      <c r="I111" s="572" t="s">
        <v>356</v>
      </c>
      <c r="J111" s="404"/>
      <c r="K111" s="433" t="s">
        <v>329</v>
      </c>
      <c r="L111" s="434" t="s">
        <v>53</v>
      </c>
      <c r="M111" s="573">
        <v>1.7749999999999999</v>
      </c>
      <c r="N111" s="574">
        <f>TRUNC(M110*M111*N108,5)</f>
        <v>7.0289999999999999</v>
      </c>
      <c r="O111" s="575">
        <v>11.648099999999999</v>
      </c>
      <c r="P111" s="409">
        <f t="shared" ref="P111:P112" si="67">IFERROR(TRUNC(IF(I111="SERVIÇO",(1+$R$4)*$O111,(1+$R$5)*$O111),2),"0,00")</f>
        <v>13.39</v>
      </c>
      <c r="Q111" s="410">
        <f t="shared" ref="Q111:Q112" si="68">IF($W$3="OUTROS",TRUNC(N111*O111,2),TRUNC(N111*O111,2))</f>
        <v>81.87</v>
      </c>
      <c r="R111" s="576">
        <f>IF($W$3="OUTROS",TRUNC(N111*P111,2),TRUNC(N111*P111,2))</f>
        <v>94.11</v>
      </c>
      <c r="S111" s="576"/>
      <c r="T111" s="410">
        <f t="shared" ref="T111:T112" si="69">R111-Q111</f>
        <v>12.239999999999995</v>
      </c>
      <c r="U111" s="576"/>
      <c r="V111" s="410">
        <f t="shared" ref="V111:V112" si="70">Q111</f>
        <v>81.87</v>
      </c>
      <c r="W111" s="577"/>
      <c r="X111" s="580" t="e">
        <f>P111=#REF!</f>
        <v>#REF!</v>
      </c>
      <c r="Y111" s="580" t="e">
        <f>R111=#REF!</f>
        <v>#REF!</v>
      </c>
      <c r="AB111" s="401"/>
    </row>
    <row r="112" spans="1:28" s="400" customFormat="1" ht="28.5" x14ac:dyDescent="0.25">
      <c r="A112" s="570"/>
      <c r="B112" s="570"/>
      <c r="C112" s="570"/>
      <c r="D112" s="571"/>
      <c r="E112" s="389"/>
      <c r="F112" s="390"/>
      <c r="G112" s="402" t="s">
        <v>13</v>
      </c>
      <c r="H112" s="403" t="s">
        <v>305</v>
      </c>
      <c r="I112" s="572" t="s">
        <v>356</v>
      </c>
      <c r="J112" s="404"/>
      <c r="K112" s="433" t="s">
        <v>321</v>
      </c>
      <c r="L112" s="434" t="s">
        <v>322</v>
      </c>
      <c r="M112" s="573">
        <v>1</v>
      </c>
      <c r="N112" s="574">
        <f>TRUNC(N108*M110*M112,5)</f>
        <v>3.96</v>
      </c>
      <c r="O112" s="575">
        <v>353.5</v>
      </c>
      <c r="P112" s="409">
        <f t="shared" si="67"/>
        <v>406.52</v>
      </c>
      <c r="Q112" s="410">
        <f t="shared" si="68"/>
        <v>1399.86</v>
      </c>
      <c r="R112" s="576">
        <f>IF($W$3="OUTROS",TRUNC(N112*P112,2),TRUNC(N112*P112,2))</f>
        <v>1609.81</v>
      </c>
      <c r="S112" s="576"/>
      <c r="T112" s="410">
        <f t="shared" si="69"/>
        <v>209.95000000000005</v>
      </c>
      <c r="U112" s="576"/>
      <c r="V112" s="410">
        <f t="shared" si="70"/>
        <v>1399.86</v>
      </c>
      <c r="W112" s="577"/>
      <c r="X112" s="580" t="e">
        <f>P112=#REF!</f>
        <v>#REF!</v>
      </c>
      <c r="Y112" s="580" t="e">
        <f>R112=#REF!</f>
        <v>#REF!</v>
      </c>
      <c r="AB112" s="401"/>
    </row>
    <row r="113" spans="1:36" s="567" customFormat="1" ht="28.5" x14ac:dyDescent="0.25">
      <c r="A113" s="559"/>
      <c r="B113" s="559"/>
      <c r="C113" s="559"/>
      <c r="D113" s="560"/>
      <c r="E113" s="561"/>
      <c r="F113" s="562"/>
      <c r="G113" s="563" t="s">
        <v>6</v>
      </c>
      <c r="H113" s="564">
        <v>5212552</v>
      </c>
      <c r="I113" s="518"/>
      <c r="J113" s="518"/>
      <c r="K113" s="520" t="s">
        <v>2940</v>
      </c>
      <c r="L113" s="521" t="s">
        <v>322</v>
      </c>
      <c r="M113" s="565">
        <v>1</v>
      </c>
      <c r="N113" s="566"/>
      <c r="O113" s="524"/>
      <c r="P113" s="525"/>
      <c r="Q113" s="525"/>
      <c r="R113" s="526"/>
      <c r="S113" s="526"/>
      <c r="T113" s="526"/>
      <c r="U113" s="526"/>
      <c r="V113" s="526"/>
      <c r="X113" s="580" t="e">
        <f>P113=#REF!</f>
        <v>#REF!</v>
      </c>
    </row>
    <row r="114" spans="1:36" s="400" customFormat="1" ht="28.5" x14ac:dyDescent="0.25">
      <c r="A114" s="570"/>
      <c r="B114" s="570"/>
      <c r="C114" s="570"/>
      <c r="D114" s="571"/>
      <c r="E114" s="389"/>
      <c r="F114" s="390"/>
      <c r="G114" s="402" t="s">
        <v>13</v>
      </c>
      <c r="H114" s="403" t="s">
        <v>304</v>
      </c>
      <c r="I114" s="404" t="s">
        <v>356</v>
      </c>
      <c r="J114" s="404"/>
      <c r="K114" s="433" t="s">
        <v>332</v>
      </c>
      <c r="L114" s="434" t="s">
        <v>53</v>
      </c>
      <c r="M114" s="573">
        <v>0.112</v>
      </c>
      <c r="N114" s="574">
        <f>TRUNC(N108*M110*M114,5)</f>
        <v>0.44352000000000003</v>
      </c>
      <c r="O114" s="575">
        <v>71.758899999999997</v>
      </c>
      <c r="P114" s="409">
        <f>IFERROR(TRUNC(IF(I114="SERVIÇO",(1+$R$4)*$O114,(1+$R$5)*$O114),2),"0,00")</f>
        <v>82.52</v>
      </c>
      <c r="Q114" s="410">
        <f t="shared" ref="Q114" si="71">IF($W$3="OUTROS",TRUNC(N114*O114,2),TRUNC(N114*O114,2))</f>
        <v>31.82</v>
      </c>
      <c r="R114" s="410">
        <f>IF($W$3="OUTROS",TRUNC(N114*P114,2),TRUNC(N114*P114,2))</f>
        <v>36.590000000000003</v>
      </c>
      <c r="S114" s="410"/>
      <c r="T114" s="410">
        <f t="shared" ref="T114" si="72">R114-Q114</f>
        <v>4.7700000000000031</v>
      </c>
      <c r="U114" s="410"/>
      <c r="V114" s="410">
        <f t="shared" ref="V114" si="73">Q114</f>
        <v>31.82</v>
      </c>
      <c r="W114" s="577"/>
      <c r="X114" s="580" t="e">
        <f>P114=#REF!</f>
        <v>#REF!</v>
      </c>
      <c r="Y114" s="580" t="e">
        <f>R114=#REF!</f>
        <v>#REF!</v>
      </c>
      <c r="AB114" s="401"/>
    </row>
    <row r="115" spans="1:36" s="400" customFormat="1" ht="37.5" customHeight="1" x14ac:dyDescent="0.25">
      <c r="A115" s="387"/>
      <c r="B115" s="387"/>
      <c r="C115" s="387"/>
      <c r="D115" s="388"/>
      <c r="E115" s="389"/>
      <c r="F115" s="390"/>
      <c r="G115" s="503" t="s">
        <v>6</v>
      </c>
      <c r="H115" s="504">
        <v>5213855</v>
      </c>
      <c r="I115" s="505" t="s">
        <v>224</v>
      </c>
      <c r="J115" s="505" t="s">
        <v>383</v>
      </c>
      <c r="K115" s="506" t="s">
        <v>2931</v>
      </c>
      <c r="L115" s="551" t="s">
        <v>16</v>
      </c>
      <c r="M115" s="508"/>
      <c r="N115" s="508">
        <v>89</v>
      </c>
      <c r="O115" s="556"/>
      <c r="P115" s="510"/>
      <c r="Q115" s="510"/>
      <c r="R115" s="511"/>
      <c r="S115" s="511"/>
      <c r="T115" s="511"/>
      <c r="U115" s="511"/>
      <c r="V115" s="511"/>
      <c r="X115" s="580" t="e">
        <f>P115=#REF!</f>
        <v>#REF!</v>
      </c>
      <c r="Z115" s="443"/>
      <c r="AA115" s="444"/>
      <c r="AC115" s="445"/>
      <c r="AD115" s="446"/>
      <c r="AE115" s="447"/>
      <c r="AF115" s="448"/>
      <c r="AG115" s="449"/>
      <c r="AH115" s="450"/>
      <c r="AI115" s="451"/>
      <c r="AJ115" s="452"/>
    </row>
    <row r="116" spans="1:36" s="400" customFormat="1" ht="19.5" x14ac:dyDescent="0.25">
      <c r="A116" s="535"/>
      <c r="B116" s="535"/>
      <c r="C116" s="535"/>
      <c r="D116" s="536"/>
      <c r="E116" s="389"/>
      <c r="F116" s="390"/>
      <c r="G116" s="402" t="s">
        <v>17</v>
      </c>
      <c r="H116" s="403">
        <v>1</v>
      </c>
      <c r="I116" s="404" t="s">
        <v>356</v>
      </c>
      <c r="J116" s="404"/>
      <c r="K116" s="433" t="s">
        <v>291</v>
      </c>
      <c r="L116" s="434" t="s">
        <v>292</v>
      </c>
      <c r="M116" s="537"/>
      <c r="N116" s="538">
        <f>VLOOKUP($J115,'ORÇ. ÓLEO DIESEL'!$D:$O,12,FALSE)</f>
        <v>117.57</v>
      </c>
      <c r="O116" s="442">
        <f>TRUNC(ANP!$E$34,2)</f>
        <v>5.99</v>
      </c>
      <c r="P116" s="409">
        <f t="shared" ref="P116:P118" si="74">IFERROR(TRUNC(IF(I116="SERVIÇO",(1+$R$4)*$O116,(1+$R$5)*$O116),2),"0,00")</f>
        <v>6.88</v>
      </c>
      <c r="Q116" s="410">
        <f t="shared" ref="Q116:Q118" si="75">IF($W$3="OUTROS",TRUNC(N116*O116,2),TRUNC(N116*O116,2))</f>
        <v>704.24</v>
      </c>
      <c r="R116" s="410">
        <f>IF($W$3="OUTROS",TRUNC(N116*P116,2),TRUNC(N116*P116,2))</f>
        <v>808.88</v>
      </c>
      <c r="S116" s="410"/>
      <c r="T116" s="410">
        <f t="shared" ref="T116:T118" si="76">R116-Q116</f>
        <v>104.63999999999999</v>
      </c>
      <c r="U116" s="410"/>
      <c r="V116" s="410">
        <f t="shared" ref="V116:V118" si="77">Q116</f>
        <v>704.24</v>
      </c>
      <c r="X116" s="580" t="e">
        <f>P116=#REF!</f>
        <v>#REF!</v>
      </c>
      <c r="Y116" s="580" t="e">
        <f>R116=#REF!</f>
        <v>#REF!</v>
      </c>
      <c r="AA116" s="401" t="s">
        <v>17</v>
      </c>
    </row>
    <row r="117" spans="1:36" s="400" customFormat="1" ht="42.75" x14ac:dyDescent="0.25">
      <c r="A117" s="570"/>
      <c r="B117" s="570"/>
      <c r="C117" s="570"/>
      <c r="D117" s="571"/>
      <c r="E117" s="389"/>
      <c r="F117" s="390"/>
      <c r="G117" s="402" t="s">
        <v>13</v>
      </c>
      <c r="H117" s="403" t="s">
        <v>297</v>
      </c>
      <c r="I117" s="572" t="s">
        <v>356</v>
      </c>
      <c r="J117" s="404"/>
      <c r="K117" s="433" t="s">
        <v>324</v>
      </c>
      <c r="L117" s="434" t="s">
        <v>53</v>
      </c>
      <c r="M117" s="573">
        <v>0.69699999999999995</v>
      </c>
      <c r="N117" s="574">
        <f>TRUNC(M117*N115,5)</f>
        <v>62.033000000000001</v>
      </c>
      <c r="O117" s="575">
        <v>29.9207</v>
      </c>
      <c r="P117" s="409">
        <f t="shared" si="74"/>
        <v>34.4</v>
      </c>
      <c r="Q117" s="410">
        <f t="shared" si="75"/>
        <v>1856.07</v>
      </c>
      <c r="R117" s="576">
        <f>IF($W$3="OUTROS",TRUNC(N117*P117,2),TRUNC(N117*P117,2))</f>
        <v>2133.9299999999998</v>
      </c>
      <c r="S117" s="576"/>
      <c r="T117" s="410">
        <f t="shared" si="76"/>
        <v>277.8599999999999</v>
      </c>
      <c r="U117" s="576"/>
      <c r="V117" s="410">
        <f t="shared" si="77"/>
        <v>1856.07</v>
      </c>
      <c r="W117" s="577"/>
      <c r="X117" s="580" t="e">
        <f>P117=#REF!</f>
        <v>#REF!</v>
      </c>
      <c r="Y117" s="580" t="e">
        <f>R117=#REF!</f>
        <v>#REF!</v>
      </c>
      <c r="AB117" s="401"/>
    </row>
    <row r="118" spans="1:36" s="400" customFormat="1" ht="28.5" x14ac:dyDescent="0.25">
      <c r="A118" s="570"/>
      <c r="B118" s="570"/>
      <c r="C118" s="570"/>
      <c r="D118" s="571"/>
      <c r="E118" s="389"/>
      <c r="F118" s="390"/>
      <c r="G118" s="402" t="s">
        <v>13</v>
      </c>
      <c r="H118" s="403" t="s">
        <v>296</v>
      </c>
      <c r="I118" s="572" t="s">
        <v>356</v>
      </c>
      <c r="J118" s="404"/>
      <c r="K118" s="433" t="s">
        <v>319</v>
      </c>
      <c r="L118" s="434" t="s">
        <v>53</v>
      </c>
      <c r="M118" s="573">
        <v>11.304</v>
      </c>
      <c r="N118" s="574">
        <f>TRUNC(M118*N115,5)</f>
        <v>1006.056</v>
      </c>
      <c r="O118" s="575">
        <v>28.992899999999999</v>
      </c>
      <c r="P118" s="409">
        <f t="shared" si="74"/>
        <v>33.340000000000003</v>
      </c>
      <c r="Q118" s="410">
        <f t="shared" si="75"/>
        <v>29168.48</v>
      </c>
      <c r="R118" s="576">
        <f>IF($W$3="OUTROS",TRUNC(N118*P118,2),TRUNC(N118*P118,2))</f>
        <v>33541.9</v>
      </c>
      <c r="S118" s="576"/>
      <c r="T118" s="410">
        <f t="shared" si="76"/>
        <v>4373.4200000000019</v>
      </c>
      <c r="U118" s="576"/>
      <c r="V118" s="410">
        <f t="shared" si="77"/>
        <v>29168.48</v>
      </c>
      <c r="W118" s="577"/>
      <c r="X118" s="580" t="e">
        <f>P118=#REF!</f>
        <v>#REF!</v>
      </c>
      <c r="Y118" s="580" t="e">
        <f>R118=#REF!</f>
        <v>#REF!</v>
      </c>
      <c r="AB118" s="401"/>
    </row>
    <row r="119" spans="1:36" s="567" customFormat="1" ht="28.5" x14ac:dyDescent="0.25">
      <c r="A119" s="559"/>
      <c r="B119" s="559"/>
      <c r="C119" s="559"/>
      <c r="D119" s="560"/>
      <c r="E119" s="561"/>
      <c r="F119" s="562"/>
      <c r="G119" s="563" t="s">
        <v>6</v>
      </c>
      <c r="H119" s="564">
        <v>1107892</v>
      </c>
      <c r="I119" s="518"/>
      <c r="J119" s="518"/>
      <c r="K119" s="520" t="s">
        <v>2941</v>
      </c>
      <c r="L119" s="521" t="s">
        <v>118</v>
      </c>
      <c r="M119" s="565">
        <v>5.0270000000000002E-2</v>
      </c>
      <c r="N119" s="566"/>
      <c r="O119" s="524"/>
      <c r="P119" s="525"/>
      <c r="Q119" s="525"/>
      <c r="R119" s="526"/>
      <c r="S119" s="526"/>
      <c r="T119" s="526"/>
      <c r="U119" s="526"/>
      <c r="V119" s="526"/>
      <c r="X119" s="580" t="e">
        <f>P119=#REF!</f>
        <v>#REF!</v>
      </c>
    </row>
    <row r="120" spans="1:36" s="400" customFormat="1" ht="28.5" x14ac:dyDescent="0.25">
      <c r="A120" s="570"/>
      <c r="B120" s="570"/>
      <c r="C120" s="570"/>
      <c r="D120" s="571"/>
      <c r="E120" s="389"/>
      <c r="F120" s="390"/>
      <c r="G120" s="402" t="s">
        <v>13</v>
      </c>
      <c r="H120" s="403" t="s">
        <v>293</v>
      </c>
      <c r="I120" s="572" t="s">
        <v>356</v>
      </c>
      <c r="J120" s="404"/>
      <c r="K120" s="433" t="s">
        <v>337</v>
      </c>
      <c r="L120" s="434" t="s">
        <v>53</v>
      </c>
      <c r="M120" s="573">
        <v>0.84645999999999999</v>
      </c>
      <c r="N120" s="574">
        <f>TRUNC(N115*M119*M120,5)</f>
        <v>3.78708</v>
      </c>
      <c r="O120" s="575">
        <v>6.2647000000000004</v>
      </c>
      <c r="P120" s="409">
        <f t="shared" ref="P120:P124" si="78">IFERROR(TRUNC(IF(I120="SERVIÇO",(1+$R$4)*$O120,(1+$R$5)*$O120),2),"0,00")</f>
        <v>7.2</v>
      </c>
      <c r="Q120" s="410">
        <f t="shared" ref="Q120:Q133" si="79">IF($W$3="OUTROS",TRUNC(N120*O120,2),TRUNC(N120*O120,2))</f>
        <v>23.72</v>
      </c>
      <c r="R120" s="576">
        <f>IF($W$3="OUTROS",TRUNC(N120*P120,2),TRUNC(N120*P120,2))</f>
        <v>27.26</v>
      </c>
      <c r="S120" s="576"/>
      <c r="T120" s="410">
        <f t="shared" ref="T120:T124" si="80">R120-Q120</f>
        <v>3.5400000000000027</v>
      </c>
      <c r="U120" s="576"/>
      <c r="V120" s="410">
        <f t="shared" ref="V120:V124" si="81">Q120</f>
        <v>23.72</v>
      </c>
      <c r="W120" s="577"/>
      <c r="X120" s="580" t="e">
        <f>P120=#REF!</f>
        <v>#REF!</v>
      </c>
      <c r="Y120" s="580" t="e">
        <f>R120=#REF!</f>
        <v>#REF!</v>
      </c>
      <c r="AB120" s="401"/>
    </row>
    <row r="121" spans="1:36" s="400" customFormat="1" ht="28.5" x14ac:dyDescent="0.25">
      <c r="A121" s="570"/>
      <c r="B121" s="570"/>
      <c r="C121" s="570"/>
      <c r="D121" s="571"/>
      <c r="E121" s="389"/>
      <c r="F121" s="390"/>
      <c r="G121" s="402" t="s">
        <v>13</v>
      </c>
      <c r="H121" s="403" t="s">
        <v>294</v>
      </c>
      <c r="I121" s="572" t="s">
        <v>356</v>
      </c>
      <c r="J121" s="404"/>
      <c r="K121" s="433" t="s">
        <v>331</v>
      </c>
      <c r="L121" s="434" t="s">
        <v>118</v>
      </c>
      <c r="M121" s="573">
        <v>0.63334000000000001</v>
      </c>
      <c r="N121" s="574">
        <f>TRUNC(N115*M119*M121,5)</f>
        <v>2.83358</v>
      </c>
      <c r="O121" s="575">
        <v>129.10659999999999</v>
      </c>
      <c r="P121" s="409">
        <f t="shared" si="78"/>
        <v>148.47</v>
      </c>
      <c r="Q121" s="410">
        <f t="shared" si="79"/>
        <v>365.83</v>
      </c>
      <c r="R121" s="576">
        <f>IF($W$3="OUTROS",TRUNC(N121*P121,2),TRUNC(N121*P121,2))</f>
        <v>420.7</v>
      </c>
      <c r="S121" s="576"/>
      <c r="T121" s="410">
        <f t="shared" si="80"/>
        <v>54.870000000000005</v>
      </c>
      <c r="U121" s="576"/>
      <c r="V121" s="410">
        <f t="shared" si="81"/>
        <v>365.83</v>
      </c>
      <c r="W121" s="577"/>
      <c r="X121" s="580" t="e">
        <f>P121=#REF!</f>
        <v>#REF!</v>
      </c>
      <c r="Y121" s="580" t="e">
        <f>R121=#REF!</f>
        <v>#REF!</v>
      </c>
      <c r="AB121" s="401"/>
    </row>
    <row r="122" spans="1:36" s="400" customFormat="1" ht="19.5" x14ac:dyDescent="0.25">
      <c r="A122" s="570"/>
      <c r="B122" s="570"/>
      <c r="C122" s="570"/>
      <c r="D122" s="571"/>
      <c r="E122" s="389"/>
      <c r="F122" s="390"/>
      <c r="G122" s="474" t="s">
        <v>306</v>
      </c>
      <c r="H122" s="474">
        <v>2</v>
      </c>
      <c r="I122" s="404" t="s">
        <v>356</v>
      </c>
      <c r="J122" s="531"/>
      <c r="K122" s="433" t="s">
        <v>320</v>
      </c>
      <c r="L122" s="545" t="s">
        <v>259</v>
      </c>
      <c r="M122" s="573">
        <v>0.36753999999999998</v>
      </c>
      <c r="N122" s="574">
        <f>TRUNC(N115*M119*M122,5)</f>
        <v>1.64438</v>
      </c>
      <c r="O122" s="575">
        <f>COTAÇÃOBRITA!D10</f>
        <v>135</v>
      </c>
      <c r="P122" s="409">
        <f t="shared" si="78"/>
        <v>155.25</v>
      </c>
      <c r="Q122" s="410">
        <f t="shared" si="79"/>
        <v>221.99</v>
      </c>
      <c r="R122" s="576">
        <f>IF($W$3="OUTROS",TRUNC(N122*P122,2),TRUNC(N122*P122,2))</f>
        <v>255.28</v>
      </c>
      <c r="S122" s="576"/>
      <c r="T122" s="410">
        <f t="shared" si="80"/>
        <v>33.289999999999992</v>
      </c>
      <c r="U122" s="576"/>
      <c r="V122" s="410">
        <f t="shared" si="81"/>
        <v>221.99</v>
      </c>
      <c r="W122" s="577"/>
      <c r="X122" s="580" t="e">
        <f>P122=#REF!</f>
        <v>#REF!</v>
      </c>
      <c r="Y122" s="580" t="e">
        <f>R122=#REF!</f>
        <v>#REF!</v>
      </c>
      <c r="AB122" s="401"/>
    </row>
    <row r="123" spans="1:36" s="400" customFormat="1" ht="19.5" x14ac:dyDescent="0.25">
      <c r="A123" s="570"/>
      <c r="B123" s="570"/>
      <c r="C123" s="570"/>
      <c r="D123" s="571"/>
      <c r="E123" s="389"/>
      <c r="F123" s="390"/>
      <c r="G123" s="474" t="s">
        <v>307</v>
      </c>
      <c r="H123" s="474">
        <v>3</v>
      </c>
      <c r="I123" s="404" t="s">
        <v>356</v>
      </c>
      <c r="J123" s="531"/>
      <c r="K123" s="433" t="s">
        <v>316</v>
      </c>
      <c r="L123" s="545" t="s">
        <v>259</v>
      </c>
      <c r="M123" s="573">
        <v>0.36753999999999998</v>
      </c>
      <c r="N123" s="574">
        <f>TRUNC(N115*M119*M123,5)</f>
        <v>1.64438</v>
      </c>
      <c r="O123" s="575">
        <f>COTAÇÃOBRITA!D15</f>
        <v>135</v>
      </c>
      <c r="P123" s="409">
        <f t="shared" si="78"/>
        <v>155.25</v>
      </c>
      <c r="Q123" s="410">
        <f t="shared" si="79"/>
        <v>221.99</v>
      </c>
      <c r="R123" s="576">
        <f>IF($W$3="OUTROS",TRUNC(N123*P123,2),TRUNC(N123*P123,2))</f>
        <v>255.28</v>
      </c>
      <c r="S123" s="576"/>
      <c r="T123" s="410">
        <f t="shared" si="80"/>
        <v>33.289999999999992</v>
      </c>
      <c r="U123" s="576"/>
      <c r="V123" s="410">
        <f t="shared" si="81"/>
        <v>221.99</v>
      </c>
      <c r="W123" s="577"/>
      <c r="X123" s="580" t="e">
        <f>P123=#REF!</f>
        <v>#REF!</v>
      </c>
      <c r="Y123" s="580" t="e">
        <f>R123=#REF!</f>
        <v>#REF!</v>
      </c>
      <c r="AB123" s="401"/>
    </row>
    <row r="124" spans="1:36" s="400" customFormat="1" ht="28.5" x14ac:dyDescent="0.25">
      <c r="A124" s="570"/>
      <c r="B124" s="570"/>
      <c r="C124" s="570"/>
      <c r="D124" s="571"/>
      <c r="E124" s="389"/>
      <c r="F124" s="390"/>
      <c r="G124" s="402" t="s">
        <v>13</v>
      </c>
      <c r="H124" s="403" t="s">
        <v>295</v>
      </c>
      <c r="I124" s="572" t="s">
        <v>356</v>
      </c>
      <c r="J124" s="404"/>
      <c r="K124" s="433" t="s">
        <v>328</v>
      </c>
      <c r="L124" s="434" t="s">
        <v>53</v>
      </c>
      <c r="M124" s="573">
        <v>282.15206999999998</v>
      </c>
      <c r="N124" s="574">
        <f>TRUNC(N115*M119*M124,5)</f>
        <v>1262.35682</v>
      </c>
      <c r="O124" s="575">
        <v>0.67720000000000002</v>
      </c>
      <c r="P124" s="409">
        <f t="shared" si="78"/>
        <v>0.77</v>
      </c>
      <c r="Q124" s="410">
        <f t="shared" si="79"/>
        <v>854.86</v>
      </c>
      <c r="R124" s="576">
        <f>IF($W$3="OUTROS",TRUNC(N124*P124,2),TRUNC(N124*P124,2))</f>
        <v>972.01</v>
      </c>
      <c r="S124" s="576"/>
      <c r="T124" s="410">
        <f t="shared" si="80"/>
        <v>117.14999999999998</v>
      </c>
      <c r="U124" s="576"/>
      <c r="V124" s="410">
        <f t="shared" si="81"/>
        <v>854.86</v>
      </c>
      <c r="W124" s="577"/>
      <c r="X124" s="580" t="e">
        <f>P124=#REF!</f>
        <v>#REF!</v>
      </c>
      <c r="Y124" s="580" t="e">
        <f>R124=#REF!</f>
        <v>#REF!</v>
      </c>
      <c r="AB124" s="401"/>
    </row>
    <row r="125" spans="1:36" s="400" customFormat="1" ht="42.75" x14ac:dyDescent="0.25">
      <c r="A125" s="387"/>
      <c r="B125" s="387"/>
      <c r="C125" s="387"/>
      <c r="D125" s="388"/>
      <c r="E125" s="389"/>
      <c r="F125" s="390"/>
      <c r="G125" s="503" t="s">
        <v>6</v>
      </c>
      <c r="H125" s="504">
        <v>5213863</v>
      </c>
      <c r="I125" s="505" t="s">
        <v>224</v>
      </c>
      <c r="J125" s="505" t="s">
        <v>384</v>
      </c>
      <c r="K125" s="534" t="s">
        <v>2932</v>
      </c>
      <c r="L125" s="507" t="s">
        <v>16</v>
      </c>
      <c r="M125" s="508"/>
      <c r="N125" s="508">
        <v>140</v>
      </c>
      <c r="O125" s="509"/>
      <c r="P125" s="510"/>
      <c r="Q125" s="510"/>
      <c r="R125" s="511"/>
      <c r="S125" s="511"/>
      <c r="T125" s="511"/>
      <c r="U125" s="511"/>
      <c r="V125" s="511"/>
      <c r="X125" s="580" t="e">
        <f>P125=#REF!</f>
        <v>#REF!</v>
      </c>
    </row>
    <row r="126" spans="1:36" s="400" customFormat="1" ht="42.75" x14ac:dyDescent="0.25">
      <c r="A126" s="570"/>
      <c r="B126" s="570"/>
      <c r="C126" s="570"/>
      <c r="D126" s="571"/>
      <c r="E126" s="389"/>
      <c r="F126" s="390"/>
      <c r="G126" s="402" t="s">
        <v>13</v>
      </c>
      <c r="H126" s="403" t="s">
        <v>297</v>
      </c>
      <c r="I126" s="572" t="s">
        <v>356</v>
      </c>
      <c r="J126" s="404"/>
      <c r="K126" s="433" t="s">
        <v>324</v>
      </c>
      <c r="L126" s="434" t="s">
        <v>53</v>
      </c>
      <c r="M126" s="573">
        <v>0.69699999999999995</v>
      </c>
      <c r="N126" s="574">
        <f>TRUNC(M126*N125,5)</f>
        <v>97.58</v>
      </c>
      <c r="O126" s="575">
        <v>29.9207</v>
      </c>
      <c r="P126" s="409">
        <f t="shared" ref="P126:P127" si="82">IFERROR(TRUNC(IF(I126="SERVIÇO",(1+$R$4)*$O126,(1+$R$5)*$O126),2),"0,00")</f>
        <v>34.4</v>
      </c>
      <c r="Q126" s="410">
        <f t="shared" si="79"/>
        <v>2919.66</v>
      </c>
      <c r="R126" s="576">
        <f>IF($W$3="OUTROS",TRUNC(N126*P126,2),TRUNC(N126*P126,2))</f>
        <v>3356.75</v>
      </c>
      <c r="S126" s="576"/>
      <c r="T126" s="410">
        <f t="shared" ref="T126:T127" si="83">R126-Q126</f>
        <v>437.09000000000015</v>
      </c>
      <c r="U126" s="576"/>
      <c r="V126" s="410">
        <f t="shared" ref="V126:V127" si="84">Q126</f>
        <v>2919.66</v>
      </c>
      <c r="W126" s="577"/>
      <c r="X126" s="580" t="e">
        <f>P126=#REF!</f>
        <v>#REF!</v>
      </c>
      <c r="Y126" s="580" t="e">
        <f>R126=#REF!</f>
        <v>#REF!</v>
      </c>
      <c r="AB126" s="401"/>
    </row>
    <row r="127" spans="1:36" s="400" customFormat="1" ht="28.5" x14ac:dyDescent="0.25">
      <c r="A127" s="570"/>
      <c r="B127" s="570"/>
      <c r="C127" s="570"/>
      <c r="D127" s="571"/>
      <c r="E127" s="389"/>
      <c r="F127" s="390"/>
      <c r="G127" s="402" t="s">
        <v>13</v>
      </c>
      <c r="H127" s="403" t="s">
        <v>296</v>
      </c>
      <c r="I127" s="404" t="s">
        <v>356</v>
      </c>
      <c r="J127" s="404"/>
      <c r="K127" s="433" t="s">
        <v>319</v>
      </c>
      <c r="L127" s="434" t="s">
        <v>53</v>
      </c>
      <c r="M127" s="573">
        <v>11.304</v>
      </c>
      <c r="N127" s="574">
        <f>TRUNC(M127*N125,5)</f>
        <v>1582.56</v>
      </c>
      <c r="O127" s="575">
        <v>28.992899999999999</v>
      </c>
      <c r="P127" s="409">
        <f t="shared" si="82"/>
        <v>33.340000000000003</v>
      </c>
      <c r="Q127" s="410">
        <f t="shared" si="79"/>
        <v>45883</v>
      </c>
      <c r="R127" s="410">
        <f>IF($W$3="OUTROS",TRUNC(N127*P127,2),TRUNC(N127*P127,2))</f>
        <v>52762.55</v>
      </c>
      <c r="S127" s="410"/>
      <c r="T127" s="410">
        <f t="shared" si="83"/>
        <v>6879.5500000000029</v>
      </c>
      <c r="U127" s="410"/>
      <c r="V127" s="410">
        <f t="shared" si="84"/>
        <v>45883</v>
      </c>
      <c r="W127" s="577"/>
      <c r="X127" s="580" t="e">
        <f>P127=#REF!</f>
        <v>#REF!</v>
      </c>
      <c r="Y127" s="580" t="e">
        <f>R127=#REF!</f>
        <v>#REF!</v>
      </c>
      <c r="AB127" s="401"/>
    </row>
    <row r="128" spans="1:36" s="567" customFormat="1" ht="28.5" x14ac:dyDescent="0.25">
      <c r="A128" s="559"/>
      <c r="B128" s="559"/>
      <c r="C128" s="559"/>
      <c r="D128" s="560"/>
      <c r="E128" s="561"/>
      <c r="F128" s="562"/>
      <c r="G128" s="563" t="s">
        <v>6</v>
      </c>
      <c r="H128" s="564">
        <v>1107892</v>
      </c>
      <c r="I128" s="518"/>
      <c r="J128" s="518"/>
      <c r="K128" s="520" t="s">
        <v>2941</v>
      </c>
      <c r="L128" s="521" t="s">
        <v>118</v>
      </c>
      <c r="M128" s="565">
        <v>5.0270000000000002E-2</v>
      </c>
      <c r="N128" s="566"/>
      <c r="O128" s="524"/>
      <c r="P128" s="525"/>
      <c r="Q128" s="525"/>
      <c r="R128" s="526"/>
      <c r="S128" s="526"/>
      <c r="T128" s="526"/>
      <c r="U128" s="526"/>
      <c r="V128" s="526"/>
      <c r="X128" s="580" t="e">
        <f>P128=#REF!</f>
        <v>#REF!</v>
      </c>
    </row>
    <row r="129" spans="1:35" s="400" customFormat="1" ht="28.5" x14ac:dyDescent="0.25">
      <c r="A129" s="570"/>
      <c r="B129" s="570"/>
      <c r="C129" s="570"/>
      <c r="D129" s="571"/>
      <c r="E129" s="389"/>
      <c r="F129" s="390"/>
      <c r="G129" s="402" t="s">
        <v>13</v>
      </c>
      <c r="H129" s="403" t="s">
        <v>293</v>
      </c>
      <c r="I129" s="572" t="s">
        <v>356</v>
      </c>
      <c r="J129" s="404"/>
      <c r="K129" s="433" t="s">
        <v>337</v>
      </c>
      <c r="L129" s="434" t="s">
        <v>53</v>
      </c>
      <c r="M129" s="573">
        <v>0.84645999999999999</v>
      </c>
      <c r="N129" s="574">
        <f>TRUNC(N125*M128*M129,5)</f>
        <v>5.9572099999999999</v>
      </c>
      <c r="O129" s="575">
        <v>6.2647000000000004</v>
      </c>
      <c r="P129" s="409">
        <f t="shared" ref="P129:P133" si="85">IFERROR(TRUNC(IF(I129="SERVIÇO",(1+$R$4)*$O129,(1+$R$5)*$O129),2),"0,00")</f>
        <v>7.2</v>
      </c>
      <c r="Q129" s="410">
        <f t="shared" si="79"/>
        <v>37.32</v>
      </c>
      <c r="R129" s="576">
        <f>IF($W$3="OUTROS",TRUNC(N129*P129,2),TRUNC(N129*P129,2))</f>
        <v>42.89</v>
      </c>
      <c r="S129" s="576"/>
      <c r="T129" s="410">
        <f t="shared" ref="T129:T133" si="86">R129-Q129</f>
        <v>5.57</v>
      </c>
      <c r="U129" s="576"/>
      <c r="V129" s="410">
        <f t="shared" ref="V129:V133" si="87">Q129</f>
        <v>37.32</v>
      </c>
      <c r="W129" s="577"/>
      <c r="X129" s="580" t="e">
        <f>P129=#REF!</f>
        <v>#REF!</v>
      </c>
      <c r="Y129" s="580" t="e">
        <f>R129=#REF!</f>
        <v>#REF!</v>
      </c>
      <c r="AB129" s="401"/>
    </row>
    <row r="130" spans="1:35" s="400" customFormat="1" ht="28.5" x14ac:dyDescent="0.25">
      <c r="A130" s="570"/>
      <c r="B130" s="570"/>
      <c r="C130" s="570"/>
      <c r="D130" s="571"/>
      <c r="E130" s="389"/>
      <c r="F130" s="390"/>
      <c r="G130" s="402" t="s">
        <v>13</v>
      </c>
      <c r="H130" s="403" t="s">
        <v>294</v>
      </c>
      <c r="I130" s="572" t="s">
        <v>356</v>
      </c>
      <c r="J130" s="404"/>
      <c r="K130" s="433" t="s">
        <v>331</v>
      </c>
      <c r="L130" s="434" t="s">
        <v>118</v>
      </c>
      <c r="M130" s="573">
        <v>0.63334000000000001</v>
      </c>
      <c r="N130" s="574">
        <f>TRUNC(N125*M128*M130,5)</f>
        <v>4.4573200000000002</v>
      </c>
      <c r="O130" s="575">
        <v>129.10659999999999</v>
      </c>
      <c r="P130" s="409">
        <f t="shared" si="85"/>
        <v>148.47</v>
      </c>
      <c r="Q130" s="410">
        <f t="shared" si="79"/>
        <v>575.46</v>
      </c>
      <c r="R130" s="576">
        <f>IF($W$3="OUTROS",TRUNC(N130*P130,2),TRUNC(N130*P130,2))</f>
        <v>661.77</v>
      </c>
      <c r="S130" s="576"/>
      <c r="T130" s="410">
        <f t="shared" si="86"/>
        <v>86.309999999999945</v>
      </c>
      <c r="U130" s="576"/>
      <c r="V130" s="410">
        <f t="shared" si="87"/>
        <v>575.46</v>
      </c>
      <c r="W130" s="577"/>
      <c r="X130" s="580" t="e">
        <f>P130=#REF!</f>
        <v>#REF!</v>
      </c>
      <c r="Y130" s="580" t="e">
        <f>R130=#REF!</f>
        <v>#REF!</v>
      </c>
      <c r="AB130" s="401"/>
    </row>
    <row r="131" spans="1:35" s="400" customFormat="1" ht="19.5" x14ac:dyDescent="0.25">
      <c r="A131" s="570"/>
      <c r="B131" s="570"/>
      <c r="C131" s="570"/>
      <c r="D131" s="571"/>
      <c r="E131" s="389"/>
      <c r="F131" s="390"/>
      <c r="G131" s="474" t="s">
        <v>306</v>
      </c>
      <c r="H131" s="474">
        <v>2</v>
      </c>
      <c r="I131" s="404" t="s">
        <v>356</v>
      </c>
      <c r="J131" s="531"/>
      <c r="K131" s="433" t="s">
        <v>320</v>
      </c>
      <c r="L131" s="545" t="s">
        <v>259</v>
      </c>
      <c r="M131" s="573">
        <v>0.36753999999999998</v>
      </c>
      <c r="N131" s="574">
        <f>TRUNC(N125*M128*M131,5)</f>
        <v>2.5866699999999998</v>
      </c>
      <c r="O131" s="575">
        <f>COTAÇÃOBRITA!D10</f>
        <v>135</v>
      </c>
      <c r="P131" s="409">
        <f t="shared" si="85"/>
        <v>155.25</v>
      </c>
      <c r="Q131" s="410">
        <f t="shared" si="79"/>
        <v>349.2</v>
      </c>
      <c r="R131" s="576">
        <f>IF($W$3="OUTROS",TRUNC(N131*P131,2),TRUNC(N131*P131,2))</f>
        <v>401.58</v>
      </c>
      <c r="S131" s="576"/>
      <c r="T131" s="410">
        <f t="shared" si="86"/>
        <v>52.379999999999995</v>
      </c>
      <c r="U131" s="576"/>
      <c r="V131" s="410">
        <f t="shared" si="87"/>
        <v>349.2</v>
      </c>
      <c r="W131" s="578"/>
      <c r="X131" s="580" t="e">
        <f>P131=#REF!</f>
        <v>#REF!</v>
      </c>
      <c r="Y131" s="580" t="e">
        <f>R131=#REF!</f>
        <v>#REF!</v>
      </c>
      <c r="AB131" s="401"/>
    </row>
    <row r="132" spans="1:35" s="400" customFormat="1" ht="19.5" x14ac:dyDescent="0.25">
      <c r="A132" s="570"/>
      <c r="B132" s="570"/>
      <c r="C132" s="570"/>
      <c r="D132" s="571"/>
      <c r="E132" s="389"/>
      <c r="F132" s="390"/>
      <c r="G132" s="474" t="s">
        <v>307</v>
      </c>
      <c r="H132" s="474">
        <v>3</v>
      </c>
      <c r="I132" s="404" t="s">
        <v>356</v>
      </c>
      <c r="J132" s="531"/>
      <c r="K132" s="433" t="s">
        <v>316</v>
      </c>
      <c r="L132" s="545" t="s">
        <v>259</v>
      </c>
      <c r="M132" s="573">
        <v>0.36753999999999998</v>
      </c>
      <c r="N132" s="574">
        <f>TRUNC(N125*M128*M132,5)</f>
        <v>2.5866699999999998</v>
      </c>
      <c r="O132" s="575">
        <f>COTAÇÃOBRITA!D15</f>
        <v>135</v>
      </c>
      <c r="P132" s="409">
        <f t="shared" si="85"/>
        <v>155.25</v>
      </c>
      <c r="Q132" s="410">
        <f t="shared" si="79"/>
        <v>349.2</v>
      </c>
      <c r="R132" s="576">
        <f>IF($W$3="OUTROS",TRUNC(N132*P132,2),TRUNC(N132*P132,2))</f>
        <v>401.58</v>
      </c>
      <c r="S132" s="576"/>
      <c r="T132" s="410">
        <f t="shared" si="86"/>
        <v>52.379999999999995</v>
      </c>
      <c r="U132" s="576"/>
      <c r="V132" s="410">
        <f t="shared" si="87"/>
        <v>349.2</v>
      </c>
      <c r="W132" s="577"/>
      <c r="X132" s="580" t="e">
        <f>P132=#REF!</f>
        <v>#REF!</v>
      </c>
      <c r="Y132" s="580" t="e">
        <f>R132=#REF!</f>
        <v>#REF!</v>
      </c>
      <c r="AB132" s="401"/>
    </row>
    <row r="133" spans="1:35" s="400" customFormat="1" ht="28.5" x14ac:dyDescent="0.25">
      <c r="A133" s="570"/>
      <c r="B133" s="570"/>
      <c r="C133" s="570"/>
      <c r="D133" s="571"/>
      <c r="E133" s="389"/>
      <c r="F133" s="390"/>
      <c r="G133" s="402" t="s">
        <v>13</v>
      </c>
      <c r="H133" s="403" t="s">
        <v>295</v>
      </c>
      <c r="I133" s="404" t="s">
        <v>356</v>
      </c>
      <c r="J133" s="404"/>
      <c r="K133" s="433" t="s">
        <v>328</v>
      </c>
      <c r="L133" s="434" t="s">
        <v>53</v>
      </c>
      <c r="M133" s="573">
        <v>282.15206999999998</v>
      </c>
      <c r="N133" s="574">
        <f>TRUNC(N125*M128*M133,5)</f>
        <v>1985.72983</v>
      </c>
      <c r="O133" s="575">
        <v>0.67720000000000002</v>
      </c>
      <c r="P133" s="409">
        <f t="shared" si="85"/>
        <v>0.77</v>
      </c>
      <c r="Q133" s="410">
        <f t="shared" si="79"/>
        <v>1344.73</v>
      </c>
      <c r="R133" s="410">
        <f>IF($W$3="OUTROS",TRUNC(N133*P133,2),TRUNC(N133*P133,2))</f>
        <v>1529.01</v>
      </c>
      <c r="S133" s="410"/>
      <c r="T133" s="410">
        <f t="shared" si="86"/>
        <v>184.27999999999997</v>
      </c>
      <c r="U133" s="410"/>
      <c r="V133" s="410">
        <f t="shared" si="87"/>
        <v>1344.73</v>
      </c>
      <c r="W133" s="577"/>
      <c r="X133" s="580" t="e">
        <f>P133=#REF!</f>
        <v>#REF!</v>
      </c>
      <c r="Y133" s="580" t="e">
        <f>R133=#REF!</f>
        <v>#REF!</v>
      </c>
      <c r="AB133" s="401"/>
    </row>
    <row r="134" spans="1:35" s="400" customFormat="1" ht="19.5" x14ac:dyDescent="0.25">
      <c r="A134" s="387"/>
      <c r="B134" s="387"/>
      <c r="C134" s="387"/>
      <c r="D134" s="388"/>
      <c r="E134" s="389"/>
      <c r="F134" s="390"/>
      <c r="G134" s="391"/>
      <c r="H134" s="392"/>
      <c r="I134" s="393"/>
      <c r="J134" s="393"/>
      <c r="K134" s="428" t="s">
        <v>285</v>
      </c>
      <c r="L134" s="396"/>
      <c r="M134" s="500"/>
      <c r="N134" s="500"/>
      <c r="O134" s="429"/>
      <c r="P134" s="430"/>
      <c r="Q134" s="430"/>
      <c r="R134" s="501"/>
      <c r="S134" s="501"/>
      <c r="T134" s="501"/>
      <c r="U134" s="501"/>
      <c r="V134" s="501"/>
      <c r="X134" s="580" t="e">
        <f>P134=#REF!</f>
        <v>#REF!</v>
      </c>
    </row>
    <row r="135" spans="1:35" s="400" customFormat="1" ht="28.5" x14ac:dyDescent="0.25">
      <c r="A135" s="387"/>
      <c r="B135" s="387"/>
      <c r="C135" s="387"/>
      <c r="D135" s="388"/>
      <c r="E135" s="389"/>
      <c r="F135" s="390"/>
      <c r="G135" s="503" t="s">
        <v>6</v>
      </c>
      <c r="H135" s="504">
        <v>5213401</v>
      </c>
      <c r="I135" s="505" t="s">
        <v>224</v>
      </c>
      <c r="J135" s="505" t="s">
        <v>385</v>
      </c>
      <c r="K135" s="534" t="s">
        <v>957</v>
      </c>
      <c r="L135" s="507" t="s">
        <v>322</v>
      </c>
      <c r="M135" s="508"/>
      <c r="N135" s="508">
        <v>2060.91</v>
      </c>
      <c r="O135" s="509"/>
      <c r="P135" s="510"/>
      <c r="Q135" s="510"/>
      <c r="R135" s="511"/>
      <c r="S135" s="511"/>
      <c r="T135" s="511"/>
      <c r="U135" s="511"/>
      <c r="V135" s="511"/>
      <c r="X135" s="580" t="e">
        <f>P135=#REF!</f>
        <v>#REF!</v>
      </c>
      <c r="AI135" s="453"/>
    </row>
    <row r="136" spans="1:35" s="400" customFormat="1" ht="19.5" x14ac:dyDescent="0.25">
      <c r="A136" s="535"/>
      <c r="B136" s="535"/>
      <c r="C136" s="535"/>
      <c r="D136" s="536"/>
      <c r="E136" s="389"/>
      <c r="F136" s="390"/>
      <c r="G136" s="402" t="s">
        <v>17</v>
      </c>
      <c r="H136" s="403">
        <v>1</v>
      </c>
      <c r="I136" s="404" t="s">
        <v>356</v>
      </c>
      <c r="J136" s="404"/>
      <c r="K136" s="433" t="s">
        <v>291</v>
      </c>
      <c r="L136" s="434" t="s">
        <v>292</v>
      </c>
      <c r="M136" s="537"/>
      <c r="N136" s="538">
        <f>VLOOKUP($J135,'ORÇ. ÓLEO DIESEL'!$D:$O,12,FALSE)</f>
        <v>354.88</v>
      </c>
      <c r="O136" s="442">
        <f>TRUNC(ANP!$E$34,2)</f>
        <v>5.99</v>
      </c>
      <c r="P136" s="409">
        <f t="shared" ref="P136:P141" si="88">IFERROR(TRUNC(IF(I136="SERVIÇO",(1+$R$4)*$O136,(1+$R$5)*$O136),2),"0,00")</f>
        <v>6.88</v>
      </c>
      <c r="Q136" s="410">
        <f t="shared" ref="Q136:Q141" si="89">IF($W$3="OUTROS",TRUNC(N136*O136,2),TRUNC(N136*O136,2))</f>
        <v>2125.73</v>
      </c>
      <c r="R136" s="410">
        <f t="shared" ref="R136:R141" si="90">IF($W$3="OUTROS",TRUNC(N136*P136,2),TRUNC(N136*P136,2))</f>
        <v>2441.5700000000002</v>
      </c>
      <c r="S136" s="410"/>
      <c r="T136" s="410">
        <f t="shared" ref="T136:T141" si="91">R136-Q136</f>
        <v>315.84000000000015</v>
      </c>
      <c r="U136" s="410"/>
      <c r="V136" s="410">
        <f t="shared" ref="V136:V141" si="92">Q136</f>
        <v>2125.73</v>
      </c>
      <c r="X136" s="580" t="e">
        <f>P136=#REF!</f>
        <v>#REF!</v>
      </c>
      <c r="Y136" s="580" t="e">
        <f>R136=#REF!</f>
        <v>#REF!</v>
      </c>
      <c r="AA136" s="401" t="s">
        <v>17</v>
      </c>
    </row>
    <row r="137" spans="1:35" s="400" customFormat="1" ht="28.5" x14ac:dyDescent="0.25">
      <c r="A137" s="570"/>
      <c r="B137" s="570"/>
      <c r="C137" s="570"/>
      <c r="D137" s="571"/>
      <c r="E137" s="389"/>
      <c r="F137" s="390"/>
      <c r="G137" s="402" t="s">
        <v>13</v>
      </c>
      <c r="H137" s="403" t="s">
        <v>301</v>
      </c>
      <c r="I137" s="572" t="s">
        <v>356</v>
      </c>
      <c r="J137" s="404"/>
      <c r="K137" s="433" t="s">
        <v>327</v>
      </c>
      <c r="L137" s="434" t="s">
        <v>53</v>
      </c>
      <c r="M137" s="573">
        <v>0.12</v>
      </c>
      <c r="N137" s="574">
        <f>TRUNC(M137*N135,5)</f>
        <v>247.3092</v>
      </c>
      <c r="O137" s="575">
        <v>10.7607</v>
      </c>
      <c r="P137" s="409">
        <f t="shared" si="88"/>
        <v>12.37</v>
      </c>
      <c r="Q137" s="410">
        <f t="shared" si="89"/>
        <v>2661.22</v>
      </c>
      <c r="R137" s="576">
        <f t="shared" si="90"/>
        <v>3059.21</v>
      </c>
      <c r="S137" s="576"/>
      <c r="T137" s="410">
        <f t="shared" si="91"/>
        <v>397.99000000000024</v>
      </c>
      <c r="U137" s="576"/>
      <c r="V137" s="410">
        <f t="shared" si="92"/>
        <v>2661.22</v>
      </c>
      <c r="W137" s="577"/>
      <c r="X137" s="580" t="e">
        <f>P137=#REF!</f>
        <v>#REF!</v>
      </c>
      <c r="Y137" s="580" t="e">
        <f>R137=#REF!</f>
        <v>#REF!</v>
      </c>
      <c r="AB137" s="401"/>
    </row>
    <row r="138" spans="1:35" s="400" customFormat="1" ht="28.5" x14ac:dyDescent="0.25">
      <c r="A138" s="570"/>
      <c r="B138" s="570"/>
      <c r="C138" s="570"/>
      <c r="D138" s="571"/>
      <c r="E138" s="389"/>
      <c r="F138" s="390"/>
      <c r="G138" s="402" t="s">
        <v>13</v>
      </c>
      <c r="H138" s="403" t="s">
        <v>302</v>
      </c>
      <c r="I138" s="572" t="s">
        <v>356</v>
      </c>
      <c r="J138" s="404"/>
      <c r="K138" s="433" t="s">
        <v>323</v>
      </c>
      <c r="L138" s="434" t="s">
        <v>53</v>
      </c>
      <c r="M138" s="573">
        <v>0.35</v>
      </c>
      <c r="N138" s="574">
        <f>TRUNC(M138*N135,5)</f>
        <v>721.31849999999997</v>
      </c>
      <c r="O138" s="575">
        <v>11.3133</v>
      </c>
      <c r="P138" s="409">
        <f t="shared" si="88"/>
        <v>13.01</v>
      </c>
      <c r="Q138" s="410">
        <f t="shared" si="89"/>
        <v>8160.49</v>
      </c>
      <c r="R138" s="576">
        <f t="shared" si="90"/>
        <v>9384.35</v>
      </c>
      <c r="S138" s="576"/>
      <c r="T138" s="410">
        <f t="shared" si="91"/>
        <v>1223.8600000000006</v>
      </c>
      <c r="U138" s="576"/>
      <c r="V138" s="410">
        <f t="shared" si="92"/>
        <v>8160.49</v>
      </c>
      <c r="W138" s="577"/>
      <c r="X138" s="580" t="e">
        <f>P138=#REF!</f>
        <v>#REF!</v>
      </c>
      <c r="Y138" s="580" t="e">
        <f>R138=#REF!</f>
        <v>#REF!</v>
      </c>
      <c r="AB138" s="401"/>
    </row>
    <row r="139" spans="1:35" s="400" customFormat="1" ht="28.5" x14ac:dyDescent="0.25">
      <c r="A139" s="570"/>
      <c r="B139" s="570"/>
      <c r="C139" s="570"/>
      <c r="D139" s="571"/>
      <c r="E139" s="389"/>
      <c r="F139" s="390"/>
      <c r="G139" s="402" t="s">
        <v>13</v>
      </c>
      <c r="H139" s="403" t="s">
        <v>300</v>
      </c>
      <c r="I139" s="404" t="s">
        <v>356</v>
      </c>
      <c r="J139" s="404"/>
      <c r="K139" s="433" t="s">
        <v>330</v>
      </c>
      <c r="L139" s="434" t="s">
        <v>318</v>
      </c>
      <c r="M139" s="573">
        <v>0.03</v>
      </c>
      <c r="N139" s="574">
        <f>TRUNC(M139*N135,5)</f>
        <v>61.827300000000001</v>
      </c>
      <c r="O139" s="575">
        <v>16.2545</v>
      </c>
      <c r="P139" s="409">
        <f t="shared" si="88"/>
        <v>18.690000000000001</v>
      </c>
      <c r="Q139" s="410">
        <f t="shared" si="89"/>
        <v>1004.97</v>
      </c>
      <c r="R139" s="410">
        <f t="shared" si="90"/>
        <v>1155.55</v>
      </c>
      <c r="S139" s="410"/>
      <c r="T139" s="410">
        <f t="shared" si="91"/>
        <v>150.57999999999993</v>
      </c>
      <c r="U139" s="410"/>
      <c r="V139" s="410">
        <f t="shared" si="92"/>
        <v>1004.97</v>
      </c>
      <c r="W139" s="577"/>
      <c r="X139" s="580" t="e">
        <f>P139=#REF!</f>
        <v>#REF!</v>
      </c>
      <c r="Y139" s="580" t="e">
        <f>R139=#REF!</f>
        <v>#REF!</v>
      </c>
      <c r="AB139" s="401"/>
    </row>
    <row r="140" spans="1:35" s="400" customFormat="1" ht="28.5" x14ac:dyDescent="0.25">
      <c r="A140" s="570"/>
      <c r="B140" s="570"/>
      <c r="C140" s="570"/>
      <c r="D140" s="571"/>
      <c r="E140" s="389"/>
      <c r="F140" s="390"/>
      <c r="G140" s="402" t="s">
        <v>13</v>
      </c>
      <c r="H140" s="403" t="s">
        <v>303</v>
      </c>
      <c r="I140" s="404" t="s">
        <v>356</v>
      </c>
      <c r="J140" s="404"/>
      <c r="K140" s="433" t="s">
        <v>338</v>
      </c>
      <c r="L140" s="434" t="s">
        <v>318</v>
      </c>
      <c r="M140" s="573">
        <v>9.7000000000000005E-4</v>
      </c>
      <c r="N140" s="574">
        <f>TRUNC(M140*N135,5)</f>
        <v>1.99908</v>
      </c>
      <c r="O140" s="575">
        <v>22.289400000000001</v>
      </c>
      <c r="P140" s="409">
        <f t="shared" si="88"/>
        <v>25.63</v>
      </c>
      <c r="Q140" s="410">
        <f t="shared" si="89"/>
        <v>44.55</v>
      </c>
      <c r="R140" s="410">
        <f t="shared" si="90"/>
        <v>51.23</v>
      </c>
      <c r="S140" s="410"/>
      <c r="T140" s="410">
        <f t="shared" si="91"/>
        <v>6.68</v>
      </c>
      <c r="U140" s="410"/>
      <c r="V140" s="410">
        <f t="shared" si="92"/>
        <v>44.55</v>
      </c>
      <c r="W140" s="577"/>
      <c r="X140" s="580" t="e">
        <f>P140=#REF!</f>
        <v>#REF!</v>
      </c>
      <c r="Y140" s="580" t="e">
        <f>R140=#REF!</f>
        <v>#REF!</v>
      </c>
      <c r="AB140" s="401"/>
    </row>
    <row r="141" spans="1:35" s="400" customFormat="1" ht="28.5" x14ac:dyDescent="0.25">
      <c r="A141" s="570"/>
      <c r="B141" s="570"/>
      <c r="C141" s="570"/>
      <c r="D141" s="571"/>
      <c r="E141" s="389"/>
      <c r="F141" s="390"/>
      <c r="G141" s="402" t="s">
        <v>13</v>
      </c>
      <c r="H141" s="403" t="s">
        <v>299</v>
      </c>
      <c r="I141" s="572" t="s">
        <v>356</v>
      </c>
      <c r="J141" s="404"/>
      <c r="K141" s="433" t="s">
        <v>317</v>
      </c>
      <c r="L141" s="434" t="s">
        <v>318</v>
      </c>
      <c r="M141" s="573">
        <v>0.6</v>
      </c>
      <c r="N141" s="574">
        <f>TRUNC(M141*N135,5)</f>
        <v>1236.546</v>
      </c>
      <c r="O141" s="575">
        <v>56.293599999999998</v>
      </c>
      <c r="P141" s="409">
        <f t="shared" si="88"/>
        <v>64.73</v>
      </c>
      <c r="Q141" s="410">
        <f t="shared" si="89"/>
        <v>69609.62</v>
      </c>
      <c r="R141" s="576">
        <f t="shared" si="90"/>
        <v>80041.62</v>
      </c>
      <c r="S141" s="576"/>
      <c r="T141" s="410">
        <f t="shared" si="91"/>
        <v>10432</v>
      </c>
      <c r="U141" s="576"/>
      <c r="V141" s="410">
        <f t="shared" si="92"/>
        <v>69609.62</v>
      </c>
      <c r="W141" s="577"/>
      <c r="X141" s="580" t="e">
        <f>P141=#REF!</f>
        <v>#REF!</v>
      </c>
      <c r="Y141" s="580" t="e">
        <f>R141=#REF!</f>
        <v>#REF!</v>
      </c>
      <c r="AB141" s="401"/>
    </row>
    <row r="142" spans="1:35" s="400" customFormat="1" ht="28.5" x14ac:dyDescent="0.25">
      <c r="A142" s="387"/>
      <c r="B142" s="387"/>
      <c r="C142" s="387"/>
      <c r="D142" s="388"/>
      <c r="E142" s="389"/>
      <c r="F142" s="390"/>
      <c r="G142" s="503" t="s">
        <v>6</v>
      </c>
      <c r="H142" s="504">
        <v>5213405</v>
      </c>
      <c r="I142" s="505" t="s">
        <v>224</v>
      </c>
      <c r="J142" s="505" t="s">
        <v>386</v>
      </c>
      <c r="K142" s="534" t="s">
        <v>958</v>
      </c>
      <c r="L142" s="507" t="s">
        <v>322</v>
      </c>
      <c r="M142" s="508"/>
      <c r="N142" s="508">
        <v>470.35</v>
      </c>
      <c r="O142" s="509"/>
      <c r="P142" s="510"/>
      <c r="Q142" s="510"/>
      <c r="R142" s="511"/>
      <c r="S142" s="511"/>
      <c r="T142" s="511"/>
      <c r="U142" s="511"/>
      <c r="V142" s="511"/>
      <c r="X142" s="580" t="e">
        <f>P142=#REF!</f>
        <v>#REF!</v>
      </c>
      <c r="AI142" s="453"/>
    </row>
    <row r="143" spans="1:35" s="400" customFormat="1" ht="19.5" x14ac:dyDescent="0.25">
      <c r="A143" s="535"/>
      <c r="B143" s="535"/>
      <c r="C143" s="535"/>
      <c r="D143" s="536"/>
      <c r="E143" s="389"/>
      <c r="F143" s="390"/>
      <c r="G143" s="402" t="s">
        <v>17</v>
      </c>
      <c r="H143" s="403">
        <v>1</v>
      </c>
      <c r="I143" s="404" t="s">
        <v>356</v>
      </c>
      <c r="J143" s="404"/>
      <c r="K143" s="433" t="s">
        <v>291</v>
      </c>
      <c r="L143" s="434" t="s">
        <v>292</v>
      </c>
      <c r="M143" s="537"/>
      <c r="N143" s="538">
        <f>VLOOKUP($J142,'ORÇ. ÓLEO DIESEL'!$D:$O,12,FALSE)</f>
        <v>401.09</v>
      </c>
      <c r="O143" s="442">
        <f>TRUNC(ANP!$E$34,2)</f>
        <v>5.99</v>
      </c>
      <c r="P143" s="409">
        <f t="shared" ref="P143:P148" si="93">IFERROR(TRUNC(IF(I143="SERVIÇO",(1+$R$4)*$O143,(1+$R$5)*$O143),2),"0,00")</f>
        <v>6.88</v>
      </c>
      <c r="Q143" s="410">
        <f t="shared" ref="Q143:Q148" si="94">IF($W$3="OUTROS",TRUNC(N143*O143,2),TRUNC(N143*O143,2))</f>
        <v>2402.52</v>
      </c>
      <c r="R143" s="410">
        <f t="shared" ref="R143:R148" si="95">IF($W$3="OUTROS",TRUNC(N143*P143,2),TRUNC(N143*P143,2))</f>
        <v>2759.49</v>
      </c>
      <c r="S143" s="410"/>
      <c r="T143" s="410">
        <f t="shared" ref="T143:T148" si="96">R143-Q143</f>
        <v>356.9699999999998</v>
      </c>
      <c r="U143" s="410"/>
      <c r="V143" s="410">
        <f t="shared" ref="V143:V148" si="97">Q143</f>
        <v>2402.52</v>
      </c>
      <c r="X143" s="580" t="e">
        <f>P143=#REF!</f>
        <v>#REF!</v>
      </c>
      <c r="Y143" s="580" t="e">
        <f>R143=#REF!</f>
        <v>#REF!</v>
      </c>
      <c r="AA143" s="401" t="s">
        <v>17</v>
      </c>
    </row>
    <row r="144" spans="1:35" s="400" customFormat="1" ht="28.5" x14ac:dyDescent="0.25">
      <c r="A144" s="570"/>
      <c r="B144" s="570"/>
      <c r="C144" s="570"/>
      <c r="D144" s="571"/>
      <c r="E144" s="389"/>
      <c r="F144" s="390"/>
      <c r="G144" s="402" t="s">
        <v>13</v>
      </c>
      <c r="H144" s="403" t="s">
        <v>301</v>
      </c>
      <c r="I144" s="572" t="s">
        <v>356</v>
      </c>
      <c r="J144" s="404"/>
      <c r="K144" s="433" t="s">
        <v>327</v>
      </c>
      <c r="L144" s="434" t="s">
        <v>53</v>
      </c>
      <c r="M144" s="573">
        <v>0.12</v>
      </c>
      <c r="N144" s="574">
        <f>TRUNC(M144*N142,5)</f>
        <v>56.442</v>
      </c>
      <c r="O144" s="575">
        <v>10.7607</v>
      </c>
      <c r="P144" s="409">
        <f t="shared" si="93"/>
        <v>12.37</v>
      </c>
      <c r="Q144" s="410">
        <f t="shared" si="94"/>
        <v>607.35</v>
      </c>
      <c r="R144" s="576">
        <f t="shared" si="95"/>
        <v>698.18</v>
      </c>
      <c r="S144" s="576"/>
      <c r="T144" s="410">
        <f t="shared" si="96"/>
        <v>90.829999999999927</v>
      </c>
      <c r="U144" s="576"/>
      <c r="V144" s="410">
        <f t="shared" si="97"/>
        <v>607.35</v>
      </c>
      <c r="W144" s="577"/>
      <c r="X144" s="580" t="e">
        <f>P144=#REF!</f>
        <v>#REF!</v>
      </c>
      <c r="Y144" s="580" t="e">
        <f>R144=#REF!</f>
        <v>#REF!</v>
      </c>
      <c r="AB144" s="401"/>
    </row>
    <row r="145" spans="1:28" s="400" customFormat="1" ht="28.5" x14ac:dyDescent="0.25">
      <c r="A145" s="570"/>
      <c r="B145" s="570"/>
      <c r="C145" s="570"/>
      <c r="D145" s="571"/>
      <c r="E145" s="389"/>
      <c r="F145" s="390"/>
      <c r="G145" s="402" t="s">
        <v>13</v>
      </c>
      <c r="H145" s="403" t="s">
        <v>302</v>
      </c>
      <c r="I145" s="572" t="s">
        <v>356</v>
      </c>
      <c r="J145" s="404"/>
      <c r="K145" s="433" t="s">
        <v>323</v>
      </c>
      <c r="L145" s="434" t="s">
        <v>53</v>
      </c>
      <c r="M145" s="573">
        <v>0.35</v>
      </c>
      <c r="N145" s="574">
        <f>TRUNC(M145*N142,5)</f>
        <v>164.6225</v>
      </c>
      <c r="O145" s="575">
        <v>11.3133</v>
      </c>
      <c r="P145" s="409">
        <f t="shared" si="93"/>
        <v>13.01</v>
      </c>
      <c r="Q145" s="410">
        <f t="shared" si="94"/>
        <v>1862.42</v>
      </c>
      <c r="R145" s="576">
        <f t="shared" si="95"/>
        <v>2141.73</v>
      </c>
      <c r="S145" s="576"/>
      <c r="T145" s="410">
        <f t="shared" si="96"/>
        <v>279.30999999999995</v>
      </c>
      <c r="U145" s="576"/>
      <c r="V145" s="410">
        <f t="shared" si="97"/>
        <v>1862.42</v>
      </c>
      <c r="W145" s="577"/>
      <c r="X145" s="580" t="e">
        <f>P145=#REF!</f>
        <v>#REF!</v>
      </c>
      <c r="Y145" s="580" t="e">
        <f>R145=#REF!</f>
        <v>#REF!</v>
      </c>
      <c r="AB145" s="401"/>
    </row>
    <row r="146" spans="1:28" s="400" customFormat="1" ht="28.5" x14ac:dyDescent="0.25">
      <c r="A146" s="570"/>
      <c r="B146" s="570"/>
      <c r="C146" s="570"/>
      <c r="D146" s="571"/>
      <c r="E146" s="389"/>
      <c r="F146" s="390"/>
      <c r="G146" s="402" t="s">
        <v>13</v>
      </c>
      <c r="H146" s="403" t="s">
        <v>300</v>
      </c>
      <c r="I146" s="572" t="s">
        <v>356</v>
      </c>
      <c r="J146" s="404"/>
      <c r="K146" s="433" t="s">
        <v>330</v>
      </c>
      <c r="L146" s="434" t="s">
        <v>318</v>
      </c>
      <c r="M146" s="573">
        <v>0.03</v>
      </c>
      <c r="N146" s="574">
        <f>TRUNC(M146*N142,5)</f>
        <v>14.1105</v>
      </c>
      <c r="O146" s="575">
        <v>16.2545</v>
      </c>
      <c r="P146" s="409">
        <f t="shared" si="93"/>
        <v>18.690000000000001</v>
      </c>
      <c r="Q146" s="410">
        <f t="shared" si="94"/>
        <v>229.35</v>
      </c>
      <c r="R146" s="576">
        <f t="shared" si="95"/>
        <v>263.72000000000003</v>
      </c>
      <c r="S146" s="576"/>
      <c r="T146" s="410">
        <f t="shared" si="96"/>
        <v>34.370000000000033</v>
      </c>
      <c r="U146" s="576"/>
      <c r="V146" s="410">
        <f t="shared" si="97"/>
        <v>229.35</v>
      </c>
      <c r="W146" s="577"/>
      <c r="X146" s="580" t="e">
        <f>P146=#REF!</f>
        <v>#REF!</v>
      </c>
      <c r="Y146" s="580" t="e">
        <f>R146=#REF!</f>
        <v>#REF!</v>
      </c>
      <c r="AB146" s="401"/>
    </row>
    <row r="147" spans="1:28" s="400" customFormat="1" ht="28.5" x14ac:dyDescent="0.25">
      <c r="A147" s="570"/>
      <c r="B147" s="570"/>
      <c r="C147" s="570"/>
      <c r="D147" s="571"/>
      <c r="E147" s="389"/>
      <c r="F147" s="390"/>
      <c r="G147" s="402" t="s">
        <v>13</v>
      </c>
      <c r="H147" s="403" t="s">
        <v>303</v>
      </c>
      <c r="I147" s="572" t="s">
        <v>356</v>
      </c>
      <c r="J147" s="404"/>
      <c r="K147" s="433" t="s">
        <v>338</v>
      </c>
      <c r="L147" s="434" t="s">
        <v>318</v>
      </c>
      <c r="M147" s="573">
        <v>9.7000000000000005E-4</v>
      </c>
      <c r="N147" s="574">
        <f>TRUNC(M147*N142,5)</f>
        <v>0.45623000000000002</v>
      </c>
      <c r="O147" s="575">
        <v>22.289400000000001</v>
      </c>
      <c r="P147" s="409">
        <f t="shared" si="93"/>
        <v>25.63</v>
      </c>
      <c r="Q147" s="410">
        <f t="shared" si="94"/>
        <v>10.16</v>
      </c>
      <c r="R147" s="576">
        <f t="shared" si="95"/>
        <v>11.69</v>
      </c>
      <c r="S147" s="576"/>
      <c r="T147" s="410">
        <f t="shared" si="96"/>
        <v>1.5299999999999994</v>
      </c>
      <c r="U147" s="576"/>
      <c r="V147" s="410">
        <f t="shared" si="97"/>
        <v>10.16</v>
      </c>
      <c r="W147" s="577"/>
      <c r="X147" s="580" t="e">
        <f>P147=#REF!</f>
        <v>#REF!</v>
      </c>
      <c r="Y147" s="580" t="e">
        <f>R147=#REF!</f>
        <v>#REF!</v>
      </c>
      <c r="AB147" s="401"/>
    </row>
    <row r="148" spans="1:28" s="400" customFormat="1" ht="28.5" x14ac:dyDescent="0.25">
      <c r="A148" s="570"/>
      <c r="B148" s="570"/>
      <c r="C148" s="570"/>
      <c r="D148" s="571"/>
      <c r="E148" s="389"/>
      <c r="F148" s="390"/>
      <c r="G148" s="402" t="s">
        <v>13</v>
      </c>
      <c r="H148" s="403" t="s">
        <v>299</v>
      </c>
      <c r="I148" s="404" t="s">
        <v>356</v>
      </c>
      <c r="J148" s="404"/>
      <c r="K148" s="433" t="s">
        <v>317</v>
      </c>
      <c r="L148" s="434" t="s">
        <v>318</v>
      </c>
      <c r="M148" s="573">
        <v>0.6</v>
      </c>
      <c r="N148" s="574">
        <f>TRUNC(M148*N142,5)</f>
        <v>282.20999999999998</v>
      </c>
      <c r="O148" s="575">
        <v>56.293599999999998</v>
      </c>
      <c r="P148" s="409">
        <f t="shared" si="93"/>
        <v>64.73</v>
      </c>
      <c r="Q148" s="410">
        <f t="shared" si="94"/>
        <v>15886.61</v>
      </c>
      <c r="R148" s="410">
        <f t="shared" si="95"/>
        <v>18267.45</v>
      </c>
      <c r="S148" s="410"/>
      <c r="T148" s="410">
        <f t="shared" si="96"/>
        <v>2380.84</v>
      </c>
      <c r="U148" s="410"/>
      <c r="V148" s="410">
        <f t="shared" si="97"/>
        <v>15886.61</v>
      </c>
      <c r="W148" s="502">
        <f>SUM(R94:R148)</f>
        <v>257341.37999999998</v>
      </c>
      <c r="X148" s="580" t="e">
        <f>P148=#REF!</f>
        <v>#REF!</v>
      </c>
      <c r="Y148" s="580" t="e">
        <f>R148=#REF!</f>
        <v>#REF!</v>
      </c>
      <c r="AB148" s="401"/>
    </row>
    <row r="149" spans="1:28" ht="30" customHeight="1" x14ac:dyDescent="0.25">
      <c r="E149" s="454"/>
      <c r="F149" s="455"/>
      <c r="G149" s="456"/>
      <c r="H149" s="457"/>
      <c r="I149" s="457"/>
      <c r="J149" s="457"/>
      <c r="K149" s="457"/>
      <c r="L149" s="457"/>
      <c r="M149" s="457"/>
      <c r="N149" s="457"/>
      <c r="O149" s="457"/>
      <c r="P149" s="458" t="s">
        <v>286</v>
      </c>
      <c r="Q149" s="579">
        <f>SUM(Q10:Q148)</f>
        <v>2873903.5500000012</v>
      </c>
      <c r="R149" s="579">
        <f>SUM(R10:R148)</f>
        <v>3350768.5899999994</v>
      </c>
      <c r="S149" s="1165"/>
      <c r="T149" s="579">
        <f>SUM(T10:T148)</f>
        <v>476865.04000000004</v>
      </c>
      <c r="U149" s="1165"/>
      <c r="V149" s="579">
        <f>SUM(V10:V148)</f>
        <v>2873903.5500000012</v>
      </c>
      <c r="W149" s="580" t="b">
        <f>R149='RESUMO MATERIAIS FINAL'!F36</f>
        <v>0</v>
      </c>
      <c r="X149" s="580" t="e">
        <f>P149=#REF!</f>
        <v>#REF!</v>
      </c>
    </row>
    <row r="151" spans="1:28" x14ac:dyDescent="0.25">
      <c r="Q151" s="1175">
        <f>R149-Q149</f>
        <v>476865.03999999817</v>
      </c>
    </row>
    <row r="152" spans="1:28" x14ac:dyDescent="0.25">
      <c r="R152" s="54">
        <v>8.0190000000000001</v>
      </c>
      <c r="U152" s="463">
        <f>R149-T149</f>
        <v>2873903.5499999993</v>
      </c>
    </row>
    <row r="153" spans="1:28" x14ac:dyDescent="0.25">
      <c r="R153" s="463">
        <f>R149/R152</f>
        <v>417853.67128070822</v>
      </c>
      <c r="S153" s="463"/>
      <c r="T153" s="463"/>
      <c r="U153" s="463"/>
      <c r="V153" s="463"/>
    </row>
    <row r="154" spans="1:28" x14ac:dyDescent="0.25">
      <c r="T154" s="463"/>
      <c r="U154" s="463">
        <f>V149+T149</f>
        <v>3350768.5900000012</v>
      </c>
    </row>
    <row r="155" spans="1:28" x14ac:dyDescent="0.25">
      <c r="S155" s="463"/>
    </row>
    <row r="162" spans="11:24" x14ac:dyDescent="0.25">
      <c r="K162" s="1423" t="s">
        <v>387</v>
      </c>
      <c r="L162" s="1423"/>
      <c r="M162" s="1423"/>
      <c r="N162" s="1423"/>
      <c r="O162" s="582"/>
      <c r="P162" s="583">
        <f>RUAS!P53</f>
        <v>64201.63</v>
      </c>
      <c r="Q162" s="1172"/>
      <c r="R162" s="584" t="s">
        <v>322</v>
      </c>
      <c r="S162" s="584"/>
      <c r="T162" s="584"/>
      <c r="U162" s="584"/>
      <c r="V162" s="584"/>
    </row>
    <row r="163" spans="11:24" x14ac:dyDescent="0.25">
      <c r="K163" s="1423" t="s">
        <v>388</v>
      </c>
      <c r="L163" s="1423"/>
      <c r="M163" s="1423"/>
      <c r="N163" s="1423"/>
      <c r="O163" s="582"/>
      <c r="P163" s="583">
        <f>RUAS!L53/1000</f>
        <v>8.0199499999999997</v>
      </c>
      <c r="Q163" s="1172"/>
      <c r="R163" s="584" t="s">
        <v>389</v>
      </c>
      <c r="S163" s="584"/>
      <c r="T163" s="584"/>
      <c r="U163" s="584"/>
      <c r="V163" s="584"/>
    </row>
    <row r="164" spans="11:24" x14ac:dyDescent="0.2">
      <c r="K164" s="1420" t="s">
        <v>390</v>
      </c>
      <c r="L164" s="1420"/>
      <c r="M164" s="1420"/>
      <c r="N164" s="1420"/>
      <c r="O164" s="585"/>
      <c r="P164" s="586">
        <f>$R$149/P162</f>
        <v>52.191332058080135</v>
      </c>
      <c r="Q164" s="1173"/>
      <c r="R164" s="587" t="s">
        <v>391</v>
      </c>
      <c r="S164" s="587"/>
      <c r="T164" s="587"/>
      <c r="U164" s="587"/>
      <c r="V164" s="587"/>
    </row>
    <row r="165" spans="11:24" ht="15" x14ac:dyDescent="0.2">
      <c r="K165" s="1420" t="s">
        <v>392</v>
      </c>
      <c r="L165" s="1420"/>
      <c r="M165" s="1420"/>
      <c r="N165" s="1420"/>
      <c r="O165" s="585"/>
      <c r="P165" s="588">
        <f>$R$149/P163</f>
        <v>417804.17458961706</v>
      </c>
      <c r="Q165" s="1174"/>
      <c r="R165" s="587" t="s">
        <v>393</v>
      </c>
      <c r="S165" s="587"/>
      <c r="T165" s="587"/>
      <c r="U165" s="587"/>
      <c r="V165" s="587"/>
      <c r="W165" s="589" t="str">
        <f>IF(P165&gt;500000,"PASSOU DO VALOR!","VALOR OK")</f>
        <v>VALOR OK</v>
      </c>
      <c r="X165" s="589"/>
    </row>
  </sheetData>
  <mergeCells count="19">
    <mergeCell ref="O1:P2"/>
    <mergeCell ref="R1:R2"/>
    <mergeCell ref="O3:P3"/>
    <mergeCell ref="W3:W5"/>
    <mergeCell ref="O4:P4"/>
    <mergeCell ref="O5:P5"/>
    <mergeCell ref="G7:G8"/>
    <mergeCell ref="H7:H8"/>
    <mergeCell ref="I7:I8"/>
    <mergeCell ref="J7:J8"/>
    <mergeCell ref="K7:K8"/>
    <mergeCell ref="K165:N165"/>
    <mergeCell ref="M7:M8"/>
    <mergeCell ref="N7:N8"/>
    <mergeCell ref="O7:R7"/>
    <mergeCell ref="K162:N162"/>
    <mergeCell ref="K163:N163"/>
    <mergeCell ref="K164:N164"/>
    <mergeCell ref="L7:L8"/>
  </mergeCells>
  <conditionalFormatting sqref="G162:J165 G166:V1048576">
    <cfRule type="expression" dxfId="65" priority="205">
      <formula>$K162="VERIFICAR CÓDIGO"</formula>
    </cfRule>
  </conditionalFormatting>
  <conditionalFormatting sqref="G6:V161">
    <cfRule type="expression" dxfId="64" priority="1">
      <formula>$K6="VERIFICAR CÓDIGO"</formula>
    </cfRule>
  </conditionalFormatting>
  <conditionalFormatting sqref="L1:O1 G1:H5 L2:N3">
    <cfRule type="expression" dxfId="63" priority="206">
      <formula>$H1="VERIFICAR CÓDIGO"</formula>
    </cfRule>
  </conditionalFormatting>
  <conditionalFormatting sqref="L4:V5">
    <cfRule type="expression" dxfId="62" priority="200">
      <formula>$H4="VERIFICAR CÓDIGO"</formula>
    </cfRule>
  </conditionalFormatting>
  <conditionalFormatting sqref="O3:Q3">
    <cfRule type="expression" dxfId="61" priority="3">
      <formula>$H3="VERIFICAR CÓDIGO"</formula>
    </cfRule>
  </conditionalFormatting>
  <conditionalFormatting sqref="P165:Q165">
    <cfRule type="cellIs" dxfId="60" priority="95" operator="greaterThan">
      <formula>500000</formula>
    </cfRule>
    <cfRule type="cellIs" dxfId="59" priority="96" operator="lessThan">
      <formula>500000</formula>
    </cfRule>
  </conditionalFormatting>
  <conditionalFormatting sqref="R1:V1">
    <cfRule type="expression" dxfId="58" priority="201">
      <formula>$H1="VERIFICAR CÓDIGO"</formula>
    </cfRule>
  </conditionalFormatting>
  <dataValidations disablePrompts="1" count="8">
    <dataValidation type="list" allowBlank="1" showInputMessage="1" showErrorMessage="1" sqref="G60:G62 G64:G66" xr:uid="{857DFB5D-74D1-49B1-BD6C-D4BFB78C1F0D}">
      <formula1>$AB$4:$AB$10</formula1>
    </dataValidation>
    <dataValidation type="list" allowBlank="1" showInputMessage="1" showErrorMessage="1" sqref="G11" xr:uid="{E3AE62E7-B7A1-44CB-A735-695C5D1AF0AA}">
      <formula1>$J$1:$J$9</formula1>
    </dataValidation>
    <dataValidation type="list" allowBlank="1" showInputMessage="1" showErrorMessage="1" sqref="G144:G148 G137:G141 G124 G83:G85 G110:G114 G103:G107 G96:G100 G79 G70:G77 G133 G117:G121 G126:G130" xr:uid="{75FE0782-2C56-4F8C-83A5-6FBB7A483D18}">
      <formula1>$AB$4:$AB$33</formula1>
    </dataValidation>
    <dataValidation type="list" allowBlank="1" showInputMessage="1" showErrorMessage="1" sqref="I31 I131:I132 I122:I123 I17:J28 I11:J15 I43 I35 I116 I109 I102 I95 I136 I87 I81 I91 I89 I58 I56 I47:I49 I45 I37 I41 I143 I33" xr:uid="{7192B28D-5C67-4ED9-B4AF-7146B1160C49}">
      <formula1>$AA$1:$AA$3</formula1>
    </dataValidation>
    <dataValidation type="list" allowBlank="1" showInputMessage="1" showErrorMessage="1" sqref="G31 G43 G35 G33 G41 G37 G45 G143 G56 G58 G89 G91 G47 G87 G136 G95 G102 G109 G116" xr:uid="{92D276D3-8401-48C1-BC2D-2324C76EF454}">
      <formula1>$AA$4:$AA$38</formula1>
    </dataValidation>
    <dataValidation type="list" allowBlank="1" showInputMessage="1" showErrorMessage="1" sqref="W3:X5" xr:uid="{14E4325E-B290-4243-9290-A7D733A3E6D1}">
      <formula1>#REF!</formula1>
    </dataValidation>
    <dataValidation type="list" allowBlank="1" showInputMessage="1" showErrorMessage="1" sqref="I51:I52 I124:I130 I117:I121 I133 I144:I148 I60:I62 I137:I142 I135 I110:I115 I103:I108 I96:I101 I94 I64:I67 I82:I86 I69:I80 I90 I88 I57 I55 I44 I42 I40 I32 I30 I36 I46 I34" xr:uid="{247C3A98-715C-4B03-9070-011730DB908A}">
      <formula1>$AB$1:$AB$3</formula1>
    </dataValidation>
    <dataValidation type="list" allowBlank="1" showInputMessage="1" showErrorMessage="1" sqref="G51:G52 G78 G16 G10 G36 G125 G69 G135 G115 G108 G101 G94 G142 G67 G86 G80 G88 G90 G57 G55 G44 G30 G40 G32 G46 G34 G82 G42" xr:uid="{44E0D82A-EA46-4DCB-823F-BA3CE90A038F}">
      <formula1>$AB$4:$AB$8</formula1>
    </dataValidation>
  </dataValidations>
  <printOptions horizontalCentered="1"/>
  <pageMargins left="0.59055118110236227" right="0.59055118110236227" top="1.6535433070866143" bottom="0.78740157480314965" header="0" footer="0"/>
  <pageSetup paperSize="9" scale="35" firstPageNumber="25" fitToHeight="100" orientation="landscape" r:id="rId1"/>
  <headerFooter scaleWithDoc="0">
    <oddHeader>&amp;L&amp;G</oddHeader>
    <oddFooter>&amp;C&amp;"-,Negrito"&amp;12DIONI CAETANEO DE OLIVEIRA
&amp;"-,Regular"ENGENHEIRO CIVIL - CREA /MT 40957
DEPARTAMENTO DE ENGENHARIA</oddFooter>
  </headerFooter>
  <rowBreaks count="3" manualBreakCount="3">
    <brk id="42" min="6" max="20" man="1"/>
    <brk id="102" min="6" max="20" man="1"/>
    <brk id="133" min="6" max="18" man="1"/>
  </rowBreaks>
  <legacy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9346D-F678-43AB-9D1F-01ADBF716345}">
  <sheetPr codeName="Planilha27">
    <tabColor rgb="FF7030A0"/>
  </sheetPr>
  <dimension ref="B2:O66"/>
  <sheetViews>
    <sheetView showGridLines="0" view="pageLayout" topLeftCell="A37" zoomScaleNormal="70" zoomScaleSheetLayoutView="85" workbookViewId="0">
      <selection activeCell="C11" sqref="C11:E11"/>
    </sheetView>
  </sheetViews>
  <sheetFormatPr defaultColWidth="9.140625" defaultRowHeight="14.25" x14ac:dyDescent="0.2"/>
  <cols>
    <col min="1" max="1" width="9.140625" style="930"/>
    <col min="2" max="2" width="12.42578125" style="930" customWidth="1"/>
    <col min="3" max="3" width="23.85546875" style="930" customWidth="1"/>
    <col min="4" max="4" width="14.42578125" style="930" customWidth="1"/>
    <col min="5" max="5" width="23" style="930" customWidth="1"/>
    <col min="6" max="6" width="12.28515625" style="930" bestFit="1" customWidth="1"/>
    <col min="7" max="7" width="18.28515625" style="930" customWidth="1"/>
    <col min="8" max="8" width="7.5703125" style="930" customWidth="1"/>
    <col min="9" max="9" width="14.42578125" style="930" customWidth="1"/>
    <col min="10" max="10" width="9.42578125" style="930" customWidth="1"/>
    <col min="11" max="11" width="16.7109375" style="930" customWidth="1"/>
    <col min="12" max="12" width="8.5703125" style="930" bestFit="1" customWidth="1"/>
    <col min="13" max="13" width="16.42578125" style="930" bestFit="1" customWidth="1"/>
    <col min="14" max="14" width="11.5703125" style="930" customWidth="1"/>
    <col min="15" max="15" width="11.5703125" style="930" bestFit="1" customWidth="1"/>
    <col min="16" max="16384" width="9.140625" style="930"/>
  </cols>
  <sheetData>
    <row r="2" spans="2:15" ht="24.95" customHeight="1" x14ac:dyDescent="0.2">
      <c r="B2" s="1592" t="s">
        <v>2858</v>
      </c>
      <c r="C2" s="1592"/>
      <c r="D2" s="1592"/>
      <c r="E2" s="1592"/>
      <c r="F2" s="1592"/>
      <c r="G2" s="1592"/>
      <c r="H2" s="1592"/>
      <c r="I2" s="1592"/>
      <c r="J2" s="1592"/>
      <c r="K2" s="1592"/>
      <c r="L2" s="1592"/>
      <c r="M2" s="1592"/>
      <c r="N2" s="1592"/>
    </row>
    <row r="3" spans="2:15" s="593" customFormat="1" ht="17.25" customHeight="1" x14ac:dyDescent="0.2">
      <c r="B3" s="1593" t="s">
        <v>34</v>
      </c>
      <c r="C3" s="1676" t="s">
        <v>791</v>
      </c>
      <c r="D3" s="1677"/>
      <c r="E3" s="1678"/>
      <c r="F3" s="1593" t="s">
        <v>535</v>
      </c>
      <c r="G3" s="1594" t="s">
        <v>792</v>
      </c>
      <c r="H3" s="1593" t="s">
        <v>793</v>
      </c>
      <c r="I3" s="1595" t="s">
        <v>794</v>
      </c>
      <c r="J3" s="1595"/>
      <c r="K3" s="961" t="s">
        <v>795</v>
      </c>
      <c r="L3" s="961" t="s">
        <v>159</v>
      </c>
      <c r="M3" s="961" t="s">
        <v>796</v>
      </c>
      <c r="N3" s="1596" t="s">
        <v>16</v>
      </c>
    </row>
    <row r="4" spans="2:15" s="593" customFormat="1" ht="27" customHeight="1" x14ac:dyDescent="0.2">
      <c r="B4" s="1593"/>
      <c r="C4" s="1676" t="s">
        <v>175</v>
      </c>
      <c r="D4" s="1677"/>
      <c r="E4" s="1678"/>
      <c r="F4" s="1593"/>
      <c r="G4" s="1594"/>
      <c r="H4" s="1593"/>
      <c r="I4" s="960" t="s">
        <v>797</v>
      </c>
      <c r="J4" s="859" t="s">
        <v>793</v>
      </c>
      <c r="K4" s="962" t="s">
        <v>798</v>
      </c>
      <c r="L4" s="962" t="s">
        <v>799</v>
      </c>
      <c r="M4" s="963" t="s">
        <v>800</v>
      </c>
      <c r="N4" s="1597"/>
    </row>
    <row r="5" spans="2:15" s="54" customFormat="1" ht="30" customHeight="1" x14ac:dyDescent="0.25">
      <c r="B5" s="1105">
        <v>100951</v>
      </c>
      <c r="C5" s="1670" t="s">
        <v>279</v>
      </c>
      <c r="D5" s="1670"/>
      <c r="E5" s="1670"/>
      <c r="F5" s="1670"/>
      <c r="G5" s="1670"/>
      <c r="H5" s="1670"/>
      <c r="I5" s="1670"/>
      <c r="J5" s="1670"/>
      <c r="K5" s="1670"/>
      <c r="L5" s="1670"/>
      <c r="M5" s="1670"/>
      <c r="N5" s="1672"/>
    </row>
    <row r="6" spans="2:15" s="54" customFormat="1" ht="15" x14ac:dyDescent="0.25">
      <c r="B6" s="1585" t="s">
        <v>538</v>
      </c>
      <c r="C6" s="1586"/>
      <c r="D6" s="1586"/>
      <c r="E6" s="1586"/>
      <c r="F6" s="1586"/>
      <c r="G6" s="1586"/>
      <c r="H6" s="1586"/>
      <c r="I6" s="1586"/>
      <c r="J6" s="1586"/>
      <c r="K6" s="1586"/>
      <c r="L6" s="1586"/>
      <c r="M6" s="1586"/>
      <c r="N6" s="1587"/>
    </row>
    <row r="7" spans="2:15" s="54" customFormat="1" ht="18.75" customHeight="1" x14ac:dyDescent="0.25">
      <c r="B7" s="859"/>
      <c r="C7" s="1665" t="s">
        <v>2859</v>
      </c>
      <c r="D7" s="1666"/>
      <c r="E7" s="1667"/>
      <c r="F7" s="859" t="s">
        <v>2860</v>
      </c>
      <c r="G7" s="1106">
        <f>'DREN. MEM. CAL.'!C184</f>
        <v>286</v>
      </c>
      <c r="H7" s="978" t="s">
        <v>2861</v>
      </c>
      <c r="I7" s="1107">
        <f>$J$54</f>
        <v>0.15</v>
      </c>
      <c r="J7" s="862" t="s">
        <v>2862</v>
      </c>
      <c r="K7" s="967">
        <f>TRUNC(G7*I7,2)</f>
        <v>42.9</v>
      </c>
      <c r="L7" s="982">
        <v>2.5</v>
      </c>
      <c r="M7" s="969">
        <f>TRUNC(K7*L7,2)</f>
        <v>107.25</v>
      </c>
      <c r="N7" s="970" t="s">
        <v>815</v>
      </c>
    </row>
    <row r="8" spans="2:15" s="54" customFormat="1" ht="18" customHeight="1" x14ac:dyDescent="0.25">
      <c r="B8" s="859"/>
      <c r="C8" s="1665" t="s">
        <v>2863</v>
      </c>
      <c r="D8" s="1666"/>
      <c r="E8" s="1667"/>
      <c r="F8" s="859" t="s">
        <v>2860</v>
      </c>
      <c r="G8" s="1106">
        <f>'DREN. MEM. CAL.'!C185+'DREN. MEM. CAL.'!C186</f>
        <v>991</v>
      </c>
      <c r="H8" s="978" t="s">
        <v>2861</v>
      </c>
      <c r="I8" s="1107">
        <f>J56</f>
        <v>0.32</v>
      </c>
      <c r="J8" s="862" t="s">
        <v>2862</v>
      </c>
      <c r="K8" s="967">
        <f>TRUNC(G8*I8,2)</f>
        <v>317.12</v>
      </c>
      <c r="L8" s="982">
        <v>2.5</v>
      </c>
      <c r="M8" s="969">
        <f>TRUNC(K8*L8,2)</f>
        <v>792.8</v>
      </c>
      <c r="N8" s="970" t="s">
        <v>815</v>
      </c>
    </row>
    <row r="9" spans="2:15" s="54" customFormat="1" ht="16.5" customHeight="1" x14ac:dyDescent="0.25">
      <c r="B9" s="859"/>
      <c r="C9" s="1665" t="s">
        <v>2864</v>
      </c>
      <c r="D9" s="1666"/>
      <c r="E9" s="1667"/>
      <c r="F9" s="859" t="s">
        <v>2860</v>
      </c>
      <c r="G9" s="1106">
        <f>'DREN. MEM. CAL.'!C187</f>
        <v>233</v>
      </c>
      <c r="H9" s="978" t="s">
        <v>2861</v>
      </c>
      <c r="I9" s="1107">
        <f>J57</f>
        <v>0.44</v>
      </c>
      <c r="J9" s="862" t="s">
        <v>2862</v>
      </c>
      <c r="K9" s="967">
        <f>TRUNC(G9*I9,2)</f>
        <v>102.52</v>
      </c>
      <c r="L9" s="982">
        <v>2.5</v>
      </c>
      <c r="M9" s="969">
        <f>TRUNC(K9*L9,2)</f>
        <v>256.3</v>
      </c>
      <c r="N9" s="970" t="s">
        <v>815</v>
      </c>
    </row>
    <row r="10" spans="2:15" s="54" customFormat="1" ht="16.5" customHeight="1" x14ac:dyDescent="0.25">
      <c r="B10" s="859"/>
      <c r="C10" s="1665" t="s">
        <v>2865</v>
      </c>
      <c r="D10" s="1666"/>
      <c r="E10" s="1667"/>
      <c r="F10" s="859" t="s">
        <v>2860</v>
      </c>
      <c r="G10" s="1106">
        <f>'DREN. MEM. CAL.'!C188</f>
        <v>540</v>
      </c>
      <c r="H10" s="978" t="s">
        <v>2861</v>
      </c>
      <c r="I10" s="1107">
        <f>J58</f>
        <v>0.68</v>
      </c>
      <c r="J10" s="862" t="s">
        <v>2862</v>
      </c>
      <c r="K10" s="967">
        <f>TRUNC(G10*I10,2)</f>
        <v>367.2</v>
      </c>
      <c r="L10" s="982">
        <v>2.5</v>
      </c>
      <c r="M10" s="969">
        <f>TRUNC(K10*L10,2)</f>
        <v>918</v>
      </c>
      <c r="N10" s="970" t="s">
        <v>815</v>
      </c>
    </row>
    <row r="11" spans="2:15" s="54" customFormat="1" ht="16.5" customHeight="1" x14ac:dyDescent="0.25">
      <c r="B11" s="859"/>
      <c r="C11" s="1665" t="s">
        <v>2866</v>
      </c>
      <c r="D11" s="1666"/>
      <c r="E11" s="1667"/>
      <c r="F11" s="859" t="s">
        <v>2860</v>
      </c>
      <c r="G11" s="1106">
        <f>'DREN. MEM. CAL.'!C189</f>
        <v>447</v>
      </c>
      <c r="H11" s="978" t="s">
        <v>2861</v>
      </c>
      <c r="I11" s="1107">
        <f>J59</f>
        <v>0.88</v>
      </c>
      <c r="J11" s="862" t="s">
        <v>2862</v>
      </c>
      <c r="K11" s="967">
        <f>TRUNC(G11*I11,2)</f>
        <v>393.36</v>
      </c>
      <c r="L11" s="982">
        <v>2.5</v>
      </c>
      <c r="M11" s="969">
        <f>TRUNC(K11*L11,2)</f>
        <v>983.4</v>
      </c>
      <c r="N11" s="970" t="s">
        <v>815</v>
      </c>
      <c r="O11" s="578">
        <f>SUM(M7:M11)</f>
        <v>3057.75</v>
      </c>
    </row>
    <row r="12" spans="2:15" s="54" customFormat="1" ht="16.5" customHeight="1" x14ac:dyDescent="0.25">
      <c r="B12" s="1585" t="s">
        <v>555</v>
      </c>
      <c r="C12" s="1586"/>
      <c r="D12" s="1586"/>
      <c r="E12" s="1586"/>
      <c r="F12" s="1586"/>
      <c r="G12" s="1586"/>
      <c r="H12" s="1586"/>
      <c r="I12" s="1586"/>
      <c r="J12" s="1586"/>
      <c r="K12" s="1586"/>
      <c r="L12" s="1586"/>
      <c r="M12" s="1586"/>
      <c r="N12" s="1587"/>
    </row>
    <row r="13" spans="2:15" s="593" customFormat="1" ht="20.100000000000001" customHeight="1" x14ac:dyDescent="0.2">
      <c r="B13" s="859"/>
      <c r="C13" s="1665" t="s">
        <v>2859</v>
      </c>
      <c r="D13" s="1666"/>
      <c r="E13" s="1667"/>
      <c r="F13" s="859" t="s">
        <v>2860</v>
      </c>
      <c r="G13" s="1106"/>
      <c r="H13" s="978" t="s">
        <v>2861</v>
      </c>
      <c r="I13" s="1107">
        <f>$J$54</f>
        <v>0.15</v>
      </c>
      <c r="J13" s="862" t="s">
        <v>2862</v>
      </c>
      <c r="K13" s="967">
        <f t="shared" ref="K13:K18" si="0">TRUNC(G13*I13,2)</f>
        <v>0</v>
      </c>
      <c r="L13" s="982"/>
      <c r="M13" s="969">
        <f t="shared" ref="M13:M18" si="1">TRUNC(K13*L13,2)</f>
        <v>0</v>
      </c>
      <c r="N13" s="970" t="s">
        <v>815</v>
      </c>
    </row>
    <row r="14" spans="2:15" s="593" customFormat="1" ht="20.100000000000001" customHeight="1" x14ac:dyDescent="0.2">
      <c r="B14" s="859"/>
      <c r="C14" s="1665" t="s">
        <v>2863</v>
      </c>
      <c r="D14" s="1666"/>
      <c r="E14" s="1667"/>
      <c r="F14" s="859" t="s">
        <v>2860</v>
      </c>
      <c r="G14" s="1106">
        <f>'DREN. MEM. CAL.'!C192+'DREN. MEM. CAL.'!C193</f>
        <v>1530</v>
      </c>
      <c r="H14" s="978" t="s">
        <v>2861</v>
      </c>
      <c r="I14" s="1107">
        <f>$J$56</f>
        <v>0.32</v>
      </c>
      <c r="J14" s="862" t="s">
        <v>2862</v>
      </c>
      <c r="K14" s="967">
        <f t="shared" si="0"/>
        <v>489.6</v>
      </c>
      <c r="L14" s="982">
        <v>2.5</v>
      </c>
      <c r="M14" s="969">
        <f t="shared" si="1"/>
        <v>1224</v>
      </c>
      <c r="N14" s="970" t="s">
        <v>815</v>
      </c>
    </row>
    <row r="15" spans="2:15" s="593" customFormat="1" ht="20.100000000000001" customHeight="1" x14ac:dyDescent="0.2">
      <c r="B15" s="859"/>
      <c r="C15" s="1665" t="s">
        <v>2864</v>
      </c>
      <c r="D15" s="1666"/>
      <c r="E15" s="1667"/>
      <c r="F15" s="859" t="s">
        <v>2860</v>
      </c>
      <c r="G15" s="1106">
        <f>'DREN. MEM. CAL.'!C194</f>
        <v>599</v>
      </c>
      <c r="H15" s="978" t="s">
        <v>2861</v>
      </c>
      <c r="I15" s="1107">
        <f>$J$57</f>
        <v>0.44</v>
      </c>
      <c r="J15" s="862" t="s">
        <v>2862</v>
      </c>
      <c r="K15" s="967">
        <f t="shared" si="0"/>
        <v>263.56</v>
      </c>
      <c r="L15" s="982">
        <v>2.5</v>
      </c>
      <c r="M15" s="969">
        <f t="shared" si="1"/>
        <v>658.9</v>
      </c>
      <c r="N15" s="970" t="s">
        <v>815</v>
      </c>
    </row>
    <row r="16" spans="2:15" s="593" customFormat="1" ht="20.100000000000001" customHeight="1" x14ac:dyDescent="0.2">
      <c r="B16" s="859"/>
      <c r="C16" s="1665" t="s">
        <v>2865</v>
      </c>
      <c r="D16" s="1666"/>
      <c r="E16" s="1667"/>
      <c r="F16" s="859" t="s">
        <v>2860</v>
      </c>
      <c r="G16" s="1106">
        <f>'DREN. MEM. CAL.'!C195</f>
        <v>737</v>
      </c>
      <c r="H16" s="978" t="s">
        <v>2861</v>
      </c>
      <c r="I16" s="1107">
        <f>$J$58</f>
        <v>0.68</v>
      </c>
      <c r="J16" s="862" t="s">
        <v>2862</v>
      </c>
      <c r="K16" s="967">
        <f t="shared" si="0"/>
        <v>501.16</v>
      </c>
      <c r="L16" s="982">
        <v>2.5</v>
      </c>
      <c r="M16" s="969">
        <f t="shared" si="1"/>
        <v>1252.9000000000001</v>
      </c>
      <c r="N16" s="970" t="s">
        <v>815</v>
      </c>
    </row>
    <row r="17" spans="2:14" s="593" customFormat="1" ht="20.100000000000001" customHeight="1" x14ac:dyDescent="0.2">
      <c r="B17" s="859"/>
      <c r="C17" s="1665" t="s">
        <v>2866</v>
      </c>
      <c r="D17" s="1666"/>
      <c r="E17" s="1667"/>
      <c r="F17" s="859" t="s">
        <v>2860</v>
      </c>
      <c r="G17" s="1106"/>
      <c r="H17" s="978" t="s">
        <v>2861</v>
      </c>
      <c r="I17" s="1107">
        <f>$J$59</f>
        <v>0.88</v>
      </c>
      <c r="J17" s="862" t="s">
        <v>2862</v>
      </c>
      <c r="K17" s="967">
        <f t="shared" si="0"/>
        <v>0</v>
      </c>
      <c r="L17" s="982"/>
      <c r="M17" s="969">
        <f t="shared" si="1"/>
        <v>0</v>
      </c>
      <c r="N17" s="970" t="s">
        <v>815</v>
      </c>
    </row>
    <row r="18" spans="2:14" s="593" customFormat="1" ht="20.100000000000001" customHeight="1" x14ac:dyDescent="0.2">
      <c r="B18" s="859"/>
      <c r="C18" s="1665" t="s">
        <v>2867</v>
      </c>
      <c r="D18" s="1666"/>
      <c r="E18" s="1667"/>
      <c r="F18" s="859" t="s">
        <v>2860</v>
      </c>
      <c r="G18" s="1106"/>
      <c r="H18" s="978" t="s">
        <v>2861</v>
      </c>
      <c r="I18" s="1107">
        <f>$J$60</f>
        <v>1.1200000000000001</v>
      </c>
      <c r="J18" s="862" t="s">
        <v>2862</v>
      </c>
      <c r="K18" s="967">
        <f t="shared" si="0"/>
        <v>0</v>
      </c>
      <c r="L18" s="982"/>
      <c r="M18" s="969">
        <f t="shared" si="1"/>
        <v>0</v>
      </c>
      <c r="N18" s="970" t="s">
        <v>815</v>
      </c>
    </row>
    <row r="19" spans="2:14" s="593" customFormat="1" ht="20.100000000000001" customHeight="1" x14ac:dyDescent="0.2">
      <c r="B19" s="1668" t="s">
        <v>808</v>
      </c>
      <c r="C19" s="1668"/>
      <c r="D19" s="1668"/>
      <c r="E19" s="1668"/>
      <c r="F19" s="1668"/>
      <c r="G19" s="1668"/>
      <c r="H19" s="1668"/>
      <c r="I19" s="1668"/>
      <c r="J19" s="1668"/>
      <c r="K19" s="1668"/>
      <c r="L19" s="1668"/>
      <c r="M19" s="1108">
        <f>SUM(M7:M18)</f>
        <v>6193.5499999999993</v>
      </c>
      <c r="N19" s="1109" t="s">
        <v>815</v>
      </c>
    </row>
    <row r="20" spans="2:14" s="593" customFormat="1" ht="15" x14ac:dyDescent="0.2">
      <c r="B20" s="1105">
        <v>100952</v>
      </c>
      <c r="C20" s="1670" t="s">
        <v>281</v>
      </c>
      <c r="D20" s="1670"/>
      <c r="E20" s="1670"/>
      <c r="F20" s="1670"/>
      <c r="G20" s="1670"/>
      <c r="H20" s="1670"/>
      <c r="I20" s="1670"/>
      <c r="J20" s="1670"/>
      <c r="K20" s="1670"/>
      <c r="L20" s="1670"/>
      <c r="M20" s="1670"/>
      <c r="N20" s="1671"/>
    </row>
    <row r="21" spans="2:14" s="593" customFormat="1" ht="20.100000000000001" customHeight="1" x14ac:dyDescent="0.2">
      <c r="B21" s="1585" t="s">
        <v>538</v>
      </c>
      <c r="C21" s="1586"/>
      <c r="D21" s="1586"/>
      <c r="E21" s="1586"/>
      <c r="F21" s="1586"/>
      <c r="G21" s="1586"/>
      <c r="H21" s="1586"/>
      <c r="I21" s="1586"/>
      <c r="J21" s="1586"/>
      <c r="K21" s="1586"/>
      <c r="L21" s="1586"/>
      <c r="M21" s="1586"/>
      <c r="N21" s="1587"/>
    </row>
    <row r="22" spans="2:14" s="593" customFormat="1" ht="20.100000000000001" customHeight="1" x14ac:dyDescent="0.2">
      <c r="B22" s="859"/>
      <c r="C22" s="1665" t="s">
        <v>2859</v>
      </c>
      <c r="D22" s="1666"/>
      <c r="E22" s="1667"/>
      <c r="F22" s="859" t="s">
        <v>2860</v>
      </c>
      <c r="G22" s="1106">
        <f>G7</f>
        <v>286</v>
      </c>
      <c r="H22" s="978" t="s">
        <v>2861</v>
      </c>
      <c r="I22" s="1107">
        <f>I7</f>
        <v>0.15</v>
      </c>
      <c r="J22" s="862" t="s">
        <v>2862</v>
      </c>
      <c r="K22" s="967">
        <f>TRUNC(G22*I22,2)</f>
        <v>42.9</v>
      </c>
      <c r="L22" s="982">
        <v>2.5</v>
      </c>
      <c r="M22" s="969">
        <f>TRUNC(K22*L22,2)</f>
        <v>107.25</v>
      </c>
      <c r="N22" s="970" t="s">
        <v>815</v>
      </c>
    </row>
    <row r="23" spans="2:14" s="593" customFormat="1" ht="20.100000000000001" customHeight="1" x14ac:dyDescent="0.2">
      <c r="B23" s="859"/>
      <c r="C23" s="1665" t="s">
        <v>2863</v>
      </c>
      <c r="D23" s="1666"/>
      <c r="E23" s="1667"/>
      <c r="F23" s="859" t="s">
        <v>2860</v>
      </c>
      <c r="G23" s="1106">
        <f>G8</f>
        <v>991</v>
      </c>
      <c r="H23" s="978" t="s">
        <v>2861</v>
      </c>
      <c r="I23" s="1107">
        <f>I8</f>
        <v>0.32</v>
      </c>
      <c r="J23" s="862" t="s">
        <v>2862</v>
      </c>
      <c r="K23" s="967">
        <f>TRUNC(G23*I23,2)</f>
        <v>317.12</v>
      </c>
      <c r="L23" s="982">
        <v>2.5</v>
      </c>
      <c r="M23" s="969">
        <f>TRUNC(K23*L23,2)</f>
        <v>792.8</v>
      </c>
      <c r="N23" s="970" t="s">
        <v>815</v>
      </c>
    </row>
    <row r="24" spans="2:14" s="593" customFormat="1" ht="20.100000000000001" customHeight="1" x14ac:dyDescent="0.2">
      <c r="B24" s="859"/>
      <c r="C24" s="1665" t="s">
        <v>2864</v>
      </c>
      <c r="D24" s="1666"/>
      <c r="E24" s="1667"/>
      <c r="F24" s="859" t="s">
        <v>2860</v>
      </c>
      <c r="G24" s="1106">
        <f>G9</f>
        <v>233</v>
      </c>
      <c r="H24" s="978" t="s">
        <v>2861</v>
      </c>
      <c r="I24" s="1107">
        <f>I9</f>
        <v>0.44</v>
      </c>
      <c r="J24" s="862" t="s">
        <v>2862</v>
      </c>
      <c r="K24" s="967">
        <f>TRUNC(G24*I24,2)</f>
        <v>102.52</v>
      </c>
      <c r="L24" s="982">
        <v>2.5</v>
      </c>
      <c r="M24" s="969">
        <f>TRUNC(K24*L24,2)</f>
        <v>256.3</v>
      </c>
      <c r="N24" s="970" t="s">
        <v>815</v>
      </c>
    </row>
    <row r="25" spans="2:14" s="593" customFormat="1" ht="20.100000000000001" customHeight="1" x14ac:dyDescent="0.2">
      <c r="B25" s="859"/>
      <c r="C25" s="1665" t="s">
        <v>2865</v>
      </c>
      <c r="D25" s="1666"/>
      <c r="E25" s="1667"/>
      <c r="F25" s="859" t="s">
        <v>2860</v>
      </c>
      <c r="G25" s="1106">
        <f>G10</f>
        <v>540</v>
      </c>
      <c r="H25" s="978" t="s">
        <v>2861</v>
      </c>
      <c r="I25" s="1107">
        <f>I10</f>
        <v>0.68</v>
      </c>
      <c r="J25" s="862" t="s">
        <v>2862</v>
      </c>
      <c r="K25" s="967">
        <f>TRUNC(G25*I25,2)</f>
        <v>367.2</v>
      </c>
      <c r="L25" s="982">
        <v>2.5</v>
      </c>
      <c r="M25" s="969">
        <f>TRUNC(K25*L25,2)</f>
        <v>918</v>
      </c>
      <c r="N25" s="970" t="s">
        <v>815</v>
      </c>
    </row>
    <row r="26" spans="2:14" s="593" customFormat="1" ht="20.100000000000001" customHeight="1" x14ac:dyDescent="0.2">
      <c r="B26" s="859"/>
      <c r="C26" s="1665" t="s">
        <v>2866</v>
      </c>
      <c r="D26" s="1666"/>
      <c r="E26" s="1667"/>
      <c r="F26" s="859" t="s">
        <v>2860</v>
      </c>
      <c r="G26" s="1106">
        <f>G11</f>
        <v>447</v>
      </c>
      <c r="H26" s="978" t="s">
        <v>2861</v>
      </c>
      <c r="I26" s="1107">
        <f>I11</f>
        <v>0.88</v>
      </c>
      <c r="J26" s="862" t="s">
        <v>2862</v>
      </c>
      <c r="K26" s="967">
        <f>TRUNC(G26*I26,2)</f>
        <v>393.36</v>
      </c>
      <c r="L26" s="982">
        <v>2.5</v>
      </c>
      <c r="M26" s="969">
        <f>TRUNC(K26*L26,2)</f>
        <v>983.4</v>
      </c>
      <c r="N26" s="970" t="s">
        <v>815</v>
      </c>
    </row>
    <row r="27" spans="2:14" s="593" customFormat="1" ht="20.100000000000001" customHeight="1" x14ac:dyDescent="0.2">
      <c r="B27" s="1585" t="s">
        <v>555</v>
      </c>
      <c r="C27" s="1586"/>
      <c r="D27" s="1586"/>
      <c r="E27" s="1586"/>
      <c r="F27" s="1586"/>
      <c r="G27" s="1586"/>
      <c r="H27" s="1586"/>
      <c r="I27" s="1586"/>
      <c r="J27" s="1586"/>
      <c r="K27" s="1586"/>
      <c r="L27" s="1586"/>
      <c r="M27" s="1586"/>
      <c r="N27" s="1587"/>
    </row>
    <row r="28" spans="2:14" s="593" customFormat="1" ht="20.100000000000001" customHeight="1" x14ac:dyDescent="0.2">
      <c r="B28" s="859"/>
      <c r="C28" s="1665" t="s">
        <v>2859</v>
      </c>
      <c r="D28" s="1666"/>
      <c r="E28" s="1667"/>
      <c r="F28" s="859" t="s">
        <v>2860</v>
      </c>
      <c r="G28" s="1106">
        <f t="shared" ref="G28:G33" si="2">G13</f>
        <v>0</v>
      </c>
      <c r="H28" s="978" t="s">
        <v>2861</v>
      </c>
      <c r="I28" s="1107">
        <f t="shared" ref="I28:I33" si="3">I13</f>
        <v>0.15</v>
      </c>
      <c r="J28" s="862" t="s">
        <v>2862</v>
      </c>
      <c r="K28" s="967">
        <f t="shared" ref="K28:K33" si="4">TRUNC(G28*I28,2)</f>
        <v>0</v>
      </c>
      <c r="L28" s="979"/>
      <c r="M28" s="969">
        <f t="shared" ref="M28:M33" si="5">TRUNC(K28*L28,2)</f>
        <v>0</v>
      </c>
      <c r="N28" s="970" t="s">
        <v>815</v>
      </c>
    </row>
    <row r="29" spans="2:14" s="593" customFormat="1" ht="20.100000000000001" customHeight="1" x14ac:dyDescent="0.2">
      <c r="B29" s="859"/>
      <c r="C29" s="1665" t="s">
        <v>2863</v>
      </c>
      <c r="D29" s="1666"/>
      <c r="E29" s="1667"/>
      <c r="F29" s="859" t="s">
        <v>2860</v>
      </c>
      <c r="G29" s="1106">
        <f t="shared" si="2"/>
        <v>1530</v>
      </c>
      <c r="H29" s="978" t="s">
        <v>2861</v>
      </c>
      <c r="I29" s="1107">
        <f t="shared" si="3"/>
        <v>0.32</v>
      </c>
      <c r="J29" s="862" t="s">
        <v>2862</v>
      </c>
      <c r="K29" s="967">
        <f t="shared" si="4"/>
        <v>489.6</v>
      </c>
      <c r="L29" s="982">
        <v>2.5</v>
      </c>
      <c r="M29" s="969">
        <f t="shared" si="5"/>
        <v>1224</v>
      </c>
      <c r="N29" s="970" t="s">
        <v>815</v>
      </c>
    </row>
    <row r="30" spans="2:14" s="593" customFormat="1" ht="20.100000000000001" customHeight="1" x14ac:dyDescent="0.2">
      <c r="B30" s="859"/>
      <c r="C30" s="1665" t="s">
        <v>2864</v>
      </c>
      <c r="D30" s="1666"/>
      <c r="E30" s="1667"/>
      <c r="F30" s="859" t="s">
        <v>2860</v>
      </c>
      <c r="G30" s="1106">
        <f t="shared" si="2"/>
        <v>599</v>
      </c>
      <c r="H30" s="978" t="s">
        <v>2861</v>
      </c>
      <c r="I30" s="1107">
        <f t="shared" si="3"/>
        <v>0.44</v>
      </c>
      <c r="J30" s="862" t="s">
        <v>2862</v>
      </c>
      <c r="K30" s="967">
        <f t="shared" si="4"/>
        <v>263.56</v>
      </c>
      <c r="L30" s="982">
        <v>2.5</v>
      </c>
      <c r="M30" s="969">
        <f t="shared" si="5"/>
        <v>658.9</v>
      </c>
      <c r="N30" s="970" t="s">
        <v>815</v>
      </c>
    </row>
    <row r="31" spans="2:14" s="593" customFormat="1" ht="20.100000000000001" customHeight="1" x14ac:dyDescent="0.2">
      <c r="B31" s="859"/>
      <c r="C31" s="1665" t="s">
        <v>2865</v>
      </c>
      <c r="D31" s="1666"/>
      <c r="E31" s="1667"/>
      <c r="F31" s="859" t="s">
        <v>2860</v>
      </c>
      <c r="G31" s="1106">
        <f t="shared" si="2"/>
        <v>737</v>
      </c>
      <c r="H31" s="978" t="s">
        <v>2861</v>
      </c>
      <c r="I31" s="1107">
        <f t="shared" si="3"/>
        <v>0.68</v>
      </c>
      <c r="J31" s="862" t="s">
        <v>2862</v>
      </c>
      <c r="K31" s="967">
        <f t="shared" si="4"/>
        <v>501.16</v>
      </c>
      <c r="L31" s="982">
        <v>2.5</v>
      </c>
      <c r="M31" s="969">
        <f t="shared" si="5"/>
        <v>1252.9000000000001</v>
      </c>
      <c r="N31" s="970" t="s">
        <v>815</v>
      </c>
    </row>
    <row r="32" spans="2:14" s="593" customFormat="1" ht="20.100000000000001" customHeight="1" x14ac:dyDescent="0.2">
      <c r="B32" s="859"/>
      <c r="C32" s="1665" t="s">
        <v>2866</v>
      </c>
      <c r="D32" s="1666"/>
      <c r="E32" s="1667"/>
      <c r="F32" s="859" t="s">
        <v>2860</v>
      </c>
      <c r="G32" s="1106">
        <f t="shared" si="2"/>
        <v>0</v>
      </c>
      <c r="H32" s="978" t="s">
        <v>2861</v>
      </c>
      <c r="I32" s="1107">
        <f t="shared" si="3"/>
        <v>0.88</v>
      </c>
      <c r="J32" s="862" t="s">
        <v>2862</v>
      </c>
      <c r="K32" s="967">
        <f t="shared" si="4"/>
        <v>0</v>
      </c>
      <c r="L32" s="979"/>
      <c r="M32" s="969">
        <f t="shared" si="5"/>
        <v>0</v>
      </c>
      <c r="N32" s="970" t="s">
        <v>815</v>
      </c>
    </row>
    <row r="33" spans="2:14" s="593" customFormat="1" ht="20.100000000000001" customHeight="1" x14ac:dyDescent="0.2">
      <c r="B33" s="859"/>
      <c r="C33" s="1665" t="s">
        <v>2867</v>
      </c>
      <c r="D33" s="1666"/>
      <c r="E33" s="1667"/>
      <c r="F33" s="859" t="s">
        <v>2860</v>
      </c>
      <c r="G33" s="1106">
        <f t="shared" si="2"/>
        <v>0</v>
      </c>
      <c r="H33" s="978" t="s">
        <v>2861</v>
      </c>
      <c r="I33" s="1107">
        <f t="shared" si="3"/>
        <v>1.1200000000000001</v>
      </c>
      <c r="J33" s="862" t="s">
        <v>2862</v>
      </c>
      <c r="K33" s="967">
        <f t="shared" si="4"/>
        <v>0</v>
      </c>
      <c r="L33" s="979"/>
      <c r="M33" s="969">
        <f t="shared" si="5"/>
        <v>0</v>
      </c>
      <c r="N33" s="970" t="s">
        <v>815</v>
      </c>
    </row>
    <row r="34" spans="2:14" s="593" customFormat="1" ht="20.100000000000001" customHeight="1" x14ac:dyDescent="0.2">
      <c r="B34" s="1673" t="s">
        <v>808</v>
      </c>
      <c r="C34" s="1674"/>
      <c r="D34" s="1674"/>
      <c r="E34" s="1674"/>
      <c r="F34" s="1674"/>
      <c r="G34" s="1674"/>
      <c r="H34" s="1674"/>
      <c r="I34" s="1674"/>
      <c r="J34" s="1674"/>
      <c r="K34" s="1674"/>
      <c r="L34" s="1675"/>
      <c r="M34" s="1108">
        <f>SUM(M22:M33)</f>
        <v>6193.5499999999993</v>
      </c>
      <c r="N34" s="1109" t="s">
        <v>815</v>
      </c>
    </row>
    <row r="35" spans="2:14" s="593" customFormat="1" x14ac:dyDescent="0.2"/>
    <row r="36" spans="2:14" s="593" customFormat="1" ht="15" x14ac:dyDescent="0.2">
      <c r="B36" s="1585" t="s">
        <v>538</v>
      </c>
      <c r="C36" s="1586"/>
      <c r="D36" s="1586"/>
      <c r="E36" s="1586"/>
      <c r="F36" s="1586"/>
      <c r="G36" s="1586"/>
      <c r="H36" s="1586"/>
      <c r="I36" s="1586"/>
      <c r="J36" s="1586"/>
      <c r="K36" s="1586"/>
      <c r="L36" s="1586"/>
      <c r="M36" s="1586"/>
      <c r="N36" s="1587"/>
    </row>
    <row r="37" spans="2:14" s="593" customFormat="1" ht="30" customHeight="1" x14ac:dyDescent="0.2">
      <c r="B37" s="1105">
        <v>93589</v>
      </c>
      <c r="C37" s="1670" t="s">
        <v>262</v>
      </c>
      <c r="D37" s="1670"/>
      <c r="E37" s="1670"/>
      <c r="F37" s="1670"/>
      <c r="G37" s="1670"/>
      <c r="H37" s="1670"/>
      <c r="I37" s="1670"/>
      <c r="J37" s="1670"/>
      <c r="K37" s="1670"/>
      <c r="L37" s="1670"/>
      <c r="M37" s="1670"/>
      <c r="N37" s="1672"/>
    </row>
    <row r="38" spans="2:14" s="593" customFormat="1" ht="30" customHeight="1" x14ac:dyDescent="0.2">
      <c r="B38" s="859"/>
      <c r="C38" s="1665" t="s">
        <v>2868</v>
      </c>
      <c r="D38" s="1666"/>
      <c r="E38" s="1667"/>
      <c r="F38" s="859" t="s">
        <v>803</v>
      </c>
      <c r="G38" s="1106">
        <f>'DREN. MEM. CAL.'!H190</f>
        <v>2311.81</v>
      </c>
      <c r="H38" s="862" t="s">
        <v>804</v>
      </c>
      <c r="I38" s="1107">
        <v>1.25</v>
      </c>
      <c r="J38" s="862" t="s">
        <v>805</v>
      </c>
      <c r="K38" s="967">
        <f>TRUNC(G38*I38,2)</f>
        <v>2889.76</v>
      </c>
      <c r="L38" s="982">
        <v>0.8</v>
      </c>
      <c r="M38" s="969">
        <f>TRUNC(K38*L38,2)</f>
        <v>2311.8000000000002</v>
      </c>
      <c r="N38" s="970" t="s">
        <v>806</v>
      </c>
    </row>
    <row r="39" spans="2:14" s="593" customFormat="1" ht="15" x14ac:dyDescent="0.2">
      <c r="B39" s="1668" t="s">
        <v>808</v>
      </c>
      <c r="C39" s="1668"/>
      <c r="D39" s="1668"/>
      <c r="E39" s="1668"/>
      <c r="F39" s="1668"/>
      <c r="G39" s="1668"/>
      <c r="H39" s="1668"/>
      <c r="I39" s="1668"/>
      <c r="J39" s="1668"/>
      <c r="K39" s="1668"/>
      <c r="L39" s="1668"/>
      <c r="M39" s="1108">
        <f>SUM(M38:M38)</f>
        <v>2311.8000000000002</v>
      </c>
      <c r="N39" s="1109" t="s">
        <v>806</v>
      </c>
    </row>
    <row r="40" spans="2:14" s="593" customFormat="1" ht="30" customHeight="1" x14ac:dyDescent="0.2">
      <c r="B40" s="1105">
        <v>95875</v>
      </c>
      <c r="C40" s="1670" t="s">
        <v>264</v>
      </c>
      <c r="D40" s="1670"/>
      <c r="E40" s="1670"/>
      <c r="F40" s="1670"/>
      <c r="G40" s="1670"/>
      <c r="H40" s="1670"/>
      <c r="I40" s="1670"/>
      <c r="J40" s="1670"/>
      <c r="K40" s="1670"/>
      <c r="L40" s="1670"/>
      <c r="M40" s="1670"/>
      <c r="N40" s="1671"/>
    </row>
    <row r="41" spans="2:14" s="593" customFormat="1" ht="30" customHeight="1" x14ac:dyDescent="0.2">
      <c r="B41" s="859"/>
      <c r="C41" s="1665" t="s">
        <v>2868</v>
      </c>
      <c r="D41" s="1666"/>
      <c r="E41" s="1667"/>
      <c r="F41" s="859" t="s">
        <v>803</v>
      </c>
      <c r="G41" s="1106">
        <f>'DREN. MEM. CAL.'!H190</f>
        <v>2311.81</v>
      </c>
      <c r="H41" s="862" t="s">
        <v>804</v>
      </c>
      <c r="I41" s="1107">
        <v>1.25</v>
      </c>
      <c r="J41" s="862" t="s">
        <v>805</v>
      </c>
      <c r="K41" s="967">
        <f>TRUNC(G41*I41,2)</f>
        <v>2889.76</v>
      </c>
      <c r="L41" s="982">
        <v>1.2</v>
      </c>
      <c r="M41" s="969">
        <f>TRUNC(K41*L41,2)</f>
        <v>3467.71</v>
      </c>
      <c r="N41" s="970" t="s">
        <v>806</v>
      </c>
    </row>
    <row r="42" spans="2:14" s="593" customFormat="1" ht="15" x14ac:dyDescent="0.2">
      <c r="B42" s="1668" t="s">
        <v>808</v>
      </c>
      <c r="C42" s="1668"/>
      <c r="D42" s="1668"/>
      <c r="E42" s="1668"/>
      <c r="F42" s="1668"/>
      <c r="G42" s="1668"/>
      <c r="H42" s="1668"/>
      <c r="I42" s="1668"/>
      <c r="J42" s="1668"/>
      <c r="K42" s="1668"/>
      <c r="L42" s="1668"/>
      <c r="M42" s="1108">
        <f>SUM(M41:M41)</f>
        <v>3467.71</v>
      </c>
      <c r="N42" s="1109" t="s">
        <v>806</v>
      </c>
    </row>
    <row r="43" spans="2:14" s="593" customFormat="1" ht="15" x14ac:dyDescent="0.2">
      <c r="B43" s="1585" t="s">
        <v>555</v>
      </c>
      <c r="C43" s="1586"/>
      <c r="D43" s="1586"/>
      <c r="E43" s="1586"/>
      <c r="F43" s="1586"/>
      <c r="G43" s="1586"/>
      <c r="H43" s="1586"/>
      <c r="I43" s="1586"/>
      <c r="J43" s="1586"/>
      <c r="K43" s="1586"/>
      <c r="L43" s="1586"/>
      <c r="M43" s="1586"/>
      <c r="N43" s="1587"/>
    </row>
    <row r="44" spans="2:14" s="54" customFormat="1" ht="30" customHeight="1" x14ac:dyDescent="0.25">
      <c r="B44" s="1110">
        <v>93589</v>
      </c>
      <c r="C44" s="1670" t="s">
        <v>923</v>
      </c>
      <c r="D44" s="1670"/>
      <c r="E44" s="1670"/>
      <c r="F44" s="1670"/>
      <c r="G44" s="1670"/>
      <c r="H44" s="1670"/>
      <c r="I44" s="1670"/>
      <c r="J44" s="1670"/>
      <c r="K44" s="1670"/>
      <c r="L44" s="1670"/>
      <c r="M44" s="1670"/>
      <c r="N44" s="1672"/>
    </row>
    <row r="45" spans="2:14" s="593" customFormat="1" ht="20.100000000000001" customHeight="1" x14ac:dyDescent="0.2">
      <c r="B45" s="859"/>
      <c r="C45" s="1665" t="s">
        <v>2868</v>
      </c>
      <c r="D45" s="1666"/>
      <c r="E45" s="1667"/>
      <c r="F45" s="859" t="s">
        <v>803</v>
      </c>
      <c r="G45" s="1106">
        <f>'DREN. MEM. CAL.'!H196</f>
        <v>2275.4299999999998</v>
      </c>
      <c r="H45" s="862" t="s">
        <v>804</v>
      </c>
      <c r="I45" s="1107">
        <v>1.25</v>
      </c>
      <c r="J45" s="862" t="s">
        <v>805</v>
      </c>
      <c r="K45" s="967">
        <f>TRUNC(G45*I45,2)</f>
        <v>2844.28</v>
      </c>
      <c r="L45" s="982">
        <v>1</v>
      </c>
      <c r="M45" s="969">
        <f>TRUNC(K45*L45,2)</f>
        <v>2844.28</v>
      </c>
      <c r="N45" s="970" t="s">
        <v>806</v>
      </c>
    </row>
    <row r="46" spans="2:14" s="593" customFormat="1" ht="15" x14ac:dyDescent="0.2">
      <c r="B46" s="1668" t="s">
        <v>808</v>
      </c>
      <c r="C46" s="1668"/>
      <c r="D46" s="1668"/>
      <c r="E46" s="1668"/>
      <c r="F46" s="1668"/>
      <c r="G46" s="1668"/>
      <c r="H46" s="1668"/>
      <c r="I46" s="1668"/>
      <c r="J46" s="1668"/>
      <c r="K46" s="1668"/>
      <c r="L46" s="1668"/>
      <c r="M46" s="1108">
        <f>SUM(M45:M45)</f>
        <v>2844.28</v>
      </c>
      <c r="N46" s="1109" t="s">
        <v>806</v>
      </c>
    </row>
    <row r="47" spans="2:14" s="54" customFormat="1" ht="30" customHeight="1" x14ac:dyDescent="0.25">
      <c r="B47" s="1111">
        <v>95875</v>
      </c>
      <c r="C47" s="1670" t="s">
        <v>926</v>
      </c>
      <c r="D47" s="1670"/>
      <c r="E47" s="1670"/>
      <c r="F47" s="1670"/>
      <c r="G47" s="1670"/>
      <c r="H47" s="1670"/>
      <c r="I47" s="1670"/>
      <c r="J47" s="1670"/>
      <c r="K47" s="1670"/>
      <c r="L47" s="1670"/>
      <c r="M47" s="1670"/>
      <c r="N47" s="1671"/>
    </row>
    <row r="48" spans="2:14" s="593" customFormat="1" ht="20.100000000000001" customHeight="1" x14ac:dyDescent="0.2">
      <c r="B48" s="859"/>
      <c r="C48" s="1665" t="s">
        <v>2868</v>
      </c>
      <c r="D48" s="1666"/>
      <c r="E48" s="1667"/>
      <c r="F48" s="859" t="s">
        <v>803</v>
      </c>
      <c r="G48" s="1106">
        <f>'DREN. MEM. CAL.'!H196</f>
        <v>2275.4299999999998</v>
      </c>
      <c r="H48" s="862" t="s">
        <v>804</v>
      </c>
      <c r="I48" s="1107">
        <v>1.25</v>
      </c>
      <c r="J48" s="862" t="s">
        <v>805</v>
      </c>
      <c r="K48" s="967">
        <f>TRUNC(G48*I48,2)</f>
        <v>2844.28</v>
      </c>
      <c r="L48" s="982">
        <v>0.8</v>
      </c>
      <c r="M48" s="969">
        <f>TRUNC(K48*L48,2)</f>
        <v>2275.42</v>
      </c>
      <c r="N48" s="970" t="s">
        <v>806</v>
      </c>
    </row>
    <row r="49" spans="2:14" s="593" customFormat="1" ht="15" x14ac:dyDescent="0.2">
      <c r="B49" s="1668" t="s">
        <v>808</v>
      </c>
      <c r="C49" s="1668"/>
      <c r="D49" s="1668"/>
      <c r="E49" s="1668"/>
      <c r="F49" s="1668"/>
      <c r="G49" s="1668"/>
      <c r="H49" s="1668"/>
      <c r="I49" s="1668"/>
      <c r="J49" s="1668"/>
      <c r="K49" s="1668"/>
      <c r="L49" s="1668"/>
      <c r="M49" s="1108">
        <f>SUM(M48:M48)</f>
        <v>2275.42</v>
      </c>
      <c r="N49" s="1109" t="s">
        <v>806</v>
      </c>
    </row>
    <row r="51" spans="2:14" s="936" customFormat="1" ht="22.5" customHeight="1" x14ac:dyDescent="0.25">
      <c r="B51" s="1669" t="s">
        <v>2869</v>
      </c>
      <c r="C51" s="1669"/>
      <c r="D51" s="1669"/>
      <c r="E51" s="1669"/>
      <c r="F51" s="1669"/>
      <c r="G51" s="1669" t="s">
        <v>2870</v>
      </c>
      <c r="H51" s="1669"/>
      <c r="I51" s="1669"/>
      <c r="J51" s="1669"/>
      <c r="K51" s="1669"/>
      <c r="L51" s="947"/>
    </row>
    <row r="52" spans="2:14" s="947" customFormat="1" ht="44.25" customHeight="1" x14ac:dyDescent="0.25">
      <c r="B52" s="859" t="s">
        <v>21</v>
      </c>
      <c r="C52" s="862" t="s">
        <v>2871</v>
      </c>
      <c r="D52" s="862" t="s">
        <v>2872</v>
      </c>
      <c r="E52" s="862" t="s">
        <v>2873</v>
      </c>
      <c r="F52" s="862" t="s">
        <v>2874</v>
      </c>
      <c r="G52" s="862" t="s">
        <v>2872</v>
      </c>
      <c r="H52" s="1594" t="s">
        <v>2875</v>
      </c>
      <c r="I52" s="1594"/>
      <c r="J52" s="1594" t="s">
        <v>2876</v>
      </c>
      <c r="K52" s="1594"/>
    </row>
    <row r="53" spans="2:14" s="936" customFormat="1" ht="27" customHeight="1" x14ac:dyDescent="0.25">
      <c r="B53" s="958" t="s">
        <v>2877</v>
      </c>
      <c r="C53" s="1112">
        <v>300</v>
      </c>
      <c r="D53" s="1112">
        <v>1500</v>
      </c>
      <c r="E53" s="1112">
        <v>35</v>
      </c>
      <c r="F53" s="1112">
        <v>195</v>
      </c>
      <c r="G53" s="1112">
        <v>1030</v>
      </c>
      <c r="H53" s="1662">
        <f t="shared" ref="H53:H60" si="6">(F53*G53)/D53</f>
        <v>133.9</v>
      </c>
      <c r="I53" s="1663"/>
      <c r="J53" s="1664">
        <f>TRUNC(H53/1000,2)</f>
        <v>0.13</v>
      </c>
      <c r="K53" s="1664"/>
    </row>
    <row r="54" spans="2:14" s="936" customFormat="1" ht="27" customHeight="1" x14ac:dyDescent="0.25">
      <c r="B54" s="958" t="s">
        <v>2877</v>
      </c>
      <c r="C54" s="1112">
        <v>400</v>
      </c>
      <c r="D54" s="1112">
        <v>1500</v>
      </c>
      <c r="E54" s="1112">
        <v>40</v>
      </c>
      <c r="F54" s="1112">
        <v>230</v>
      </c>
      <c r="G54" s="1112">
        <v>1030</v>
      </c>
      <c r="H54" s="1662">
        <f t="shared" si="6"/>
        <v>157.93333333333334</v>
      </c>
      <c r="I54" s="1663"/>
      <c r="J54" s="1664">
        <f t="shared" ref="J54:J60" si="7">TRUNC(H54/1000,2)</f>
        <v>0.15</v>
      </c>
      <c r="K54" s="1664"/>
    </row>
    <row r="55" spans="2:14" s="936" customFormat="1" ht="27" customHeight="1" x14ac:dyDescent="0.25">
      <c r="B55" s="958" t="s">
        <v>2877</v>
      </c>
      <c r="C55" s="1112">
        <v>500</v>
      </c>
      <c r="D55" s="1112">
        <v>1500</v>
      </c>
      <c r="E55" s="1112">
        <v>50</v>
      </c>
      <c r="F55" s="1112">
        <v>360</v>
      </c>
      <c r="G55" s="1112">
        <v>1030</v>
      </c>
      <c r="H55" s="1662">
        <f t="shared" si="6"/>
        <v>247.2</v>
      </c>
      <c r="I55" s="1663"/>
      <c r="J55" s="1664">
        <f t="shared" si="7"/>
        <v>0.24</v>
      </c>
      <c r="K55" s="1664"/>
    </row>
    <row r="56" spans="2:14" s="936" customFormat="1" ht="27" customHeight="1" x14ac:dyDescent="0.25">
      <c r="B56" s="958" t="s">
        <v>2877</v>
      </c>
      <c r="C56" s="1112">
        <v>600</v>
      </c>
      <c r="D56" s="1112">
        <v>1500</v>
      </c>
      <c r="E56" s="1112">
        <v>55</v>
      </c>
      <c r="F56" s="1112">
        <v>470</v>
      </c>
      <c r="G56" s="1112">
        <v>1030</v>
      </c>
      <c r="H56" s="1662">
        <f t="shared" si="6"/>
        <v>322.73333333333335</v>
      </c>
      <c r="I56" s="1663"/>
      <c r="J56" s="1664">
        <f t="shared" si="7"/>
        <v>0.32</v>
      </c>
      <c r="K56" s="1664"/>
    </row>
    <row r="57" spans="2:14" s="936" customFormat="1" ht="27" customHeight="1" x14ac:dyDescent="0.25">
      <c r="B57" s="958" t="s">
        <v>2877</v>
      </c>
      <c r="C57" s="1112">
        <v>800</v>
      </c>
      <c r="D57" s="1112">
        <v>1500</v>
      </c>
      <c r="E57" s="1112">
        <v>65</v>
      </c>
      <c r="F57" s="1112">
        <v>645</v>
      </c>
      <c r="G57" s="1112">
        <v>1030</v>
      </c>
      <c r="H57" s="1662">
        <f t="shared" si="6"/>
        <v>442.9</v>
      </c>
      <c r="I57" s="1663"/>
      <c r="J57" s="1664">
        <f t="shared" si="7"/>
        <v>0.44</v>
      </c>
      <c r="K57" s="1664"/>
    </row>
    <row r="58" spans="2:14" s="936" customFormat="1" ht="27" customHeight="1" x14ac:dyDescent="0.25">
      <c r="B58" s="958" t="s">
        <v>2877</v>
      </c>
      <c r="C58" s="1112">
        <v>1000</v>
      </c>
      <c r="D58" s="1112">
        <v>1500</v>
      </c>
      <c r="E58" s="1112">
        <v>100</v>
      </c>
      <c r="F58" s="1112">
        <v>998</v>
      </c>
      <c r="G58" s="1112">
        <v>1030</v>
      </c>
      <c r="H58" s="1662">
        <f t="shared" si="6"/>
        <v>685.29333333333329</v>
      </c>
      <c r="I58" s="1663"/>
      <c r="J58" s="1664">
        <f t="shared" si="7"/>
        <v>0.68</v>
      </c>
      <c r="K58" s="1664"/>
    </row>
    <row r="59" spans="2:14" s="936" customFormat="1" ht="27" customHeight="1" x14ac:dyDescent="0.25">
      <c r="B59" s="958" t="s">
        <v>2877</v>
      </c>
      <c r="C59" s="1112">
        <v>1200</v>
      </c>
      <c r="D59" s="1112">
        <v>1500</v>
      </c>
      <c r="E59" s="1112">
        <v>120</v>
      </c>
      <c r="F59" s="1112">
        <v>1296</v>
      </c>
      <c r="G59" s="1112">
        <v>1030</v>
      </c>
      <c r="H59" s="1662">
        <f t="shared" si="6"/>
        <v>889.92</v>
      </c>
      <c r="I59" s="1663"/>
      <c r="J59" s="1664">
        <f t="shared" si="7"/>
        <v>0.88</v>
      </c>
      <c r="K59" s="1664"/>
    </row>
    <row r="60" spans="2:14" s="936" customFormat="1" ht="27" customHeight="1" x14ac:dyDescent="0.25">
      <c r="B60" s="958" t="s">
        <v>2877</v>
      </c>
      <c r="C60" s="1112">
        <v>1500</v>
      </c>
      <c r="D60" s="1112">
        <v>1500</v>
      </c>
      <c r="E60" s="1112">
        <v>130</v>
      </c>
      <c r="F60" s="1112">
        <v>1640</v>
      </c>
      <c r="G60" s="1112">
        <v>1030</v>
      </c>
      <c r="H60" s="1662">
        <f t="shared" si="6"/>
        <v>1126.1333333333334</v>
      </c>
      <c r="I60" s="1663"/>
      <c r="J60" s="1664">
        <f t="shared" si="7"/>
        <v>1.1200000000000001</v>
      </c>
      <c r="K60" s="1664"/>
    </row>
    <row r="61" spans="2:14" ht="27" customHeight="1" x14ac:dyDescent="0.2">
      <c r="B61" s="995" t="s">
        <v>2878</v>
      </c>
      <c r="C61" s="995"/>
      <c r="D61" s="995"/>
      <c r="E61" s="995"/>
      <c r="F61" s="995"/>
    </row>
    <row r="62" spans="2:14" ht="27" customHeight="1" x14ac:dyDescent="0.2"/>
    <row r="63" spans="2:14" ht="27" customHeight="1" x14ac:dyDescent="0.2"/>
    <row r="65" spans="11:12" x14ac:dyDescent="0.2">
      <c r="K65" s="930">
        <v>1.5</v>
      </c>
      <c r="L65" s="930">
        <v>195</v>
      </c>
    </row>
    <row r="66" spans="11:12" x14ac:dyDescent="0.2">
      <c r="K66" s="930">
        <v>1.03</v>
      </c>
      <c r="L66" s="930">
        <f>TRUNC((L65*K66)/K65,2)</f>
        <v>133.9</v>
      </c>
    </row>
  </sheetData>
  <mergeCells count="73">
    <mergeCell ref="C10:E10"/>
    <mergeCell ref="B2:N2"/>
    <mergeCell ref="B3:B4"/>
    <mergeCell ref="C3:E3"/>
    <mergeCell ref="F3:F4"/>
    <mergeCell ref="G3:G4"/>
    <mergeCell ref="H3:H4"/>
    <mergeCell ref="I3:J3"/>
    <mergeCell ref="N3:N4"/>
    <mergeCell ref="C4:E4"/>
    <mergeCell ref="C5:N5"/>
    <mergeCell ref="B6:N6"/>
    <mergeCell ref="C7:E7"/>
    <mergeCell ref="C8:E8"/>
    <mergeCell ref="C9:E9"/>
    <mergeCell ref="C22:E22"/>
    <mergeCell ref="C11:E11"/>
    <mergeCell ref="B12:N12"/>
    <mergeCell ref="C13:E13"/>
    <mergeCell ref="C14:E14"/>
    <mergeCell ref="C15:E15"/>
    <mergeCell ref="C16:E16"/>
    <mergeCell ref="C17:E17"/>
    <mergeCell ref="C18:E18"/>
    <mergeCell ref="B19:L19"/>
    <mergeCell ref="C20:N20"/>
    <mergeCell ref="B21:N21"/>
    <mergeCell ref="B34:L34"/>
    <mergeCell ref="C23:E23"/>
    <mergeCell ref="C24:E24"/>
    <mergeCell ref="C25:E25"/>
    <mergeCell ref="C26:E26"/>
    <mergeCell ref="B27:N27"/>
    <mergeCell ref="C28:E28"/>
    <mergeCell ref="C29:E29"/>
    <mergeCell ref="C30:E30"/>
    <mergeCell ref="C31:E31"/>
    <mergeCell ref="C32:E32"/>
    <mergeCell ref="C33:E33"/>
    <mergeCell ref="C47:N47"/>
    <mergeCell ref="B36:N36"/>
    <mergeCell ref="C37:N37"/>
    <mergeCell ref="C38:E38"/>
    <mergeCell ref="B39:L39"/>
    <mergeCell ref="C40:N40"/>
    <mergeCell ref="C41:E41"/>
    <mergeCell ref="B42:L42"/>
    <mergeCell ref="B43:N43"/>
    <mergeCell ref="C44:N44"/>
    <mergeCell ref="C45:E45"/>
    <mergeCell ref="B46:L46"/>
    <mergeCell ref="C48:E48"/>
    <mergeCell ref="B49:L49"/>
    <mergeCell ref="B51:F51"/>
    <mergeCell ref="G51:K51"/>
    <mergeCell ref="H52:I52"/>
    <mergeCell ref="J52:K52"/>
    <mergeCell ref="H53:I53"/>
    <mergeCell ref="J53:K53"/>
    <mergeCell ref="H54:I54"/>
    <mergeCell ref="J54:K54"/>
    <mergeCell ref="H55:I55"/>
    <mergeCell ref="J55:K55"/>
    <mergeCell ref="H59:I59"/>
    <mergeCell ref="J59:K59"/>
    <mergeCell ref="H60:I60"/>
    <mergeCell ref="J60:K60"/>
    <mergeCell ref="H56:I56"/>
    <mergeCell ref="J56:K56"/>
    <mergeCell ref="H57:I57"/>
    <mergeCell ref="J57:K57"/>
    <mergeCell ref="H58:I58"/>
    <mergeCell ref="J58:K58"/>
  </mergeCells>
  <conditionalFormatting sqref="B44">
    <cfRule type="expression" dxfId="1" priority="2">
      <formula>$K44="VERIFICAR CÓDIGO"</formula>
    </cfRule>
  </conditionalFormatting>
  <conditionalFormatting sqref="B47">
    <cfRule type="expression" dxfId="0" priority="1">
      <formula>$K47="VERIFICAR CÓDIGO"</formula>
    </cfRule>
  </conditionalFormatting>
  <printOptions horizontalCentered="1"/>
  <pageMargins left="0.59055118110236227" right="0.59055118110236227" top="1.7716535433070868" bottom="0.78740157480314965" header="0" footer="0"/>
  <pageSetup paperSize="9" scale="62" orientation="landscape" r:id="rId1"/>
  <headerFooter scaleWithDoc="0">
    <oddHeader>&amp;L&amp;G</oddHeader>
    <oddFooter>&amp;C&amp;"-,Negrito"&amp;12DIONI CAETANEO DE OLIVEIRA
&amp;"-,Regular"ENGENHEIRO CIVIL - CREA /MT 40957
DEPARTAMENTO DE ENGENHARIA</oddFooter>
  </headerFooter>
  <rowBreaks count="1" manualBreakCount="1">
    <brk id="34" min="1" max="13"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21944-9D98-439F-A5F7-52168BAA4F60}">
  <sheetPr codeName="Plan9">
    <tabColor rgb="FFC00000"/>
  </sheetPr>
  <dimension ref="A1:AB100"/>
  <sheetViews>
    <sheetView showGridLines="0" view="pageLayout" topLeftCell="A69" zoomScale="40" zoomScaleNormal="85" zoomScaleSheetLayoutView="85" zoomScalePageLayoutView="40" workbookViewId="0">
      <selection activeCell="H115" sqref="H115"/>
    </sheetView>
  </sheetViews>
  <sheetFormatPr defaultColWidth="15.5703125" defaultRowHeight="14.25" x14ac:dyDescent="0.25"/>
  <cols>
    <col min="1" max="1" width="14.7109375" style="54" customWidth="1"/>
    <col min="2" max="2" width="17.85546875" style="460" bestFit="1" customWidth="1"/>
    <col min="3" max="3" width="16.5703125" style="54" customWidth="1"/>
    <col min="4" max="4" width="14" style="54" customWidth="1"/>
    <col min="5" max="5" width="74.42578125" style="54" customWidth="1"/>
    <col min="6" max="6" width="11" style="340" customWidth="1"/>
    <col min="7" max="7" width="18.28515625" style="581" bestFit="1" customWidth="1"/>
    <col min="8" max="8" width="15.5703125" style="54"/>
    <col min="9" max="9" width="15.5703125" style="462"/>
    <col min="10" max="10" width="12.5703125" style="54" customWidth="1"/>
    <col min="11" max="11" width="17" style="462" bestFit="1" customWidth="1"/>
    <col min="12" max="12" width="13.7109375" style="54" customWidth="1"/>
    <col min="13" max="14" width="15.5703125" style="462"/>
    <col min="15" max="15" width="26.140625" style="578" customWidth="1"/>
    <col min="16" max="16" width="25.42578125" style="54" customWidth="1"/>
    <col min="17" max="16384" width="15.5703125" style="54"/>
  </cols>
  <sheetData>
    <row r="1" spans="2:27" ht="45" customHeight="1" thickBot="1" x14ac:dyDescent="0.3">
      <c r="B1" s="648"/>
      <c r="C1" s="489"/>
      <c r="G1" s="649"/>
      <c r="H1" s="650"/>
      <c r="I1" s="650"/>
      <c r="J1" s="650"/>
      <c r="K1" s="650"/>
      <c r="L1" s="1440"/>
      <c r="M1" s="1440"/>
      <c r="N1" s="1441"/>
      <c r="O1" s="1441"/>
      <c r="P1" s="372"/>
      <c r="R1" s="54" t="s">
        <v>223</v>
      </c>
      <c r="T1" s="373" t="s">
        <v>224</v>
      </c>
      <c r="AA1" s="54" t="s">
        <v>225</v>
      </c>
    </row>
    <row r="2" spans="2:27" ht="15" customHeight="1" thickTop="1" x14ac:dyDescent="0.25">
      <c r="B2" s="648"/>
      <c r="C2" s="9"/>
      <c r="G2" s="649"/>
      <c r="H2" s="650"/>
      <c r="I2" s="650"/>
      <c r="J2" s="650"/>
      <c r="K2" s="650"/>
      <c r="L2" s="1440"/>
      <c r="M2" s="1440"/>
      <c r="N2" s="1440"/>
      <c r="O2" s="1440"/>
      <c r="P2" s="1380" t="s">
        <v>228</v>
      </c>
      <c r="R2" s="54" t="s">
        <v>229</v>
      </c>
      <c r="T2" s="376" t="s">
        <v>230</v>
      </c>
    </row>
    <row r="3" spans="2:27" ht="15" customHeight="1" x14ac:dyDescent="0.25">
      <c r="B3" s="648"/>
      <c r="C3" s="9"/>
      <c r="G3" s="649"/>
      <c r="H3" s="650"/>
      <c r="I3" s="650"/>
      <c r="J3" s="650"/>
      <c r="K3" s="650"/>
      <c r="L3" s="1440"/>
      <c r="M3" s="1440"/>
      <c r="N3" s="1440"/>
      <c r="O3" s="1440"/>
      <c r="P3" s="1381"/>
      <c r="T3" s="7" t="s">
        <v>1</v>
      </c>
    </row>
    <row r="4" spans="2:27" ht="15" customHeight="1" thickBot="1" x14ac:dyDescent="0.3">
      <c r="B4" s="648"/>
      <c r="C4" s="105"/>
      <c r="G4" s="649"/>
      <c r="H4" s="650"/>
      <c r="I4" s="650"/>
      <c r="J4" s="650"/>
      <c r="K4" s="650"/>
      <c r="L4" s="1440"/>
      <c r="M4" s="1440"/>
      <c r="N4" s="1440"/>
      <c r="O4" s="1440"/>
      <c r="P4" s="1382"/>
      <c r="T4" s="13" t="s">
        <v>4</v>
      </c>
    </row>
    <row r="5" spans="2:27" ht="26.25" customHeight="1" thickTop="1" x14ac:dyDescent="0.25">
      <c r="B5" s="1442" t="s">
        <v>427</v>
      </c>
      <c r="C5" s="1443"/>
      <c r="D5" s="1443"/>
      <c r="E5" s="1443"/>
      <c r="F5" s="1443"/>
      <c r="G5" s="1443"/>
      <c r="H5" s="1443"/>
      <c r="I5" s="1443"/>
      <c r="J5" s="1443"/>
      <c r="K5" s="1443"/>
      <c r="L5" s="1443"/>
      <c r="M5" s="1443"/>
      <c r="N5" s="1443"/>
      <c r="O5" s="1444"/>
      <c r="T5" s="7" t="s">
        <v>6</v>
      </c>
      <c r="AA5" s="385"/>
    </row>
    <row r="6" spans="2:27" s="460" customFormat="1" ht="42.75" x14ac:dyDescent="0.25">
      <c r="B6" s="1374" t="s">
        <v>235</v>
      </c>
      <c r="C6" s="1374" t="s">
        <v>34</v>
      </c>
      <c r="D6" s="1374" t="s">
        <v>174</v>
      </c>
      <c r="E6" s="1374" t="s">
        <v>237</v>
      </c>
      <c r="F6" s="1374" t="s">
        <v>16</v>
      </c>
      <c r="G6" s="1445" t="s">
        <v>238</v>
      </c>
      <c r="H6" s="1446" t="s">
        <v>428</v>
      </c>
      <c r="I6" s="1447"/>
      <c r="J6" s="1446" t="s">
        <v>429</v>
      </c>
      <c r="K6" s="1447"/>
      <c r="L6" s="1448" t="s">
        <v>430</v>
      </c>
      <c r="M6" s="1446" t="s">
        <v>431</v>
      </c>
      <c r="N6" s="1450"/>
      <c r="O6" s="1447"/>
      <c r="T6" s="652" t="s">
        <v>8</v>
      </c>
      <c r="AA6" s="385"/>
    </row>
    <row r="7" spans="2:27" s="385" customFormat="1" ht="45" x14ac:dyDescent="0.25">
      <c r="B7" s="1374"/>
      <c r="C7" s="1374"/>
      <c r="D7" s="1374"/>
      <c r="E7" s="1374"/>
      <c r="F7" s="1374"/>
      <c r="G7" s="1445"/>
      <c r="H7" s="653" t="s">
        <v>432</v>
      </c>
      <c r="I7" s="653" t="s">
        <v>433</v>
      </c>
      <c r="J7" s="653" t="s">
        <v>434</v>
      </c>
      <c r="K7" s="653" t="s">
        <v>435</v>
      </c>
      <c r="L7" s="1449"/>
      <c r="M7" s="653" t="s">
        <v>436</v>
      </c>
      <c r="N7" s="654" t="s">
        <v>437</v>
      </c>
      <c r="O7" s="655" t="s">
        <v>438</v>
      </c>
      <c r="T7" s="652" t="s">
        <v>9</v>
      </c>
      <c r="AA7" s="460"/>
    </row>
    <row r="8" spans="2:27" s="385" customFormat="1" ht="15" hidden="1" x14ac:dyDescent="0.25">
      <c r="B8" s="391"/>
      <c r="C8" s="392"/>
      <c r="D8" s="393" t="s">
        <v>355</v>
      </c>
      <c r="E8" s="395" t="s">
        <v>242</v>
      </c>
      <c r="F8" s="396"/>
      <c r="G8" s="500"/>
      <c r="H8" s="429"/>
      <c r="I8" s="430"/>
      <c r="J8" s="429"/>
      <c r="K8" s="430"/>
      <c r="L8" s="429"/>
      <c r="M8" s="430"/>
      <c r="N8" s="430"/>
      <c r="O8" s="656"/>
      <c r="T8" s="460"/>
      <c r="AA8" s="460"/>
    </row>
    <row r="9" spans="2:27" s="385" customFormat="1" ht="28.5" hidden="1" x14ac:dyDescent="0.25">
      <c r="B9" s="503" t="s">
        <v>1</v>
      </c>
      <c r="C9" s="504">
        <v>103689</v>
      </c>
      <c r="D9" s="505" t="s">
        <v>181</v>
      </c>
      <c r="E9" s="534" t="s">
        <v>32</v>
      </c>
      <c r="F9" s="507" t="s">
        <v>33</v>
      </c>
      <c r="G9" s="657">
        <f>VLOOKUP(D9,'ORÇ. MATERIAL'!J:N,5,FALSE)</f>
        <v>15.62</v>
      </c>
      <c r="H9" s="509"/>
      <c r="I9" s="658"/>
      <c r="J9" s="509"/>
      <c r="K9" s="658"/>
      <c r="L9" s="509"/>
      <c r="M9" s="658"/>
      <c r="N9" s="658"/>
      <c r="O9" s="659">
        <f>SUM(O10:O14)</f>
        <v>0</v>
      </c>
      <c r="T9" s="460"/>
      <c r="AA9" s="460"/>
    </row>
    <row r="10" spans="2:27" s="385" customFormat="1" ht="15" hidden="1" x14ac:dyDescent="0.25">
      <c r="B10" s="660" t="s">
        <v>4</v>
      </c>
      <c r="C10" s="513">
        <v>7340</v>
      </c>
      <c r="D10" s="660"/>
      <c r="E10" s="661" t="s">
        <v>439</v>
      </c>
      <c r="F10" s="662" t="s">
        <v>292</v>
      </c>
      <c r="G10" s="663">
        <v>2.54</v>
      </c>
      <c r="H10" s="664"/>
      <c r="I10" s="409"/>
      <c r="J10" s="664"/>
      <c r="K10" s="409"/>
      <c r="L10" s="664"/>
      <c r="M10" s="409"/>
      <c r="N10" s="409"/>
      <c r="O10" s="665"/>
      <c r="T10" s="460"/>
      <c r="AA10" s="460"/>
    </row>
    <row r="11" spans="2:27" s="385" customFormat="1" ht="25.5" hidden="1" x14ac:dyDescent="0.25">
      <c r="B11" s="660" t="s">
        <v>4</v>
      </c>
      <c r="C11" s="513">
        <v>4813</v>
      </c>
      <c r="D11" s="660"/>
      <c r="E11" s="661" t="s">
        <v>440</v>
      </c>
      <c r="F11" s="662" t="s">
        <v>326</v>
      </c>
      <c r="G11" s="663">
        <v>15.62</v>
      </c>
      <c r="H11" s="664"/>
      <c r="I11" s="409"/>
      <c r="J11" s="664"/>
      <c r="K11" s="409"/>
      <c r="L11" s="664"/>
      <c r="M11" s="409"/>
      <c r="N11" s="409"/>
      <c r="O11" s="665"/>
      <c r="T11" s="460"/>
      <c r="AA11" s="460"/>
    </row>
    <row r="12" spans="2:27" s="385" customFormat="1" ht="15" hidden="1" x14ac:dyDescent="0.25">
      <c r="B12" s="660" t="s">
        <v>4</v>
      </c>
      <c r="C12" s="513">
        <v>5065</v>
      </c>
      <c r="D12" s="660"/>
      <c r="E12" s="661" t="s">
        <v>441</v>
      </c>
      <c r="F12" s="662" t="s">
        <v>342</v>
      </c>
      <c r="G12" s="663">
        <v>0.17</v>
      </c>
      <c r="H12" s="664"/>
      <c r="I12" s="409"/>
      <c r="J12" s="664"/>
      <c r="K12" s="409"/>
      <c r="L12" s="664"/>
      <c r="M12" s="409"/>
      <c r="N12" s="409"/>
      <c r="O12" s="665"/>
      <c r="T12" s="460"/>
      <c r="AA12" s="460"/>
    </row>
    <row r="13" spans="2:27" s="385" customFormat="1" ht="15" hidden="1" x14ac:dyDescent="0.25">
      <c r="B13" s="660" t="s">
        <v>4</v>
      </c>
      <c r="C13" s="513">
        <v>5069</v>
      </c>
      <c r="D13" s="660"/>
      <c r="E13" s="661" t="s">
        <v>442</v>
      </c>
      <c r="F13" s="662" t="s">
        <v>342</v>
      </c>
      <c r="G13" s="663">
        <v>0.2</v>
      </c>
      <c r="H13" s="664"/>
      <c r="I13" s="409"/>
      <c r="J13" s="664"/>
      <c r="K13" s="409"/>
      <c r="L13" s="664"/>
      <c r="M13" s="409"/>
      <c r="N13" s="409"/>
      <c r="O13" s="665"/>
      <c r="T13" s="460"/>
      <c r="AA13" s="460"/>
    </row>
    <row r="14" spans="2:27" s="385" customFormat="1" ht="25.5" hidden="1" x14ac:dyDescent="0.25">
      <c r="B14" s="660" t="s">
        <v>4</v>
      </c>
      <c r="C14" s="513">
        <v>4509</v>
      </c>
      <c r="D14" s="660"/>
      <c r="E14" s="661" t="s">
        <v>443</v>
      </c>
      <c r="F14" s="662" t="s">
        <v>334</v>
      </c>
      <c r="G14" s="663">
        <v>50.11</v>
      </c>
      <c r="H14" s="664"/>
      <c r="I14" s="409"/>
      <c r="J14" s="664"/>
      <c r="K14" s="409"/>
      <c r="L14" s="664"/>
      <c r="M14" s="409"/>
      <c r="N14" s="409"/>
      <c r="O14" s="665"/>
      <c r="T14" s="460"/>
      <c r="AA14" s="460"/>
    </row>
    <row r="15" spans="2:27" s="385" customFormat="1" ht="15" hidden="1" x14ac:dyDescent="0.25">
      <c r="B15" s="666"/>
      <c r="C15" s="667"/>
      <c r="D15" s="667"/>
      <c r="E15" s="667"/>
      <c r="F15" s="667"/>
      <c r="G15" s="668"/>
      <c r="H15" s="669"/>
      <c r="I15" s="669"/>
      <c r="J15" s="669"/>
      <c r="K15" s="669"/>
      <c r="L15" s="670"/>
      <c r="M15" s="669"/>
      <c r="N15" s="651"/>
      <c r="O15" s="671"/>
      <c r="T15" s="460"/>
      <c r="AA15" s="460"/>
    </row>
    <row r="16" spans="2:27" s="385" customFormat="1" ht="15" x14ac:dyDescent="0.25">
      <c r="B16" s="666"/>
      <c r="C16" s="667"/>
      <c r="D16" s="667"/>
      <c r="E16" s="667"/>
      <c r="F16" s="667"/>
      <c r="G16" s="668"/>
      <c r="H16" s="669"/>
      <c r="I16" s="669"/>
      <c r="J16" s="669"/>
      <c r="K16" s="669"/>
      <c r="L16" s="670"/>
      <c r="M16" s="669"/>
      <c r="N16" s="651"/>
      <c r="O16" s="671"/>
      <c r="T16" s="460"/>
      <c r="AA16" s="460"/>
    </row>
    <row r="17" spans="1:20" s="400" customFormat="1" ht="15" x14ac:dyDescent="0.25">
      <c r="A17" s="390"/>
      <c r="B17" s="391"/>
      <c r="C17" s="392"/>
      <c r="D17" s="393" t="s">
        <v>189</v>
      </c>
      <c r="E17" s="395" t="s">
        <v>243</v>
      </c>
      <c r="F17" s="396"/>
      <c r="G17" s="500"/>
      <c r="H17" s="429"/>
      <c r="I17" s="430"/>
      <c r="J17" s="429"/>
      <c r="K17" s="430"/>
      <c r="L17" s="429"/>
      <c r="M17" s="430"/>
      <c r="N17" s="430"/>
      <c r="O17" s="656"/>
    </row>
    <row r="18" spans="1:20" s="400" customFormat="1" ht="28.5" x14ac:dyDescent="0.25">
      <c r="A18" s="390"/>
      <c r="B18" s="503" t="s">
        <v>20</v>
      </c>
      <c r="C18" s="504" t="s">
        <v>115</v>
      </c>
      <c r="D18" s="505" t="s">
        <v>191</v>
      </c>
      <c r="E18" s="534" t="s">
        <v>116</v>
      </c>
      <c r="F18" s="507" t="s">
        <v>118</v>
      </c>
      <c r="G18" s="508">
        <f>VLOOKUP(D18,'ORÇ. MATERIAL'!J:N,5,FALSE)</f>
        <v>21845.07</v>
      </c>
      <c r="H18" s="1437" t="s">
        <v>444</v>
      </c>
      <c r="I18" s="1437"/>
      <c r="J18" s="672">
        <v>230.19</v>
      </c>
      <c r="K18" s="510"/>
      <c r="L18" s="509"/>
      <c r="M18" s="510"/>
      <c r="N18" s="510"/>
      <c r="O18" s="673">
        <f>SUM(O19:O19)</f>
        <v>2013.71</v>
      </c>
    </row>
    <row r="19" spans="1:20" s="567" customFormat="1" ht="28.5" x14ac:dyDescent="0.25">
      <c r="A19" s="562"/>
      <c r="B19" s="402" t="s">
        <v>8</v>
      </c>
      <c r="C19" s="403" t="s">
        <v>95</v>
      </c>
      <c r="D19" s="403"/>
      <c r="E19" s="433" t="s">
        <v>418</v>
      </c>
      <c r="F19" s="434" t="s">
        <v>2942</v>
      </c>
      <c r="G19" s="538">
        <v>1</v>
      </c>
      <c r="H19" s="674">
        <v>1</v>
      </c>
      <c r="I19" s="674">
        <f>G19*H19</f>
        <v>1</v>
      </c>
      <c r="J19" s="675">
        <f>TRUNC(I19/J18,5)</f>
        <v>4.3400000000000001E-3</v>
      </c>
      <c r="K19" s="674">
        <f>TRUNC(J19*G18,5)</f>
        <v>94.807599999999994</v>
      </c>
      <c r="L19" s="674">
        <f>VLOOKUP($C19,EQUIPAMENTOS!$B:$E,3,FALSE)</f>
        <v>118</v>
      </c>
      <c r="M19" s="674">
        <f>VLOOKUP($C19,EQUIPAMENTOS!$B:$E,4,FALSE)</f>
        <v>0.18</v>
      </c>
      <c r="N19" s="675">
        <f>L19*M19</f>
        <v>21.24</v>
      </c>
      <c r="O19" s="676">
        <f>TRUNC(N19*K19,2)</f>
        <v>2013.71</v>
      </c>
      <c r="T19" s="677" t="s">
        <v>58</v>
      </c>
    </row>
    <row r="20" spans="1:20" s="400" customFormat="1" ht="28.5" x14ac:dyDescent="0.25">
      <c r="A20" s="390"/>
      <c r="B20" s="503" t="s">
        <v>1</v>
      </c>
      <c r="C20" s="504">
        <v>93592</v>
      </c>
      <c r="D20" s="505" t="s">
        <v>357</v>
      </c>
      <c r="E20" s="534" t="s">
        <v>2918</v>
      </c>
      <c r="F20" s="507" t="s">
        <v>263</v>
      </c>
      <c r="G20" s="508">
        <f>VLOOKUP(D20,'ORÇ. MATERIAL'!J:N,5,FALSE)</f>
        <v>24568.42</v>
      </c>
      <c r="H20" s="509"/>
      <c r="I20" s="510"/>
      <c r="J20" s="509"/>
      <c r="K20" s="510"/>
      <c r="L20" s="509"/>
      <c r="M20" s="510"/>
      <c r="N20" s="510"/>
      <c r="O20" s="673">
        <f>SUM(O21:O22)</f>
        <v>4706.2</v>
      </c>
    </row>
    <row r="21" spans="1:20" s="567" customFormat="1" ht="57" x14ac:dyDescent="0.25">
      <c r="A21" s="562"/>
      <c r="B21" s="563" t="s">
        <v>1</v>
      </c>
      <c r="C21" s="678">
        <v>89876</v>
      </c>
      <c r="D21" s="678"/>
      <c r="E21" s="520" t="s">
        <v>2917</v>
      </c>
      <c r="F21" s="521" t="s">
        <v>2898</v>
      </c>
      <c r="G21" s="679">
        <v>6.4999999999999997E-3</v>
      </c>
      <c r="H21" s="680"/>
      <c r="I21" s="680"/>
      <c r="J21" s="681"/>
      <c r="K21" s="680"/>
      <c r="L21" s="680"/>
      <c r="M21" s="680"/>
      <c r="N21" s="681"/>
      <c r="O21" s="682"/>
      <c r="T21" s="677" t="s">
        <v>58</v>
      </c>
    </row>
    <row r="22" spans="1:20" s="400" customFormat="1" ht="57" x14ac:dyDescent="0.25">
      <c r="A22" s="390"/>
      <c r="B22" s="402" t="s">
        <v>1</v>
      </c>
      <c r="C22" s="403">
        <v>89874</v>
      </c>
      <c r="D22" s="403"/>
      <c r="E22" s="433" t="s">
        <v>2943</v>
      </c>
      <c r="F22" s="434" t="s">
        <v>2890</v>
      </c>
      <c r="G22" s="568">
        <v>1</v>
      </c>
      <c r="H22" s="674"/>
      <c r="I22" s="674"/>
      <c r="J22" s="675"/>
      <c r="K22" s="674"/>
      <c r="L22" s="674"/>
      <c r="M22" s="674"/>
      <c r="N22" s="675">
        <v>29.47</v>
      </c>
      <c r="O22" s="676">
        <f>TRUNC(G22*N22*G20*G21,2)</f>
        <v>4706.2</v>
      </c>
      <c r="P22" s="569">
        <f>N22*G21</f>
        <v>0.19155499999999998</v>
      </c>
      <c r="T22" s="401" t="s">
        <v>58</v>
      </c>
    </row>
    <row r="23" spans="1:20" s="400" customFormat="1" ht="42.75" x14ac:dyDescent="0.25">
      <c r="A23" s="390"/>
      <c r="B23" s="503" t="s">
        <v>1</v>
      </c>
      <c r="C23" s="504">
        <v>95876</v>
      </c>
      <c r="D23" s="505" t="s">
        <v>358</v>
      </c>
      <c r="E23" s="534" t="s">
        <v>2919</v>
      </c>
      <c r="F23" s="507" t="s">
        <v>263</v>
      </c>
      <c r="G23" s="508">
        <f>VLOOKUP(D23,'ORÇ. MATERIAL'!J:N,5,FALSE)</f>
        <v>25828.82</v>
      </c>
      <c r="H23" s="509"/>
      <c r="I23" s="510"/>
      <c r="J23" s="509"/>
      <c r="K23" s="510"/>
      <c r="L23" s="509"/>
      <c r="M23" s="510"/>
      <c r="N23" s="510"/>
      <c r="O23" s="673">
        <f>SUM(O24:O25)</f>
        <v>4490.93</v>
      </c>
    </row>
    <row r="24" spans="1:20" s="567" customFormat="1" ht="57" x14ac:dyDescent="0.25">
      <c r="A24" s="562"/>
      <c r="B24" s="563" t="s">
        <v>1</v>
      </c>
      <c r="C24" s="678">
        <v>89876</v>
      </c>
      <c r="D24" s="678"/>
      <c r="E24" s="520" t="s">
        <v>2917</v>
      </c>
      <c r="F24" s="521" t="s">
        <v>2898</v>
      </c>
      <c r="G24" s="679">
        <v>5.8999999999999999E-3</v>
      </c>
      <c r="H24" s="680"/>
      <c r="I24" s="680"/>
      <c r="J24" s="681"/>
      <c r="K24" s="680"/>
      <c r="L24" s="680"/>
      <c r="M24" s="680"/>
      <c r="N24" s="681"/>
      <c r="O24" s="682"/>
      <c r="T24" s="677" t="s">
        <v>58</v>
      </c>
    </row>
    <row r="25" spans="1:20" s="400" customFormat="1" ht="57" x14ac:dyDescent="0.25">
      <c r="A25" s="390"/>
      <c r="B25" s="402" t="s">
        <v>1</v>
      </c>
      <c r="C25" s="403">
        <v>89874</v>
      </c>
      <c r="D25" s="403"/>
      <c r="E25" s="433" t="s">
        <v>2943</v>
      </c>
      <c r="F25" s="434" t="s">
        <v>2890</v>
      </c>
      <c r="G25" s="568">
        <v>1</v>
      </c>
      <c r="H25" s="674"/>
      <c r="I25" s="674"/>
      <c r="J25" s="675"/>
      <c r="K25" s="674"/>
      <c r="L25" s="674"/>
      <c r="M25" s="674"/>
      <c r="N25" s="675">
        <v>29.47</v>
      </c>
      <c r="O25" s="676">
        <f>TRUNC(G25*N25*G23*G24,2)</f>
        <v>4490.93</v>
      </c>
      <c r="P25" s="569">
        <f>N25*G24</f>
        <v>0.173873</v>
      </c>
      <c r="T25" s="401" t="s">
        <v>58</v>
      </c>
    </row>
    <row r="26" spans="1:20" s="400" customFormat="1" ht="42.75" x14ac:dyDescent="0.25">
      <c r="A26" s="390"/>
      <c r="B26" s="503" t="s">
        <v>1</v>
      </c>
      <c r="C26" s="504">
        <v>96385</v>
      </c>
      <c r="D26" s="505" t="s">
        <v>359</v>
      </c>
      <c r="E26" s="506" t="s">
        <v>2920</v>
      </c>
      <c r="F26" s="551" t="s">
        <v>259</v>
      </c>
      <c r="G26" s="508">
        <f>VLOOKUP(D26,'ORÇ. MATERIAL'!J:N,5,FALSE)</f>
        <v>426.25</v>
      </c>
      <c r="H26" s="556"/>
      <c r="I26" s="556"/>
      <c r="J26" s="510"/>
      <c r="K26" s="556"/>
      <c r="L26" s="510"/>
      <c r="M26" s="556"/>
      <c r="N26" s="510"/>
      <c r="O26" s="673">
        <f>SUM(O27:O32)</f>
        <v>131.30000000000001</v>
      </c>
    </row>
    <row r="27" spans="1:20" s="567" customFormat="1" ht="57" x14ac:dyDescent="0.25">
      <c r="A27" s="562"/>
      <c r="B27" s="563" t="s">
        <v>1</v>
      </c>
      <c r="C27" s="678">
        <v>5901</v>
      </c>
      <c r="D27" s="678"/>
      <c r="E27" s="520" t="s">
        <v>2944</v>
      </c>
      <c r="F27" s="521" t="s">
        <v>2898</v>
      </c>
      <c r="G27" s="679">
        <v>4.0000000000000001E-3</v>
      </c>
      <c r="H27" s="680"/>
      <c r="I27" s="680"/>
      <c r="J27" s="681"/>
      <c r="K27" s="680"/>
      <c r="L27" s="680"/>
      <c r="M27" s="680"/>
      <c r="N27" s="681"/>
      <c r="O27" s="682"/>
      <c r="T27" s="677" t="s">
        <v>58</v>
      </c>
    </row>
    <row r="28" spans="1:20" s="400" customFormat="1" ht="57" x14ac:dyDescent="0.25">
      <c r="A28" s="390"/>
      <c r="B28" s="402" t="s">
        <v>1</v>
      </c>
      <c r="C28" s="403">
        <v>53831</v>
      </c>
      <c r="D28" s="403"/>
      <c r="E28" s="433" t="s">
        <v>2945</v>
      </c>
      <c r="F28" s="434" t="s">
        <v>2890</v>
      </c>
      <c r="G28" s="568">
        <v>1</v>
      </c>
      <c r="H28" s="674"/>
      <c r="I28" s="674"/>
      <c r="J28" s="675"/>
      <c r="K28" s="674"/>
      <c r="L28" s="674"/>
      <c r="M28" s="674"/>
      <c r="N28" s="675">
        <v>32.159999999999997</v>
      </c>
      <c r="O28" s="676">
        <f>TRUNC(G28*N28*G26*G27,2)</f>
        <v>54.83</v>
      </c>
      <c r="P28" s="569">
        <f>N28*G27</f>
        <v>0.12863999999999998</v>
      </c>
      <c r="T28" s="401" t="s">
        <v>58</v>
      </c>
    </row>
    <row r="29" spans="1:20" s="567" customFormat="1" ht="42.75" x14ac:dyDescent="0.25">
      <c r="A29" s="562"/>
      <c r="B29" s="563" t="s">
        <v>1</v>
      </c>
      <c r="C29" s="678">
        <v>5932</v>
      </c>
      <c r="D29" s="678"/>
      <c r="E29" s="520" t="s">
        <v>2946</v>
      </c>
      <c r="F29" s="521" t="s">
        <v>2898</v>
      </c>
      <c r="G29" s="679">
        <v>6.0000000000000001E-3</v>
      </c>
      <c r="H29" s="680"/>
      <c r="I29" s="680"/>
      <c r="J29" s="681"/>
      <c r="K29" s="680"/>
      <c r="L29" s="680"/>
      <c r="M29" s="680"/>
      <c r="N29" s="681"/>
      <c r="O29" s="682"/>
      <c r="T29" s="677" t="s">
        <v>58</v>
      </c>
    </row>
    <row r="30" spans="1:20" s="400" customFormat="1" ht="42.75" x14ac:dyDescent="0.25">
      <c r="A30" s="390"/>
      <c r="B30" s="402" t="s">
        <v>1</v>
      </c>
      <c r="C30" s="403">
        <v>53849</v>
      </c>
      <c r="D30" s="403"/>
      <c r="E30" s="433" t="s">
        <v>2947</v>
      </c>
      <c r="F30" s="434" t="s">
        <v>2890</v>
      </c>
      <c r="G30" s="568">
        <v>1</v>
      </c>
      <c r="H30" s="674"/>
      <c r="I30" s="674"/>
      <c r="J30" s="675"/>
      <c r="K30" s="674"/>
      <c r="L30" s="674"/>
      <c r="M30" s="674"/>
      <c r="N30" s="675">
        <v>13.99</v>
      </c>
      <c r="O30" s="676">
        <f>TRUNC(G30*N30*G26*G29,2)</f>
        <v>35.770000000000003</v>
      </c>
      <c r="P30" s="569">
        <f>N30*G29</f>
        <v>8.3940000000000001E-2</v>
      </c>
      <c r="T30" s="401" t="s">
        <v>58</v>
      </c>
    </row>
    <row r="31" spans="1:20" s="567" customFormat="1" ht="42.75" x14ac:dyDescent="0.25">
      <c r="A31" s="562"/>
      <c r="B31" s="563" t="s">
        <v>1</v>
      </c>
      <c r="C31" s="678">
        <v>73436</v>
      </c>
      <c r="D31" s="678"/>
      <c r="E31" s="520" t="s">
        <v>2948</v>
      </c>
      <c r="F31" s="521" t="s">
        <v>2898</v>
      </c>
      <c r="G31" s="679">
        <v>0.01</v>
      </c>
      <c r="H31" s="680"/>
      <c r="I31" s="680"/>
      <c r="J31" s="681"/>
      <c r="K31" s="680"/>
      <c r="L31" s="680"/>
      <c r="M31" s="680"/>
      <c r="N31" s="681"/>
      <c r="O31" s="682"/>
      <c r="T31" s="677" t="s">
        <v>58</v>
      </c>
    </row>
    <row r="32" spans="1:20" s="400" customFormat="1" ht="57" x14ac:dyDescent="0.25">
      <c r="A32" s="390"/>
      <c r="B32" s="402" t="s">
        <v>1</v>
      </c>
      <c r="C32" s="403">
        <v>73315</v>
      </c>
      <c r="D32" s="403"/>
      <c r="E32" s="433" t="s">
        <v>2949</v>
      </c>
      <c r="F32" s="434" t="s">
        <v>2890</v>
      </c>
      <c r="G32" s="568">
        <v>1</v>
      </c>
      <c r="H32" s="674"/>
      <c r="I32" s="674"/>
      <c r="J32" s="675"/>
      <c r="K32" s="674"/>
      <c r="L32" s="674"/>
      <c r="M32" s="674"/>
      <c r="N32" s="675">
        <v>9.5500000000000007</v>
      </c>
      <c r="O32" s="676">
        <f>TRUNC(G32*N32*G26*G31,2)</f>
        <v>40.700000000000003</v>
      </c>
      <c r="P32" s="569">
        <f>N32*G31</f>
        <v>9.5500000000000015E-2</v>
      </c>
      <c r="T32" s="401" t="s">
        <v>58</v>
      </c>
    </row>
    <row r="33" spans="1:20" s="400" customFormat="1" ht="15" x14ac:dyDescent="0.25">
      <c r="A33" s="390"/>
      <c r="B33" s="413"/>
      <c r="C33" s="414"/>
      <c r="D33" s="415" t="s">
        <v>193</v>
      </c>
      <c r="E33" s="416" t="s">
        <v>244</v>
      </c>
      <c r="F33" s="417"/>
      <c r="G33" s="539"/>
      <c r="H33" s="436"/>
      <c r="I33" s="540"/>
      <c r="J33" s="436"/>
      <c r="K33" s="540"/>
      <c r="L33" s="436"/>
      <c r="M33" s="540"/>
      <c r="N33" s="540"/>
      <c r="O33" s="683"/>
      <c r="P33" s="569">
        <f>P32+P30+P28</f>
        <v>0.30808000000000002</v>
      </c>
    </row>
    <row r="34" spans="1:20" s="400" customFormat="1" ht="15" x14ac:dyDescent="0.25">
      <c r="A34" s="390"/>
      <c r="B34" s="420"/>
      <c r="C34" s="421"/>
      <c r="D34" s="422"/>
      <c r="E34" s="423" t="s">
        <v>245</v>
      </c>
      <c r="F34" s="424"/>
      <c r="G34" s="542"/>
      <c r="H34" s="426"/>
      <c r="I34" s="427"/>
      <c r="J34" s="426"/>
      <c r="K34" s="427"/>
      <c r="L34" s="426"/>
      <c r="M34" s="427"/>
      <c r="N34" s="427"/>
      <c r="O34" s="684"/>
    </row>
    <row r="35" spans="1:20" s="400" customFormat="1" ht="28.5" x14ac:dyDescent="0.25">
      <c r="A35" s="390"/>
      <c r="B35" s="503" t="s">
        <v>1</v>
      </c>
      <c r="C35" s="504">
        <v>100577</v>
      </c>
      <c r="D35" s="505" t="s">
        <v>195</v>
      </c>
      <c r="E35" s="534" t="s">
        <v>2921</v>
      </c>
      <c r="F35" s="507" t="s">
        <v>33</v>
      </c>
      <c r="G35" s="508">
        <f>VLOOKUP(D35,'ORÇ. MATERIAL'!J:N,5,FALSE)</f>
        <v>71419.360000000001</v>
      </c>
      <c r="H35" s="509"/>
      <c r="I35" s="510"/>
      <c r="J35" s="509"/>
      <c r="K35" s="510"/>
      <c r="L35" s="509"/>
      <c r="M35" s="510"/>
      <c r="N35" s="510"/>
      <c r="O35" s="673">
        <f>SUM(O36:O41)</f>
        <v>3158.79</v>
      </c>
    </row>
    <row r="36" spans="1:20" s="567" customFormat="1" ht="57" x14ac:dyDescent="0.25">
      <c r="A36" s="562"/>
      <c r="B36" s="563" t="s">
        <v>1</v>
      </c>
      <c r="C36" s="678">
        <v>5901</v>
      </c>
      <c r="D36" s="678"/>
      <c r="E36" s="520" t="s">
        <v>2944</v>
      </c>
      <c r="F36" s="521" t="s">
        <v>2898</v>
      </c>
      <c r="G36" s="679">
        <v>1E-3</v>
      </c>
      <c r="H36" s="680"/>
      <c r="I36" s="680"/>
      <c r="J36" s="681"/>
      <c r="K36" s="680"/>
      <c r="L36" s="680"/>
      <c r="M36" s="680"/>
      <c r="N36" s="681"/>
      <c r="O36" s="682"/>
      <c r="T36" s="677" t="s">
        <v>58</v>
      </c>
    </row>
    <row r="37" spans="1:20" s="400" customFormat="1" ht="57" x14ac:dyDescent="0.25">
      <c r="A37" s="390"/>
      <c r="B37" s="402" t="s">
        <v>1</v>
      </c>
      <c r="C37" s="403">
        <v>53831</v>
      </c>
      <c r="D37" s="403"/>
      <c r="E37" s="433" t="s">
        <v>2945</v>
      </c>
      <c r="F37" s="434" t="s">
        <v>2890</v>
      </c>
      <c r="G37" s="568">
        <v>1</v>
      </c>
      <c r="H37" s="674"/>
      <c r="I37" s="674"/>
      <c r="J37" s="675"/>
      <c r="K37" s="674"/>
      <c r="L37" s="674"/>
      <c r="M37" s="674"/>
      <c r="N37" s="675">
        <v>32.159999999999997</v>
      </c>
      <c r="O37" s="676">
        <f>TRUNC(G37*N37*G35*G36,2)</f>
        <v>2296.84</v>
      </c>
      <c r="P37" s="569">
        <f>N37*G36</f>
        <v>3.2159999999999994E-2</v>
      </c>
      <c r="T37" s="401" t="s">
        <v>58</v>
      </c>
    </row>
    <row r="38" spans="1:20" s="400" customFormat="1" ht="42.75" x14ac:dyDescent="0.25">
      <c r="A38" s="390"/>
      <c r="B38" s="563" t="s">
        <v>1</v>
      </c>
      <c r="C38" s="678">
        <v>5932</v>
      </c>
      <c r="D38" s="678"/>
      <c r="E38" s="520" t="s">
        <v>2946</v>
      </c>
      <c r="F38" s="521" t="s">
        <v>2898</v>
      </c>
      <c r="G38" s="679">
        <v>1E-4</v>
      </c>
      <c r="H38" s="680"/>
      <c r="I38" s="680"/>
      <c r="J38" s="681"/>
      <c r="K38" s="680"/>
      <c r="L38" s="680"/>
      <c r="M38" s="680"/>
      <c r="N38" s="681"/>
      <c r="O38" s="682"/>
      <c r="P38" s="569"/>
    </row>
    <row r="39" spans="1:20" s="400" customFormat="1" ht="42.75" x14ac:dyDescent="0.25">
      <c r="A39" s="390"/>
      <c r="B39" s="402" t="s">
        <v>1</v>
      </c>
      <c r="C39" s="403">
        <v>53849</v>
      </c>
      <c r="D39" s="403"/>
      <c r="E39" s="433" t="s">
        <v>2947</v>
      </c>
      <c r="F39" s="434" t="s">
        <v>2890</v>
      </c>
      <c r="G39" s="568">
        <v>1</v>
      </c>
      <c r="H39" s="674"/>
      <c r="I39" s="674"/>
      <c r="J39" s="675"/>
      <c r="K39" s="674"/>
      <c r="L39" s="674"/>
      <c r="M39" s="674"/>
      <c r="N39" s="675">
        <v>13.99</v>
      </c>
      <c r="O39" s="676">
        <f>TRUNC(G39*N39*G35*G38,2)</f>
        <v>99.91</v>
      </c>
      <c r="P39" s="569">
        <f>N39*G38</f>
        <v>1.3990000000000001E-3</v>
      </c>
    </row>
    <row r="40" spans="1:20" s="400" customFormat="1" ht="42.75" x14ac:dyDescent="0.25">
      <c r="A40" s="390"/>
      <c r="B40" s="563" t="s">
        <v>1</v>
      </c>
      <c r="C40" s="678">
        <v>96463</v>
      </c>
      <c r="D40" s="678"/>
      <c r="E40" s="520" t="s">
        <v>2950</v>
      </c>
      <c r="F40" s="521" t="s">
        <v>2898</v>
      </c>
      <c r="G40" s="679">
        <v>1E-3</v>
      </c>
      <c r="H40" s="680"/>
      <c r="I40" s="680"/>
      <c r="J40" s="681"/>
      <c r="K40" s="680"/>
      <c r="L40" s="680"/>
      <c r="M40" s="680"/>
      <c r="N40" s="681"/>
      <c r="O40" s="682"/>
      <c r="P40" s="569"/>
    </row>
    <row r="41" spans="1:20" s="400" customFormat="1" ht="42.75" x14ac:dyDescent="0.25">
      <c r="A41" s="390"/>
      <c r="B41" s="402" t="s">
        <v>1</v>
      </c>
      <c r="C41" s="403">
        <v>96457</v>
      </c>
      <c r="D41" s="403"/>
      <c r="E41" s="433" t="s">
        <v>2951</v>
      </c>
      <c r="F41" s="434" t="s">
        <v>2890</v>
      </c>
      <c r="G41" s="568">
        <v>1</v>
      </c>
      <c r="H41" s="674"/>
      <c r="I41" s="674"/>
      <c r="J41" s="675"/>
      <c r="K41" s="674"/>
      <c r="L41" s="674"/>
      <c r="M41" s="674"/>
      <c r="N41" s="675">
        <v>10.67</v>
      </c>
      <c r="O41" s="676">
        <f>TRUNC(G41*N41*G35*G40,2)</f>
        <v>762.04</v>
      </c>
      <c r="P41" s="569">
        <f>N41*G40</f>
        <v>1.0670000000000001E-2</v>
      </c>
    </row>
    <row r="42" spans="1:20" s="400" customFormat="1" ht="28.5" x14ac:dyDescent="0.25">
      <c r="A42" s="390"/>
      <c r="B42" s="503" t="s">
        <v>6</v>
      </c>
      <c r="C42" s="504">
        <v>4011219</v>
      </c>
      <c r="D42" s="505" t="s">
        <v>197</v>
      </c>
      <c r="E42" s="534" t="s">
        <v>807</v>
      </c>
      <c r="F42" s="507" t="s">
        <v>118</v>
      </c>
      <c r="G42" s="508">
        <f>VLOOKUP(D42,'ORÇ. MATERIAL'!J:N,5,FALSE)</f>
        <v>17854.830000000002</v>
      </c>
      <c r="H42" s="1437" t="s">
        <v>444</v>
      </c>
      <c r="I42" s="1437"/>
      <c r="J42" s="672">
        <v>168.2</v>
      </c>
      <c r="K42" s="510"/>
      <c r="L42" s="509"/>
      <c r="M42" s="510"/>
      <c r="N42" s="510"/>
      <c r="O42" s="673">
        <f>SUM(O43:O51)</f>
        <v>8535.0299999999988</v>
      </c>
      <c r="P42" s="685">
        <f>P37+P39+P41</f>
        <v>4.4228999999999991E-2</v>
      </c>
    </row>
    <row r="43" spans="1:20" s="567" customFormat="1" ht="28.5" x14ac:dyDescent="0.25">
      <c r="A43" s="562"/>
      <c r="B43" s="402" t="s">
        <v>8</v>
      </c>
      <c r="C43" s="403" t="s">
        <v>167</v>
      </c>
      <c r="D43" s="403"/>
      <c r="E43" s="433" t="s">
        <v>412</v>
      </c>
      <c r="F43" s="434" t="s">
        <v>2942</v>
      </c>
      <c r="G43" s="538">
        <v>1</v>
      </c>
      <c r="H43" s="674">
        <v>0.93</v>
      </c>
      <c r="I43" s="674">
        <f>G43*H43</f>
        <v>0.93</v>
      </c>
      <c r="J43" s="675">
        <f>TRUNC(I43/$J$42,5)</f>
        <v>5.5199999999999997E-3</v>
      </c>
      <c r="K43" s="674">
        <f>TRUNC(J43*$G$42,5)</f>
        <v>98.558660000000003</v>
      </c>
      <c r="L43" s="674">
        <f>VLOOKUP($C43,EQUIPAMENTOS!$B:$E,3,FALSE)</f>
        <v>188</v>
      </c>
      <c r="M43" s="674">
        <f>VLOOKUP($C43,EQUIPAMENTOS!$B:$E,4,FALSE)</f>
        <v>0.18</v>
      </c>
      <c r="N43" s="675">
        <f>L43*M43</f>
        <v>33.839999999999996</v>
      </c>
      <c r="O43" s="676">
        <f>TRUNC(N43*K43,2)</f>
        <v>3335.22</v>
      </c>
      <c r="T43" s="677" t="s">
        <v>58</v>
      </c>
    </row>
    <row r="44" spans="1:20" s="567" customFormat="1" ht="28.5" x14ac:dyDescent="0.25">
      <c r="A44" s="562"/>
      <c r="B44" s="402" t="s">
        <v>8</v>
      </c>
      <c r="C44" s="403" t="s">
        <v>93</v>
      </c>
      <c r="D44" s="403"/>
      <c r="E44" s="433" t="s">
        <v>415</v>
      </c>
      <c r="F44" s="434" t="s">
        <v>2942</v>
      </c>
      <c r="G44" s="538">
        <v>1</v>
      </c>
      <c r="H44" s="674">
        <v>0.74</v>
      </c>
      <c r="I44" s="674">
        <f>G44*H44</f>
        <v>0.74</v>
      </c>
      <c r="J44" s="675">
        <f>TRUNC(I44/$J$42,5)</f>
        <v>4.3899999999999998E-3</v>
      </c>
      <c r="K44" s="674">
        <f>TRUNC(J44*$G$42,5)</f>
        <v>78.3827</v>
      </c>
      <c r="L44" s="674">
        <f>VLOOKUP($C44,EQUIPAMENTOS!$B:$E,3,FALSE)</f>
        <v>93</v>
      </c>
      <c r="M44" s="674">
        <f>VLOOKUP($C44,EQUIPAMENTOS!$B:$E,4,FALSE)</f>
        <v>0.18</v>
      </c>
      <c r="N44" s="675">
        <f>L44*M44</f>
        <v>16.739999999999998</v>
      </c>
      <c r="O44" s="676">
        <f>TRUNC(N44*K44,2)</f>
        <v>1312.12</v>
      </c>
    </row>
    <row r="45" spans="1:20" s="567" customFormat="1" ht="28.5" x14ac:dyDescent="0.25">
      <c r="A45" s="562"/>
      <c r="B45" s="402" t="s">
        <v>8</v>
      </c>
      <c r="C45" s="403" t="s">
        <v>88</v>
      </c>
      <c r="D45" s="403"/>
      <c r="E45" s="433" t="s">
        <v>416</v>
      </c>
      <c r="F45" s="434" t="s">
        <v>2942</v>
      </c>
      <c r="G45" s="538">
        <v>1</v>
      </c>
      <c r="H45" s="674">
        <v>0.96</v>
      </c>
      <c r="I45" s="674">
        <f>G45*H45</f>
        <v>0.96</v>
      </c>
      <c r="J45" s="675">
        <f>TRUNC(I45/$J$42,5)</f>
        <v>5.7000000000000002E-3</v>
      </c>
      <c r="K45" s="674">
        <f>TRUNC(J45*$G$42,5)</f>
        <v>101.77253</v>
      </c>
      <c r="L45" s="674">
        <f>VLOOKUP($C45,EQUIPAMENTOS!$B:$E,3,FALSE)</f>
        <v>85</v>
      </c>
      <c r="M45" s="674">
        <f>VLOOKUP($C45,EQUIPAMENTOS!$B:$E,4,FALSE)</f>
        <v>0.18</v>
      </c>
      <c r="N45" s="675">
        <f>L45*M45</f>
        <v>15.299999999999999</v>
      </c>
      <c r="O45" s="676">
        <f>TRUNC(N45*K45,2)</f>
        <v>1557.11</v>
      </c>
    </row>
    <row r="46" spans="1:20" s="567" customFormat="1" ht="28.5" x14ac:dyDescent="0.25">
      <c r="A46" s="562"/>
      <c r="B46" s="402" t="s">
        <v>8</v>
      </c>
      <c r="C46" s="403" t="s">
        <v>85</v>
      </c>
      <c r="D46" s="403"/>
      <c r="E46" s="433" t="s">
        <v>417</v>
      </c>
      <c r="F46" s="434" t="s">
        <v>2942</v>
      </c>
      <c r="G46" s="538">
        <v>1</v>
      </c>
      <c r="H46" s="674">
        <v>1</v>
      </c>
      <c r="I46" s="674">
        <f>G46*H46</f>
        <v>1</v>
      </c>
      <c r="J46" s="675">
        <f>TRUNC(I46/$J$42,5)</f>
        <v>5.94E-3</v>
      </c>
      <c r="K46" s="674">
        <f>TRUNC(J46*$G$42,5)</f>
        <v>106.05768999999999</v>
      </c>
      <c r="L46" s="674">
        <f>VLOOKUP($C46,EQUIPAMENTOS!$B:$E,3,FALSE)</f>
        <v>82</v>
      </c>
      <c r="M46" s="674">
        <f>VLOOKUP($C46,EQUIPAMENTOS!$B:$E,4,FALSE)</f>
        <v>0.18</v>
      </c>
      <c r="N46" s="675">
        <f>L46*M46</f>
        <v>14.76</v>
      </c>
      <c r="O46" s="676">
        <f>TRUNC(N46*K46,2)</f>
        <v>1565.41</v>
      </c>
    </row>
    <row r="47" spans="1:20" s="567" customFormat="1" ht="28.5" x14ac:dyDescent="0.25">
      <c r="A47" s="562"/>
      <c r="B47" s="402" t="s">
        <v>8</v>
      </c>
      <c r="C47" s="403" t="s">
        <v>92</v>
      </c>
      <c r="D47" s="403"/>
      <c r="E47" s="433" t="s">
        <v>405</v>
      </c>
      <c r="F47" s="434" t="s">
        <v>2942</v>
      </c>
      <c r="G47" s="538">
        <v>1</v>
      </c>
      <c r="H47" s="674">
        <v>0.52</v>
      </c>
      <c r="I47" s="674">
        <f>G47*H47</f>
        <v>0.52</v>
      </c>
      <c r="J47" s="675">
        <f>TRUNC(I47/$J$42,5)</f>
        <v>3.0899999999999999E-3</v>
      </c>
      <c r="K47" s="674">
        <f>TRUNC(J47*$G$42,5)</f>
        <v>55.171419999999998</v>
      </c>
      <c r="L47" s="674">
        <f>VLOOKUP($C47,EQUIPAMENTOS!$B:$E,3,FALSE)</f>
        <v>77</v>
      </c>
      <c r="M47" s="674">
        <f>VLOOKUP($C47,EQUIPAMENTOS!$B:$E,4,FALSE)</f>
        <v>0.18</v>
      </c>
      <c r="N47" s="675">
        <f>L47*M47</f>
        <v>13.86</v>
      </c>
      <c r="O47" s="676">
        <f>TRUNC(N47*K47,2)</f>
        <v>764.67</v>
      </c>
    </row>
    <row r="48" spans="1:20" s="567" customFormat="1" ht="28.5" x14ac:dyDescent="0.25">
      <c r="A48" s="562"/>
      <c r="B48" s="563" t="s">
        <v>6</v>
      </c>
      <c r="C48" s="678">
        <v>4016096</v>
      </c>
      <c r="D48" s="518"/>
      <c r="E48" s="686" t="s">
        <v>130</v>
      </c>
      <c r="F48" s="687" t="s">
        <v>118</v>
      </c>
      <c r="G48" s="566">
        <v>1.1000000000000001</v>
      </c>
      <c r="H48" s="1439" t="s">
        <v>444</v>
      </c>
      <c r="I48" s="1439"/>
      <c r="J48" s="688">
        <v>230.19</v>
      </c>
      <c r="K48" s="525"/>
      <c r="L48" s="689"/>
      <c r="M48" s="525"/>
      <c r="N48" s="525"/>
      <c r="O48" s="690"/>
    </row>
    <row r="49" spans="1:20" s="567" customFormat="1" ht="28.5" x14ac:dyDescent="0.25">
      <c r="A49" s="562"/>
      <c r="B49" s="402" t="s">
        <v>8</v>
      </c>
      <c r="C49" s="403" t="s">
        <v>95</v>
      </c>
      <c r="D49" s="403"/>
      <c r="E49" s="433" t="s">
        <v>418</v>
      </c>
      <c r="F49" s="434" t="s">
        <v>2942</v>
      </c>
      <c r="G49" s="538">
        <v>1</v>
      </c>
      <c r="H49" s="674">
        <v>1</v>
      </c>
      <c r="I49" s="674">
        <f>G49*H49</f>
        <v>1</v>
      </c>
      <c r="J49" s="675">
        <f>TRUNC(I49/J48,5)</f>
        <v>4.3400000000000001E-3</v>
      </c>
      <c r="K49" s="674">
        <f>TRUNC(J49*G48,5)</f>
        <v>4.7699999999999999E-3</v>
      </c>
      <c r="L49" s="674">
        <f>VLOOKUP($C49,EQUIPAMENTOS!$B:$E,3,FALSE)</f>
        <v>118</v>
      </c>
      <c r="M49" s="674">
        <f>VLOOKUP($C49,EQUIPAMENTOS!$B:$E,4,FALSE)</f>
        <v>0.18</v>
      </c>
      <c r="N49" s="675">
        <f>L49*M49</f>
        <v>21.24</v>
      </c>
      <c r="O49" s="676">
        <f>TRUNC(N49*K49,2)</f>
        <v>0.1</v>
      </c>
    </row>
    <row r="50" spans="1:20" s="567" customFormat="1" ht="42.75" x14ac:dyDescent="0.25">
      <c r="A50" s="562"/>
      <c r="B50" s="563" t="s">
        <v>6</v>
      </c>
      <c r="C50" s="678">
        <v>5914354</v>
      </c>
      <c r="D50" s="518"/>
      <c r="E50" s="686" t="s">
        <v>2952</v>
      </c>
      <c r="F50" s="687" t="s">
        <v>247</v>
      </c>
      <c r="G50" s="566">
        <v>2.0625</v>
      </c>
      <c r="H50" s="1439" t="s">
        <v>444</v>
      </c>
      <c r="I50" s="1439"/>
      <c r="J50" s="688">
        <v>431.6</v>
      </c>
      <c r="K50" s="525"/>
      <c r="L50" s="689"/>
      <c r="M50" s="525"/>
      <c r="N50" s="525"/>
      <c r="O50" s="690"/>
    </row>
    <row r="51" spans="1:20" s="567" customFormat="1" ht="28.5" x14ac:dyDescent="0.25">
      <c r="A51" s="562"/>
      <c r="B51" s="402" t="s">
        <v>8</v>
      </c>
      <c r="C51" s="403" t="s">
        <v>165</v>
      </c>
      <c r="D51" s="403"/>
      <c r="E51" s="433" t="s">
        <v>425</v>
      </c>
      <c r="F51" s="434" t="s">
        <v>2942</v>
      </c>
      <c r="G51" s="538">
        <v>3</v>
      </c>
      <c r="H51" s="674">
        <v>0.84</v>
      </c>
      <c r="I51" s="674">
        <f>G51*H51</f>
        <v>2.52</v>
      </c>
      <c r="J51" s="675">
        <f>TRUNC(I51/J50,5)</f>
        <v>5.8300000000000001E-3</v>
      </c>
      <c r="K51" s="674">
        <f>TRUNC(J51*G50,5)</f>
        <v>1.2019999999999999E-2</v>
      </c>
      <c r="L51" s="674">
        <f>VLOOKUP($C51,EQUIPAMENTOS!$B:$E,3,FALSE)</f>
        <v>188</v>
      </c>
      <c r="M51" s="674">
        <f>VLOOKUP($C51,EQUIPAMENTOS!$B:$E,4,FALSE)</f>
        <v>0.18</v>
      </c>
      <c r="N51" s="675">
        <f>L51*M51</f>
        <v>33.839999999999996</v>
      </c>
      <c r="O51" s="676">
        <f>TRUNC(N51*K51,2)</f>
        <v>0.4</v>
      </c>
    </row>
    <row r="52" spans="1:20" s="400" customFormat="1" ht="15" x14ac:dyDescent="0.25">
      <c r="A52" s="390"/>
      <c r="B52" s="503" t="s">
        <v>20</v>
      </c>
      <c r="C52" s="504" t="str">
        <f>'CPAV004-IMPRIMAÇÃO'!$A$7</f>
        <v>CPAV004</v>
      </c>
      <c r="D52" s="505" t="s">
        <v>199</v>
      </c>
      <c r="E52" s="534" t="s">
        <v>49</v>
      </c>
      <c r="F52" s="507" t="s">
        <v>33</v>
      </c>
      <c r="G52" s="508">
        <f>VLOOKUP(D52,'ORÇ. MATERIAL'!J:N,5,FALSE)</f>
        <v>64201.630000000005</v>
      </c>
      <c r="H52" s="509"/>
      <c r="I52" s="510"/>
      <c r="J52" s="509"/>
      <c r="K52" s="510"/>
      <c r="L52" s="509"/>
      <c r="M52" s="510"/>
      <c r="N52" s="510"/>
      <c r="O52" s="673">
        <f>SUM(O53:O56)</f>
        <v>2979.73</v>
      </c>
    </row>
    <row r="53" spans="1:20" s="400" customFormat="1" ht="60" x14ac:dyDescent="0.25">
      <c r="A53" s="390"/>
      <c r="B53" s="563" t="s">
        <v>1</v>
      </c>
      <c r="C53" s="678">
        <v>83362</v>
      </c>
      <c r="D53" s="691"/>
      <c r="E53" s="692" t="s">
        <v>2901</v>
      </c>
      <c r="F53" s="693" t="s">
        <v>2898</v>
      </c>
      <c r="G53" s="694">
        <v>1E-3</v>
      </c>
      <c r="H53" s="695"/>
      <c r="I53" s="696"/>
      <c r="J53" s="697"/>
      <c r="K53" s="698"/>
      <c r="L53" s="695"/>
      <c r="M53" s="696"/>
      <c r="N53" s="699"/>
      <c r="O53" s="700"/>
      <c r="P53" s="577"/>
      <c r="T53" s="401" t="s">
        <v>58</v>
      </c>
    </row>
    <row r="54" spans="1:20" s="400" customFormat="1" ht="60" x14ac:dyDescent="0.25">
      <c r="A54" s="390"/>
      <c r="B54" s="402" t="s">
        <v>1</v>
      </c>
      <c r="C54" s="403">
        <v>91485</v>
      </c>
      <c r="D54" s="701"/>
      <c r="E54" s="702" t="s">
        <v>2953</v>
      </c>
      <c r="F54" s="703" t="s">
        <v>2890</v>
      </c>
      <c r="G54" s="574">
        <v>1</v>
      </c>
      <c r="H54" s="704"/>
      <c r="I54" s="705"/>
      <c r="J54" s="706"/>
      <c r="K54" s="707"/>
      <c r="L54" s="704"/>
      <c r="M54" s="705"/>
      <c r="N54" s="708">
        <v>27.270299999999999</v>
      </c>
      <c r="O54" s="709">
        <f>TRUNC(G54*N54*G52*G53,2)</f>
        <v>1750.79</v>
      </c>
      <c r="P54" s="577">
        <f>N54*G53</f>
        <v>2.7270300000000001E-2</v>
      </c>
      <c r="T54" s="401" t="s">
        <v>58</v>
      </c>
    </row>
    <row r="55" spans="1:20" s="400" customFormat="1" ht="30" x14ac:dyDescent="0.25">
      <c r="A55" s="390"/>
      <c r="B55" s="563" t="s">
        <v>1</v>
      </c>
      <c r="C55" s="678">
        <v>89035</v>
      </c>
      <c r="D55" s="691"/>
      <c r="E55" s="692" t="s">
        <v>2902</v>
      </c>
      <c r="F55" s="693" t="s">
        <v>2898</v>
      </c>
      <c r="G55" s="694">
        <v>1.6999999999999999E-3</v>
      </c>
      <c r="H55" s="695"/>
      <c r="I55" s="696"/>
      <c r="J55" s="697"/>
      <c r="K55" s="698"/>
      <c r="L55" s="695"/>
      <c r="M55" s="696"/>
      <c r="N55" s="699"/>
      <c r="O55" s="700"/>
      <c r="P55" s="577"/>
      <c r="T55" s="401" t="s">
        <v>58</v>
      </c>
    </row>
    <row r="56" spans="1:20" s="400" customFormat="1" ht="30" x14ac:dyDescent="0.25">
      <c r="A56" s="390"/>
      <c r="B56" s="402" t="s">
        <v>1</v>
      </c>
      <c r="C56" s="403">
        <v>5715</v>
      </c>
      <c r="D56" s="701"/>
      <c r="E56" s="702" t="s">
        <v>2954</v>
      </c>
      <c r="F56" s="703" t="s">
        <v>2890</v>
      </c>
      <c r="G56" s="574">
        <v>1</v>
      </c>
      <c r="H56" s="704"/>
      <c r="I56" s="705"/>
      <c r="J56" s="706"/>
      <c r="K56" s="707"/>
      <c r="L56" s="704"/>
      <c r="M56" s="705"/>
      <c r="N56" s="708">
        <v>11.26</v>
      </c>
      <c r="O56" s="709">
        <f>TRUNC(G56*N56*G52*G55,2)</f>
        <v>1228.94</v>
      </c>
      <c r="P56" s="577">
        <f>N56*G55</f>
        <v>1.9141999999999999E-2</v>
      </c>
      <c r="T56" s="401" t="s">
        <v>58</v>
      </c>
    </row>
    <row r="57" spans="1:20" s="400" customFormat="1" ht="28.5" x14ac:dyDescent="0.25">
      <c r="A57" s="390"/>
      <c r="B57" s="503" t="s">
        <v>20</v>
      </c>
      <c r="C57" s="504" t="str">
        <f>'CPAV005-TSD-104389'!$A$7</f>
        <v>CPAV005-1</v>
      </c>
      <c r="D57" s="505" t="s">
        <v>201</v>
      </c>
      <c r="E57" s="506" t="s">
        <v>55</v>
      </c>
      <c r="F57" s="551" t="s">
        <v>33</v>
      </c>
      <c r="G57" s="508">
        <f>VLOOKUP(D57,'ORÇ. MATERIAL'!J:N,5,FALSE)</f>
        <v>64201.630000000005</v>
      </c>
      <c r="H57" s="556"/>
      <c r="I57" s="510"/>
      <c r="J57" s="556"/>
      <c r="K57" s="510"/>
      <c r="L57" s="556"/>
      <c r="M57" s="510"/>
      <c r="N57" s="510"/>
      <c r="O57" s="673">
        <f>SUM(O58:O65)</f>
        <v>3251.0999999999995</v>
      </c>
      <c r="P57" s="577">
        <f>P56+P54</f>
        <v>4.6412300000000004E-2</v>
      </c>
    </row>
    <row r="58" spans="1:20" s="400" customFormat="1" ht="45" x14ac:dyDescent="0.25">
      <c r="A58" s="390"/>
      <c r="B58" s="563" t="s">
        <v>1</v>
      </c>
      <c r="C58" s="678">
        <v>6879</v>
      </c>
      <c r="D58" s="518"/>
      <c r="E58" s="692" t="s">
        <v>2905</v>
      </c>
      <c r="F58" s="693" t="s">
        <v>2898</v>
      </c>
      <c r="G58" s="694">
        <v>8.0000000000000004E-4</v>
      </c>
      <c r="H58" s="695"/>
      <c r="I58" s="696"/>
      <c r="J58" s="697"/>
      <c r="K58" s="698"/>
      <c r="L58" s="695"/>
      <c r="M58" s="696"/>
      <c r="N58" s="699"/>
      <c r="O58" s="700"/>
      <c r="P58" s="577"/>
      <c r="T58" s="401" t="s">
        <v>58</v>
      </c>
    </row>
    <row r="59" spans="1:20" s="400" customFormat="1" ht="45" x14ac:dyDescent="0.25">
      <c r="A59" s="390"/>
      <c r="B59" s="402" t="s">
        <v>1</v>
      </c>
      <c r="C59" s="403">
        <v>55263</v>
      </c>
      <c r="D59" s="404"/>
      <c r="E59" s="702" t="s">
        <v>2955</v>
      </c>
      <c r="F59" s="703" t="s">
        <v>2890</v>
      </c>
      <c r="G59" s="574">
        <v>1</v>
      </c>
      <c r="H59" s="704"/>
      <c r="I59" s="705"/>
      <c r="J59" s="706"/>
      <c r="K59" s="707"/>
      <c r="L59" s="704"/>
      <c r="M59" s="705"/>
      <c r="N59" s="708">
        <v>10.77</v>
      </c>
      <c r="O59" s="709">
        <f>TRUNC(G59*N59*G57*G58,2)</f>
        <v>553.16</v>
      </c>
      <c r="P59" s="577"/>
      <c r="T59" s="401" t="s">
        <v>58</v>
      </c>
    </row>
    <row r="60" spans="1:20" s="400" customFormat="1" ht="60" x14ac:dyDescent="0.25">
      <c r="A60" s="390"/>
      <c r="B60" s="563" t="s">
        <v>1</v>
      </c>
      <c r="C60" s="678">
        <v>83362</v>
      </c>
      <c r="D60" s="518"/>
      <c r="E60" s="692" t="s">
        <v>2901</v>
      </c>
      <c r="F60" s="693" t="s">
        <v>2898</v>
      </c>
      <c r="G60" s="694">
        <v>8.9999999999999998E-4</v>
      </c>
      <c r="H60" s="695"/>
      <c r="I60" s="696"/>
      <c r="J60" s="697"/>
      <c r="K60" s="698"/>
      <c r="L60" s="695"/>
      <c r="M60" s="696"/>
      <c r="N60" s="699"/>
      <c r="O60" s="700"/>
      <c r="P60" s="577"/>
      <c r="T60" s="401" t="s">
        <v>58</v>
      </c>
    </row>
    <row r="61" spans="1:20" s="400" customFormat="1" ht="60" x14ac:dyDescent="0.25">
      <c r="A61" s="390"/>
      <c r="B61" s="402" t="s">
        <v>1</v>
      </c>
      <c r="C61" s="403">
        <v>91485</v>
      </c>
      <c r="D61" s="404"/>
      <c r="E61" s="702" t="s">
        <v>2953</v>
      </c>
      <c r="F61" s="703" t="s">
        <v>2890</v>
      </c>
      <c r="G61" s="574">
        <v>1</v>
      </c>
      <c r="H61" s="704"/>
      <c r="I61" s="705"/>
      <c r="J61" s="706"/>
      <c r="K61" s="707"/>
      <c r="L61" s="704"/>
      <c r="M61" s="705"/>
      <c r="N61" s="708">
        <v>27.270299999999999</v>
      </c>
      <c r="O61" s="709">
        <f>TRUNC(G61*N61*G57*G60,2)</f>
        <v>1575.71</v>
      </c>
      <c r="P61" s="577"/>
      <c r="T61" s="401" t="s">
        <v>58</v>
      </c>
    </row>
    <row r="62" spans="1:20" s="400" customFormat="1" ht="30" x14ac:dyDescent="0.25">
      <c r="A62" s="390"/>
      <c r="B62" s="563" t="s">
        <v>1</v>
      </c>
      <c r="C62" s="678">
        <v>89035</v>
      </c>
      <c r="D62" s="518"/>
      <c r="E62" s="692" t="s">
        <v>2902</v>
      </c>
      <c r="F62" s="693" t="s">
        <v>2898</v>
      </c>
      <c r="G62" s="694">
        <v>5.0000000000000001E-4</v>
      </c>
      <c r="H62" s="695"/>
      <c r="I62" s="696"/>
      <c r="J62" s="697"/>
      <c r="K62" s="698"/>
      <c r="L62" s="695"/>
      <c r="M62" s="696"/>
      <c r="N62" s="699"/>
      <c r="O62" s="700"/>
      <c r="P62" s="577"/>
      <c r="T62" s="401" t="s">
        <v>58</v>
      </c>
    </row>
    <row r="63" spans="1:20" s="400" customFormat="1" ht="30" x14ac:dyDescent="0.25">
      <c r="A63" s="390"/>
      <c r="B63" s="402" t="s">
        <v>1</v>
      </c>
      <c r="C63" s="403">
        <v>5715</v>
      </c>
      <c r="D63" s="404"/>
      <c r="E63" s="702" t="s">
        <v>2954</v>
      </c>
      <c r="F63" s="703" t="s">
        <v>2890</v>
      </c>
      <c r="G63" s="574">
        <v>1</v>
      </c>
      <c r="H63" s="704"/>
      <c r="I63" s="705"/>
      <c r="J63" s="706"/>
      <c r="K63" s="707"/>
      <c r="L63" s="704"/>
      <c r="M63" s="705"/>
      <c r="N63" s="708">
        <v>11.26</v>
      </c>
      <c r="O63" s="709">
        <f>TRUNC(G63*N63*G57*G62,2)</f>
        <v>361.45</v>
      </c>
      <c r="P63" s="577"/>
      <c r="T63" s="401" t="s">
        <v>58</v>
      </c>
    </row>
    <row r="64" spans="1:20" s="400" customFormat="1" ht="45" x14ac:dyDescent="0.25">
      <c r="A64" s="390"/>
      <c r="B64" s="563" t="s">
        <v>1</v>
      </c>
      <c r="C64" s="678">
        <v>91386</v>
      </c>
      <c r="D64" s="518"/>
      <c r="E64" s="692" t="s">
        <v>2908</v>
      </c>
      <c r="F64" s="693" t="s">
        <v>2898</v>
      </c>
      <c r="G64" s="694">
        <v>5.0000000000000001E-4</v>
      </c>
      <c r="H64" s="695"/>
      <c r="I64" s="696"/>
      <c r="J64" s="697"/>
      <c r="K64" s="698"/>
      <c r="L64" s="695"/>
      <c r="M64" s="696"/>
      <c r="N64" s="699"/>
      <c r="O64" s="700"/>
      <c r="P64" s="577"/>
      <c r="T64" s="401" t="s">
        <v>58</v>
      </c>
    </row>
    <row r="65" spans="1:20" s="400" customFormat="1" ht="60" x14ac:dyDescent="0.25">
      <c r="A65" s="390"/>
      <c r="B65" s="402" t="s">
        <v>1</v>
      </c>
      <c r="C65" s="403">
        <v>91384</v>
      </c>
      <c r="D65" s="404"/>
      <c r="E65" s="702" t="s">
        <v>2956</v>
      </c>
      <c r="F65" s="703" t="s">
        <v>2890</v>
      </c>
      <c r="G65" s="574">
        <v>1</v>
      </c>
      <c r="H65" s="704"/>
      <c r="I65" s="705"/>
      <c r="J65" s="706"/>
      <c r="K65" s="707"/>
      <c r="L65" s="704"/>
      <c r="M65" s="705"/>
      <c r="N65" s="708">
        <v>23.7</v>
      </c>
      <c r="O65" s="709">
        <f>TRUNC(G65*N65*G57*G64,2)</f>
        <v>760.78</v>
      </c>
      <c r="P65" s="577"/>
      <c r="T65" s="401" t="s">
        <v>58</v>
      </c>
    </row>
    <row r="66" spans="1:20" s="400" customFormat="1" ht="15" x14ac:dyDescent="0.25">
      <c r="A66" s="390"/>
      <c r="B66" s="391"/>
      <c r="C66" s="392"/>
      <c r="D66" s="393"/>
      <c r="E66" s="428" t="s">
        <v>248</v>
      </c>
      <c r="F66" s="396"/>
      <c r="G66" s="500"/>
      <c r="H66" s="429"/>
      <c r="I66" s="430"/>
      <c r="J66" s="429"/>
      <c r="K66" s="430"/>
      <c r="L66" s="429"/>
      <c r="M66" s="430"/>
      <c r="N66" s="430"/>
      <c r="O66" s="656"/>
    </row>
    <row r="67" spans="1:20" s="400" customFormat="1" ht="28.5" x14ac:dyDescent="0.25">
      <c r="A67" s="390"/>
      <c r="B67" s="503" t="s">
        <v>1</v>
      </c>
      <c r="C67" s="504">
        <v>93589</v>
      </c>
      <c r="D67" s="505" t="s">
        <v>362</v>
      </c>
      <c r="E67" s="534" t="s">
        <v>262</v>
      </c>
      <c r="F67" s="507" t="s">
        <v>263</v>
      </c>
      <c r="G67" s="508">
        <f>VLOOKUP(D67,'ORÇ. MATERIAL'!J:N,5,FALSE)</f>
        <v>147837.88</v>
      </c>
      <c r="H67" s="509"/>
      <c r="I67" s="510"/>
      <c r="J67" s="509"/>
      <c r="K67" s="510"/>
      <c r="L67" s="509"/>
      <c r="M67" s="510"/>
      <c r="N67" s="510"/>
      <c r="O67" s="673">
        <f>SUM(O68:O69)</f>
        <v>31533.81</v>
      </c>
    </row>
    <row r="68" spans="1:20" s="400" customFormat="1" ht="45" x14ac:dyDescent="0.25">
      <c r="A68" s="390"/>
      <c r="B68" s="563" t="s">
        <v>1</v>
      </c>
      <c r="C68" s="678">
        <v>91386</v>
      </c>
      <c r="D68" s="518"/>
      <c r="E68" s="692" t="s">
        <v>2908</v>
      </c>
      <c r="F68" s="710" t="s">
        <v>2898</v>
      </c>
      <c r="G68" s="694">
        <v>8.9999999999999993E-3</v>
      </c>
      <c r="H68" s="695"/>
      <c r="I68" s="696"/>
      <c r="J68" s="697"/>
      <c r="K68" s="698"/>
      <c r="L68" s="695"/>
      <c r="M68" s="696"/>
      <c r="N68" s="699"/>
      <c r="O68" s="700"/>
      <c r="P68" s="577"/>
      <c r="T68" s="401" t="s">
        <v>58</v>
      </c>
    </row>
    <row r="69" spans="1:20" s="400" customFormat="1" ht="60" x14ac:dyDescent="0.25">
      <c r="A69" s="390"/>
      <c r="B69" s="402" t="s">
        <v>1</v>
      </c>
      <c r="C69" s="403">
        <v>91384</v>
      </c>
      <c r="D69" s="404"/>
      <c r="E69" s="702" t="s">
        <v>2956</v>
      </c>
      <c r="F69" s="711" t="s">
        <v>2890</v>
      </c>
      <c r="G69" s="574">
        <v>1</v>
      </c>
      <c r="H69" s="704"/>
      <c r="I69" s="705"/>
      <c r="J69" s="706"/>
      <c r="K69" s="707"/>
      <c r="L69" s="704"/>
      <c r="M69" s="705"/>
      <c r="N69" s="708">
        <v>23.7</v>
      </c>
      <c r="O69" s="709">
        <f>TRUNC(G69*N69*G67*G68,2)</f>
        <v>31533.81</v>
      </c>
      <c r="P69" s="577">
        <f>N69*G68</f>
        <v>0.21329999999999999</v>
      </c>
      <c r="T69" s="401" t="s">
        <v>58</v>
      </c>
    </row>
    <row r="70" spans="1:20" s="400" customFormat="1" ht="42.75" x14ac:dyDescent="0.25">
      <c r="A70" s="390"/>
      <c r="B70" s="503" t="s">
        <v>1</v>
      </c>
      <c r="C70" s="504">
        <v>95875</v>
      </c>
      <c r="D70" s="505" t="s">
        <v>363</v>
      </c>
      <c r="E70" s="506" t="s">
        <v>264</v>
      </c>
      <c r="F70" s="551" t="s">
        <v>263</v>
      </c>
      <c r="G70" s="508">
        <f>VLOOKUP(D70,'ORÇ. MATERIAL'!J:N,5,FALSE)</f>
        <v>19945.813999999998</v>
      </c>
      <c r="H70" s="556"/>
      <c r="I70" s="510"/>
      <c r="J70" s="556"/>
      <c r="K70" s="510"/>
      <c r="L70" s="556"/>
      <c r="M70" s="510"/>
      <c r="N70" s="510"/>
      <c r="O70" s="673">
        <f>SUM(O71:O72)</f>
        <v>3923.54</v>
      </c>
    </row>
    <row r="71" spans="1:20" s="567" customFormat="1" ht="57" x14ac:dyDescent="0.25">
      <c r="A71" s="562"/>
      <c r="B71" s="563" t="s">
        <v>1</v>
      </c>
      <c r="C71" s="678">
        <v>91386</v>
      </c>
      <c r="D71" s="678"/>
      <c r="E71" s="520" t="s">
        <v>2908</v>
      </c>
      <c r="F71" s="521" t="s">
        <v>2898</v>
      </c>
      <c r="G71" s="679">
        <v>8.3000000000000001E-3</v>
      </c>
      <c r="H71" s="680"/>
      <c r="I71" s="680"/>
      <c r="J71" s="681"/>
      <c r="K71" s="680"/>
      <c r="L71" s="680"/>
      <c r="M71" s="680"/>
      <c r="N71" s="681"/>
      <c r="O71" s="682"/>
      <c r="T71" s="677" t="s">
        <v>58</v>
      </c>
    </row>
    <row r="72" spans="1:20" s="400" customFormat="1" ht="57" x14ac:dyDescent="0.25">
      <c r="A72" s="390"/>
      <c r="B72" s="402" t="s">
        <v>1</v>
      </c>
      <c r="C72" s="403">
        <v>91384</v>
      </c>
      <c r="D72" s="403"/>
      <c r="E72" s="433" t="s">
        <v>2956</v>
      </c>
      <c r="F72" s="434" t="s">
        <v>2890</v>
      </c>
      <c r="G72" s="568">
        <v>1</v>
      </c>
      <c r="H72" s="674"/>
      <c r="I72" s="674"/>
      <c r="J72" s="675"/>
      <c r="K72" s="674"/>
      <c r="L72" s="674"/>
      <c r="M72" s="674"/>
      <c r="N72" s="675">
        <v>23.7</v>
      </c>
      <c r="O72" s="676">
        <f>TRUNC(G72*N72*G70*G71,2)</f>
        <v>3923.54</v>
      </c>
      <c r="P72" s="569">
        <f>N72*G71</f>
        <v>0.19671</v>
      </c>
      <c r="T72" s="401" t="s">
        <v>58</v>
      </c>
    </row>
    <row r="73" spans="1:20" s="400" customFormat="1" ht="15" hidden="1" x14ac:dyDescent="0.25">
      <c r="A73" s="390"/>
      <c r="B73" s="391"/>
      <c r="C73" s="392"/>
      <c r="D73" s="393" t="s">
        <v>370</v>
      </c>
      <c r="E73" s="395" t="str">
        <f>'ORÇAMENTO - ORIENTATIVO'!K63</f>
        <v>PASSEIO PÚBLICO E ACESSIBILIDADE UNIVERSAL</v>
      </c>
      <c r="F73" s="396"/>
      <c r="G73" s="500"/>
      <c r="H73" s="429"/>
      <c r="I73" s="430"/>
      <c r="J73" s="429"/>
      <c r="K73" s="430"/>
      <c r="L73" s="429"/>
      <c r="M73" s="430"/>
      <c r="N73" s="430"/>
      <c r="O73" s="656"/>
      <c r="P73" s="577"/>
    </row>
    <row r="74" spans="1:20" s="400" customFormat="1" ht="28.5" hidden="1" x14ac:dyDescent="0.25">
      <c r="A74" s="390"/>
      <c r="B74" s="503" t="s">
        <v>1</v>
      </c>
      <c r="C74" s="504">
        <v>93595</v>
      </c>
      <c r="D74" s="505" t="s">
        <v>376</v>
      </c>
      <c r="E74" s="534" t="s">
        <v>923</v>
      </c>
      <c r="F74" s="507" t="s">
        <v>280</v>
      </c>
      <c r="G74" s="508">
        <f>VLOOKUP(D74,'ORÇ. MATERIAL'!J:N,5,FALSE)</f>
        <v>0</v>
      </c>
      <c r="H74" s="509"/>
      <c r="I74" s="510"/>
      <c r="J74" s="509"/>
      <c r="K74" s="510"/>
      <c r="L74" s="509"/>
      <c r="M74" s="510"/>
      <c r="N74" s="510"/>
      <c r="O74" s="673">
        <f>SUM(O75:O76)</f>
        <v>0</v>
      </c>
      <c r="P74" s="577"/>
    </row>
    <row r="75" spans="1:20" s="400" customFormat="1" ht="30" hidden="1" x14ac:dyDescent="0.25">
      <c r="A75" s="390"/>
      <c r="B75" s="563" t="s">
        <v>1</v>
      </c>
      <c r="C75" s="678">
        <v>91386</v>
      </c>
      <c r="D75" s="518"/>
      <c r="E75" s="692" t="s">
        <v>923</v>
      </c>
      <c r="F75" s="710" t="s">
        <v>280</v>
      </c>
      <c r="G75" s="694">
        <v>6.1000000000000004E-3</v>
      </c>
      <c r="H75" s="695"/>
      <c r="I75" s="696"/>
      <c r="J75" s="697"/>
      <c r="K75" s="698"/>
      <c r="L75" s="695"/>
      <c r="M75" s="696"/>
      <c r="N75" s="699"/>
      <c r="O75" s="700"/>
      <c r="P75" s="577"/>
    </row>
    <row r="76" spans="1:20" s="400" customFormat="1" ht="45" hidden="1" x14ac:dyDescent="0.25">
      <c r="A76" s="390"/>
      <c r="B76" s="402" t="s">
        <v>1</v>
      </c>
      <c r="C76" s="403">
        <v>91384</v>
      </c>
      <c r="D76" s="404"/>
      <c r="E76" s="702" t="s">
        <v>2908</v>
      </c>
      <c r="F76" s="711" t="s">
        <v>2898</v>
      </c>
      <c r="G76" s="574">
        <v>1</v>
      </c>
      <c r="H76" s="704"/>
      <c r="I76" s="705"/>
      <c r="J76" s="706"/>
      <c r="K76" s="707"/>
      <c r="L76" s="704"/>
      <c r="M76" s="705"/>
      <c r="N76" s="712">
        <v>23.7</v>
      </c>
      <c r="O76" s="709">
        <f>TRUNC(G76*N76*G74*G75,2)</f>
        <v>0</v>
      </c>
      <c r="P76" s="577"/>
    </row>
    <row r="77" spans="1:20" s="400" customFormat="1" ht="28.5" hidden="1" x14ac:dyDescent="0.25">
      <c r="A77" s="390"/>
      <c r="B77" s="503" t="s">
        <v>1</v>
      </c>
      <c r="C77" s="504">
        <v>95878</v>
      </c>
      <c r="D77" s="505" t="s">
        <v>377</v>
      </c>
      <c r="E77" s="534" t="s">
        <v>926</v>
      </c>
      <c r="F77" s="507" t="s">
        <v>280</v>
      </c>
      <c r="G77" s="508">
        <f>VLOOKUP(D77,'ORÇ. MATERIAL'!J:N,5,FALSE)</f>
        <v>0</v>
      </c>
      <c r="H77" s="509"/>
      <c r="I77" s="510"/>
      <c r="J77" s="509"/>
      <c r="K77" s="510"/>
      <c r="L77" s="509"/>
      <c r="M77" s="510"/>
      <c r="N77" s="510"/>
      <c r="O77" s="673">
        <f>SUM(O78:O79)</f>
        <v>0</v>
      </c>
      <c r="P77" s="577"/>
    </row>
    <row r="78" spans="1:20" s="400" customFormat="1" ht="30" hidden="1" x14ac:dyDescent="0.25">
      <c r="A78" s="390"/>
      <c r="B78" s="563" t="s">
        <v>1</v>
      </c>
      <c r="C78" s="678">
        <v>91386</v>
      </c>
      <c r="D78" s="518"/>
      <c r="E78" s="692" t="s">
        <v>926</v>
      </c>
      <c r="F78" s="710" t="s">
        <v>280</v>
      </c>
      <c r="G78" s="694">
        <v>5.5999999999999999E-3</v>
      </c>
      <c r="H78" s="695"/>
      <c r="I78" s="696"/>
      <c r="J78" s="697"/>
      <c r="K78" s="698"/>
      <c r="L78" s="695"/>
      <c r="M78" s="696"/>
      <c r="N78" s="699"/>
      <c r="O78" s="700"/>
      <c r="P78" s="577"/>
    </row>
    <row r="79" spans="1:20" s="400" customFormat="1" ht="45" hidden="1" x14ac:dyDescent="0.25">
      <c r="A79" s="390"/>
      <c r="B79" s="402" t="s">
        <v>1</v>
      </c>
      <c r="C79" s="403">
        <v>91384</v>
      </c>
      <c r="D79" s="404"/>
      <c r="E79" s="702" t="s">
        <v>2908</v>
      </c>
      <c r="F79" s="711" t="s">
        <v>2898</v>
      </c>
      <c r="G79" s="574">
        <v>1</v>
      </c>
      <c r="H79" s="704"/>
      <c r="I79" s="705"/>
      <c r="J79" s="706"/>
      <c r="K79" s="707"/>
      <c r="L79" s="704"/>
      <c r="M79" s="705"/>
      <c r="N79" s="712">
        <v>23.7</v>
      </c>
      <c r="O79" s="709">
        <f>TRUNC(G79*N79*G77*G78,2)</f>
        <v>0</v>
      </c>
      <c r="P79" s="577"/>
    </row>
    <row r="80" spans="1:20" s="400" customFormat="1" ht="42.75" hidden="1" x14ac:dyDescent="0.25">
      <c r="A80" s="390"/>
      <c r="B80" s="503" t="s">
        <v>1</v>
      </c>
      <c r="C80" s="504">
        <v>93596</v>
      </c>
      <c r="D80" s="505" t="s">
        <v>378</v>
      </c>
      <c r="E80" s="534" t="s">
        <v>927</v>
      </c>
      <c r="F80" s="507" t="s">
        <v>280</v>
      </c>
      <c r="G80" s="508">
        <f>VLOOKUP(D80,'ORÇ. MATERIAL'!J:N,5,FALSE)</f>
        <v>0</v>
      </c>
      <c r="H80" s="509"/>
      <c r="I80" s="510"/>
      <c r="J80" s="509"/>
      <c r="K80" s="510"/>
      <c r="L80" s="509"/>
      <c r="M80" s="510"/>
      <c r="N80" s="510"/>
      <c r="O80" s="673">
        <f>SUM(O81:O82)</f>
        <v>0</v>
      </c>
      <c r="P80" s="577"/>
    </row>
    <row r="81" spans="1:28" s="400" customFormat="1" ht="45" hidden="1" x14ac:dyDescent="0.25">
      <c r="A81" s="390"/>
      <c r="B81" s="563" t="s">
        <v>1</v>
      </c>
      <c r="C81" s="678">
        <v>91645</v>
      </c>
      <c r="D81" s="518"/>
      <c r="E81" s="692" t="s">
        <v>927</v>
      </c>
      <c r="F81" s="710" t="s">
        <v>280</v>
      </c>
      <c r="G81" s="694">
        <v>3.0000000000000001E-3</v>
      </c>
      <c r="H81" s="695"/>
      <c r="I81" s="696"/>
      <c r="J81" s="697"/>
      <c r="K81" s="698"/>
      <c r="L81" s="695"/>
      <c r="M81" s="696"/>
      <c r="N81" s="699"/>
      <c r="O81" s="700"/>
      <c r="P81" s="577"/>
    </row>
    <row r="82" spans="1:28" s="400" customFormat="1" ht="60" hidden="1" x14ac:dyDescent="0.25">
      <c r="A82" s="390"/>
      <c r="B82" s="402" t="s">
        <v>1</v>
      </c>
      <c r="C82" s="403">
        <v>91644</v>
      </c>
      <c r="D82" s="404"/>
      <c r="E82" s="702" t="s">
        <v>2957</v>
      </c>
      <c r="F82" s="711" t="s">
        <v>2898</v>
      </c>
      <c r="G82" s="574">
        <v>1</v>
      </c>
      <c r="H82" s="704"/>
      <c r="I82" s="705"/>
      <c r="J82" s="706"/>
      <c r="K82" s="707"/>
      <c r="L82" s="704"/>
      <c r="M82" s="705"/>
      <c r="N82" s="708">
        <v>50.34</v>
      </c>
      <c r="O82" s="709">
        <f>TRUNC(G82*N82*G80*G81,2)</f>
        <v>0</v>
      </c>
      <c r="P82" s="577"/>
    </row>
    <row r="83" spans="1:28" s="400" customFormat="1" ht="15" x14ac:dyDescent="0.25">
      <c r="A83" s="390"/>
      <c r="B83" s="413"/>
      <c r="C83" s="414"/>
      <c r="D83" s="713" t="s">
        <v>379</v>
      </c>
      <c r="E83" s="416" t="s">
        <v>283</v>
      </c>
      <c r="F83" s="417"/>
      <c r="G83" s="539"/>
      <c r="H83" s="436"/>
      <c r="I83" s="540"/>
      <c r="J83" s="436"/>
      <c r="K83" s="540"/>
      <c r="L83" s="436"/>
      <c r="M83" s="540"/>
      <c r="N83" s="540"/>
      <c r="O83" s="683"/>
    </row>
    <row r="84" spans="1:28" s="400" customFormat="1" ht="15" x14ac:dyDescent="0.25">
      <c r="A84" s="390"/>
      <c r="B84" s="420"/>
      <c r="C84" s="421"/>
      <c r="D84" s="714"/>
      <c r="E84" s="423" t="s">
        <v>284</v>
      </c>
      <c r="F84" s="424"/>
      <c r="G84" s="542"/>
      <c r="H84" s="426"/>
      <c r="I84" s="427"/>
      <c r="J84" s="426"/>
      <c r="K84" s="427"/>
      <c r="L84" s="426"/>
      <c r="M84" s="427"/>
      <c r="N84" s="427"/>
      <c r="O84" s="684"/>
    </row>
    <row r="85" spans="1:28" s="400" customFormat="1" ht="28.5" x14ac:dyDescent="0.25">
      <c r="A85" s="390"/>
      <c r="B85" s="503" t="s">
        <v>6</v>
      </c>
      <c r="C85" s="504">
        <v>5213444</v>
      </c>
      <c r="D85" s="505" t="s">
        <v>380</v>
      </c>
      <c r="E85" s="534" t="s">
        <v>2928</v>
      </c>
      <c r="F85" s="507" t="s">
        <v>16</v>
      </c>
      <c r="G85" s="508">
        <f>VLOOKUP(D85,'ORÇ. MATERIAL'!J:N,5,FALSE)</f>
        <v>89</v>
      </c>
      <c r="H85" s="1437" t="s">
        <v>444</v>
      </c>
      <c r="I85" s="1437"/>
      <c r="J85" s="672">
        <v>3</v>
      </c>
      <c r="K85" s="509"/>
      <c r="L85" s="509"/>
      <c r="M85" s="510"/>
      <c r="N85" s="510"/>
      <c r="O85" s="673">
        <f>SUM(O86)</f>
        <v>184.23</v>
      </c>
      <c r="Q85" s="412"/>
    </row>
    <row r="86" spans="1:28" s="400" customFormat="1" ht="28.5" x14ac:dyDescent="0.25">
      <c r="A86" s="390"/>
      <c r="B86" s="402" t="s">
        <v>8</v>
      </c>
      <c r="C86" s="403" t="s">
        <v>408</v>
      </c>
      <c r="D86" s="403"/>
      <c r="E86" s="433" t="s">
        <v>409</v>
      </c>
      <c r="F86" s="434" t="s">
        <v>2942</v>
      </c>
      <c r="G86" s="538">
        <v>1</v>
      </c>
      <c r="H86" s="674">
        <v>0.3</v>
      </c>
      <c r="I86" s="674">
        <f>G86*H86</f>
        <v>0.3</v>
      </c>
      <c r="J86" s="675">
        <f>TRUNC(I86/J85,5)</f>
        <v>0.1</v>
      </c>
      <c r="K86" s="674">
        <f>TRUNC(J86*G85,5)</f>
        <v>8.9</v>
      </c>
      <c r="L86" s="674">
        <f>VLOOKUP($C86,EQUIPAMENTOS!$B:$E,3,FALSE)</f>
        <v>115</v>
      </c>
      <c r="M86" s="674">
        <f>VLOOKUP($C86,EQUIPAMENTOS!$B:$E,4,FALSE)</f>
        <v>0.18</v>
      </c>
      <c r="N86" s="675">
        <f>L86*M86</f>
        <v>20.7</v>
      </c>
      <c r="O86" s="676">
        <f>TRUNC(N86*K86,2)</f>
        <v>184.23</v>
      </c>
      <c r="T86" s="401" t="s">
        <v>58</v>
      </c>
    </row>
    <row r="87" spans="1:28" s="400" customFormat="1" ht="28.5" x14ac:dyDescent="0.25">
      <c r="A87" s="390"/>
      <c r="B87" s="503" t="s">
        <v>6</v>
      </c>
      <c r="C87" s="504">
        <v>5213440</v>
      </c>
      <c r="D87" s="505" t="s">
        <v>381</v>
      </c>
      <c r="E87" s="534" t="s">
        <v>2929</v>
      </c>
      <c r="F87" s="507" t="s">
        <v>16</v>
      </c>
      <c r="G87" s="508">
        <f>VLOOKUP(D87,'ORÇ. MATERIAL'!J:N,5,FALSE)</f>
        <v>129</v>
      </c>
      <c r="H87" s="1437" t="s">
        <v>444</v>
      </c>
      <c r="I87" s="1437"/>
      <c r="J87" s="672">
        <v>3</v>
      </c>
      <c r="K87" s="510"/>
      <c r="L87" s="509"/>
      <c r="M87" s="510"/>
      <c r="N87" s="510"/>
      <c r="O87" s="673">
        <f>SUM(O88)</f>
        <v>267.02999999999997</v>
      </c>
      <c r="Q87" s="412"/>
    </row>
    <row r="88" spans="1:28" s="400" customFormat="1" ht="28.5" x14ac:dyDescent="0.25">
      <c r="A88" s="390"/>
      <c r="B88" s="402" t="s">
        <v>8</v>
      </c>
      <c r="C88" s="403" t="s">
        <v>408</v>
      </c>
      <c r="D88" s="403"/>
      <c r="E88" s="433" t="s">
        <v>409</v>
      </c>
      <c r="F88" s="434" t="s">
        <v>2942</v>
      </c>
      <c r="G88" s="538">
        <v>1</v>
      </c>
      <c r="H88" s="674">
        <v>0.3</v>
      </c>
      <c r="I88" s="674">
        <f>G88*H88</f>
        <v>0.3</v>
      </c>
      <c r="J88" s="675">
        <f>TRUNC(I88/J87,5)</f>
        <v>0.1</v>
      </c>
      <c r="K88" s="674">
        <f>TRUNC(J88*G87,5)</f>
        <v>12.9</v>
      </c>
      <c r="L88" s="674">
        <f>VLOOKUP($C88,EQUIPAMENTOS!$B:$E,3,FALSE)</f>
        <v>115</v>
      </c>
      <c r="M88" s="674">
        <f>VLOOKUP($C88,EQUIPAMENTOS!$B:$E,4,FALSE)</f>
        <v>0.18</v>
      </c>
      <c r="N88" s="675">
        <f>L88*M88</f>
        <v>20.7</v>
      </c>
      <c r="O88" s="676">
        <f>TRUNC(N88*K88,2)</f>
        <v>267.02999999999997</v>
      </c>
      <c r="T88" s="401" t="s">
        <v>58</v>
      </c>
    </row>
    <row r="89" spans="1:28" s="400" customFormat="1" ht="28.5" x14ac:dyDescent="0.25">
      <c r="A89" s="390"/>
      <c r="B89" s="503" t="s">
        <v>6</v>
      </c>
      <c r="C89" s="504">
        <v>5213464</v>
      </c>
      <c r="D89" s="505" t="s">
        <v>382</v>
      </c>
      <c r="E89" s="534" t="s">
        <v>2930</v>
      </c>
      <c r="F89" s="507" t="s">
        <v>16</v>
      </c>
      <c r="G89" s="508">
        <f>VLOOKUP(D89,'ORÇ. MATERIAL'!J:N,5,FALSE)</f>
        <v>11</v>
      </c>
      <c r="H89" s="1437" t="s">
        <v>444</v>
      </c>
      <c r="I89" s="1437"/>
      <c r="J89" s="672">
        <v>3</v>
      </c>
      <c r="K89" s="510"/>
      <c r="L89" s="509"/>
      <c r="M89" s="510"/>
      <c r="N89" s="510"/>
      <c r="O89" s="673">
        <f>SUM(O90)</f>
        <v>22.77</v>
      </c>
    </row>
    <row r="90" spans="1:28" s="400" customFormat="1" ht="28.5" x14ac:dyDescent="0.25">
      <c r="A90" s="390"/>
      <c r="B90" s="402" t="s">
        <v>8</v>
      </c>
      <c r="C90" s="403" t="s">
        <v>408</v>
      </c>
      <c r="D90" s="403"/>
      <c r="E90" s="433" t="s">
        <v>409</v>
      </c>
      <c r="F90" s="434" t="s">
        <v>2942</v>
      </c>
      <c r="G90" s="538">
        <v>1</v>
      </c>
      <c r="H90" s="674">
        <v>0.3</v>
      </c>
      <c r="I90" s="674">
        <f>G90*H90</f>
        <v>0.3</v>
      </c>
      <c r="J90" s="675">
        <f>TRUNC(I90/J89,5)</f>
        <v>0.1</v>
      </c>
      <c r="K90" s="674">
        <f>TRUNC(J90*G89,5)</f>
        <v>1.1000000000000001</v>
      </c>
      <c r="L90" s="674">
        <f>VLOOKUP($C90,EQUIPAMENTOS!$B:$E,3,FALSE)</f>
        <v>115</v>
      </c>
      <c r="M90" s="674">
        <f>VLOOKUP($C90,EQUIPAMENTOS!$B:$E,4,FALSE)</f>
        <v>0.18</v>
      </c>
      <c r="N90" s="675">
        <f>L90*M90</f>
        <v>20.7</v>
      </c>
      <c r="O90" s="676">
        <f>TRUNC(N90*K90,2)</f>
        <v>22.77</v>
      </c>
      <c r="T90" s="401" t="s">
        <v>58</v>
      </c>
    </row>
    <row r="91" spans="1:28" s="400" customFormat="1" ht="42.75" x14ac:dyDescent="0.25">
      <c r="A91" s="390"/>
      <c r="B91" s="503" t="s">
        <v>6</v>
      </c>
      <c r="C91" s="504">
        <v>5213855</v>
      </c>
      <c r="D91" s="505" t="s">
        <v>383</v>
      </c>
      <c r="E91" s="534" t="s">
        <v>2931</v>
      </c>
      <c r="F91" s="507" t="s">
        <v>16</v>
      </c>
      <c r="G91" s="508">
        <f>VLOOKUP(D91,'ORÇ. MATERIAL'!J:N,5,FALSE)</f>
        <v>89</v>
      </c>
      <c r="H91" s="1437" t="s">
        <v>444</v>
      </c>
      <c r="I91" s="1437"/>
      <c r="J91" s="672">
        <v>4.7</v>
      </c>
      <c r="K91" s="510"/>
      <c r="L91" s="509"/>
      <c r="M91" s="510"/>
      <c r="N91" s="510"/>
      <c r="O91" s="673">
        <f>SUM(O92)</f>
        <v>117.57</v>
      </c>
      <c r="R91" s="443"/>
      <c r="S91" s="444"/>
      <c r="U91" s="445"/>
      <c r="V91" s="446"/>
      <c r="W91" s="447"/>
      <c r="X91" s="448"/>
      <c r="Y91" s="449"/>
      <c r="Z91" s="450"/>
      <c r="AA91" s="451"/>
      <c r="AB91" s="452"/>
    </row>
    <row r="92" spans="1:28" s="400" customFormat="1" ht="28.5" x14ac:dyDescent="0.25">
      <c r="A92" s="390"/>
      <c r="B92" s="402" t="s">
        <v>8</v>
      </c>
      <c r="C92" s="403" t="s">
        <v>408</v>
      </c>
      <c r="D92" s="403"/>
      <c r="E92" s="433" t="s">
        <v>409</v>
      </c>
      <c r="F92" s="434" t="s">
        <v>2942</v>
      </c>
      <c r="G92" s="538">
        <v>1</v>
      </c>
      <c r="H92" s="674">
        <v>0.3</v>
      </c>
      <c r="I92" s="674">
        <f>G92*H92</f>
        <v>0.3</v>
      </c>
      <c r="J92" s="675">
        <f>TRUNC(I92/J91,5)</f>
        <v>6.3820000000000002E-2</v>
      </c>
      <c r="K92" s="674">
        <f>TRUNC(J92*G91,5)</f>
        <v>5.6799799999999996</v>
      </c>
      <c r="L92" s="674">
        <f>VLOOKUP($C92,EQUIPAMENTOS!$B:$E,3,FALSE)</f>
        <v>115</v>
      </c>
      <c r="M92" s="674">
        <f>VLOOKUP($C92,EQUIPAMENTOS!$B:$E,4,FALSE)</f>
        <v>0.18</v>
      </c>
      <c r="N92" s="675">
        <f>L92*M92</f>
        <v>20.7</v>
      </c>
      <c r="O92" s="676">
        <f>TRUNC(N92*K92,2)</f>
        <v>117.57</v>
      </c>
      <c r="T92" s="401" t="s">
        <v>58</v>
      </c>
    </row>
    <row r="93" spans="1:28" s="400" customFormat="1" ht="15" x14ac:dyDescent="0.25">
      <c r="A93" s="390"/>
      <c r="B93" s="391"/>
      <c r="C93" s="392"/>
      <c r="D93" s="393"/>
      <c r="E93" s="428" t="s">
        <v>285</v>
      </c>
      <c r="F93" s="396"/>
      <c r="G93" s="500"/>
      <c r="H93" s="429"/>
      <c r="I93" s="430"/>
      <c r="J93" s="429"/>
      <c r="K93" s="430"/>
      <c r="L93" s="429"/>
      <c r="M93" s="430"/>
      <c r="N93" s="430"/>
      <c r="O93" s="656"/>
    </row>
    <row r="94" spans="1:28" s="400" customFormat="1" ht="28.5" x14ac:dyDescent="0.25">
      <c r="A94" s="390"/>
      <c r="B94" s="503" t="s">
        <v>6</v>
      </c>
      <c r="C94" s="504">
        <v>5213401</v>
      </c>
      <c r="D94" s="505" t="s">
        <v>385</v>
      </c>
      <c r="E94" s="534" t="s">
        <v>957</v>
      </c>
      <c r="F94" s="507" t="s">
        <v>322</v>
      </c>
      <c r="G94" s="508">
        <f>VLOOKUP(D94,'ORÇ. MATERIAL'!J:N,5,FALSE)</f>
        <v>2060.91</v>
      </c>
      <c r="H94" s="1437" t="s">
        <v>444</v>
      </c>
      <c r="I94" s="1437"/>
      <c r="J94" s="672">
        <v>149.4</v>
      </c>
      <c r="K94" s="510"/>
      <c r="L94" s="509"/>
      <c r="M94" s="510"/>
      <c r="N94" s="510"/>
      <c r="O94" s="673">
        <f>SUM(O95)</f>
        <v>354.88</v>
      </c>
      <c r="AA94" s="453"/>
    </row>
    <row r="95" spans="1:28" s="400" customFormat="1" ht="28.5" x14ac:dyDescent="0.25">
      <c r="A95" s="390"/>
      <c r="B95" s="402" t="s">
        <v>8</v>
      </c>
      <c r="C95" s="403" t="s">
        <v>410</v>
      </c>
      <c r="D95" s="403"/>
      <c r="E95" s="433" t="s">
        <v>2958</v>
      </c>
      <c r="F95" s="434" t="s">
        <v>2942</v>
      </c>
      <c r="G95" s="538">
        <v>1</v>
      </c>
      <c r="H95" s="674">
        <v>1</v>
      </c>
      <c r="I95" s="674">
        <f>G95*H95</f>
        <v>1</v>
      </c>
      <c r="J95" s="675">
        <f>TRUNC(I95/J94,5)</f>
        <v>6.6899999999999998E-3</v>
      </c>
      <c r="K95" s="674">
        <f>TRUNC(J95*G94,5)</f>
        <v>13.78748</v>
      </c>
      <c r="L95" s="674">
        <f>VLOOKUP($C95,EQUIPAMENTOS!$B:$E,3,FALSE)</f>
        <v>143</v>
      </c>
      <c r="M95" s="674">
        <f>VLOOKUP($C95,EQUIPAMENTOS!$B:$E,4,FALSE)</f>
        <v>0.18</v>
      </c>
      <c r="N95" s="675">
        <f>L95*M95</f>
        <v>25.74</v>
      </c>
      <c r="O95" s="676">
        <f>TRUNC(N95*K95,2)</f>
        <v>354.88</v>
      </c>
      <c r="T95" s="401" t="s">
        <v>58</v>
      </c>
    </row>
    <row r="96" spans="1:28" s="400" customFormat="1" ht="28.5" x14ac:dyDescent="0.25">
      <c r="A96" s="390"/>
      <c r="B96" s="503" t="s">
        <v>6</v>
      </c>
      <c r="C96" s="504">
        <v>5213405</v>
      </c>
      <c r="D96" s="505" t="s">
        <v>386</v>
      </c>
      <c r="E96" s="534" t="s">
        <v>958</v>
      </c>
      <c r="F96" s="507" t="s">
        <v>322</v>
      </c>
      <c r="G96" s="508">
        <f>VLOOKUP(D96,'ORÇ. MATERIAL'!J:N,5,FALSE)</f>
        <v>470.35</v>
      </c>
      <c r="H96" s="1437" t="s">
        <v>444</v>
      </c>
      <c r="I96" s="1437"/>
      <c r="J96" s="672">
        <v>30.18</v>
      </c>
      <c r="K96" s="510"/>
      <c r="L96" s="509"/>
      <c r="M96" s="510"/>
      <c r="N96" s="510"/>
      <c r="O96" s="673">
        <f>SUM(O97)</f>
        <v>401.09</v>
      </c>
      <c r="AA96" s="453"/>
    </row>
    <row r="97" spans="1:20" s="400" customFormat="1" ht="28.5" x14ac:dyDescent="0.25">
      <c r="A97" s="390"/>
      <c r="B97" s="402" t="s">
        <v>8</v>
      </c>
      <c r="C97" s="403" t="s">
        <v>410</v>
      </c>
      <c r="D97" s="403"/>
      <c r="E97" s="433" t="s">
        <v>2958</v>
      </c>
      <c r="F97" s="434" t="s">
        <v>2942</v>
      </c>
      <c r="G97" s="538">
        <v>1</v>
      </c>
      <c r="H97" s="674">
        <v>1</v>
      </c>
      <c r="I97" s="674">
        <f>G97*H97</f>
        <v>1</v>
      </c>
      <c r="J97" s="675">
        <f>TRUNC(I97/J96,5)</f>
        <v>3.313E-2</v>
      </c>
      <c r="K97" s="674">
        <f>TRUNC(J97*G96,5)</f>
        <v>15.582689999999999</v>
      </c>
      <c r="L97" s="674">
        <f>VLOOKUP($C97,EQUIPAMENTOS!$B:$E,3,FALSE)</f>
        <v>143</v>
      </c>
      <c r="M97" s="674">
        <f>VLOOKUP($C97,EQUIPAMENTOS!$B:$E,4,FALSE)</f>
        <v>0.18</v>
      </c>
      <c r="N97" s="675">
        <f>L97*M97</f>
        <v>25.74</v>
      </c>
      <c r="O97" s="676">
        <f>TRUNC(N97*K97,2)</f>
        <v>401.09</v>
      </c>
      <c r="T97" s="401" t="s">
        <v>58</v>
      </c>
    </row>
    <row r="98" spans="1:20" ht="28.5" customHeight="1" x14ac:dyDescent="0.25">
      <c r="B98" s="1438" t="s">
        <v>445</v>
      </c>
      <c r="C98" s="1438"/>
      <c r="D98" s="1438"/>
      <c r="E98" s="1438"/>
      <c r="F98" s="1438"/>
      <c r="G98" s="1438"/>
      <c r="H98" s="1438"/>
      <c r="I98" s="1438"/>
      <c r="J98" s="1438"/>
      <c r="K98" s="1438"/>
      <c r="L98" s="1438"/>
      <c r="M98" s="1438"/>
      <c r="N98" s="1438"/>
      <c r="O98" s="715">
        <f>SUM(O18:O97)/2</f>
        <v>66071.710000000006</v>
      </c>
    </row>
    <row r="100" spans="1:20" x14ac:dyDescent="0.25">
      <c r="O100" s="578">
        <f>SUM(O18:O97)</f>
        <v>132143.42000000001</v>
      </c>
    </row>
  </sheetData>
  <mergeCells count="26">
    <mergeCell ref="H18:I18"/>
    <mergeCell ref="L1:M1"/>
    <mergeCell ref="N1:O1"/>
    <mergeCell ref="L2:O4"/>
    <mergeCell ref="P2:P4"/>
    <mergeCell ref="B5:O5"/>
    <mergeCell ref="B6:B7"/>
    <mergeCell ref="C6:C7"/>
    <mergeCell ref="D6:D7"/>
    <mergeCell ref="E6:E7"/>
    <mergeCell ref="F6:F7"/>
    <mergeCell ref="G6:G7"/>
    <mergeCell ref="H6:I6"/>
    <mergeCell ref="J6:K6"/>
    <mergeCell ref="L6:L7"/>
    <mergeCell ref="M6:O6"/>
    <mergeCell ref="H91:I91"/>
    <mergeCell ref="H94:I94"/>
    <mergeCell ref="H96:I96"/>
    <mergeCell ref="B98:N98"/>
    <mergeCell ref="H42:I42"/>
    <mergeCell ref="H48:I48"/>
    <mergeCell ref="H50:I50"/>
    <mergeCell ref="H85:I85"/>
    <mergeCell ref="H87:I87"/>
    <mergeCell ref="H89:I89"/>
  </mergeCells>
  <conditionalFormatting sqref="B5">
    <cfRule type="expression" dxfId="49" priority="102">
      <formula>$B5="VERIFICAR CÓDIGO"</formula>
    </cfRule>
  </conditionalFormatting>
  <conditionalFormatting sqref="B18">
    <cfRule type="expression" dxfId="48" priority="15">
      <formula>$K18="VERIFICAR CÓDIGO"</formula>
    </cfRule>
  </conditionalFormatting>
  <conditionalFormatting sqref="B1:C4 F1:K4">
    <cfRule type="expression" dxfId="47" priority="106">
      <formula>$C1="VERIFICAR CÓDIGO"</formula>
    </cfRule>
  </conditionalFormatting>
  <conditionalFormatting sqref="B6:D7 B15:K16">
    <cfRule type="expression" dxfId="46" priority="101">
      <formula>$E6="VERIFICAR CÓDIGO"</formula>
    </cfRule>
  </conditionalFormatting>
  <conditionalFormatting sqref="B42:H42">
    <cfRule type="expression" dxfId="45" priority="9">
      <formula>$E42="VERIFICAR CÓDIGO"</formula>
    </cfRule>
  </conditionalFormatting>
  <conditionalFormatting sqref="B48:H48">
    <cfRule type="expression" dxfId="44" priority="6">
      <formula>$E48="VERIFICAR CÓDIGO"</formula>
    </cfRule>
  </conditionalFormatting>
  <conditionalFormatting sqref="B50:H50">
    <cfRule type="expression" dxfId="43" priority="3">
      <formula>$E50="VERIFICAR CÓDIGO"</formula>
    </cfRule>
  </conditionalFormatting>
  <conditionalFormatting sqref="B85:H85 J85:O85">
    <cfRule type="expression" dxfId="42" priority="58">
      <formula>$E85="VERIFICAR CÓDIGO"</formula>
    </cfRule>
  </conditionalFormatting>
  <conditionalFormatting sqref="B87:H87 J87:O87">
    <cfRule type="expression" dxfId="41" priority="53">
      <formula>$E87="VERIFICAR CÓDIGO"</formula>
    </cfRule>
  </conditionalFormatting>
  <conditionalFormatting sqref="B89:H89 J89:O89">
    <cfRule type="expression" dxfId="40" priority="57">
      <formula>$E89="VERIFICAR CÓDIGO"</formula>
    </cfRule>
  </conditionalFormatting>
  <conditionalFormatting sqref="B91:H91 J91:O91">
    <cfRule type="expression" dxfId="39" priority="56">
      <formula>$E91="VERIFICAR CÓDIGO"</formula>
    </cfRule>
  </conditionalFormatting>
  <conditionalFormatting sqref="B96:H96 J96:O96">
    <cfRule type="expression" dxfId="38" priority="54">
      <formula>$E96="VERIFICAR CÓDIGO"</formula>
    </cfRule>
  </conditionalFormatting>
  <conditionalFormatting sqref="B8:O14">
    <cfRule type="expression" dxfId="37" priority="37">
      <formula>$E8="VERIFICAR CÓDIGO"</formula>
    </cfRule>
  </conditionalFormatting>
  <conditionalFormatting sqref="B17:O17 H93:M93 B93:G94 N93:O94 B98 O98 B99:O1048576">
    <cfRule type="expression" dxfId="36" priority="105">
      <formula>$E17="VERIFICAR CÓDIGO"</formula>
    </cfRule>
  </conditionalFormatting>
  <conditionalFormatting sqref="B19:O41">
    <cfRule type="expression" dxfId="35" priority="14">
      <formula>$E19="VERIFICAR CÓDIGO"</formula>
    </cfRule>
  </conditionalFormatting>
  <conditionalFormatting sqref="B43:O47">
    <cfRule type="expression" dxfId="34" priority="11">
      <formula>$E43="VERIFICAR CÓDIGO"</formula>
    </cfRule>
  </conditionalFormatting>
  <conditionalFormatting sqref="B49:O49">
    <cfRule type="expression" dxfId="33" priority="2">
      <formula>$E49="VERIFICAR CÓDIGO"</formula>
    </cfRule>
  </conditionalFormatting>
  <conditionalFormatting sqref="B51:O84">
    <cfRule type="expression" dxfId="32" priority="1">
      <formula>$E51="VERIFICAR CÓDIGO"</formula>
    </cfRule>
  </conditionalFormatting>
  <conditionalFormatting sqref="B86:O86">
    <cfRule type="expression" dxfId="31" priority="60">
      <formula>$E86="VERIFICAR CÓDIGO"</formula>
    </cfRule>
  </conditionalFormatting>
  <conditionalFormatting sqref="B88:O88">
    <cfRule type="expression" dxfId="30" priority="52">
      <formula>$E88="VERIFICAR CÓDIGO"</formula>
    </cfRule>
  </conditionalFormatting>
  <conditionalFormatting sqref="B90:O90">
    <cfRule type="expression" dxfId="29" priority="51">
      <formula>$E90="VERIFICAR CÓDIGO"</formula>
    </cfRule>
  </conditionalFormatting>
  <conditionalFormatting sqref="B92:O92">
    <cfRule type="expression" dxfId="28" priority="50">
      <formula>$E92="VERIFICAR CÓDIGO"</formula>
    </cfRule>
  </conditionalFormatting>
  <conditionalFormatting sqref="B95:O95">
    <cfRule type="expression" dxfId="27" priority="49">
      <formula>$E95="VERIFICAR CÓDIGO"</formula>
    </cfRule>
  </conditionalFormatting>
  <conditionalFormatting sqref="B97:O97">
    <cfRule type="expression" dxfId="26" priority="48">
      <formula>$E97="VERIFICAR CÓDIGO"</formula>
    </cfRule>
  </conditionalFormatting>
  <conditionalFormatting sqref="C18:H18 J18:O18">
    <cfRule type="expression" dxfId="25" priority="13">
      <formula>$E18="VERIFICAR CÓDIGO"</formula>
    </cfRule>
  </conditionalFormatting>
  <conditionalFormatting sqref="E6:H6 J6 L6:M6 E7:K7 M7:O7 M15:O16">
    <cfRule type="expression" dxfId="24" priority="103">
      <formula>$E6="VERIFICAR CÓDIGO"</formula>
    </cfRule>
  </conditionalFormatting>
  <conditionalFormatting sqref="H94 J94:M94">
    <cfRule type="expression" dxfId="23" priority="55">
      <formula>$E94="VERIFICAR CÓDIGO"</formula>
    </cfRule>
  </conditionalFormatting>
  <conditionalFormatting sqref="J42:O42">
    <cfRule type="expression" dxfId="22" priority="10">
      <formula>$E42="VERIFICAR CÓDIGO"</formula>
    </cfRule>
  </conditionalFormatting>
  <conditionalFormatting sqref="J48:O48">
    <cfRule type="expression" dxfId="21" priority="7">
      <formula>$E48="VERIFICAR CÓDIGO"</formula>
    </cfRule>
  </conditionalFormatting>
  <conditionalFormatting sqref="J50:O50">
    <cfRule type="expression" dxfId="20" priority="4">
      <formula>$E50="VERIFICAR CÓDIGO"</formula>
    </cfRule>
  </conditionalFormatting>
  <conditionalFormatting sqref="L2">
    <cfRule type="expression" dxfId="19" priority="99">
      <formula>$C2="VERIFICAR CÓDIGO"</formula>
    </cfRule>
  </conditionalFormatting>
  <conditionalFormatting sqref="L1:N1">
    <cfRule type="expression" dxfId="18" priority="100">
      <formula>$C1="VERIFICAR CÓDIGO"</formula>
    </cfRule>
  </conditionalFormatting>
  <dataValidations disablePrompts="1" count="8">
    <dataValidation type="list" allowBlank="1" showInputMessage="1" showErrorMessage="1" sqref="B18" xr:uid="{137CA366-B53D-4004-AF2A-D4A79F2E2D64}">
      <formula1>$V$3:$V$9</formula1>
    </dataValidation>
    <dataValidation type="list" allowBlank="1" showInputMessage="1" showErrorMessage="1" sqref="B75:B76 B78:B79 B81:B82" xr:uid="{C43B3ABD-31AD-48F1-8760-50C9108B8CD5}">
      <formula1>$T$4:$T$12</formula1>
    </dataValidation>
    <dataValidation type="list" allowBlank="1" showInputMessage="1" showErrorMessage="1" sqref="B74 B77 B80" xr:uid="{3CFCCE46-8C2B-4425-833F-B22F4721207E}">
      <formula1>$V$3:$V$11</formula1>
    </dataValidation>
    <dataValidation type="list" allowBlank="1" showInputMessage="1" showErrorMessage="1" sqref="B9:B14" xr:uid="{12D32D49-1499-48DB-BBCE-976512A80C97}">
      <formula1>$P$1:$P$4</formula1>
    </dataValidation>
    <dataValidation type="list" allowBlank="1" showInputMessage="1" showErrorMessage="1" sqref="B53:B56 B58:B65 B68:B69" xr:uid="{EE2C7E4F-832B-4790-A7FB-CF8F025FC57E}">
      <formula1>$T$4:$T$19</formula1>
    </dataValidation>
    <dataValidation type="list" allowBlank="1" showInputMessage="1" showErrorMessage="1" sqref="B21:B22 B19 B36:B41 B24:B25 B95 B92 B90 B88 B86 B71:B72 B27:B32 B97 B43:B47 B51 B49" xr:uid="{7D79385B-8691-4739-8D6A-907BF54F6752}">
      <formula1>$T$3:$T$21</formula1>
    </dataValidation>
    <dataValidation type="list" allowBlank="1" showInputMessage="1" showErrorMessage="1" sqref="B52 B20 B23 B35 B57 B67 B70 B96 B85 B87 B89 B91 B94 B26 B42 B48 B50" xr:uid="{2E5ACE10-A1F7-4A7F-9184-6037EB62A80D}">
      <formula1>$T$3:$T$7</formula1>
    </dataValidation>
    <dataValidation type="list" allowBlank="1" showInputMessage="1" showErrorMessage="1" sqref="P2:P4" xr:uid="{792978F5-A741-4011-845B-0D424B387302}">
      <formula1>#REF!</formula1>
    </dataValidation>
  </dataValidations>
  <printOptions horizontalCentered="1"/>
  <pageMargins left="0.59055118110236227" right="0.59055118110236227" top="1.2598425196850394" bottom="0.78740157480314965" header="0" footer="0"/>
  <pageSetup paperSize="9" scale="47" firstPageNumber="25" fitToHeight="100" orientation="landscape" r:id="rId1"/>
  <headerFooter scaleWithDoc="0">
    <oddHeader>&amp;L&amp;G</oddHeader>
    <oddFooter>&amp;C&amp;"-,Negrito"&amp;12DIONI CAETANEO DE OLIVEIRA
&amp;"-,Regular"ENGENHEIRO CIVIL - CREA /MT 40957
DEPARTAMENTO DE ENGENHARIA</oddFooter>
  </headerFooter>
  <rowBreaks count="5" manualBreakCount="5">
    <brk id="25" min="1" max="14" man="1"/>
    <brk id="32" min="1" max="14" man="1"/>
    <brk id="51" min="1" max="14" man="1"/>
    <brk id="65" min="1" max="14" man="1"/>
    <brk id="72" min="1" max="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F90F0-7237-4042-86C3-F7A94421FD33}">
  <sheetPr codeName="Planilha11">
    <tabColor rgb="FFC00000"/>
    <pageSetUpPr fitToPage="1"/>
  </sheetPr>
  <dimension ref="A1:O35"/>
  <sheetViews>
    <sheetView showGridLines="0" view="pageLayout" zoomScaleNormal="70" zoomScaleSheetLayoutView="90" workbookViewId="0">
      <selection activeCell="D28" sqref="D28"/>
    </sheetView>
  </sheetViews>
  <sheetFormatPr defaultColWidth="9.140625" defaultRowHeight="14.25" x14ac:dyDescent="0.2"/>
  <cols>
    <col min="1" max="1" width="9.140625" style="289"/>
    <col min="2" max="2" width="9.85546875" style="289" bestFit="1" customWidth="1"/>
    <col min="3" max="3" width="9.28515625" style="289" bestFit="1" customWidth="1"/>
    <col min="4" max="4" width="9.140625" style="289"/>
    <col min="5" max="5" width="12.140625" style="289" customWidth="1"/>
    <col min="6" max="7" width="20.7109375" style="289" customWidth="1"/>
    <col min="8" max="8" width="18.140625" style="289" customWidth="1"/>
    <col min="9" max="11" width="22.28515625" style="289" customWidth="1"/>
    <col min="12" max="13" width="17.140625" style="289" customWidth="1"/>
    <col min="14" max="14" width="9.28515625" style="289" bestFit="1" customWidth="1"/>
    <col min="15" max="16384" width="9.140625" style="289"/>
  </cols>
  <sheetData>
    <row r="1" spans="1:15" ht="15.75" thickBot="1" x14ac:dyDescent="0.3">
      <c r="B1" s="290"/>
      <c r="E1" s="1352"/>
      <c r="F1" s="1353"/>
      <c r="G1" s="1353"/>
      <c r="H1" s="1353"/>
      <c r="I1" s="1353"/>
      <c r="J1" s="1353"/>
      <c r="K1" s="1353"/>
      <c r="L1" s="1354"/>
      <c r="M1" s="291"/>
    </row>
    <row r="2" spans="1:15" ht="16.5" thickTop="1" thickBot="1" x14ac:dyDescent="0.3">
      <c r="E2" s="1355"/>
      <c r="F2" s="1356"/>
      <c r="G2" s="1356"/>
      <c r="H2" s="1356"/>
      <c r="I2" s="1356"/>
      <c r="J2" s="1356"/>
      <c r="K2" s="1356"/>
      <c r="L2" s="1357"/>
      <c r="M2" s="291"/>
    </row>
    <row r="3" spans="1:15" ht="15.75" thickTop="1" thickBot="1" x14ac:dyDescent="0.25">
      <c r="A3" s="292"/>
      <c r="B3" s="293" t="e">
        <f>1+K7/100+K9/100+K10/100+K11/100</f>
        <v>#VALUE!</v>
      </c>
      <c r="E3" s="1328"/>
      <c r="F3" s="1329"/>
      <c r="G3" s="1329"/>
      <c r="H3" s="1329"/>
      <c r="I3" s="1329"/>
      <c r="J3" s="1329"/>
      <c r="K3" s="1329"/>
      <c r="L3" s="1330"/>
      <c r="M3" s="294"/>
    </row>
    <row r="4" spans="1:15" ht="20.100000000000001" customHeight="1" thickTop="1" x14ac:dyDescent="0.2">
      <c r="A4" s="292"/>
      <c r="B4" s="293">
        <f>1+K12/100+K13/100+K14/100+K15/100</f>
        <v>1.0608000000000002</v>
      </c>
      <c r="E4" s="1" t="s">
        <v>0</v>
      </c>
      <c r="F4" s="2" t="s">
        <v>220</v>
      </c>
      <c r="G4" s="295"/>
      <c r="H4" s="296"/>
      <c r="I4" s="296"/>
      <c r="J4" s="4"/>
      <c r="K4" s="4"/>
      <c r="L4" s="5"/>
      <c r="M4" s="297"/>
      <c r="N4" s="54"/>
      <c r="O4" s="54"/>
    </row>
    <row r="5" spans="1:15" ht="20.100000000000001" customHeight="1" thickBot="1" x14ac:dyDescent="0.25">
      <c r="E5" s="8" t="s">
        <v>2</v>
      </c>
      <c r="F5" s="9" t="s">
        <v>226</v>
      </c>
      <c r="G5" s="298"/>
      <c r="J5" s="11"/>
      <c r="K5" s="11"/>
      <c r="L5" s="12"/>
      <c r="M5" s="297"/>
      <c r="N5" s="54"/>
      <c r="O5" s="54"/>
    </row>
    <row r="6" spans="1:15" ht="20.100000000000001" customHeight="1" thickTop="1" x14ac:dyDescent="0.2">
      <c r="A6" s="292"/>
      <c r="B6" s="293">
        <f>1+K12/100+K14/100+K15/100</f>
        <v>1.0497000000000001</v>
      </c>
      <c r="E6" s="8" t="s">
        <v>5</v>
      </c>
      <c r="F6" s="9" t="s">
        <v>231</v>
      </c>
      <c r="G6" s="298"/>
      <c r="J6" s="11"/>
      <c r="K6" s="11"/>
      <c r="L6" s="12"/>
      <c r="M6" s="299"/>
      <c r="N6" s="54"/>
      <c r="O6" s="54"/>
    </row>
    <row r="7" spans="1:15" ht="20.100000000000001" customHeight="1" x14ac:dyDescent="0.2">
      <c r="A7" s="292"/>
      <c r="B7" s="300">
        <f>1+K13/100</f>
        <v>1.0111000000000001</v>
      </c>
      <c r="E7" s="14" t="s">
        <v>7</v>
      </c>
      <c r="F7" s="15">
        <v>45251</v>
      </c>
      <c r="G7" s="301"/>
      <c r="H7" s="302"/>
      <c r="I7" s="302"/>
      <c r="J7" s="17"/>
      <c r="K7" s="17"/>
      <c r="L7" s="18"/>
      <c r="M7" s="299"/>
      <c r="N7" s="54"/>
      <c r="O7" s="54"/>
    </row>
    <row r="8" spans="1:15" ht="22.5" customHeight="1" x14ac:dyDescent="0.2">
      <c r="B8" s="303"/>
      <c r="E8" s="1358" t="s">
        <v>2880</v>
      </c>
      <c r="F8" s="1359"/>
      <c r="G8" s="1359"/>
      <c r="H8" s="1359"/>
      <c r="I8" s="1359"/>
      <c r="J8" s="1359"/>
      <c r="K8" s="1359"/>
      <c r="L8" s="1360"/>
      <c r="M8" s="304"/>
      <c r="N8" s="54"/>
      <c r="O8" s="54"/>
    </row>
    <row r="9" spans="1:15" ht="15" x14ac:dyDescent="0.2">
      <c r="E9" s="1361" t="s">
        <v>174</v>
      </c>
      <c r="F9" s="1363" t="s">
        <v>175</v>
      </c>
      <c r="G9" s="1363"/>
      <c r="H9" s="1363"/>
      <c r="I9" s="1363"/>
      <c r="J9" s="1363"/>
      <c r="K9" s="1363" t="s">
        <v>176</v>
      </c>
      <c r="L9" s="1365"/>
      <c r="M9" s="305"/>
    </row>
    <row r="10" spans="1:15" ht="15" x14ac:dyDescent="0.2">
      <c r="E10" s="1362"/>
      <c r="F10" s="1364"/>
      <c r="G10" s="1364"/>
      <c r="H10" s="1364"/>
      <c r="I10" s="1364"/>
      <c r="J10" s="1364"/>
      <c r="K10" s="1364" t="s">
        <v>177</v>
      </c>
      <c r="L10" s="1366"/>
      <c r="M10" s="305"/>
    </row>
    <row r="11" spans="1:15" ht="15.75" thickBot="1" x14ac:dyDescent="0.25">
      <c r="B11" s="306" t="s">
        <v>178</v>
      </c>
      <c r="C11" s="306" t="s">
        <v>179</v>
      </c>
      <c r="D11" s="306"/>
      <c r="E11" s="307">
        <v>1</v>
      </c>
      <c r="F11" s="1349" t="s">
        <v>180</v>
      </c>
      <c r="G11" s="1349"/>
      <c r="H11" s="1349"/>
      <c r="I11" s="1349"/>
      <c r="J11" s="1349"/>
      <c r="K11" s="1350">
        <f>K12+K13+K14+K15</f>
        <v>6.08</v>
      </c>
      <c r="L11" s="1351"/>
      <c r="M11" s="308"/>
    </row>
    <row r="12" spans="1:15" ht="15.75" thickBot="1" x14ac:dyDescent="0.3">
      <c r="B12" s="309">
        <v>5.5</v>
      </c>
      <c r="C12" s="310">
        <v>3</v>
      </c>
      <c r="D12" s="311"/>
      <c r="E12" s="312" t="s">
        <v>181</v>
      </c>
      <c r="F12" s="1342" t="s">
        <v>182</v>
      </c>
      <c r="G12" s="1342"/>
      <c r="H12" s="1342"/>
      <c r="I12" s="1342"/>
      <c r="J12" s="1342"/>
      <c r="K12" s="1341">
        <v>4.01</v>
      </c>
      <c r="L12" s="1341"/>
      <c r="M12" s="313"/>
      <c r="N12" s="289">
        <f>1+K12/100+K14/100+K15/100</f>
        <v>1.0497000000000001</v>
      </c>
    </row>
    <row r="13" spans="1:15" ht="15.75" thickBot="1" x14ac:dyDescent="0.3">
      <c r="B13" s="309">
        <v>1.39</v>
      </c>
      <c r="C13" s="310">
        <v>0.59</v>
      </c>
      <c r="D13" s="311"/>
      <c r="E13" s="312" t="s">
        <v>183</v>
      </c>
      <c r="F13" s="1342" t="s">
        <v>184</v>
      </c>
      <c r="G13" s="1342"/>
      <c r="H13" s="1342"/>
      <c r="I13" s="1342"/>
      <c r="J13" s="1342"/>
      <c r="K13" s="1341">
        <v>1.1100000000000001</v>
      </c>
      <c r="L13" s="1341"/>
      <c r="M13" s="313"/>
      <c r="N13" s="289">
        <f>1+K17/100</f>
        <v>1.073</v>
      </c>
    </row>
    <row r="14" spans="1:15" ht="15.75" thickBot="1" x14ac:dyDescent="0.3">
      <c r="B14" s="309">
        <v>1.27</v>
      </c>
      <c r="C14" s="310">
        <v>0.97</v>
      </c>
      <c r="D14" s="311"/>
      <c r="E14" s="312" t="s">
        <v>185</v>
      </c>
      <c r="F14" s="1342" t="s">
        <v>186</v>
      </c>
      <c r="G14" s="1342"/>
      <c r="H14" s="1342"/>
      <c r="I14" s="1342"/>
      <c r="J14" s="1342"/>
      <c r="K14" s="1341">
        <v>0.56000000000000005</v>
      </c>
      <c r="L14" s="1341"/>
      <c r="M14" s="313"/>
      <c r="N14" s="289">
        <f>1+K13/100</f>
        <v>1.0111000000000001</v>
      </c>
    </row>
    <row r="15" spans="1:15" ht="15" x14ac:dyDescent="0.25">
      <c r="B15" s="311"/>
      <c r="C15" s="311"/>
      <c r="D15" s="311"/>
      <c r="E15" s="312" t="s">
        <v>187</v>
      </c>
      <c r="F15" s="1342" t="s">
        <v>188</v>
      </c>
      <c r="G15" s="1342"/>
      <c r="H15" s="1342"/>
      <c r="I15" s="1342"/>
      <c r="J15" s="1342"/>
      <c r="K15" s="1341">
        <v>0.4</v>
      </c>
      <c r="L15" s="1341"/>
      <c r="M15" s="313"/>
      <c r="N15" s="289">
        <f>1-K20/100</f>
        <v>0.94350000000000001</v>
      </c>
    </row>
    <row r="16" spans="1:15" x14ac:dyDescent="0.2">
      <c r="B16" s="311"/>
      <c r="C16" s="311"/>
      <c r="D16" s="311"/>
      <c r="E16" s="1346"/>
      <c r="F16" s="1347"/>
      <c r="G16" s="1347"/>
      <c r="H16" s="1347"/>
      <c r="I16" s="1347"/>
      <c r="J16" s="1347"/>
      <c r="K16" s="1347"/>
      <c r="L16" s="1348"/>
      <c r="M16" s="294"/>
      <c r="N16" s="289">
        <f>N12*N13*N14/N15</f>
        <v>1.2070273894117649</v>
      </c>
    </row>
    <row r="17" spans="2:14" ht="15.75" thickBot="1" x14ac:dyDescent="0.25">
      <c r="B17" s="315"/>
      <c r="C17" s="315"/>
      <c r="D17" s="315"/>
      <c r="E17" s="307" t="s">
        <v>189</v>
      </c>
      <c r="F17" s="1349" t="s">
        <v>190</v>
      </c>
      <c r="G17" s="1349"/>
      <c r="H17" s="1349"/>
      <c r="I17" s="1349"/>
      <c r="J17" s="1349"/>
      <c r="K17" s="1350">
        <f>K18</f>
        <v>7.3</v>
      </c>
      <c r="L17" s="1351"/>
      <c r="M17" s="308"/>
      <c r="N17" s="316">
        <f>N16-1</f>
        <v>0.20702738941176491</v>
      </c>
    </row>
    <row r="18" spans="2:14" ht="15.75" thickBot="1" x14ac:dyDescent="0.3">
      <c r="B18" s="309">
        <v>8.9600000000000009</v>
      </c>
      <c r="C18" s="310">
        <v>6.16</v>
      </c>
      <c r="E18" s="312" t="s">
        <v>191</v>
      </c>
      <c r="F18" s="1342" t="s">
        <v>192</v>
      </c>
      <c r="G18" s="1342"/>
      <c r="H18" s="1342"/>
      <c r="I18" s="1342"/>
      <c r="J18" s="1342"/>
      <c r="K18" s="1341">
        <v>7.3</v>
      </c>
      <c r="L18" s="1341"/>
      <c r="M18" s="313"/>
    </row>
    <row r="19" spans="2:14" x14ac:dyDescent="0.2">
      <c r="D19" s="311"/>
      <c r="E19" s="1346"/>
      <c r="F19" s="1347"/>
      <c r="G19" s="1347"/>
      <c r="H19" s="1347"/>
      <c r="I19" s="1347"/>
      <c r="J19" s="1347"/>
      <c r="K19" s="1347"/>
      <c r="L19" s="1348"/>
      <c r="M19" s="294"/>
    </row>
    <row r="20" spans="2:14" ht="15" x14ac:dyDescent="0.2">
      <c r="E20" s="307" t="s">
        <v>193</v>
      </c>
      <c r="F20" s="1349" t="s">
        <v>194</v>
      </c>
      <c r="G20" s="1349"/>
      <c r="H20" s="1349"/>
      <c r="I20" s="1349"/>
      <c r="J20" s="1349"/>
      <c r="K20" s="1350">
        <f>K21+K22+K23+K24</f>
        <v>5.65</v>
      </c>
      <c r="L20" s="1351"/>
      <c r="M20" s="308"/>
    </row>
    <row r="21" spans="2:14" x14ac:dyDescent="0.2">
      <c r="E21" s="312" t="s">
        <v>195</v>
      </c>
      <c r="F21" s="1342" t="s">
        <v>196</v>
      </c>
      <c r="G21" s="1342"/>
      <c r="H21" s="1342"/>
      <c r="I21" s="1342"/>
      <c r="J21" s="1342"/>
      <c r="K21" s="1341">
        <f>(I31*I32)*100</f>
        <v>2.0000000000000004</v>
      </c>
      <c r="L21" s="1341"/>
      <c r="M21" s="313"/>
    </row>
    <row r="22" spans="2:14" x14ac:dyDescent="0.2">
      <c r="C22" s="316"/>
      <c r="D22" s="316"/>
      <c r="E22" s="312" t="s">
        <v>197</v>
      </c>
      <c r="F22" s="1339" t="s">
        <v>198</v>
      </c>
      <c r="G22" s="1339"/>
      <c r="H22" s="1339"/>
      <c r="I22" s="1339"/>
      <c r="J22" s="1339"/>
      <c r="K22" s="1340">
        <v>3</v>
      </c>
      <c r="L22" s="1341"/>
      <c r="M22" s="313"/>
    </row>
    <row r="23" spans="2:14" x14ac:dyDescent="0.2">
      <c r="B23" s="317">
        <f>1+K18/100</f>
        <v>1.073</v>
      </c>
      <c r="E23" s="314" t="s">
        <v>199</v>
      </c>
      <c r="F23" s="1342" t="s">
        <v>200</v>
      </c>
      <c r="G23" s="1342"/>
      <c r="H23" s="1342"/>
      <c r="I23" s="1342"/>
      <c r="J23" s="1342"/>
      <c r="K23" s="1341">
        <v>0.65</v>
      </c>
      <c r="L23" s="1343"/>
      <c r="M23" s="313"/>
    </row>
    <row r="24" spans="2:14" x14ac:dyDescent="0.2">
      <c r="B24" s="317">
        <f>1-K20/100</f>
        <v>0.94350000000000001</v>
      </c>
      <c r="E24" s="312" t="s">
        <v>201</v>
      </c>
      <c r="F24" s="1344" t="s">
        <v>202</v>
      </c>
      <c r="G24" s="1344"/>
      <c r="H24" s="1344"/>
      <c r="I24" s="1344"/>
      <c r="J24" s="1344"/>
      <c r="K24" s="1345">
        <v>0</v>
      </c>
      <c r="L24" s="1341"/>
      <c r="M24" s="313"/>
    </row>
    <row r="25" spans="2:14" x14ac:dyDescent="0.2">
      <c r="B25" s="317">
        <f>B6*B7*B23</f>
        <v>1.1388303419100003</v>
      </c>
      <c r="E25" s="1328" t="s">
        <v>203</v>
      </c>
      <c r="F25" s="1329"/>
      <c r="G25" s="1329"/>
      <c r="H25" s="1329"/>
      <c r="I25" s="1329"/>
      <c r="J25" s="1329"/>
      <c r="K25" s="1329"/>
      <c r="L25" s="1330"/>
      <c r="M25" s="294"/>
    </row>
    <row r="26" spans="2:14" x14ac:dyDescent="0.2">
      <c r="B26" s="317">
        <f>B25/B24</f>
        <v>1.2070273894117651</v>
      </c>
      <c r="E26" s="1331" t="s">
        <v>204</v>
      </c>
      <c r="F26" s="1332"/>
      <c r="G26" s="1332"/>
      <c r="H26" s="1332"/>
      <c r="I26" s="1332"/>
      <c r="J26" s="1332"/>
      <c r="K26" s="1332"/>
      <c r="L26" s="1333"/>
      <c r="M26" s="318"/>
    </row>
    <row r="27" spans="2:14" ht="15" x14ac:dyDescent="0.2">
      <c r="B27" s="300">
        <f>B26-1</f>
        <v>0.20702738941176513</v>
      </c>
      <c r="E27" s="1334" t="s">
        <v>205</v>
      </c>
      <c r="F27" s="1334"/>
      <c r="G27" s="1334"/>
      <c r="H27" s="1334"/>
      <c r="I27" s="1334"/>
      <c r="J27" s="1334"/>
      <c r="K27" s="1335">
        <f>ROUND(N17,4)</f>
        <v>0.20699999999999999</v>
      </c>
      <c r="L27" s="1335"/>
      <c r="M27" s="319"/>
    </row>
    <row r="28" spans="2:14" ht="15.75" thickBot="1" x14ac:dyDescent="0.25">
      <c r="B28" s="320">
        <f>B27</f>
        <v>0.20702738941176513</v>
      </c>
      <c r="E28" s="1334"/>
      <c r="F28" s="1334"/>
      <c r="G28" s="1334"/>
      <c r="H28" s="1334"/>
      <c r="I28" s="1334"/>
      <c r="J28" s="1334"/>
      <c r="K28" s="1335"/>
      <c r="L28" s="1335"/>
      <c r="M28" s="319"/>
    </row>
    <row r="29" spans="2:14" ht="15.75" thickTop="1" x14ac:dyDescent="0.2">
      <c r="E29" s="1336" t="s">
        <v>206</v>
      </c>
      <c r="F29" s="1337"/>
      <c r="G29" s="1337"/>
      <c r="H29" s="1337"/>
      <c r="I29" s="1337"/>
      <c r="J29" s="1337"/>
      <c r="K29" s="1337"/>
      <c r="L29" s="1338"/>
      <c r="M29" s="321"/>
    </row>
    <row r="30" spans="2:14" ht="24.75" customHeight="1" x14ac:dyDescent="0.2">
      <c r="E30" s="322"/>
      <c r="F30" s="323"/>
      <c r="G30" s="323"/>
      <c r="H30" s="323"/>
      <c r="I30" s="323"/>
      <c r="J30" s="323"/>
      <c r="K30" s="323"/>
      <c r="L30" s="324"/>
      <c r="M30" s="325"/>
    </row>
    <row r="31" spans="2:14" ht="15" x14ac:dyDescent="0.2">
      <c r="E31" s="326"/>
      <c r="F31" s="327"/>
      <c r="G31" s="328"/>
      <c r="H31" s="328"/>
      <c r="I31" s="329">
        <v>0.05</v>
      </c>
      <c r="J31" s="1332" t="s">
        <v>207</v>
      </c>
      <c r="K31" s="1332"/>
      <c r="L31" s="330"/>
    </row>
    <row r="32" spans="2:14" ht="16.5" customHeight="1" x14ac:dyDescent="0.2">
      <c r="E32" s="326"/>
      <c r="F32" s="327"/>
      <c r="G32" s="331"/>
      <c r="H32" s="331"/>
      <c r="I32" s="329">
        <v>0.4</v>
      </c>
      <c r="J32" s="1327" t="s">
        <v>208</v>
      </c>
      <c r="K32" s="1327"/>
      <c r="L32" s="330"/>
    </row>
    <row r="33" spans="5:12" ht="11.25" customHeight="1" x14ac:dyDescent="0.2">
      <c r="E33" s="326"/>
      <c r="F33" s="333"/>
      <c r="G33" s="332"/>
      <c r="H33" s="334"/>
      <c r="J33" s="289" t="s">
        <v>209</v>
      </c>
      <c r="L33" s="330"/>
    </row>
    <row r="34" spans="5:12" ht="13.5" customHeight="1" x14ac:dyDescent="0.2">
      <c r="E34" s="335"/>
      <c r="F34" s="336"/>
      <c r="G34" s="337"/>
      <c r="H34" s="338"/>
      <c r="I34" s="302"/>
      <c r="J34" s="302"/>
      <c r="K34" s="302"/>
      <c r="L34" s="339"/>
    </row>
    <row r="35" spans="5:12" ht="21.6" customHeight="1" x14ac:dyDescent="0.2"/>
  </sheetData>
  <mergeCells count="41">
    <mergeCell ref="E1:L1"/>
    <mergeCell ref="E2:L2"/>
    <mergeCell ref="E3:L3"/>
    <mergeCell ref="E8:L8"/>
    <mergeCell ref="E9:E10"/>
    <mergeCell ref="F9:J10"/>
    <mergeCell ref="K9:L9"/>
    <mergeCell ref="K10:L10"/>
    <mergeCell ref="F11:J11"/>
    <mergeCell ref="K11:L11"/>
    <mergeCell ref="F12:J12"/>
    <mergeCell ref="K12:L12"/>
    <mergeCell ref="F13:J13"/>
    <mergeCell ref="K13:L13"/>
    <mergeCell ref="F21:J21"/>
    <mergeCell ref="K21:L21"/>
    <mergeCell ref="F14:J14"/>
    <mergeCell ref="K14:L14"/>
    <mergeCell ref="F15:J15"/>
    <mergeCell ref="K15:L15"/>
    <mergeCell ref="E16:L16"/>
    <mergeCell ref="F17:J17"/>
    <mergeCell ref="K17:L17"/>
    <mergeCell ref="F18:J18"/>
    <mergeCell ref="K18:L18"/>
    <mergeCell ref="E19:L19"/>
    <mergeCell ref="F20:J20"/>
    <mergeCell ref="K20:L20"/>
    <mergeCell ref="F22:J22"/>
    <mergeCell ref="K22:L22"/>
    <mergeCell ref="F23:J23"/>
    <mergeCell ref="K23:L23"/>
    <mergeCell ref="F24:J24"/>
    <mergeCell ref="K24:L24"/>
    <mergeCell ref="J32:K32"/>
    <mergeCell ref="E25:L25"/>
    <mergeCell ref="E26:L26"/>
    <mergeCell ref="E27:J28"/>
    <mergeCell ref="K27:L28"/>
    <mergeCell ref="E29:L29"/>
    <mergeCell ref="J31:K31"/>
  </mergeCells>
  <dataValidations disablePrompts="1" count="1">
    <dataValidation type="list" allowBlank="1" showInputMessage="1" showErrorMessage="1" sqref="M5" xr:uid="{78569F2F-2D22-4CDD-B42C-E33FBD44D3E8}">
      <formula1>$O$1:$O$2</formula1>
    </dataValidation>
  </dataValidations>
  <printOptions horizontalCentered="1"/>
  <pageMargins left="0.59055118110236227" right="0.59055118110236227" top="1.7716535433070868" bottom="0.78740157480314965" header="0" footer="0"/>
  <pageSetup paperSize="9" scale="61" orientation="landscape" r:id="rId1"/>
  <headerFooter scaleWithDoc="0">
    <oddHeader>&amp;L&amp;G</oddHeader>
    <oddFooter>&amp;C&amp;"-,Negrito"&amp;12DIONI CAETANEO DE OLIVEIRA
&amp;"-,Regular"ENGENHEIRO CIVIL - CREA /MT 40957
DEPARTAMENTO DE ENGENHARIA</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70F4D-E05E-4027-9609-F92C0A0C8DF0}">
  <sheetPr>
    <tabColor rgb="FFC00000"/>
    <pageSetUpPr fitToPage="1"/>
  </sheetPr>
  <dimension ref="B1:IE23"/>
  <sheetViews>
    <sheetView showGridLines="0" view="pageLayout" topLeftCell="A4" zoomScaleNormal="70" zoomScaleSheetLayoutView="85" workbookViewId="0">
      <selection activeCell="F9" sqref="F9"/>
    </sheetView>
  </sheetViews>
  <sheetFormatPr defaultColWidth="9.140625" defaultRowHeight="14.25" x14ac:dyDescent="0.2"/>
  <cols>
    <col min="1" max="2" width="9.140625" style="593"/>
    <col min="3" max="3" width="6" style="593" customWidth="1"/>
    <col min="4" max="4" width="30.7109375" style="593" customWidth="1"/>
    <col min="5" max="5" width="14.140625" style="593" customWidth="1"/>
    <col min="6" max="6" width="23.42578125" style="593" customWidth="1"/>
    <col min="7" max="12" width="17" style="593" customWidth="1"/>
    <col min="13" max="13" width="9.140625" style="593"/>
    <col min="14" max="14" width="15.7109375" style="593" customWidth="1"/>
    <col min="15" max="15" width="15" style="593" bestFit="1" customWidth="1"/>
    <col min="16" max="16" width="13.7109375" style="593" customWidth="1"/>
    <col min="17" max="17" width="13.85546875" style="593" bestFit="1" customWidth="1"/>
    <col min="18" max="16384" width="9.140625" style="593"/>
  </cols>
  <sheetData>
    <row r="1" spans="2:16" ht="18" customHeight="1" x14ac:dyDescent="0.2">
      <c r="B1" s="1" t="s">
        <v>0</v>
      </c>
      <c r="C1" s="590"/>
      <c r="D1" s="2" t="s">
        <v>220</v>
      </c>
      <c r="E1" s="590"/>
      <c r="F1" s="590"/>
      <c r="G1" s="591"/>
      <c r="H1" s="591"/>
      <c r="I1" s="591"/>
      <c r="J1" s="591"/>
      <c r="K1" s="592"/>
      <c r="L1" s="488"/>
    </row>
    <row r="2" spans="2:16" ht="18" customHeight="1" x14ac:dyDescent="0.2">
      <c r="B2" s="8" t="s">
        <v>2</v>
      </c>
      <c r="D2" s="9" t="s">
        <v>226</v>
      </c>
      <c r="G2" s="594"/>
      <c r="H2" s="594"/>
      <c r="I2" s="594"/>
      <c r="J2" s="594"/>
      <c r="K2" s="595"/>
      <c r="L2" s="492"/>
    </row>
    <row r="3" spans="2:16" ht="18" customHeight="1" x14ac:dyDescent="0.2">
      <c r="B3" s="8" t="s">
        <v>5</v>
      </c>
      <c r="D3" s="9" t="s">
        <v>231</v>
      </c>
      <c r="G3" s="594"/>
      <c r="H3" s="594"/>
      <c r="I3" s="594"/>
      <c r="J3" s="594"/>
      <c r="K3" s="595"/>
      <c r="L3" s="596"/>
    </row>
    <row r="4" spans="2:16" ht="18" customHeight="1" x14ac:dyDescent="0.2">
      <c r="B4" s="14" t="s">
        <v>7</v>
      </c>
      <c r="C4" s="597"/>
      <c r="D4" s="15">
        <v>0</v>
      </c>
      <c r="E4" s="597"/>
      <c r="F4" s="597"/>
      <c r="G4" s="598"/>
      <c r="H4" s="598"/>
      <c r="I4" s="598"/>
      <c r="J4" s="598"/>
      <c r="K4" s="599"/>
      <c r="L4" s="600"/>
    </row>
    <row r="5" spans="2:16" ht="30" customHeight="1" x14ac:dyDescent="0.2">
      <c r="B5" s="1430" t="s">
        <v>2883</v>
      </c>
      <c r="C5" s="1431"/>
      <c r="D5" s="1431"/>
      <c r="E5" s="1431"/>
      <c r="F5" s="1431"/>
      <c r="G5" s="1431"/>
      <c r="H5" s="1431"/>
      <c r="I5" s="1431"/>
      <c r="J5" s="1431"/>
      <c r="K5" s="1431"/>
      <c r="L5" s="1432"/>
      <c r="N5" s="593" t="str">
        <f>'ORÇ. MATERIAL'!R3</f>
        <v>NÃO DESONERADO</v>
      </c>
    </row>
    <row r="6" spans="2:16" ht="30" customHeight="1" x14ac:dyDescent="0.2">
      <c r="B6" s="601" t="s">
        <v>174</v>
      </c>
      <c r="C6" s="1433" t="s">
        <v>237</v>
      </c>
      <c r="D6" s="1433"/>
      <c r="E6" s="1433"/>
      <c r="F6" s="602" t="s">
        <v>394</v>
      </c>
      <c r="G6" s="603">
        <v>30</v>
      </c>
      <c r="H6" s="603">
        <v>60</v>
      </c>
      <c r="I6" s="603">
        <v>90</v>
      </c>
      <c r="J6" s="603">
        <v>120</v>
      </c>
      <c r="K6" s="603">
        <v>150</v>
      </c>
      <c r="L6" s="603">
        <v>180</v>
      </c>
    </row>
    <row r="7" spans="2:16" ht="18.75" customHeight="1" x14ac:dyDescent="0.2">
      <c r="B7" s="1434" t="s">
        <v>355</v>
      </c>
      <c r="C7" s="1435" t="str">
        <f>'ORÇ. MATERIAL'!K9</f>
        <v>PLACA DE OBRA</v>
      </c>
      <c r="D7" s="1435"/>
      <c r="E7" s="1435"/>
      <c r="F7" s="605">
        <f>SUM('ORÇ. MATERIAL'!V11:V28)</f>
        <v>4439</v>
      </c>
      <c r="G7" s="606">
        <f>$F7*G8</f>
        <v>4439</v>
      </c>
      <c r="H7" s="606">
        <f>$F7*H8</f>
        <v>0</v>
      </c>
      <c r="I7" s="606">
        <f t="shared" ref="I7:L9" si="0">$F7*I8</f>
        <v>0</v>
      </c>
      <c r="J7" s="606">
        <f t="shared" si="0"/>
        <v>0</v>
      </c>
      <c r="K7" s="606">
        <f t="shared" si="0"/>
        <v>0</v>
      </c>
      <c r="L7" s="607">
        <f t="shared" si="0"/>
        <v>0</v>
      </c>
    </row>
    <row r="8" spans="2:16" ht="15.75" customHeight="1" x14ac:dyDescent="0.2">
      <c r="B8" s="1434"/>
      <c r="C8" s="1435"/>
      <c r="D8" s="1435"/>
      <c r="E8" s="1435"/>
      <c r="F8" s="608">
        <v>1</v>
      </c>
      <c r="G8" s="608">
        <v>1</v>
      </c>
      <c r="H8" s="608">
        <v>0</v>
      </c>
      <c r="I8" s="608">
        <v>0</v>
      </c>
      <c r="J8" s="608">
        <v>0</v>
      </c>
      <c r="K8" s="608">
        <v>0</v>
      </c>
      <c r="L8" s="609">
        <v>0</v>
      </c>
    </row>
    <row r="9" spans="2:16" ht="18" customHeight="1" x14ac:dyDescent="0.2">
      <c r="B9" s="1434" t="s">
        <v>189</v>
      </c>
      <c r="C9" s="1435" t="s">
        <v>243</v>
      </c>
      <c r="D9" s="1435"/>
      <c r="E9" s="1435"/>
      <c r="F9" s="605">
        <f>SUM('ORÇ. MATERIAL'!V31:V37)</f>
        <v>67939.399999999994</v>
      </c>
      <c r="G9" s="606">
        <f>$F9*G10</f>
        <v>40763.639999999992</v>
      </c>
      <c r="H9" s="606">
        <f>$F9*H10</f>
        <v>27175.759999999998</v>
      </c>
      <c r="I9" s="606">
        <f t="shared" si="0"/>
        <v>0</v>
      </c>
      <c r="J9" s="606">
        <f t="shared" si="0"/>
        <v>0</v>
      </c>
      <c r="K9" s="606">
        <f t="shared" si="0"/>
        <v>0</v>
      </c>
      <c r="L9" s="607">
        <f t="shared" si="0"/>
        <v>0</v>
      </c>
      <c r="N9" s="610">
        <f>SUM(G9:L9)</f>
        <v>67939.399999999994</v>
      </c>
      <c r="O9" s="593" t="b">
        <f>N9=F9</f>
        <v>1</v>
      </c>
      <c r="P9" s="611"/>
    </row>
    <row r="10" spans="2:16" ht="18" customHeight="1" x14ac:dyDescent="0.2">
      <c r="B10" s="1434"/>
      <c r="C10" s="1435"/>
      <c r="D10" s="1435"/>
      <c r="E10" s="1435"/>
      <c r="F10" s="608">
        <v>1</v>
      </c>
      <c r="G10" s="608">
        <v>0.6</v>
      </c>
      <c r="H10" s="608">
        <v>0.4</v>
      </c>
      <c r="I10" s="608">
        <v>0</v>
      </c>
      <c r="J10" s="608">
        <v>0</v>
      </c>
      <c r="K10" s="608">
        <v>0</v>
      </c>
      <c r="L10" s="609">
        <v>0</v>
      </c>
      <c r="N10" s="612"/>
      <c r="P10" s="611"/>
    </row>
    <row r="11" spans="2:16" ht="18" customHeight="1" x14ac:dyDescent="0.2">
      <c r="B11" s="1434" t="s">
        <v>193</v>
      </c>
      <c r="C11" s="1435" t="s">
        <v>244</v>
      </c>
      <c r="D11" s="1435"/>
      <c r="E11" s="1435"/>
      <c r="F11" s="605">
        <f>SUM('ORÇ. MATERIAL'!V41:V66)</f>
        <v>2577697.04</v>
      </c>
      <c r="G11" s="606">
        <f t="shared" ref="G11:L11" si="1">$F11*G12</f>
        <v>0</v>
      </c>
      <c r="H11" s="606">
        <f t="shared" si="1"/>
        <v>257769.70400000003</v>
      </c>
      <c r="I11" s="606">
        <f t="shared" si="1"/>
        <v>1031078.8160000001</v>
      </c>
      <c r="J11" s="606">
        <f t="shared" si="1"/>
        <v>773309.11199999996</v>
      </c>
      <c r="K11" s="606">
        <f t="shared" si="1"/>
        <v>515539.40800000005</v>
      </c>
      <c r="L11" s="607">
        <f t="shared" si="1"/>
        <v>0</v>
      </c>
      <c r="N11" s="610">
        <f>SUM(G11:L11)</f>
        <v>2577697.04</v>
      </c>
      <c r="O11" s="593" t="b">
        <f>N11=F11</f>
        <v>1</v>
      </c>
      <c r="P11" s="611"/>
    </row>
    <row r="12" spans="2:16" ht="18" customHeight="1" x14ac:dyDescent="0.2">
      <c r="B12" s="1434"/>
      <c r="C12" s="1435"/>
      <c r="D12" s="1435"/>
      <c r="E12" s="1435"/>
      <c r="F12" s="608">
        <v>1</v>
      </c>
      <c r="G12" s="608">
        <v>0</v>
      </c>
      <c r="H12" s="608">
        <v>0.1</v>
      </c>
      <c r="I12" s="608">
        <v>0.4</v>
      </c>
      <c r="J12" s="608">
        <v>0.3</v>
      </c>
      <c r="K12" s="608">
        <v>0.2</v>
      </c>
      <c r="L12" s="609">
        <v>0</v>
      </c>
      <c r="N12" s="612"/>
      <c r="P12" s="611"/>
    </row>
    <row r="13" spans="2:16" ht="18" hidden="1" customHeight="1" x14ac:dyDescent="0.2">
      <c r="B13" s="1434" t="s">
        <v>370</v>
      </c>
      <c r="C13" s="1435" t="s">
        <v>282</v>
      </c>
      <c r="D13" s="1435"/>
      <c r="E13" s="1435"/>
      <c r="F13" s="605">
        <f>SUM('ORÇ. MATERIAL'!R69:R91)</f>
        <v>0</v>
      </c>
      <c r="G13" s="606">
        <f>$F13*G14</f>
        <v>0</v>
      </c>
      <c r="H13" s="606">
        <f t="shared" ref="H13:L15" si="2">$F13*H14</f>
        <v>0</v>
      </c>
      <c r="I13" s="606">
        <f t="shared" si="2"/>
        <v>0</v>
      </c>
      <c r="J13" s="606">
        <f t="shared" si="2"/>
        <v>0</v>
      </c>
      <c r="K13" s="606">
        <f t="shared" si="2"/>
        <v>0</v>
      </c>
      <c r="L13" s="607">
        <f t="shared" si="2"/>
        <v>0</v>
      </c>
      <c r="N13" s="610">
        <f>SUM(G13:L13)</f>
        <v>0</v>
      </c>
      <c r="O13" s="593" t="b">
        <f>N13=F13</f>
        <v>1</v>
      </c>
      <c r="P13" s="611"/>
    </row>
    <row r="14" spans="2:16" ht="18" hidden="1" customHeight="1" x14ac:dyDescent="0.2">
      <c r="B14" s="1434"/>
      <c r="C14" s="1435"/>
      <c r="D14" s="1435"/>
      <c r="E14" s="1435"/>
      <c r="F14" s="608">
        <v>1</v>
      </c>
      <c r="G14" s="608">
        <v>0</v>
      </c>
      <c r="H14" s="608">
        <v>0</v>
      </c>
      <c r="I14" s="608">
        <v>0</v>
      </c>
      <c r="J14" s="608">
        <v>0.1</v>
      </c>
      <c r="K14" s="608">
        <v>0.3</v>
      </c>
      <c r="L14" s="609">
        <v>0.6</v>
      </c>
      <c r="N14" s="612"/>
      <c r="P14" s="611"/>
    </row>
    <row r="15" spans="2:16" ht="18" customHeight="1" x14ac:dyDescent="0.2">
      <c r="B15" s="1434" t="s">
        <v>395</v>
      </c>
      <c r="C15" s="1435" t="s">
        <v>283</v>
      </c>
      <c r="D15" s="1435"/>
      <c r="E15" s="1435"/>
      <c r="F15" s="605">
        <f>SUM('ORÇ. MATERIAL'!V95:V148)</f>
        <v>223828.11000000004</v>
      </c>
      <c r="G15" s="606">
        <f>$F15*G16</f>
        <v>0</v>
      </c>
      <c r="H15" s="606">
        <f t="shared" si="2"/>
        <v>0</v>
      </c>
      <c r="I15" s="606">
        <f t="shared" si="2"/>
        <v>0</v>
      </c>
      <c r="J15" s="606">
        <f t="shared" si="2"/>
        <v>0</v>
      </c>
      <c r="K15" s="606">
        <f t="shared" si="2"/>
        <v>67148.433000000005</v>
      </c>
      <c r="L15" s="607">
        <f t="shared" si="2"/>
        <v>156679.67700000003</v>
      </c>
      <c r="N15" s="610">
        <f>SUM(G15:L15)</f>
        <v>223828.11000000004</v>
      </c>
      <c r="O15" s="593" t="b">
        <f>N15=F15</f>
        <v>1</v>
      </c>
      <c r="P15" s="611"/>
    </row>
    <row r="16" spans="2:16" ht="18" customHeight="1" x14ac:dyDescent="0.2">
      <c r="B16" s="1434"/>
      <c r="C16" s="1435"/>
      <c r="D16" s="1435"/>
      <c r="E16" s="1435"/>
      <c r="F16" s="608">
        <v>1</v>
      </c>
      <c r="G16" s="608">
        <v>0</v>
      </c>
      <c r="H16" s="608">
        <v>0</v>
      </c>
      <c r="I16" s="608">
        <v>0</v>
      </c>
      <c r="J16" s="608">
        <v>0</v>
      </c>
      <c r="K16" s="608">
        <v>0.3</v>
      </c>
      <c r="L16" s="609">
        <v>0.7</v>
      </c>
      <c r="N16" s="612"/>
      <c r="P16" s="611"/>
    </row>
    <row r="17" spans="2:239" ht="18" customHeight="1" x14ac:dyDescent="0.2">
      <c r="B17" s="613"/>
      <c r="C17" s="614"/>
      <c r="D17" s="614"/>
      <c r="E17" s="615" t="s">
        <v>396</v>
      </c>
      <c r="F17" s="616">
        <f>F9+F11+F13+F15+F7</f>
        <v>2873903.55</v>
      </c>
      <c r="G17" s="617"/>
      <c r="H17" s="617"/>
      <c r="I17" s="617"/>
      <c r="J17" s="617"/>
      <c r="K17" s="617"/>
      <c r="L17" s="618"/>
      <c r="N17" s="612"/>
      <c r="P17" s="611"/>
    </row>
    <row r="18" spans="2:239" ht="18" customHeight="1" x14ac:dyDescent="0.2">
      <c r="B18" s="619"/>
      <c r="C18" s="620"/>
      <c r="D18" s="620"/>
      <c r="E18" s="621"/>
      <c r="F18" s="621" t="s">
        <v>397</v>
      </c>
      <c r="G18" s="622">
        <f t="shared" ref="G18:L18" si="3">IF($F$17&gt;0,G19/$F$17,0)</f>
        <v>1.5728655890348161E-2</v>
      </c>
      <c r="H18" s="622">
        <f t="shared" si="3"/>
        <v>9.9149278687518952E-2</v>
      </c>
      <c r="I18" s="622">
        <f t="shared" si="3"/>
        <v>0.35877293655175035</v>
      </c>
      <c r="J18" s="622">
        <f t="shared" si="3"/>
        <v>0.26907970241381274</v>
      </c>
      <c r="K18" s="622">
        <f t="shared" si="3"/>
        <v>0.20275135573008357</v>
      </c>
      <c r="L18" s="623">
        <f t="shared" si="3"/>
        <v>5.451807072648629E-2</v>
      </c>
      <c r="M18" s="624"/>
      <c r="N18" s="612"/>
      <c r="O18" s="625"/>
      <c r="P18" s="626"/>
      <c r="Q18" s="625"/>
      <c r="R18" s="625"/>
      <c r="S18" s="624"/>
      <c r="T18" s="627"/>
      <c r="U18" s="625"/>
      <c r="V18" s="625"/>
      <c r="W18" s="625"/>
      <c r="X18" s="625"/>
      <c r="Y18" s="624"/>
      <c r="Z18" s="627"/>
      <c r="AA18" s="625"/>
      <c r="AB18" s="625"/>
      <c r="AC18" s="625"/>
      <c r="AD18" s="625"/>
      <c r="AE18" s="624"/>
      <c r="AF18" s="627"/>
      <c r="AG18" s="625"/>
      <c r="AH18" s="625"/>
      <c r="AI18" s="625"/>
      <c r="AJ18" s="625"/>
      <c r="AK18" s="624"/>
      <c r="AL18" s="627"/>
      <c r="AM18" s="625"/>
      <c r="AN18" s="625"/>
      <c r="AO18" s="625"/>
      <c r="AP18" s="625"/>
      <c r="AQ18" s="624"/>
      <c r="AR18" s="627"/>
      <c r="AS18" s="625"/>
      <c r="AT18" s="625"/>
      <c r="AU18" s="625"/>
      <c r="AV18" s="625"/>
      <c r="AW18" s="624"/>
      <c r="AX18" s="627"/>
      <c r="AY18" s="625"/>
      <c r="AZ18" s="625"/>
      <c r="BA18" s="625"/>
      <c r="BB18" s="625"/>
      <c r="BC18" s="624"/>
      <c r="BD18" s="627"/>
      <c r="BE18" s="625"/>
      <c r="BF18" s="625"/>
      <c r="BG18" s="625"/>
      <c r="BH18" s="625"/>
      <c r="BI18" s="624"/>
      <c r="BJ18" s="627"/>
      <c r="BK18" s="625"/>
      <c r="BL18" s="625"/>
      <c r="BM18" s="625"/>
      <c r="BN18" s="625"/>
      <c r="BO18" s="624"/>
      <c r="BP18" s="627"/>
      <c r="BQ18" s="625"/>
      <c r="BR18" s="625"/>
      <c r="BS18" s="625"/>
      <c r="BT18" s="625"/>
      <c r="BU18" s="624"/>
      <c r="BV18" s="627"/>
      <c r="BW18" s="625"/>
      <c r="BX18" s="625"/>
      <c r="BY18" s="625"/>
      <c r="BZ18" s="625"/>
      <c r="CA18" s="624"/>
      <c r="CB18" s="627"/>
      <c r="CC18" s="625"/>
      <c r="CD18" s="625"/>
      <c r="CE18" s="625"/>
      <c r="CF18" s="625"/>
      <c r="CG18" s="624"/>
      <c r="CH18" s="627"/>
      <c r="CI18" s="625"/>
      <c r="CJ18" s="625"/>
      <c r="CK18" s="625"/>
      <c r="CL18" s="625"/>
      <c r="CM18" s="624"/>
      <c r="CN18" s="627"/>
      <c r="CO18" s="625"/>
      <c r="CP18" s="625"/>
      <c r="CQ18" s="625"/>
      <c r="CR18" s="625"/>
      <c r="CS18" s="624"/>
      <c r="CT18" s="627"/>
      <c r="CU18" s="625"/>
      <c r="CV18" s="625"/>
      <c r="CW18" s="625"/>
      <c r="CX18" s="625"/>
      <c r="CY18" s="624"/>
      <c r="CZ18" s="627"/>
      <c r="DA18" s="625"/>
      <c r="DB18" s="625"/>
      <c r="DC18" s="625"/>
      <c r="DD18" s="625"/>
      <c r="DE18" s="624"/>
      <c r="DF18" s="627"/>
      <c r="DG18" s="625"/>
      <c r="DH18" s="625"/>
      <c r="DI18" s="625"/>
      <c r="DJ18" s="625"/>
      <c r="DK18" s="624"/>
      <c r="DL18" s="627"/>
      <c r="DM18" s="625"/>
      <c r="DN18" s="625"/>
      <c r="DO18" s="625"/>
      <c r="DP18" s="625"/>
      <c r="DQ18" s="624"/>
      <c r="DR18" s="627"/>
      <c r="DS18" s="625"/>
      <c r="DT18" s="625"/>
      <c r="DU18" s="625"/>
      <c r="DV18" s="625"/>
      <c r="DW18" s="624"/>
      <c r="DX18" s="627"/>
      <c r="DY18" s="625"/>
      <c r="DZ18" s="625"/>
      <c r="EA18" s="625"/>
      <c r="EB18" s="625"/>
      <c r="EC18" s="624"/>
      <c r="ED18" s="627"/>
      <c r="EE18" s="625"/>
      <c r="EF18" s="625"/>
      <c r="EG18" s="625"/>
      <c r="EH18" s="625"/>
      <c r="EI18" s="624"/>
      <c r="EJ18" s="627"/>
      <c r="EK18" s="625"/>
      <c r="EL18" s="625"/>
      <c r="EM18" s="625"/>
      <c r="EN18" s="625"/>
      <c r="EO18" s="624"/>
      <c r="EP18" s="627"/>
      <c r="EQ18" s="625"/>
      <c r="ER18" s="625"/>
      <c r="ES18" s="625"/>
      <c r="ET18" s="625"/>
      <c r="EU18" s="624"/>
      <c r="EV18" s="627"/>
      <c r="EW18" s="625"/>
      <c r="EX18" s="625"/>
      <c r="EY18" s="625"/>
      <c r="EZ18" s="625"/>
      <c r="FA18" s="624"/>
      <c r="FB18" s="627"/>
      <c r="FC18" s="625"/>
      <c r="FD18" s="625"/>
      <c r="FE18" s="625"/>
      <c r="FF18" s="625"/>
      <c r="FG18" s="624"/>
      <c r="FH18" s="627"/>
      <c r="FI18" s="625"/>
      <c r="FJ18" s="625"/>
      <c r="FK18" s="625"/>
      <c r="FL18" s="625"/>
      <c r="FM18" s="624"/>
      <c r="FN18" s="627"/>
      <c r="FO18" s="625"/>
      <c r="FP18" s="625"/>
      <c r="FQ18" s="625"/>
      <c r="FR18" s="625"/>
      <c r="FS18" s="624"/>
      <c r="FT18" s="627"/>
      <c r="FU18" s="625"/>
      <c r="FV18" s="625"/>
      <c r="FW18" s="625"/>
      <c r="FX18" s="625"/>
      <c r="FY18" s="624"/>
      <c r="FZ18" s="627"/>
      <c r="GA18" s="625"/>
      <c r="GB18" s="625"/>
      <c r="GC18" s="625"/>
      <c r="GD18" s="625"/>
      <c r="GE18" s="624"/>
      <c r="GF18" s="627"/>
      <c r="GG18" s="625"/>
      <c r="GH18" s="625"/>
      <c r="GI18" s="625"/>
      <c r="GJ18" s="625"/>
      <c r="GK18" s="624"/>
      <c r="GL18" s="627"/>
      <c r="GM18" s="625"/>
      <c r="GN18" s="625"/>
      <c r="GO18" s="625"/>
      <c r="GP18" s="625"/>
      <c r="GQ18" s="624"/>
      <c r="GR18" s="627"/>
      <c r="GS18" s="625"/>
      <c r="GT18" s="625"/>
      <c r="GU18" s="625"/>
      <c r="GV18" s="625"/>
      <c r="GW18" s="624"/>
      <c r="GX18" s="627"/>
      <c r="GY18" s="625"/>
      <c r="GZ18" s="625"/>
      <c r="HA18" s="625"/>
      <c r="HB18" s="625"/>
      <c r="HC18" s="624"/>
      <c r="HD18" s="627"/>
      <c r="HE18" s="625"/>
      <c r="HF18" s="625"/>
      <c r="HG18" s="625"/>
      <c r="HH18" s="625"/>
      <c r="HI18" s="624"/>
      <c r="HJ18" s="627"/>
      <c r="HK18" s="625"/>
      <c r="HL18" s="625"/>
      <c r="HM18" s="625"/>
      <c r="HN18" s="625"/>
      <c r="HO18" s="624"/>
      <c r="HP18" s="627"/>
      <c r="HQ18" s="625"/>
      <c r="HR18" s="625"/>
      <c r="HS18" s="625"/>
      <c r="HT18" s="625"/>
      <c r="HU18" s="624"/>
      <c r="HV18" s="627"/>
      <c r="HW18" s="625"/>
      <c r="HX18" s="625"/>
      <c r="HY18" s="625"/>
      <c r="HZ18" s="625"/>
      <c r="IA18" s="624"/>
      <c r="IB18" s="627"/>
      <c r="IC18" s="625"/>
      <c r="ID18" s="625"/>
      <c r="IE18" s="625"/>
    </row>
    <row r="19" spans="2:239" ht="18" customHeight="1" x14ac:dyDescent="0.2">
      <c r="B19" s="619"/>
      <c r="C19" s="620"/>
      <c r="D19" s="620"/>
      <c r="E19" s="621"/>
      <c r="F19" s="621" t="s">
        <v>398</v>
      </c>
      <c r="G19" s="628">
        <f t="shared" ref="G19:L19" si="4">G9+G11+G15+G13+G7</f>
        <v>45202.639999999992</v>
      </c>
      <c r="H19" s="616">
        <f t="shared" si="4"/>
        <v>284945.46400000004</v>
      </c>
      <c r="I19" s="616">
        <f t="shared" si="4"/>
        <v>1031078.8160000001</v>
      </c>
      <c r="J19" s="616">
        <f t="shared" si="4"/>
        <v>773309.11199999996</v>
      </c>
      <c r="K19" s="616">
        <f t="shared" si="4"/>
        <v>582687.84100000001</v>
      </c>
      <c r="L19" s="629">
        <f t="shared" si="4"/>
        <v>156679.67700000003</v>
      </c>
      <c r="M19" s="624"/>
      <c r="N19" s="612"/>
      <c r="O19" s="625"/>
      <c r="P19" s="626"/>
      <c r="Q19" s="625"/>
      <c r="R19" s="625"/>
      <c r="S19" s="624"/>
      <c r="T19" s="627"/>
      <c r="U19" s="625"/>
      <c r="V19" s="625"/>
      <c r="W19" s="625"/>
      <c r="X19" s="625"/>
      <c r="Y19" s="624"/>
      <c r="Z19" s="627"/>
      <c r="AA19" s="625"/>
      <c r="AB19" s="625"/>
      <c r="AC19" s="625"/>
      <c r="AD19" s="625"/>
      <c r="AE19" s="624"/>
      <c r="AF19" s="627"/>
      <c r="AG19" s="625"/>
      <c r="AH19" s="625"/>
      <c r="AI19" s="625"/>
      <c r="AJ19" s="625"/>
      <c r="AK19" s="624"/>
      <c r="AL19" s="627"/>
      <c r="AM19" s="625"/>
      <c r="AN19" s="625"/>
      <c r="AO19" s="625"/>
      <c r="AP19" s="625"/>
      <c r="AQ19" s="624"/>
      <c r="AR19" s="627"/>
      <c r="AS19" s="625"/>
      <c r="AT19" s="625"/>
      <c r="AU19" s="625"/>
      <c r="AV19" s="625"/>
      <c r="AW19" s="624"/>
      <c r="AX19" s="627"/>
      <c r="AY19" s="625"/>
      <c r="AZ19" s="625"/>
      <c r="BA19" s="625"/>
      <c r="BB19" s="625"/>
      <c r="BC19" s="624"/>
      <c r="BD19" s="627"/>
      <c r="BE19" s="625"/>
      <c r="BF19" s="625"/>
      <c r="BG19" s="625"/>
      <c r="BH19" s="625"/>
      <c r="BI19" s="624"/>
      <c r="BJ19" s="627"/>
      <c r="BK19" s="625"/>
      <c r="BL19" s="625"/>
      <c r="BM19" s="625"/>
      <c r="BN19" s="625"/>
      <c r="BO19" s="624"/>
      <c r="BP19" s="627"/>
      <c r="BQ19" s="625"/>
      <c r="BR19" s="625"/>
      <c r="BS19" s="625"/>
      <c r="BT19" s="625"/>
      <c r="BU19" s="624"/>
      <c r="BV19" s="627"/>
      <c r="BW19" s="625"/>
      <c r="BX19" s="625"/>
      <c r="BY19" s="625"/>
      <c r="BZ19" s="625"/>
      <c r="CA19" s="624"/>
      <c r="CB19" s="627"/>
      <c r="CC19" s="625"/>
      <c r="CD19" s="625"/>
      <c r="CE19" s="625"/>
      <c r="CF19" s="625"/>
      <c r="CG19" s="624"/>
      <c r="CH19" s="627"/>
      <c r="CI19" s="625"/>
      <c r="CJ19" s="625"/>
      <c r="CK19" s="625"/>
      <c r="CL19" s="625"/>
      <c r="CM19" s="624"/>
      <c r="CN19" s="627"/>
      <c r="CO19" s="625"/>
      <c r="CP19" s="625"/>
      <c r="CQ19" s="625"/>
      <c r="CR19" s="625"/>
      <c r="CS19" s="624"/>
      <c r="CT19" s="627"/>
      <c r="CU19" s="625"/>
      <c r="CV19" s="625"/>
      <c r="CW19" s="625"/>
      <c r="CX19" s="625"/>
      <c r="CY19" s="624"/>
      <c r="CZ19" s="627"/>
      <c r="DA19" s="625"/>
      <c r="DB19" s="625"/>
      <c r="DC19" s="625"/>
      <c r="DD19" s="625"/>
      <c r="DE19" s="624"/>
      <c r="DF19" s="627"/>
      <c r="DG19" s="625"/>
      <c r="DH19" s="625"/>
      <c r="DI19" s="625"/>
      <c r="DJ19" s="625"/>
      <c r="DK19" s="624"/>
      <c r="DL19" s="627"/>
      <c r="DM19" s="625"/>
      <c r="DN19" s="625"/>
      <c r="DO19" s="625"/>
      <c r="DP19" s="625"/>
      <c r="DQ19" s="624"/>
      <c r="DR19" s="627"/>
      <c r="DS19" s="625"/>
      <c r="DT19" s="625"/>
      <c r="DU19" s="625"/>
      <c r="DV19" s="625"/>
      <c r="DW19" s="624"/>
      <c r="DX19" s="627"/>
      <c r="DY19" s="625"/>
      <c r="DZ19" s="625"/>
      <c r="EA19" s="625"/>
      <c r="EB19" s="625"/>
      <c r="EC19" s="624"/>
      <c r="ED19" s="627"/>
      <c r="EE19" s="625"/>
      <c r="EF19" s="625"/>
      <c r="EG19" s="625"/>
      <c r="EH19" s="625"/>
      <c r="EI19" s="624"/>
      <c r="EJ19" s="627"/>
      <c r="EK19" s="625"/>
      <c r="EL19" s="625"/>
      <c r="EM19" s="625"/>
      <c r="EN19" s="625"/>
      <c r="EO19" s="624"/>
      <c r="EP19" s="627"/>
      <c r="EQ19" s="625"/>
      <c r="ER19" s="625"/>
      <c r="ES19" s="625"/>
      <c r="ET19" s="625"/>
      <c r="EU19" s="624"/>
      <c r="EV19" s="627"/>
      <c r="EW19" s="625"/>
      <c r="EX19" s="625"/>
      <c r="EY19" s="625"/>
      <c r="EZ19" s="625"/>
      <c r="FA19" s="624"/>
      <c r="FB19" s="627"/>
      <c r="FC19" s="625"/>
      <c r="FD19" s="625"/>
      <c r="FE19" s="625"/>
      <c r="FF19" s="625"/>
      <c r="FG19" s="624"/>
      <c r="FH19" s="627"/>
      <c r="FI19" s="625"/>
      <c r="FJ19" s="625"/>
      <c r="FK19" s="625"/>
      <c r="FL19" s="625"/>
      <c r="FM19" s="624"/>
      <c r="FN19" s="627"/>
      <c r="FO19" s="625"/>
      <c r="FP19" s="625"/>
      <c r="FQ19" s="625"/>
      <c r="FR19" s="625"/>
      <c r="FS19" s="624"/>
      <c r="FT19" s="627"/>
      <c r="FU19" s="625"/>
      <c r="FV19" s="625"/>
      <c r="FW19" s="625"/>
      <c r="FX19" s="625"/>
      <c r="FY19" s="624"/>
      <c r="FZ19" s="627"/>
      <c r="GA19" s="625"/>
      <c r="GB19" s="625"/>
      <c r="GC19" s="625"/>
      <c r="GD19" s="625"/>
      <c r="GE19" s="624"/>
      <c r="GF19" s="627"/>
      <c r="GG19" s="625"/>
      <c r="GH19" s="625"/>
      <c r="GI19" s="625"/>
      <c r="GJ19" s="625"/>
      <c r="GK19" s="624"/>
      <c r="GL19" s="627"/>
      <c r="GM19" s="625"/>
      <c r="GN19" s="625"/>
      <c r="GO19" s="625"/>
      <c r="GP19" s="625"/>
      <c r="GQ19" s="624"/>
      <c r="GR19" s="627"/>
      <c r="GS19" s="625"/>
      <c r="GT19" s="625"/>
      <c r="GU19" s="625"/>
      <c r="GV19" s="625"/>
      <c r="GW19" s="624"/>
      <c r="GX19" s="627"/>
      <c r="GY19" s="625"/>
      <c r="GZ19" s="625"/>
      <c r="HA19" s="625"/>
      <c r="HB19" s="625"/>
      <c r="HC19" s="624"/>
      <c r="HD19" s="627"/>
      <c r="HE19" s="625"/>
      <c r="HF19" s="625"/>
      <c r="HG19" s="625"/>
      <c r="HH19" s="625"/>
      <c r="HI19" s="624"/>
      <c r="HJ19" s="627"/>
      <c r="HK19" s="625"/>
      <c r="HL19" s="625"/>
      <c r="HM19" s="625"/>
      <c r="HN19" s="625"/>
      <c r="HO19" s="624"/>
      <c r="HP19" s="627"/>
      <c r="HQ19" s="625"/>
      <c r="HR19" s="625"/>
      <c r="HS19" s="625"/>
      <c r="HT19" s="625"/>
      <c r="HU19" s="624"/>
      <c r="HV19" s="627"/>
      <c r="HW19" s="625"/>
      <c r="HX19" s="625"/>
      <c r="HY19" s="625"/>
      <c r="HZ19" s="625"/>
      <c r="IA19" s="624"/>
      <c r="IB19" s="627"/>
      <c r="IC19" s="625"/>
      <c r="ID19" s="625"/>
      <c r="IE19" s="625"/>
    </row>
    <row r="20" spans="2:239" ht="18" customHeight="1" x14ac:dyDescent="0.2">
      <c r="B20" s="619"/>
      <c r="C20" s="620"/>
      <c r="D20" s="620"/>
      <c r="E20" s="621"/>
      <c r="F20" s="630" t="s">
        <v>399</v>
      </c>
      <c r="G20" s="622">
        <f>G18</f>
        <v>1.5728655890348161E-2</v>
      </c>
      <c r="H20" s="622">
        <f>G20+H18</f>
        <v>0.11487793457786712</v>
      </c>
      <c r="I20" s="622">
        <f t="shared" ref="I20:K21" si="5">H20+I18</f>
        <v>0.47365087112961746</v>
      </c>
      <c r="J20" s="622">
        <f t="shared" si="5"/>
        <v>0.74273057354343019</v>
      </c>
      <c r="K20" s="622">
        <f t="shared" si="5"/>
        <v>0.94548192927351371</v>
      </c>
      <c r="L20" s="623">
        <f>K20+L18</f>
        <v>1</v>
      </c>
      <c r="M20" s="624"/>
      <c r="N20" s="612"/>
      <c r="O20" s="625"/>
      <c r="P20" s="626"/>
      <c r="Q20" s="625"/>
      <c r="R20" s="625"/>
      <c r="S20" s="624"/>
      <c r="T20" s="627"/>
      <c r="U20" s="625"/>
      <c r="V20" s="625"/>
      <c r="W20" s="625"/>
      <c r="X20" s="625"/>
      <c r="Y20" s="624"/>
      <c r="Z20" s="627"/>
      <c r="AA20" s="625"/>
      <c r="AB20" s="625"/>
      <c r="AC20" s="625"/>
      <c r="AD20" s="625"/>
      <c r="AE20" s="624"/>
      <c r="AF20" s="627"/>
      <c r="AG20" s="625"/>
      <c r="AH20" s="625"/>
      <c r="AI20" s="625"/>
      <c r="AJ20" s="625"/>
      <c r="AK20" s="624"/>
      <c r="AL20" s="627"/>
      <c r="AM20" s="625"/>
      <c r="AN20" s="625"/>
      <c r="AO20" s="625"/>
      <c r="AP20" s="625"/>
      <c r="AQ20" s="624"/>
      <c r="AR20" s="627"/>
      <c r="AS20" s="625"/>
      <c r="AT20" s="625"/>
      <c r="AU20" s="625"/>
      <c r="AV20" s="625"/>
      <c r="AW20" s="624"/>
      <c r="AX20" s="627"/>
      <c r="AY20" s="625"/>
      <c r="AZ20" s="625"/>
      <c r="BA20" s="625"/>
      <c r="BB20" s="625"/>
      <c r="BC20" s="624"/>
      <c r="BD20" s="627"/>
      <c r="BE20" s="625"/>
      <c r="BF20" s="625"/>
      <c r="BG20" s="625"/>
      <c r="BH20" s="625"/>
      <c r="BI20" s="624"/>
      <c r="BJ20" s="627"/>
      <c r="BK20" s="625"/>
      <c r="BL20" s="625"/>
      <c r="BM20" s="625"/>
      <c r="BN20" s="625"/>
      <c r="BO20" s="624"/>
      <c r="BP20" s="627"/>
      <c r="BQ20" s="625"/>
      <c r="BR20" s="625"/>
      <c r="BS20" s="625"/>
      <c r="BT20" s="625"/>
      <c r="BU20" s="624"/>
      <c r="BV20" s="627"/>
      <c r="BW20" s="625"/>
      <c r="BX20" s="625"/>
      <c r="BY20" s="625"/>
      <c r="BZ20" s="625"/>
      <c r="CA20" s="624"/>
      <c r="CB20" s="627"/>
      <c r="CC20" s="625"/>
      <c r="CD20" s="625"/>
      <c r="CE20" s="625"/>
      <c r="CF20" s="625"/>
      <c r="CG20" s="624"/>
      <c r="CH20" s="627"/>
      <c r="CI20" s="625"/>
      <c r="CJ20" s="625"/>
      <c r="CK20" s="625"/>
      <c r="CL20" s="625"/>
      <c r="CM20" s="624"/>
      <c r="CN20" s="627"/>
      <c r="CO20" s="625"/>
      <c r="CP20" s="625"/>
      <c r="CQ20" s="625"/>
      <c r="CR20" s="625"/>
      <c r="CS20" s="624"/>
      <c r="CT20" s="627"/>
      <c r="CU20" s="625"/>
      <c r="CV20" s="625"/>
      <c r="CW20" s="625"/>
      <c r="CX20" s="625"/>
      <c r="CY20" s="624"/>
      <c r="CZ20" s="627"/>
      <c r="DA20" s="625"/>
      <c r="DB20" s="625"/>
      <c r="DC20" s="625"/>
      <c r="DD20" s="625"/>
      <c r="DE20" s="624"/>
      <c r="DF20" s="627"/>
      <c r="DG20" s="625"/>
      <c r="DH20" s="625"/>
      <c r="DI20" s="625"/>
      <c r="DJ20" s="625"/>
      <c r="DK20" s="624"/>
      <c r="DL20" s="627"/>
      <c r="DM20" s="625"/>
      <c r="DN20" s="625"/>
      <c r="DO20" s="625"/>
      <c r="DP20" s="625"/>
      <c r="DQ20" s="624"/>
      <c r="DR20" s="627"/>
      <c r="DS20" s="625"/>
      <c r="DT20" s="625"/>
      <c r="DU20" s="625"/>
      <c r="DV20" s="625"/>
      <c r="DW20" s="624"/>
      <c r="DX20" s="627"/>
      <c r="DY20" s="625"/>
      <c r="DZ20" s="625"/>
      <c r="EA20" s="625"/>
      <c r="EB20" s="625"/>
      <c r="EC20" s="624"/>
      <c r="ED20" s="627"/>
      <c r="EE20" s="625"/>
      <c r="EF20" s="625"/>
      <c r="EG20" s="625"/>
      <c r="EH20" s="625"/>
      <c r="EI20" s="624"/>
      <c r="EJ20" s="627"/>
      <c r="EK20" s="625"/>
      <c r="EL20" s="625"/>
      <c r="EM20" s="625"/>
      <c r="EN20" s="625"/>
      <c r="EO20" s="624"/>
      <c r="EP20" s="627"/>
      <c r="EQ20" s="625"/>
      <c r="ER20" s="625"/>
      <c r="ES20" s="625"/>
      <c r="ET20" s="625"/>
      <c r="EU20" s="624"/>
      <c r="EV20" s="627"/>
      <c r="EW20" s="625"/>
      <c r="EX20" s="625"/>
      <c r="EY20" s="625"/>
      <c r="EZ20" s="625"/>
      <c r="FA20" s="624"/>
      <c r="FB20" s="627"/>
      <c r="FC20" s="625"/>
      <c r="FD20" s="625"/>
      <c r="FE20" s="625"/>
      <c r="FF20" s="625"/>
      <c r="FG20" s="624"/>
      <c r="FH20" s="627"/>
      <c r="FI20" s="625"/>
      <c r="FJ20" s="625"/>
      <c r="FK20" s="625"/>
      <c r="FL20" s="625"/>
      <c r="FM20" s="624"/>
      <c r="FN20" s="627"/>
      <c r="FO20" s="625"/>
      <c r="FP20" s="625"/>
      <c r="FQ20" s="625"/>
      <c r="FR20" s="625"/>
      <c r="FS20" s="624"/>
      <c r="FT20" s="627"/>
      <c r="FU20" s="625"/>
      <c r="FV20" s="625"/>
      <c r="FW20" s="625"/>
      <c r="FX20" s="625"/>
      <c r="FY20" s="624"/>
      <c r="FZ20" s="627"/>
      <c r="GA20" s="625"/>
      <c r="GB20" s="625"/>
      <c r="GC20" s="625"/>
      <c r="GD20" s="625"/>
      <c r="GE20" s="624"/>
      <c r="GF20" s="627"/>
      <c r="GG20" s="625"/>
      <c r="GH20" s="625"/>
      <c r="GI20" s="625"/>
      <c r="GJ20" s="625"/>
      <c r="GK20" s="624"/>
      <c r="GL20" s="627"/>
      <c r="GM20" s="625"/>
      <c r="GN20" s="625"/>
      <c r="GO20" s="625"/>
      <c r="GP20" s="625"/>
      <c r="GQ20" s="624"/>
      <c r="GR20" s="627"/>
      <c r="GS20" s="625"/>
      <c r="GT20" s="625"/>
      <c r="GU20" s="625"/>
      <c r="GV20" s="625"/>
      <c r="GW20" s="624"/>
      <c r="GX20" s="627"/>
      <c r="GY20" s="625"/>
      <c r="GZ20" s="625"/>
      <c r="HA20" s="625"/>
      <c r="HB20" s="625"/>
      <c r="HC20" s="624"/>
      <c r="HD20" s="627"/>
      <c r="HE20" s="625"/>
      <c r="HF20" s="625"/>
      <c r="HG20" s="625"/>
      <c r="HH20" s="625"/>
      <c r="HI20" s="624"/>
      <c r="HJ20" s="627"/>
      <c r="HK20" s="625"/>
      <c r="HL20" s="625"/>
      <c r="HM20" s="625"/>
      <c r="HN20" s="625"/>
      <c r="HO20" s="624"/>
      <c r="HP20" s="627"/>
      <c r="HQ20" s="625"/>
      <c r="HR20" s="625"/>
      <c r="HS20" s="625"/>
      <c r="HT20" s="625"/>
      <c r="HU20" s="624"/>
      <c r="HV20" s="627"/>
      <c r="HW20" s="625"/>
      <c r="HX20" s="625"/>
      <c r="HY20" s="625"/>
      <c r="HZ20" s="625"/>
      <c r="IA20" s="624"/>
      <c r="IB20" s="627"/>
      <c r="IC20" s="625"/>
      <c r="ID20" s="625"/>
      <c r="IE20" s="625"/>
    </row>
    <row r="21" spans="2:239" ht="18" customHeight="1" x14ac:dyDescent="0.2">
      <c r="B21" s="631"/>
      <c r="C21" s="632"/>
      <c r="D21" s="632"/>
      <c r="E21" s="633"/>
      <c r="F21" s="634" t="s">
        <v>400</v>
      </c>
      <c r="G21" s="635">
        <f>G19</f>
        <v>45202.639999999992</v>
      </c>
      <c r="H21" s="636">
        <f>G21+H19</f>
        <v>330148.10400000005</v>
      </c>
      <c r="I21" s="635">
        <f t="shared" si="5"/>
        <v>1361226.9200000002</v>
      </c>
      <c r="J21" s="636">
        <f t="shared" si="5"/>
        <v>2134536.0320000001</v>
      </c>
      <c r="K21" s="636">
        <f t="shared" si="5"/>
        <v>2717223.8730000001</v>
      </c>
      <c r="L21" s="637">
        <f>K21+L19</f>
        <v>2873903.5500000003</v>
      </c>
    </row>
    <row r="22" spans="2:239" x14ac:dyDescent="0.2">
      <c r="N22" s="612"/>
    </row>
    <row r="23" spans="2:239" x14ac:dyDescent="0.2">
      <c r="Q23" s="611"/>
    </row>
  </sheetData>
  <mergeCells count="12">
    <mergeCell ref="B11:B12"/>
    <mergeCell ref="C11:E12"/>
    <mergeCell ref="B13:B14"/>
    <mergeCell ref="C13:E14"/>
    <mergeCell ref="B15:B16"/>
    <mergeCell ref="C15:E16"/>
    <mergeCell ref="B5:L5"/>
    <mergeCell ref="C6:E6"/>
    <mergeCell ref="B7:B8"/>
    <mergeCell ref="C7:E8"/>
    <mergeCell ref="B9:B10"/>
    <mergeCell ref="C9:E10"/>
  </mergeCells>
  <conditionalFormatting sqref="G7:L7 G9:L9">
    <cfRule type="cellIs" dxfId="57" priority="4" operator="greaterThan">
      <formula>0</formula>
    </cfRule>
  </conditionalFormatting>
  <conditionalFormatting sqref="G11:L11">
    <cfRule type="cellIs" dxfId="56" priority="3" operator="greaterThan">
      <formula>0</formula>
    </cfRule>
  </conditionalFormatting>
  <conditionalFormatting sqref="G13:L13">
    <cfRule type="cellIs" dxfId="55" priority="1" operator="greaterThan">
      <formula>0</formula>
    </cfRule>
  </conditionalFormatting>
  <conditionalFormatting sqref="G15:L15">
    <cfRule type="cellIs" dxfId="54" priority="2" operator="greaterThan">
      <formula>0</formula>
    </cfRule>
  </conditionalFormatting>
  <printOptions horizontalCentered="1"/>
  <pageMargins left="0.59055118110236227" right="0.59055118110236227" top="1.7716535433070868" bottom="0.78740157480314965" header="0" footer="0"/>
  <pageSetup paperSize="9" scale="57" firstPageNumber="25" orientation="landscape" r:id="rId1"/>
  <headerFooter scaleWithDoc="0">
    <oddHeader>&amp;L&amp;G</oddHeader>
    <oddFooter>&amp;C&amp;"-,Negrito"&amp;12DIONI CAETANEO DE OLIVEIRA
&amp;"-,Regular"ENGENHEIRO CIVIL - CREA /MT 40957
DEPARTAMENTO DE ENGENHARIA</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D601F-407D-413C-A7CD-737ED72133D2}">
  <sheetPr>
    <tabColor rgb="FFFF0000"/>
  </sheetPr>
  <dimension ref="A1:E16"/>
  <sheetViews>
    <sheetView view="pageLayout" topLeftCell="B3" zoomScaleNormal="100" zoomScaleSheetLayoutView="100" workbookViewId="0">
      <selection activeCell="E45" sqref="E45"/>
    </sheetView>
  </sheetViews>
  <sheetFormatPr defaultRowHeight="12.75" x14ac:dyDescent="0.25"/>
  <cols>
    <col min="1" max="1" width="17.42578125" style="646" customWidth="1"/>
    <col min="2" max="2" width="12.28515625" style="646" customWidth="1"/>
    <col min="3" max="3" width="62.5703125" style="646" customWidth="1"/>
    <col min="4" max="4" width="11.5703125" style="647" customWidth="1"/>
    <col min="5" max="5" width="16.140625" style="647" customWidth="1"/>
    <col min="6" max="16384" width="9.140625" style="646"/>
  </cols>
  <sheetData>
    <row r="1" spans="1:5" s="640" customFormat="1" ht="38.25" x14ac:dyDescent="0.25">
      <c r="A1" s="638" t="s">
        <v>401</v>
      </c>
      <c r="B1" s="638" t="s">
        <v>155</v>
      </c>
      <c r="C1" s="638" t="s">
        <v>402</v>
      </c>
      <c r="D1" s="639" t="s">
        <v>403</v>
      </c>
      <c r="E1" s="639" t="s">
        <v>404</v>
      </c>
    </row>
    <row r="2" spans="1:5" ht="25.5" x14ac:dyDescent="0.25">
      <c r="A2" s="641" t="s">
        <v>8</v>
      </c>
      <c r="B2" s="642" t="s">
        <v>92</v>
      </c>
      <c r="C2" s="643" t="s">
        <v>405</v>
      </c>
      <c r="D2" s="644">
        <v>77</v>
      </c>
      <c r="E2" s="645">
        <v>0.18</v>
      </c>
    </row>
    <row r="3" spans="1:5" ht="25.5" x14ac:dyDescent="0.25">
      <c r="A3" s="641" t="s">
        <v>8</v>
      </c>
      <c r="B3" s="642" t="s">
        <v>406</v>
      </c>
      <c r="C3" s="643" t="s">
        <v>407</v>
      </c>
      <c r="D3" s="644">
        <v>113</v>
      </c>
      <c r="E3" s="645">
        <v>0.18</v>
      </c>
    </row>
    <row r="4" spans="1:5" ht="25.5" x14ac:dyDescent="0.25">
      <c r="A4" s="641" t="s">
        <v>8</v>
      </c>
      <c r="B4" s="642" t="s">
        <v>408</v>
      </c>
      <c r="C4" s="643" t="s">
        <v>409</v>
      </c>
      <c r="D4" s="644">
        <v>115</v>
      </c>
      <c r="E4" s="645">
        <v>0.18</v>
      </c>
    </row>
    <row r="5" spans="1:5" ht="25.5" x14ac:dyDescent="0.25">
      <c r="A5" s="641" t="s">
        <v>8</v>
      </c>
      <c r="B5" s="642" t="s">
        <v>410</v>
      </c>
      <c r="C5" s="643" t="s">
        <v>411</v>
      </c>
      <c r="D5" s="644">
        <v>143</v>
      </c>
      <c r="E5" s="645">
        <v>0.18</v>
      </c>
    </row>
    <row r="6" spans="1:5" ht="25.5" x14ac:dyDescent="0.25">
      <c r="A6" s="641" t="s">
        <v>8</v>
      </c>
      <c r="B6" s="642" t="s">
        <v>167</v>
      </c>
      <c r="C6" s="643" t="s">
        <v>412</v>
      </c>
      <c r="D6" s="644">
        <v>188</v>
      </c>
      <c r="E6" s="645">
        <v>0.18</v>
      </c>
    </row>
    <row r="7" spans="1:5" ht="38.25" x14ac:dyDescent="0.25">
      <c r="A7" s="641" t="s">
        <v>8</v>
      </c>
      <c r="B7" s="642" t="s">
        <v>413</v>
      </c>
      <c r="C7" s="643" t="s">
        <v>414</v>
      </c>
      <c r="D7" s="644">
        <v>335</v>
      </c>
      <c r="E7" s="645">
        <v>0.18</v>
      </c>
    </row>
    <row r="8" spans="1:5" ht="25.5" x14ac:dyDescent="0.25">
      <c r="A8" s="641" t="s">
        <v>8</v>
      </c>
      <c r="B8" s="642" t="s">
        <v>93</v>
      </c>
      <c r="C8" s="643" t="s">
        <v>415</v>
      </c>
      <c r="D8" s="644">
        <v>93</v>
      </c>
      <c r="E8" s="645">
        <v>0.18</v>
      </c>
    </row>
    <row r="9" spans="1:5" ht="25.5" x14ac:dyDescent="0.25">
      <c r="A9" s="641" t="s">
        <v>8</v>
      </c>
      <c r="B9" s="642" t="s">
        <v>88</v>
      </c>
      <c r="C9" s="643" t="s">
        <v>416</v>
      </c>
      <c r="D9" s="644">
        <v>85</v>
      </c>
      <c r="E9" s="645">
        <v>0.18</v>
      </c>
    </row>
    <row r="10" spans="1:5" ht="25.5" x14ac:dyDescent="0.25">
      <c r="A10" s="641" t="s">
        <v>8</v>
      </c>
      <c r="B10" s="642" t="s">
        <v>85</v>
      </c>
      <c r="C10" s="643" t="s">
        <v>417</v>
      </c>
      <c r="D10" s="644">
        <v>82</v>
      </c>
      <c r="E10" s="645">
        <v>0.18</v>
      </c>
    </row>
    <row r="11" spans="1:5" ht="25.5" x14ac:dyDescent="0.25">
      <c r="A11" s="641" t="s">
        <v>8</v>
      </c>
      <c r="B11" s="642" t="s">
        <v>95</v>
      </c>
      <c r="C11" s="643" t="s">
        <v>418</v>
      </c>
      <c r="D11" s="644">
        <v>118</v>
      </c>
      <c r="E11" s="645">
        <v>0.18</v>
      </c>
    </row>
    <row r="12" spans="1:5" ht="25.5" x14ac:dyDescent="0.25">
      <c r="A12" s="641" t="s">
        <v>8</v>
      </c>
      <c r="B12" s="642" t="s">
        <v>419</v>
      </c>
      <c r="C12" s="643" t="s">
        <v>420</v>
      </c>
      <c r="D12" s="644">
        <v>136</v>
      </c>
      <c r="E12" s="645">
        <v>0.18</v>
      </c>
    </row>
    <row r="13" spans="1:5" ht="25.5" x14ac:dyDescent="0.25">
      <c r="A13" s="641" t="s">
        <v>8</v>
      </c>
      <c r="B13" s="642" t="s">
        <v>421</v>
      </c>
      <c r="C13" s="643" t="s">
        <v>422</v>
      </c>
      <c r="D13" s="644">
        <v>10.44</v>
      </c>
      <c r="E13" s="645">
        <v>0.18</v>
      </c>
    </row>
    <row r="14" spans="1:5" ht="38.25" x14ac:dyDescent="0.25">
      <c r="A14" s="641" t="s">
        <v>8</v>
      </c>
      <c r="B14" s="642" t="s">
        <v>423</v>
      </c>
      <c r="C14" s="643" t="s">
        <v>424</v>
      </c>
      <c r="D14" s="644">
        <v>58</v>
      </c>
      <c r="E14" s="645">
        <v>0.18</v>
      </c>
    </row>
    <row r="15" spans="1:5" ht="25.5" x14ac:dyDescent="0.25">
      <c r="A15" s="641" t="s">
        <v>8</v>
      </c>
      <c r="B15" s="642" t="s">
        <v>165</v>
      </c>
      <c r="C15" s="643" t="s">
        <v>425</v>
      </c>
      <c r="D15" s="644">
        <v>188</v>
      </c>
      <c r="E15" s="645">
        <v>0.18</v>
      </c>
    </row>
    <row r="16" spans="1:5" x14ac:dyDescent="0.25">
      <c r="A16" s="1436" t="s">
        <v>426</v>
      </c>
      <c r="B16" s="1436"/>
      <c r="C16" s="1436"/>
      <c r="D16" s="1436"/>
      <c r="E16" s="1436"/>
    </row>
  </sheetData>
  <mergeCells count="1">
    <mergeCell ref="A16:E16"/>
  </mergeCells>
  <printOptions horizontalCentered="1"/>
  <pageMargins left="0.39370078740157483" right="0.39370078740157483" top="1.6535433070866143" bottom="0.78740157480314965" header="0" footer="0"/>
  <pageSetup paperSize="9" scale="99" fitToHeight="100" orientation="landscape" r:id="rId1"/>
  <headerFooter scaleWithDoc="0">
    <oddHeader>&amp;L&amp;G</oddHeader>
    <oddFooter>&amp;C&amp;"-,Negrito"&amp;12DIONI CAETANEO DE OLIVEIRA
&amp;"-,Regular"ENGENHEIRO CIVIL - CREA /MT 40957
DEPARTAMENTO DE ENGENHARIA</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F05B6-A02D-4D17-B4D0-AD18CABBC999}">
  <sheetPr codeName="Plan10">
    <tabColor rgb="FFC00000"/>
    <pageSetUpPr fitToPage="1"/>
  </sheetPr>
  <dimension ref="B1:IE23"/>
  <sheetViews>
    <sheetView showGridLines="0" view="pageLayout" topLeftCell="A6" zoomScaleNormal="70" zoomScaleSheetLayoutView="85" workbookViewId="0">
      <selection activeCell="F15" sqref="F15"/>
    </sheetView>
  </sheetViews>
  <sheetFormatPr defaultColWidth="9.140625" defaultRowHeight="14.25" x14ac:dyDescent="0.2"/>
  <cols>
    <col min="1" max="2" width="9.140625" style="593"/>
    <col min="3" max="3" width="6" style="593" customWidth="1"/>
    <col min="4" max="4" width="30.7109375" style="593" customWidth="1"/>
    <col min="5" max="5" width="14.140625" style="593" customWidth="1"/>
    <col min="6" max="6" width="23.42578125" style="593" customWidth="1"/>
    <col min="7" max="12" width="17" style="593" customWidth="1"/>
    <col min="13" max="13" width="9.140625" style="593"/>
    <col min="14" max="14" width="15.7109375" style="593" customWidth="1"/>
    <col min="15" max="15" width="15" style="593" bestFit="1" customWidth="1"/>
    <col min="16" max="16" width="13.7109375" style="593" customWidth="1"/>
    <col min="17" max="17" width="13.85546875" style="593" bestFit="1" customWidth="1"/>
    <col min="18" max="16384" width="9.140625" style="593"/>
  </cols>
  <sheetData>
    <row r="1" spans="2:16" ht="18" customHeight="1" x14ac:dyDescent="0.2">
      <c r="B1" s="1" t="s">
        <v>0</v>
      </c>
      <c r="C1" s="590"/>
      <c r="D1" s="2" t="s">
        <v>220</v>
      </c>
      <c r="E1" s="590"/>
      <c r="F1" s="590"/>
      <c r="G1" s="591"/>
      <c r="H1" s="591"/>
      <c r="I1" s="591"/>
      <c r="J1" s="591"/>
      <c r="K1" s="592"/>
      <c r="L1" s="488"/>
    </row>
    <row r="2" spans="2:16" ht="18" customHeight="1" x14ac:dyDescent="0.2">
      <c r="B2" s="8" t="s">
        <v>2</v>
      </c>
      <c r="D2" s="9" t="s">
        <v>226</v>
      </c>
      <c r="G2" s="594"/>
      <c r="H2" s="594"/>
      <c r="I2" s="594"/>
      <c r="J2" s="594"/>
      <c r="K2" s="595"/>
      <c r="L2" s="492"/>
    </row>
    <row r="3" spans="2:16" ht="18" customHeight="1" x14ac:dyDescent="0.2">
      <c r="B3" s="8" t="s">
        <v>5</v>
      </c>
      <c r="D3" s="9" t="s">
        <v>231</v>
      </c>
      <c r="G3" s="594"/>
      <c r="H3" s="594"/>
      <c r="I3" s="594"/>
      <c r="J3" s="594"/>
      <c r="K3" s="595"/>
      <c r="L3" s="596"/>
    </row>
    <row r="4" spans="2:16" ht="18" customHeight="1" x14ac:dyDescent="0.2">
      <c r="B4" s="14" t="s">
        <v>7</v>
      </c>
      <c r="C4" s="597"/>
      <c r="D4" s="15">
        <v>0</v>
      </c>
      <c r="E4" s="597"/>
      <c r="F4" s="597"/>
      <c r="G4" s="598"/>
      <c r="H4" s="598"/>
      <c r="I4" s="598"/>
      <c r="J4" s="598"/>
      <c r="K4" s="599"/>
      <c r="L4" s="600"/>
    </row>
    <row r="5" spans="2:16" ht="30" customHeight="1" x14ac:dyDescent="0.2">
      <c r="B5" s="1430" t="s">
        <v>2883</v>
      </c>
      <c r="C5" s="1431"/>
      <c r="D5" s="1431"/>
      <c r="E5" s="1431"/>
      <c r="F5" s="1431"/>
      <c r="G5" s="1431"/>
      <c r="H5" s="1431"/>
      <c r="I5" s="1431"/>
      <c r="J5" s="1431"/>
      <c r="K5" s="1431"/>
      <c r="L5" s="1432"/>
      <c r="N5" s="593" t="str">
        <f>'ORÇ. MATERIAL'!R3</f>
        <v>NÃO DESONERADO</v>
      </c>
    </row>
    <row r="6" spans="2:16" ht="30" customHeight="1" x14ac:dyDescent="0.2">
      <c r="B6" s="601" t="s">
        <v>174</v>
      </c>
      <c r="C6" s="1433" t="s">
        <v>237</v>
      </c>
      <c r="D6" s="1433"/>
      <c r="E6" s="1433"/>
      <c r="F6" s="602" t="s">
        <v>394</v>
      </c>
      <c r="G6" s="603">
        <v>30</v>
      </c>
      <c r="H6" s="603">
        <v>60</v>
      </c>
      <c r="I6" s="603">
        <v>90</v>
      </c>
      <c r="J6" s="603">
        <v>120</v>
      </c>
      <c r="K6" s="603">
        <v>150</v>
      </c>
      <c r="L6" s="603">
        <v>180</v>
      </c>
    </row>
    <row r="7" spans="2:16" ht="18.75" customHeight="1" x14ac:dyDescent="0.2">
      <c r="B7" s="1434" t="s">
        <v>355</v>
      </c>
      <c r="C7" s="1435" t="str">
        <f>'ORÇ. MATERIAL'!K9</f>
        <v>PLACA DE OBRA</v>
      </c>
      <c r="D7" s="1435"/>
      <c r="E7" s="1435"/>
      <c r="F7" s="605">
        <f>SUM('ORÇ. MATERIAL'!R11:R28)</f>
        <v>5104.6500000000005</v>
      </c>
      <c r="G7" s="606">
        <f>$F7*G8</f>
        <v>5104.6500000000005</v>
      </c>
      <c r="H7" s="606">
        <f>$F7*H8</f>
        <v>0</v>
      </c>
      <c r="I7" s="606">
        <f t="shared" ref="I7:L9" si="0">$F7*I8</f>
        <v>0</v>
      </c>
      <c r="J7" s="606">
        <f t="shared" si="0"/>
        <v>0</v>
      </c>
      <c r="K7" s="606">
        <f t="shared" si="0"/>
        <v>0</v>
      </c>
      <c r="L7" s="607">
        <f t="shared" si="0"/>
        <v>0</v>
      </c>
    </row>
    <row r="8" spans="2:16" ht="15.75" customHeight="1" x14ac:dyDescent="0.2">
      <c r="B8" s="1434"/>
      <c r="C8" s="1435"/>
      <c r="D8" s="1435"/>
      <c r="E8" s="1435"/>
      <c r="F8" s="608">
        <v>1</v>
      </c>
      <c r="G8" s="608">
        <v>1</v>
      </c>
      <c r="H8" s="608">
        <v>0</v>
      </c>
      <c r="I8" s="608">
        <v>0</v>
      </c>
      <c r="J8" s="608">
        <v>0</v>
      </c>
      <c r="K8" s="608">
        <v>0</v>
      </c>
      <c r="L8" s="609">
        <v>0</v>
      </c>
    </row>
    <row r="9" spans="2:16" ht="18" customHeight="1" x14ac:dyDescent="0.2">
      <c r="B9" s="1434" t="s">
        <v>189</v>
      </c>
      <c r="C9" s="1435" t="s">
        <v>243</v>
      </c>
      <c r="D9" s="1435"/>
      <c r="E9" s="1435"/>
      <c r="F9" s="605">
        <f>SUM('ORÇ. MATERIAL'!R31:R37)</f>
        <v>78033.899999999994</v>
      </c>
      <c r="G9" s="606">
        <f>$F9*G10</f>
        <v>46820.34</v>
      </c>
      <c r="H9" s="606">
        <f>$F9*H10</f>
        <v>31213.559999999998</v>
      </c>
      <c r="I9" s="606">
        <f t="shared" si="0"/>
        <v>0</v>
      </c>
      <c r="J9" s="606">
        <f t="shared" si="0"/>
        <v>0</v>
      </c>
      <c r="K9" s="606">
        <f t="shared" si="0"/>
        <v>0</v>
      </c>
      <c r="L9" s="607">
        <f t="shared" si="0"/>
        <v>0</v>
      </c>
      <c r="N9" s="610">
        <f>SUM(G9:L9)</f>
        <v>78033.899999999994</v>
      </c>
      <c r="O9" s="593" t="b">
        <f>N9=F9</f>
        <v>1</v>
      </c>
      <c r="P9" s="611"/>
    </row>
    <row r="10" spans="2:16" ht="18" customHeight="1" x14ac:dyDescent="0.2">
      <c r="B10" s="1434"/>
      <c r="C10" s="1435"/>
      <c r="D10" s="1435"/>
      <c r="E10" s="1435"/>
      <c r="F10" s="608">
        <v>1</v>
      </c>
      <c r="G10" s="608">
        <v>0.6</v>
      </c>
      <c r="H10" s="608">
        <v>0.4</v>
      </c>
      <c r="I10" s="608">
        <v>0</v>
      </c>
      <c r="J10" s="608">
        <v>0</v>
      </c>
      <c r="K10" s="608">
        <v>0</v>
      </c>
      <c r="L10" s="609">
        <v>0</v>
      </c>
      <c r="N10" s="612"/>
      <c r="P10" s="611"/>
    </row>
    <row r="11" spans="2:16" ht="18" customHeight="1" x14ac:dyDescent="0.2">
      <c r="B11" s="1434" t="s">
        <v>193</v>
      </c>
      <c r="C11" s="1435" t="s">
        <v>244</v>
      </c>
      <c r="D11" s="1435"/>
      <c r="E11" s="1435"/>
      <c r="F11" s="605">
        <f>SUM('ORÇ. MATERIAL'!R41:R66)</f>
        <v>3010288.66</v>
      </c>
      <c r="G11" s="606">
        <f t="shared" ref="G11:L11" si="1">$F11*G12</f>
        <v>0</v>
      </c>
      <c r="H11" s="606">
        <f t="shared" si="1"/>
        <v>301028.86600000004</v>
      </c>
      <c r="I11" s="606">
        <f t="shared" si="1"/>
        <v>1204115.4640000002</v>
      </c>
      <c r="J11" s="606">
        <f t="shared" si="1"/>
        <v>903086.598</v>
      </c>
      <c r="K11" s="606">
        <f t="shared" si="1"/>
        <v>602057.73200000008</v>
      </c>
      <c r="L11" s="607">
        <f t="shared" si="1"/>
        <v>0</v>
      </c>
      <c r="N11" s="610">
        <f>SUM(G11:L11)</f>
        <v>3010288.66</v>
      </c>
      <c r="O11" s="593" t="b">
        <f>N11=F11</f>
        <v>1</v>
      </c>
      <c r="P11" s="611"/>
    </row>
    <row r="12" spans="2:16" ht="18" customHeight="1" x14ac:dyDescent="0.2">
      <c r="B12" s="1434"/>
      <c r="C12" s="1435"/>
      <c r="D12" s="1435"/>
      <c r="E12" s="1435"/>
      <c r="F12" s="608">
        <v>1</v>
      </c>
      <c r="G12" s="608">
        <v>0</v>
      </c>
      <c r="H12" s="608">
        <v>0.1</v>
      </c>
      <c r="I12" s="608">
        <v>0.4</v>
      </c>
      <c r="J12" s="608">
        <v>0.3</v>
      </c>
      <c r="K12" s="608">
        <v>0.2</v>
      </c>
      <c r="L12" s="609">
        <v>0</v>
      </c>
      <c r="N12" s="612"/>
      <c r="P12" s="611"/>
    </row>
    <row r="13" spans="2:16" ht="18" hidden="1" customHeight="1" x14ac:dyDescent="0.2">
      <c r="B13" s="1434" t="s">
        <v>370</v>
      </c>
      <c r="C13" s="1435" t="s">
        <v>282</v>
      </c>
      <c r="D13" s="1435"/>
      <c r="E13" s="1435"/>
      <c r="F13" s="605">
        <f>SUM('ORÇ. MATERIAL'!R69:R91)</f>
        <v>0</v>
      </c>
      <c r="G13" s="606">
        <f>$F13*G14</f>
        <v>0</v>
      </c>
      <c r="H13" s="606">
        <f t="shared" ref="H13:L15" si="2">$F13*H14</f>
        <v>0</v>
      </c>
      <c r="I13" s="606">
        <f t="shared" si="2"/>
        <v>0</v>
      </c>
      <c r="J13" s="606">
        <f t="shared" si="2"/>
        <v>0</v>
      </c>
      <c r="K13" s="606">
        <f t="shared" si="2"/>
        <v>0</v>
      </c>
      <c r="L13" s="607">
        <f t="shared" si="2"/>
        <v>0</v>
      </c>
      <c r="N13" s="610">
        <f>SUM(G13:L13)</f>
        <v>0</v>
      </c>
      <c r="O13" s="593" t="b">
        <f>N13=F13</f>
        <v>1</v>
      </c>
      <c r="P13" s="611"/>
    </row>
    <row r="14" spans="2:16" ht="18" hidden="1" customHeight="1" x14ac:dyDescent="0.2">
      <c r="B14" s="1434"/>
      <c r="C14" s="1435"/>
      <c r="D14" s="1435"/>
      <c r="E14" s="1435"/>
      <c r="F14" s="608">
        <v>1</v>
      </c>
      <c r="G14" s="608">
        <v>0</v>
      </c>
      <c r="H14" s="608">
        <v>0</v>
      </c>
      <c r="I14" s="608">
        <v>0</v>
      </c>
      <c r="J14" s="608">
        <v>0.1</v>
      </c>
      <c r="K14" s="608">
        <v>0.3</v>
      </c>
      <c r="L14" s="609">
        <v>0.6</v>
      </c>
      <c r="N14" s="612"/>
      <c r="P14" s="611"/>
    </row>
    <row r="15" spans="2:16" ht="18" customHeight="1" x14ac:dyDescent="0.2">
      <c r="B15" s="1434" t="s">
        <v>395</v>
      </c>
      <c r="C15" s="1435" t="s">
        <v>283</v>
      </c>
      <c r="D15" s="1435"/>
      <c r="E15" s="1435"/>
      <c r="F15" s="605">
        <f>SUM('ORÇ. MATERIAL'!R92:R148)</f>
        <v>257341.37999999998</v>
      </c>
      <c r="G15" s="606">
        <f>$F15*G16</f>
        <v>0</v>
      </c>
      <c r="H15" s="606">
        <f t="shared" si="2"/>
        <v>0</v>
      </c>
      <c r="I15" s="606">
        <f t="shared" si="2"/>
        <v>0</v>
      </c>
      <c r="J15" s="606">
        <f t="shared" si="2"/>
        <v>0</v>
      </c>
      <c r="K15" s="606">
        <f t="shared" si="2"/>
        <v>77202.41399999999</v>
      </c>
      <c r="L15" s="607">
        <f t="shared" si="2"/>
        <v>180138.96599999999</v>
      </c>
      <c r="N15" s="610">
        <f>SUM(G15:L15)</f>
        <v>257341.37999999998</v>
      </c>
      <c r="O15" s="593" t="b">
        <f>N15=F15</f>
        <v>1</v>
      </c>
      <c r="P15" s="611"/>
    </row>
    <row r="16" spans="2:16" ht="18" customHeight="1" x14ac:dyDescent="0.2">
      <c r="B16" s="1434"/>
      <c r="C16" s="1435"/>
      <c r="D16" s="1435"/>
      <c r="E16" s="1435"/>
      <c r="F16" s="608">
        <v>1</v>
      </c>
      <c r="G16" s="608">
        <v>0</v>
      </c>
      <c r="H16" s="608">
        <v>0</v>
      </c>
      <c r="I16" s="608">
        <v>0</v>
      </c>
      <c r="J16" s="608">
        <v>0</v>
      </c>
      <c r="K16" s="608">
        <v>0.3</v>
      </c>
      <c r="L16" s="609">
        <v>0.7</v>
      </c>
      <c r="N16" s="612"/>
      <c r="P16" s="611"/>
    </row>
    <row r="17" spans="2:239" ht="18" customHeight="1" x14ac:dyDescent="0.2">
      <c r="B17" s="613"/>
      <c r="C17" s="614"/>
      <c r="D17" s="614"/>
      <c r="E17" s="615" t="s">
        <v>396</v>
      </c>
      <c r="F17" s="616">
        <f>F9+F11+F13+F15+F7</f>
        <v>3350768.59</v>
      </c>
      <c r="G17" s="617"/>
      <c r="H17" s="617"/>
      <c r="I17" s="617"/>
      <c r="J17" s="617"/>
      <c r="K17" s="617"/>
      <c r="L17" s="618"/>
      <c r="N17" s="612"/>
      <c r="P17" s="611"/>
    </row>
    <row r="18" spans="2:239" ht="18" customHeight="1" x14ac:dyDescent="0.2">
      <c r="B18" s="619"/>
      <c r="C18" s="620"/>
      <c r="D18" s="620"/>
      <c r="E18" s="621"/>
      <c r="F18" s="621" t="s">
        <v>397</v>
      </c>
      <c r="G18" s="622">
        <f t="shared" ref="G18:L18" si="3">IF($F$17&gt;0,G19/$F$17,0)</f>
        <v>1.5496441668626243E-2</v>
      </c>
      <c r="H18" s="622">
        <f t="shared" si="3"/>
        <v>9.9154094672947876E-2</v>
      </c>
      <c r="I18" s="622">
        <f t="shared" si="3"/>
        <v>0.35935500517509633</v>
      </c>
      <c r="J18" s="622">
        <f t="shared" si="3"/>
        <v>0.26951625388132222</v>
      </c>
      <c r="K18" s="622">
        <f t="shared" si="3"/>
        <v>0.20271771319188595</v>
      </c>
      <c r="L18" s="623">
        <f t="shared" si="3"/>
        <v>5.3760491410121521E-2</v>
      </c>
      <c r="M18" s="624"/>
      <c r="N18" s="612"/>
      <c r="O18" s="625"/>
      <c r="P18" s="626"/>
      <c r="Q18" s="625"/>
      <c r="R18" s="625"/>
      <c r="S18" s="624"/>
      <c r="T18" s="627"/>
      <c r="U18" s="625"/>
      <c r="V18" s="625"/>
      <c r="W18" s="625"/>
      <c r="X18" s="625"/>
      <c r="Y18" s="624"/>
      <c r="Z18" s="627"/>
      <c r="AA18" s="625"/>
      <c r="AB18" s="625"/>
      <c r="AC18" s="625"/>
      <c r="AD18" s="625"/>
      <c r="AE18" s="624"/>
      <c r="AF18" s="627"/>
      <c r="AG18" s="625"/>
      <c r="AH18" s="625"/>
      <c r="AI18" s="625"/>
      <c r="AJ18" s="625"/>
      <c r="AK18" s="624"/>
      <c r="AL18" s="627"/>
      <c r="AM18" s="625"/>
      <c r="AN18" s="625"/>
      <c r="AO18" s="625"/>
      <c r="AP18" s="625"/>
      <c r="AQ18" s="624"/>
      <c r="AR18" s="627"/>
      <c r="AS18" s="625"/>
      <c r="AT18" s="625"/>
      <c r="AU18" s="625"/>
      <c r="AV18" s="625"/>
      <c r="AW18" s="624"/>
      <c r="AX18" s="627"/>
      <c r="AY18" s="625"/>
      <c r="AZ18" s="625"/>
      <c r="BA18" s="625"/>
      <c r="BB18" s="625"/>
      <c r="BC18" s="624"/>
      <c r="BD18" s="627"/>
      <c r="BE18" s="625"/>
      <c r="BF18" s="625"/>
      <c r="BG18" s="625"/>
      <c r="BH18" s="625"/>
      <c r="BI18" s="624"/>
      <c r="BJ18" s="627"/>
      <c r="BK18" s="625"/>
      <c r="BL18" s="625"/>
      <c r="BM18" s="625"/>
      <c r="BN18" s="625"/>
      <c r="BO18" s="624"/>
      <c r="BP18" s="627"/>
      <c r="BQ18" s="625"/>
      <c r="BR18" s="625"/>
      <c r="BS18" s="625"/>
      <c r="BT18" s="625"/>
      <c r="BU18" s="624"/>
      <c r="BV18" s="627"/>
      <c r="BW18" s="625"/>
      <c r="BX18" s="625"/>
      <c r="BY18" s="625"/>
      <c r="BZ18" s="625"/>
      <c r="CA18" s="624"/>
      <c r="CB18" s="627"/>
      <c r="CC18" s="625"/>
      <c r="CD18" s="625"/>
      <c r="CE18" s="625"/>
      <c r="CF18" s="625"/>
      <c r="CG18" s="624"/>
      <c r="CH18" s="627"/>
      <c r="CI18" s="625"/>
      <c r="CJ18" s="625"/>
      <c r="CK18" s="625"/>
      <c r="CL18" s="625"/>
      <c r="CM18" s="624"/>
      <c r="CN18" s="627"/>
      <c r="CO18" s="625"/>
      <c r="CP18" s="625"/>
      <c r="CQ18" s="625"/>
      <c r="CR18" s="625"/>
      <c r="CS18" s="624"/>
      <c r="CT18" s="627"/>
      <c r="CU18" s="625"/>
      <c r="CV18" s="625"/>
      <c r="CW18" s="625"/>
      <c r="CX18" s="625"/>
      <c r="CY18" s="624"/>
      <c r="CZ18" s="627"/>
      <c r="DA18" s="625"/>
      <c r="DB18" s="625"/>
      <c r="DC18" s="625"/>
      <c r="DD18" s="625"/>
      <c r="DE18" s="624"/>
      <c r="DF18" s="627"/>
      <c r="DG18" s="625"/>
      <c r="DH18" s="625"/>
      <c r="DI18" s="625"/>
      <c r="DJ18" s="625"/>
      <c r="DK18" s="624"/>
      <c r="DL18" s="627"/>
      <c r="DM18" s="625"/>
      <c r="DN18" s="625"/>
      <c r="DO18" s="625"/>
      <c r="DP18" s="625"/>
      <c r="DQ18" s="624"/>
      <c r="DR18" s="627"/>
      <c r="DS18" s="625"/>
      <c r="DT18" s="625"/>
      <c r="DU18" s="625"/>
      <c r="DV18" s="625"/>
      <c r="DW18" s="624"/>
      <c r="DX18" s="627"/>
      <c r="DY18" s="625"/>
      <c r="DZ18" s="625"/>
      <c r="EA18" s="625"/>
      <c r="EB18" s="625"/>
      <c r="EC18" s="624"/>
      <c r="ED18" s="627"/>
      <c r="EE18" s="625"/>
      <c r="EF18" s="625"/>
      <c r="EG18" s="625"/>
      <c r="EH18" s="625"/>
      <c r="EI18" s="624"/>
      <c r="EJ18" s="627"/>
      <c r="EK18" s="625"/>
      <c r="EL18" s="625"/>
      <c r="EM18" s="625"/>
      <c r="EN18" s="625"/>
      <c r="EO18" s="624"/>
      <c r="EP18" s="627"/>
      <c r="EQ18" s="625"/>
      <c r="ER18" s="625"/>
      <c r="ES18" s="625"/>
      <c r="ET18" s="625"/>
      <c r="EU18" s="624"/>
      <c r="EV18" s="627"/>
      <c r="EW18" s="625"/>
      <c r="EX18" s="625"/>
      <c r="EY18" s="625"/>
      <c r="EZ18" s="625"/>
      <c r="FA18" s="624"/>
      <c r="FB18" s="627"/>
      <c r="FC18" s="625"/>
      <c r="FD18" s="625"/>
      <c r="FE18" s="625"/>
      <c r="FF18" s="625"/>
      <c r="FG18" s="624"/>
      <c r="FH18" s="627"/>
      <c r="FI18" s="625"/>
      <c r="FJ18" s="625"/>
      <c r="FK18" s="625"/>
      <c r="FL18" s="625"/>
      <c r="FM18" s="624"/>
      <c r="FN18" s="627"/>
      <c r="FO18" s="625"/>
      <c r="FP18" s="625"/>
      <c r="FQ18" s="625"/>
      <c r="FR18" s="625"/>
      <c r="FS18" s="624"/>
      <c r="FT18" s="627"/>
      <c r="FU18" s="625"/>
      <c r="FV18" s="625"/>
      <c r="FW18" s="625"/>
      <c r="FX18" s="625"/>
      <c r="FY18" s="624"/>
      <c r="FZ18" s="627"/>
      <c r="GA18" s="625"/>
      <c r="GB18" s="625"/>
      <c r="GC18" s="625"/>
      <c r="GD18" s="625"/>
      <c r="GE18" s="624"/>
      <c r="GF18" s="627"/>
      <c r="GG18" s="625"/>
      <c r="GH18" s="625"/>
      <c r="GI18" s="625"/>
      <c r="GJ18" s="625"/>
      <c r="GK18" s="624"/>
      <c r="GL18" s="627"/>
      <c r="GM18" s="625"/>
      <c r="GN18" s="625"/>
      <c r="GO18" s="625"/>
      <c r="GP18" s="625"/>
      <c r="GQ18" s="624"/>
      <c r="GR18" s="627"/>
      <c r="GS18" s="625"/>
      <c r="GT18" s="625"/>
      <c r="GU18" s="625"/>
      <c r="GV18" s="625"/>
      <c r="GW18" s="624"/>
      <c r="GX18" s="627"/>
      <c r="GY18" s="625"/>
      <c r="GZ18" s="625"/>
      <c r="HA18" s="625"/>
      <c r="HB18" s="625"/>
      <c r="HC18" s="624"/>
      <c r="HD18" s="627"/>
      <c r="HE18" s="625"/>
      <c r="HF18" s="625"/>
      <c r="HG18" s="625"/>
      <c r="HH18" s="625"/>
      <c r="HI18" s="624"/>
      <c r="HJ18" s="627"/>
      <c r="HK18" s="625"/>
      <c r="HL18" s="625"/>
      <c r="HM18" s="625"/>
      <c r="HN18" s="625"/>
      <c r="HO18" s="624"/>
      <c r="HP18" s="627"/>
      <c r="HQ18" s="625"/>
      <c r="HR18" s="625"/>
      <c r="HS18" s="625"/>
      <c r="HT18" s="625"/>
      <c r="HU18" s="624"/>
      <c r="HV18" s="627"/>
      <c r="HW18" s="625"/>
      <c r="HX18" s="625"/>
      <c r="HY18" s="625"/>
      <c r="HZ18" s="625"/>
      <c r="IA18" s="624"/>
      <c r="IB18" s="627"/>
      <c r="IC18" s="625"/>
      <c r="ID18" s="625"/>
      <c r="IE18" s="625"/>
    </row>
    <row r="19" spans="2:239" ht="18" customHeight="1" x14ac:dyDescent="0.2">
      <c r="B19" s="619"/>
      <c r="C19" s="620"/>
      <c r="D19" s="620"/>
      <c r="E19" s="621"/>
      <c r="F19" s="621" t="s">
        <v>398</v>
      </c>
      <c r="G19" s="628">
        <f t="shared" ref="G19:L19" si="4">G9+G11+G15+G13+G7</f>
        <v>51924.99</v>
      </c>
      <c r="H19" s="616">
        <f t="shared" si="4"/>
        <v>332242.42600000004</v>
      </c>
      <c r="I19" s="616">
        <f t="shared" si="4"/>
        <v>1204115.4640000002</v>
      </c>
      <c r="J19" s="616">
        <f t="shared" si="4"/>
        <v>903086.598</v>
      </c>
      <c r="K19" s="616">
        <f t="shared" si="4"/>
        <v>679260.14600000007</v>
      </c>
      <c r="L19" s="629">
        <f t="shared" si="4"/>
        <v>180138.96599999999</v>
      </c>
      <c r="M19" s="624"/>
      <c r="N19" s="612"/>
      <c r="O19" s="625"/>
      <c r="P19" s="626"/>
      <c r="Q19" s="625"/>
      <c r="R19" s="625"/>
      <c r="S19" s="624"/>
      <c r="T19" s="627"/>
      <c r="U19" s="625"/>
      <c r="V19" s="625"/>
      <c r="W19" s="625"/>
      <c r="X19" s="625"/>
      <c r="Y19" s="624"/>
      <c r="Z19" s="627"/>
      <c r="AA19" s="625"/>
      <c r="AB19" s="625"/>
      <c r="AC19" s="625"/>
      <c r="AD19" s="625"/>
      <c r="AE19" s="624"/>
      <c r="AF19" s="627"/>
      <c r="AG19" s="625"/>
      <c r="AH19" s="625"/>
      <c r="AI19" s="625"/>
      <c r="AJ19" s="625"/>
      <c r="AK19" s="624"/>
      <c r="AL19" s="627"/>
      <c r="AM19" s="625"/>
      <c r="AN19" s="625"/>
      <c r="AO19" s="625"/>
      <c r="AP19" s="625"/>
      <c r="AQ19" s="624"/>
      <c r="AR19" s="627"/>
      <c r="AS19" s="625"/>
      <c r="AT19" s="625"/>
      <c r="AU19" s="625"/>
      <c r="AV19" s="625"/>
      <c r="AW19" s="624"/>
      <c r="AX19" s="627"/>
      <c r="AY19" s="625"/>
      <c r="AZ19" s="625"/>
      <c r="BA19" s="625"/>
      <c r="BB19" s="625"/>
      <c r="BC19" s="624"/>
      <c r="BD19" s="627"/>
      <c r="BE19" s="625"/>
      <c r="BF19" s="625"/>
      <c r="BG19" s="625"/>
      <c r="BH19" s="625"/>
      <c r="BI19" s="624"/>
      <c r="BJ19" s="627"/>
      <c r="BK19" s="625"/>
      <c r="BL19" s="625"/>
      <c r="BM19" s="625"/>
      <c r="BN19" s="625"/>
      <c r="BO19" s="624"/>
      <c r="BP19" s="627"/>
      <c r="BQ19" s="625"/>
      <c r="BR19" s="625"/>
      <c r="BS19" s="625"/>
      <c r="BT19" s="625"/>
      <c r="BU19" s="624"/>
      <c r="BV19" s="627"/>
      <c r="BW19" s="625"/>
      <c r="BX19" s="625"/>
      <c r="BY19" s="625"/>
      <c r="BZ19" s="625"/>
      <c r="CA19" s="624"/>
      <c r="CB19" s="627"/>
      <c r="CC19" s="625"/>
      <c r="CD19" s="625"/>
      <c r="CE19" s="625"/>
      <c r="CF19" s="625"/>
      <c r="CG19" s="624"/>
      <c r="CH19" s="627"/>
      <c r="CI19" s="625"/>
      <c r="CJ19" s="625"/>
      <c r="CK19" s="625"/>
      <c r="CL19" s="625"/>
      <c r="CM19" s="624"/>
      <c r="CN19" s="627"/>
      <c r="CO19" s="625"/>
      <c r="CP19" s="625"/>
      <c r="CQ19" s="625"/>
      <c r="CR19" s="625"/>
      <c r="CS19" s="624"/>
      <c r="CT19" s="627"/>
      <c r="CU19" s="625"/>
      <c r="CV19" s="625"/>
      <c r="CW19" s="625"/>
      <c r="CX19" s="625"/>
      <c r="CY19" s="624"/>
      <c r="CZ19" s="627"/>
      <c r="DA19" s="625"/>
      <c r="DB19" s="625"/>
      <c r="DC19" s="625"/>
      <c r="DD19" s="625"/>
      <c r="DE19" s="624"/>
      <c r="DF19" s="627"/>
      <c r="DG19" s="625"/>
      <c r="DH19" s="625"/>
      <c r="DI19" s="625"/>
      <c r="DJ19" s="625"/>
      <c r="DK19" s="624"/>
      <c r="DL19" s="627"/>
      <c r="DM19" s="625"/>
      <c r="DN19" s="625"/>
      <c r="DO19" s="625"/>
      <c r="DP19" s="625"/>
      <c r="DQ19" s="624"/>
      <c r="DR19" s="627"/>
      <c r="DS19" s="625"/>
      <c r="DT19" s="625"/>
      <c r="DU19" s="625"/>
      <c r="DV19" s="625"/>
      <c r="DW19" s="624"/>
      <c r="DX19" s="627"/>
      <c r="DY19" s="625"/>
      <c r="DZ19" s="625"/>
      <c r="EA19" s="625"/>
      <c r="EB19" s="625"/>
      <c r="EC19" s="624"/>
      <c r="ED19" s="627"/>
      <c r="EE19" s="625"/>
      <c r="EF19" s="625"/>
      <c r="EG19" s="625"/>
      <c r="EH19" s="625"/>
      <c r="EI19" s="624"/>
      <c r="EJ19" s="627"/>
      <c r="EK19" s="625"/>
      <c r="EL19" s="625"/>
      <c r="EM19" s="625"/>
      <c r="EN19" s="625"/>
      <c r="EO19" s="624"/>
      <c r="EP19" s="627"/>
      <c r="EQ19" s="625"/>
      <c r="ER19" s="625"/>
      <c r="ES19" s="625"/>
      <c r="ET19" s="625"/>
      <c r="EU19" s="624"/>
      <c r="EV19" s="627"/>
      <c r="EW19" s="625"/>
      <c r="EX19" s="625"/>
      <c r="EY19" s="625"/>
      <c r="EZ19" s="625"/>
      <c r="FA19" s="624"/>
      <c r="FB19" s="627"/>
      <c r="FC19" s="625"/>
      <c r="FD19" s="625"/>
      <c r="FE19" s="625"/>
      <c r="FF19" s="625"/>
      <c r="FG19" s="624"/>
      <c r="FH19" s="627"/>
      <c r="FI19" s="625"/>
      <c r="FJ19" s="625"/>
      <c r="FK19" s="625"/>
      <c r="FL19" s="625"/>
      <c r="FM19" s="624"/>
      <c r="FN19" s="627"/>
      <c r="FO19" s="625"/>
      <c r="FP19" s="625"/>
      <c r="FQ19" s="625"/>
      <c r="FR19" s="625"/>
      <c r="FS19" s="624"/>
      <c r="FT19" s="627"/>
      <c r="FU19" s="625"/>
      <c r="FV19" s="625"/>
      <c r="FW19" s="625"/>
      <c r="FX19" s="625"/>
      <c r="FY19" s="624"/>
      <c r="FZ19" s="627"/>
      <c r="GA19" s="625"/>
      <c r="GB19" s="625"/>
      <c r="GC19" s="625"/>
      <c r="GD19" s="625"/>
      <c r="GE19" s="624"/>
      <c r="GF19" s="627"/>
      <c r="GG19" s="625"/>
      <c r="GH19" s="625"/>
      <c r="GI19" s="625"/>
      <c r="GJ19" s="625"/>
      <c r="GK19" s="624"/>
      <c r="GL19" s="627"/>
      <c r="GM19" s="625"/>
      <c r="GN19" s="625"/>
      <c r="GO19" s="625"/>
      <c r="GP19" s="625"/>
      <c r="GQ19" s="624"/>
      <c r="GR19" s="627"/>
      <c r="GS19" s="625"/>
      <c r="GT19" s="625"/>
      <c r="GU19" s="625"/>
      <c r="GV19" s="625"/>
      <c r="GW19" s="624"/>
      <c r="GX19" s="627"/>
      <c r="GY19" s="625"/>
      <c r="GZ19" s="625"/>
      <c r="HA19" s="625"/>
      <c r="HB19" s="625"/>
      <c r="HC19" s="624"/>
      <c r="HD19" s="627"/>
      <c r="HE19" s="625"/>
      <c r="HF19" s="625"/>
      <c r="HG19" s="625"/>
      <c r="HH19" s="625"/>
      <c r="HI19" s="624"/>
      <c r="HJ19" s="627"/>
      <c r="HK19" s="625"/>
      <c r="HL19" s="625"/>
      <c r="HM19" s="625"/>
      <c r="HN19" s="625"/>
      <c r="HO19" s="624"/>
      <c r="HP19" s="627"/>
      <c r="HQ19" s="625"/>
      <c r="HR19" s="625"/>
      <c r="HS19" s="625"/>
      <c r="HT19" s="625"/>
      <c r="HU19" s="624"/>
      <c r="HV19" s="627"/>
      <c r="HW19" s="625"/>
      <c r="HX19" s="625"/>
      <c r="HY19" s="625"/>
      <c r="HZ19" s="625"/>
      <c r="IA19" s="624"/>
      <c r="IB19" s="627"/>
      <c r="IC19" s="625"/>
      <c r="ID19" s="625"/>
      <c r="IE19" s="625"/>
    </row>
    <row r="20" spans="2:239" ht="18" customHeight="1" x14ac:dyDescent="0.2">
      <c r="B20" s="619"/>
      <c r="C20" s="620"/>
      <c r="D20" s="620"/>
      <c r="E20" s="621"/>
      <c r="F20" s="630" t="s">
        <v>399</v>
      </c>
      <c r="G20" s="622">
        <f>G18</f>
        <v>1.5496441668626243E-2</v>
      </c>
      <c r="H20" s="622">
        <f>G20+H18</f>
        <v>0.11465053634157411</v>
      </c>
      <c r="I20" s="622">
        <f t="shared" ref="I20:K21" si="5">H20+I18</f>
        <v>0.47400554151667046</v>
      </c>
      <c r="J20" s="622">
        <f t="shared" si="5"/>
        <v>0.74352179539799268</v>
      </c>
      <c r="K20" s="622">
        <f t="shared" si="5"/>
        <v>0.9462395085898786</v>
      </c>
      <c r="L20" s="623">
        <f>K20+L18</f>
        <v>1.0000000000000002</v>
      </c>
      <c r="M20" s="624"/>
      <c r="N20" s="612"/>
      <c r="O20" s="625"/>
      <c r="P20" s="626"/>
      <c r="Q20" s="625"/>
      <c r="R20" s="625"/>
      <c r="S20" s="624"/>
      <c r="T20" s="627"/>
      <c r="U20" s="625"/>
      <c r="V20" s="625"/>
      <c r="W20" s="625"/>
      <c r="X20" s="625"/>
      <c r="Y20" s="624"/>
      <c r="Z20" s="627"/>
      <c r="AA20" s="625"/>
      <c r="AB20" s="625"/>
      <c r="AC20" s="625"/>
      <c r="AD20" s="625"/>
      <c r="AE20" s="624"/>
      <c r="AF20" s="627"/>
      <c r="AG20" s="625"/>
      <c r="AH20" s="625"/>
      <c r="AI20" s="625"/>
      <c r="AJ20" s="625"/>
      <c r="AK20" s="624"/>
      <c r="AL20" s="627"/>
      <c r="AM20" s="625"/>
      <c r="AN20" s="625"/>
      <c r="AO20" s="625"/>
      <c r="AP20" s="625"/>
      <c r="AQ20" s="624"/>
      <c r="AR20" s="627"/>
      <c r="AS20" s="625"/>
      <c r="AT20" s="625"/>
      <c r="AU20" s="625"/>
      <c r="AV20" s="625"/>
      <c r="AW20" s="624"/>
      <c r="AX20" s="627"/>
      <c r="AY20" s="625"/>
      <c r="AZ20" s="625"/>
      <c r="BA20" s="625"/>
      <c r="BB20" s="625"/>
      <c r="BC20" s="624"/>
      <c r="BD20" s="627"/>
      <c r="BE20" s="625"/>
      <c r="BF20" s="625"/>
      <c r="BG20" s="625"/>
      <c r="BH20" s="625"/>
      <c r="BI20" s="624"/>
      <c r="BJ20" s="627"/>
      <c r="BK20" s="625"/>
      <c r="BL20" s="625"/>
      <c r="BM20" s="625"/>
      <c r="BN20" s="625"/>
      <c r="BO20" s="624"/>
      <c r="BP20" s="627"/>
      <c r="BQ20" s="625"/>
      <c r="BR20" s="625"/>
      <c r="BS20" s="625"/>
      <c r="BT20" s="625"/>
      <c r="BU20" s="624"/>
      <c r="BV20" s="627"/>
      <c r="BW20" s="625"/>
      <c r="BX20" s="625"/>
      <c r="BY20" s="625"/>
      <c r="BZ20" s="625"/>
      <c r="CA20" s="624"/>
      <c r="CB20" s="627"/>
      <c r="CC20" s="625"/>
      <c r="CD20" s="625"/>
      <c r="CE20" s="625"/>
      <c r="CF20" s="625"/>
      <c r="CG20" s="624"/>
      <c r="CH20" s="627"/>
      <c r="CI20" s="625"/>
      <c r="CJ20" s="625"/>
      <c r="CK20" s="625"/>
      <c r="CL20" s="625"/>
      <c r="CM20" s="624"/>
      <c r="CN20" s="627"/>
      <c r="CO20" s="625"/>
      <c r="CP20" s="625"/>
      <c r="CQ20" s="625"/>
      <c r="CR20" s="625"/>
      <c r="CS20" s="624"/>
      <c r="CT20" s="627"/>
      <c r="CU20" s="625"/>
      <c r="CV20" s="625"/>
      <c r="CW20" s="625"/>
      <c r="CX20" s="625"/>
      <c r="CY20" s="624"/>
      <c r="CZ20" s="627"/>
      <c r="DA20" s="625"/>
      <c r="DB20" s="625"/>
      <c r="DC20" s="625"/>
      <c r="DD20" s="625"/>
      <c r="DE20" s="624"/>
      <c r="DF20" s="627"/>
      <c r="DG20" s="625"/>
      <c r="DH20" s="625"/>
      <c r="DI20" s="625"/>
      <c r="DJ20" s="625"/>
      <c r="DK20" s="624"/>
      <c r="DL20" s="627"/>
      <c r="DM20" s="625"/>
      <c r="DN20" s="625"/>
      <c r="DO20" s="625"/>
      <c r="DP20" s="625"/>
      <c r="DQ20" s="624"/>
      <c r="DR20" s="627"/>
      <c r="DS20" s="625"/>
      <c r="DT20" s="625"/>
      <c r="DU20" s="625"/>
      <c r="DV20" s="625"/>
      <c r="DW20" s="624"/>
      <c r="DX20" s="627"/>
      <c r="DY20" s="625"/>
      <c r="DZ20" s="625"/>
      <c r="EA20" s="625"/>
      <c r="EB20" s="625"/>
      <c r="EC20" s="624"/>
      <c r="ED20" s="627"/>
      <c r="EE20" s="625"/>
      <c r="EF20" s="625"/>
      <c r="EG20" s="625"/>
      <c r="EH20" s="625"/>
      <c r="EI20" s="624"/>
      <c r="EJ20" s="627"/>
      <c r="EK20" s="625"/>
      <c r="EL20" s="625"/>
      <c r="EM20" s="625"/>
      <c r="EN20" s="625"/>
      <c r="EO20" s="624"/>
      <c r="EP20" s="627"/>
      <c r="EQ20" s="625"/>
      <c r="ER20" s="625"/>
      <c r="ES20" s="625"/>
      <c r="ET20" s="625"/>
      <c r="EU20" s="624"/>
      <c r="EV20" s="627"/>
      <c r="EW20" s="625"/>
      <c r="EX20" s="625"/>
      <c r="EY20" s="625"/>
      <c r="EZ20" s="625"/>
      <c r="FA20" s="624"/>
      <c r="FB20" s="627"/>
      <c r="FC20" s="625"/>
      <c r="FD20" s="625"/>
      <c r="FE20" s="625"/>
      <c r="FF20" s="625"/>
      <c r="FG20" s="624"/>
      <c r="FH20" s="627"/>
      <c r="FI20" s="625"/>
      <c r="FJ20" s="625"/>
      <c r="FK20" s="625"/>
      <c r="FL20" s="625"/>
      <c r="FM20" s="624"/>
      <c r="FN20" s="627"/>
      <c r="FO20" s="625"/>
      <c r="FP20" s="625"/>
      <c r="FQ20" s="625"/>
      <c r="FR20" s="625"/>
      <c r="FS20" s="624"/>
      <c r="FT20" s="627"/>
      <c r="FU20" s="625"/>
      <c r="FV20" s="625"/>
      <c r="FW20" s="625"/>
      <c r="FX20" s="625"/>
      <c r="FY20" s="624"/>
      <c r="FZ20" s="627"/>
      <c r="GA20" s="625"/>
      <c r="GB20" s="625"/>
      <c r="GC20" s="625"/>
      <c r="GD20" s="625"/>
      <c r="GE20" s="624"/>
      <c r="GF20" s="627"/>
      <c r="GG20" s="625"/>
      <c r="GH20" s="625"/>
      <c r="GI20" s="625"/>
      <c r="GJ20" s="625"/>
      <c r="GK20" s="624"/>
      <c r="GL20" s="627"/>
      <c r="GM20" s="625"/>
      <c r="GN20" s="625"/>
      <c r="GO20" s="625"/>
      <c r="GP20" s="625"/>
      <c r="GQ20" s="624"/>
      <c r="GR20" s="627"/>
      <c r="GS20" s="625"/>
      <c r="GT20" s="625"/>
      <c r="GU20" s="625"/>
      <c r="GV20" s="625"/>
      <c r="GW20" s="624"/>
      <c r="GX20" s="627"/>
      <c r="GY20" s="625"/>
      <c r="GZ20" s="625"/>
      <c r="HA20" s="625"/>
      <c r="HB20" s="625"/>
      <c r="HC20" s="624"/>
      <c r="HD20" s="627"/>
      <c r="HE20" s="625"/>
      <c r="HF20" s="625"/>
      <c r="HG20" s="625"/>
      <c r="HH20" s="625"/>
      <c r="HI20" s="624"/>
      <c r="HJ20" s="627"/>
      <c r="HK20" s="625"/>
      <c r="HL20" s="625"/>
      <c r="HM20" s="625"/>
      <c r="HN20" s="625"/>
      <c r="HO20" s="624"/>
      <c r="HP20" s="627"/>
      <c r="HQ20" s="625"/>
      <c r="HR20" s="625"/>
      <c r="HS20" s="625"/>
      <c r="HT20" s="625"/>
      <c r="HU20" s="624"/>
      <c r="HV20" s="627"/>
      <c r="HW20" s="625"/>
      <c r="HX20" s="625"/>
      <c r="HY20" s="625"/>
      <c r="HZ20" s="625"/>
      <c r="IA20" s="624"/>
      <c r="IB20" s="627"/>
      <c r="IC20" s="625"/>
      <c r="ID20" s="625"/>
      <c r="IE20" s="625"/>
    </row>
    <row r="21" spans="2:239" ht="18" customHeight="1" x14ac:dyDescent="0.2">
      <c r="B21" s="631"/>
      <c r="C21" s="632"/>
      <c r="D21" s="632"/>
      <c r="E21" s="633"/>
      <c r="F21" s="634" t="s">
        <v>400</v>
      </c>
      <c r="G21" s="635">
        <f>G19</f>
        <v>51924.99</v>
      </c>
      <c r="H21" s="636">
        <f>G21+H19</f>
        <v>384167.41600000003</v>
      </c>
      <c r="I21" s="635">
        <f t="shared" si="5"/>
        <v>1588282.8800000001</v>
      </c>
      <c r="J21" s="636">
        <f t="shared" si="5"/>
        <v>2491369.4780000001</v>
      </c>
      <c r="K21" s="636">
        <f t="shared" si="5"/>
        <v>3170629.6240000003</v>
      </c>
      <c r="L21" s="637">
        <f>K21+L19</f>
        <v>3350768.5900000003</v>
      </c>
    </row>
    <row r="22" spans="2:239" x14ac:dyDescent="0.2">
      <c r="N22" s="612"/>
    </row>
    <row r="23" spans="2:239" x14ac:dyDescent="0.2">
      <c r="Q23" s="611"/>
    </row>
  </sheetData>
  <mergeCells count="12">
    <mergeCell ref="B5:L5"/>
    <mergeCell ref="C6:E6"/>
    <mergeCell ref="B7:B8"/>
    <mergeCell ref="C7:E8"/>
    <mergeCell ref="B9:B10"/>
    <mergeCell ref="C9:E10"/>
    <mergeCell ref="B11:B12"/>
    <mergeCell ref="C11:E12"/>
    <mergeCell ref="B13:B14"/>
    <mergeCell ref="C13:E14"/>
    <mergeCell ref="B15:B16"/>
    <mergeCell ref="C15:E16"/>
  </mergeCells>
  <conditionalFormatting sqref="G7:L7 G9:L9">
    <cfRule type="cellIs" dxfId="53" priority="5" operator="greaterThan">
      <formula>0</formula>
    </cfRule>
  </conditionalFormatting>
  <conditionalFormatting sqref="G11:L11">
    <cfRule type="cellIs" dxfId="52" priority="4" operator="greaterThan">
      <formula>0</formula>
    </cfRule>
  </conditionalFormatting>
  <conditionalFormatting sqref="G13:L13">
    <cfRule type="cellIs" dxfId="51" priority="1" operator="greaterThan">
      <formula>0</formula>
    </cfRule>
  </conditionalFormatting>
  <conditionalFormatting sqref="G15:L15">
    <cfRule type="cellIs" dxfId="50" priority="3" operator="greaterThan">
      <formula>0</formula>
    </cfRule>
  </conditionalFormatting>
  <printOptions horizontalCentered="1"/>
  <pageMargins left="0.59055118110236227" right="0.59055118110236227" top="1.7716535433070868" bottom="0.78740157480314965" header="0" footer="0"/>
  <pageSetup paperSize="9" scale="57" firstPageNumber="25" orientation="landscape" r:id="rId1"/>
  <headerFooter scaleWithDoc="0">
    <oddHeader>&amp;L&amp;G</oddHeader>
    <oddFooter>&amp;C&amp;"-,Negrito"&amp;12DIONI CAETANEO DE OLIVEIRA
&amp;"-,Regular"ENGENHEIRO CIVIL - CREA /MT 40957
DEPARTAMENTO DE ENGENHARIA</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1A121-8316-4868-917E-1CB459EBE414}">
  <sheetPr codeName="Planilha35">
    <tabColor rgb="FF99CCFF"/>
    <pageSetUpPr fitToPage="1"/>
  </sheetPr>
  <dimension ref="B1:BB165"/>
  <sheetViews>
    <sheetView showGridLines="0" view="pageLayout" topLeftCell="A5" zoomScaleNormal="85" zoomScaleSheetLayoutView="100" workbookViewId="0">
      <selection activeCell="Q34" activeCellId="1" sqref="P49 Q34"/>
    </sheetView>
  </sheetViews>
  <sheetFormatPr defaultRowHeight="15" x14ac:dyDescent="0.2"/>
  <cols>
    <col min="1" max="1" width="9.140625" style="810"/>
    <col min="2" max="2" width="25.42578125" style="807" customWidth="1"/>
    <col min="3" max="3" width="12.7109375" style="808" customWidth="1"/>
    <col min="4" max="4" width="10.85546875" style="809" bestFit="1" customWidth="1"/>
    <col min="5" max="5" width="10.42578125" style="809" customWidth="1"/>
    <col min="6" max="6" width="9.85546875" style="809" customWidth="1"/>
    <col min="7" max="7" width="10.28515625" style="809" customWidth="1"/>
    <col min="8" max="8" width="11.28515625" style="809" customWidth="1"/>
    <col min="9" max="9" width="10.5703125" style="809" customWidth="1"/>
    <col min="10" max="10" width="9.85546875" style="809" customWidth="1"/>
    <col min="11" max="11" width="16" style="809" customWidth="1"/>
    <col min="12" max="12" width="13.7109375" style="809" customWidth="1"/>
    <col min="13" max="13" width="27.85546875" style="809" bestFit="1" customWidth="1"/>
    <col min="14" max="14" width="20.140625" style="809" customWidth="1"/>
    <col min="15" max="15" width="25.85546875" style="809" bestFit="1" customWidth="1"/>
    <col min="16" max="16" width="16.28515625" style="809" customWidth="1"/>
    <col min="17" max="17" width="16" style="809" customWidth="1"/>
    <col min="18" max="18" width="21.28515625" style="753" customWidth="1"/>
    <col min="19" max="19" width="11.5703125" style="753" customWidth="1"/>
    <col min="20" max="54" width="9.140625" style="753"/>
    <col min="55" max="259" width="9.140625" style="810"/>
    <col min="260" max="260" width="3" style="810" customWidth="1"/>
    <col min="261" max="261" width="11.5703125" style="810" bestFit="1" customWidth="1"/>
    <col min="262" max="262" width="17.5703125" style="810" bestFit="1" customWidth="1"/>
    <col min="263" max="263" width="18.85546875" style="810" customWidth="1"/>
    <col min="264" max="264" width="23" style="810" customWidth="1"/>
    <col min="265" max="265" width="21.7109375" style="810" customWidth="1"/>
    <col min="266" max="266" width="23.5703125" style="810" customWidth="1"/>
    <col min="267" max="270" width="21.7109375" style="810" customWidth="1"/>
    <col min="271" max="272" width="23.28515625" style="810" customWidth="1"/>
    <col min="273" max="273" width="20.42578125" style="810" bestFit="1" customWidth="1"/>
    <col min="274" max="274" width="21.28515625" style="810" customWidth="1"/>
    <col min="275" max="275" width="11.5703125" style="810" customWidth="1"/>
    <col min="276" max="515" width="9.140625" style="810"/>
    <col min="516" max="516" width="3" style="810" customWidth="1"/>
    <col min="517" max="517" width="11.5703125" style="810" bestFit="1" customWidth="1"/>
    <col min="518" max="518" width="17.5703125" style="810" bestFit="1" customWidth="1"/>
    <col min="519" max="519" width="18.85546875" style="810" customWidth="1"/>
    <col min="520" max="520" width="23" style="810" customWidth="1"/>
    <col min="521" max="521" width="21.7109375" style="810" customWidth="1"/>
    <col min="522" max="522" width="23.5703125" style="810" customWidth="1"/>
    <col min="523" max="526" width="21.7109375" style="810" customWidth="1"/>
    <col min="527" max="528" width="23.28515625" style="810" customWidth="1"/>
    <col min="529" max="529" width="20.42578125" style="810" bestFit="1" customWidth="1"/>
    <col min="530" max="530" width="21.28515625" style="810" customWidth="1"/>
    <col min="531" max="531" width="11.5703125" style="810" customWidth="1"/>
    <col min="532" max="771" width="9.140625" style="810"/>
    <col min="772" max="772" width="3" style="810" customWidth="1"/>
    <col min="773" max="773" width="11.5703125" style="810" bestFit="1" customWidth="1"/>
    <col min="774" max="774" width="17.5703125" style="810" bestFit="1" customWidth="1"/>
    <col min="775" max="775" width="18.85546875" style="810" customWidth="1"/>
    <col min="776" max="776" width="23" style="810" customWidth="1"/>
    <col min="777" max="777" width="21.7109375" style="810" customWidth="1"/>
    <col min="778" max="778" width="23.5703125" style="810" customWidth="1"/>
    <col min="779" max="782" width="21.7109375" style="810" customWidth="1"/>
    <col min="783" max="784" width="23.28515625" style="810" customWidth="1"/>
    <col min="785" max="785" width="20.42578125" style="810" bestFit="1" customWidth="1"/>
    <col min="786" max="786" width="21.28515625" style="810" customWidth="1"/>
    <col min="787" max="787" width="11.5703125" style="810" customWidth="1"/>
    <col min="788" max="1027" width="9.140625" style="810"/>
    <col min="1028" max="1028" width="3" style="810" customWidth="1"/>
    <col min="1029" max="1029" width="11.5703125" style="810" bestFit="1" customWidth="1"/>
    <col min="1030" max="1030" width="17.5703125" style="810" bestFit="1" customWidth="1"/>
    <col min="1031" max="1031" width="18.85546875" style="810" customWidth="1"/>
    <col min="1032" max="1032" width="23" style="810" customWidth="1"/>
    <col min="1033" max="1033" width="21.7109375" style="810" customWidth="1"/>
    <col min="1034" max="1034" width="23.5703125" style="810" customWidth="1"/>
    <col min="1035" max="1038" width="21.7109375" style="810" customWidth="1"/>
    <col min="1039" max="1040" width="23.28515625" style="810" customWidth="1"/>
    <col min="1041" max="1041" width="20.42578125" style="810" bestFit="1" customWidth="1"/>
    <col min="1042" max="1042" width="21.28515625" style="810" customWidth="1"/>
    <col min="1043" max="1043" width="11.5703125" style="810" customWidth="1"/>
    <col min="1044" max="1283" width="9.140625" style="810"/>
    <col min="1284" max="1284" width="3" style="810" customWidth="1"/>
    <col min="1285" max="1285" width="11.5703125" style="810" bestFit="1" customWidth="1"/>
    <col min="1286" max="1286" width="17.5703125" style="810" bestFit="1" customWidth="1"/>
    <col min="1287" max="1287" width="18.85546875" style="810" customWidth="1"/>
    <col min="1288" max="1288" width="23" style="810" customWidth="1"/>
    <col min="1289" max="1289" width="21.7109375" style="810" customWidth="1"/>
    <col min="1290" max="1290" width="23.5703125" style="810" customWidth="1"/>
    <col min="1291" max="1294" width="21.7109375" style="810" customWidth="1"/>
    <col min="1295" max="1296" width="23.28515625" style="810" customWidth="1"/>
    <col min="1297" max="1297" width="20.42578125" style="810" bestFit="1" customWidth="1"/>
    <col min="1298" max="1298" width="21.28515625" style="810" customWidth="1"/>
    <col min="1299" max="1299" width="11.5703125" style="810" customWidth="1"/>
    <col min="1300" max="1539" width="9.140625" style="810"/>
    <col min="1540" max="1540" width="3" style="810" customWidth="1"/>
    <col min="1541" max="1541" width="11.5703125" style="810" bestFit="1" customWidth="1"/>
    <col min="1542" max="1542" width="17.5703125" style="810" bestFit="1" customWidth="1"/>
    <col min="1543" max="1543" width="18.85546875" style="810" customWidth="1"/>
    <col min="1544" max="1544" width="23" style="810" customWidth="1"/>
    <col min="1545" max="1545" width="21.7109375" style="810" customWidth="1"/>
    <col min="1546" max="1546" width="23.5703125" style="810" customWidth="1"/>
    <col min="1547" max="1550" width="21.7109375" style="810" customWidth="1"/>
    <col min="1551" max="1552" width="23.28515625" style="810" customWidth="1"/>
    <col min="1553" max="1553" width="20.42578125" style="810" bestFit="1" customWidth="1"/>
    <col min="1554" max="1554" width="21.28515625" style="810" customWidth="1"/>
    <col min="1555" max="1555" width="11.5703125" style="810" customWidth="1"/>
    <col min="1556" max="1795" width="9.140625" style="810"/>
    <col min="1796" max="1796" width="3" style="810" customWidth="1"/>
    <col min="1797" max="1797" width="11.5703125" style="810" bestFit="1" customWidth="1"/>
    <col min="1798" max="1798" width="17.5703125" style="810" bestFit="1" customWidth="1"/>
    <col min="1799" max="1799" width="18.85546875" style="810" customWidth="1"/>
    <col min="1800" max="1800" width="23" style="810" customWidth="1"/>
    <col min="1801" max="1801" width="21.7109375" style="810" customWidth="1"/>
    <col min="1802" max="1802" width="23.5703125" style="810" customWidth="1"/>
    <col min="1803" max="1806" width="21.7109375" style="810" customWidth="1"/>
    <col min="1807" max="1808" width="23.28515625" style="810" customWidth="1"/>
    <col min="1809" max="1809" width="20.42578125" style="810" bestFit="1" customWidth="1"/>
    <col min="1810" max="1810" width="21.28515625" style="810" customWidth="1"/>
    <col min="1811" max="1811" width="11.5703125" style="810" customWidth="1"/>
    <col min="1812" max="2051" width="9.140625" style="810"/>
    <col min="2052" max="2052" width="3" style="810" customWidth="1"/>
    <col min="2053" max="2053" width="11.5703125" style="810" bestFit="1" customWidth="1"/>
    <col min="2054" max="2054" width="17.5703125" style="810" bestFit="1" customWidth="1"/>
    <col min="2055" max="2055" width="18.85546875" style="810" customWidth="1"/>
    <col min="2056" max="2056" width="23" style="810" customWidth="1"/>
    <col min="2057" max="2057" width="21.7109375" style="810" customWidth="1"/>
    <col min="2058" max="2058" width="23.5703125" style="810" customWidth="1"/>
    <col min="2059" max="2062" width="21.7109375" style="810" customWidth="1"/>
    <col min="2063" max="2064" width="23.28515625" style="810" customWidth="1"/>
    <col min="2065" max="2065" width="20.42578125" style="810" bestFit="1" customWidth="1"/>
    <col min="2066" max="2066" width="21.28515625" style="810" customWidth="1"/>
    <col min="2067" max="2067" width="11.5703125" style="810" customWidth="1"/>
    <col min="2068" max="2307" width="9.140625" style="810"/>
    <col min="2308" max="2308" width="3" style="810" customWidth="1"/>
    <col min="2309" max="2309" width="11.5703125" style="810" bestFit="1" customWidth="1"/>
    <col min="2310" max="2310" width="17.5703125" style="810" bestFit="1" customWidth="1"/>
    <col min="2311" max="2311" width="18.85546875" style="810" customWidth="1"/>
    <col min="2312" max="2312" width="23" style="810" customWidth="1"/>
    <col min="2313" max="2313" width="21.7109375" style="810" customWidth="1"/>
    <col min="2314" max="2314" width="23.5703125" style="810" customWidth="1"/>
    <col min="2315" max="2318" width="21.7109375" style="810" customWidth="1"/>
    <col min="2319" max="2320" width="23.28515625" style="810" customWidth="1"/>
    <col min="2321" max="2321" width="20.42578125" style="810" bestFit="1" customWidth="1"/>
    <col min="2322" max="2322" width="21.28515625" style="810" customWidth="1"/>
    <col min="2323" max="2323" width="11.5703125" style="810" customWidth="1"/>
    <col min="2324" max="2563" width="9.140625" style="810"/>
    <col min="2564" max="2564" width="3" style="810" customWidth="1"/>
    <col min="2565" max="2565" width="11.5703125" style="810" bestFit="1" customWidth="1"/>
    <col min="2566" max="2566" width="17.5703125" style="810" bestFit="1" customWidth="1"/>
    <col min="2567" max="2567" width="18.85546875" style="810" customWidth="1"/>
    <col min="2568" max="2568" width="23" style="810" customWidth="1"/>
    <col min="2569" max="2569" width="21.7109375" style="810" customWidth="1"/>
    <col min="2570" max="2570" width="23.5703125" style="810" customWidth="1"/>
    <col min="2571" max="2574" width="21.7109375" style="810" customWidth="1"/>
    <col min="2575" max="2576" width="23.28515625" style="810" customWidth="1"/>
    <col min="2577" max="2577" width="20.42578125" style="810" bestFit="1" customWidth="1"/>
    <col min="2578" max="2578" width="21.28515625" style="810" customWidth="1"/>
    <col min="2579" max="2579" width="11.5703125" style="810" customWidth="1"/>
    <col min="2580" max="2819" width="9.140625" style="810"/>
    <col min="2820" max="2820" width="3" style="810" customWidth="1"/>
    <col min="2821" max="2821" width="11.5703125" style="810" bestFit="1" customWidth="1"/>
    <col min="2822" max="2822" width="17.5703125" style="810" bestFit="1" customWidth="1"/>
    <col min="2823" max="2823" width="18.85546875" style="810" customWidth="1"/>
    <col min="2824" max="2824" width="23" style="810" customWidth="1"/>
    <col min="2825" max="2825" width="21.7109375" style="810" customWidth="1"/>
    <col min="2826" max="2826" width="23.5703125" style="810" customWidth="1"/>
    <col min="2827" max="2830" width="21.7109375" style="810" customWidth="1"/>
    <col min="2831" max="2832" width="23.28515625" style="810" customWidth="1"/>
    <col min="2833" max="2833" width="20.42578125" style="810" bestFit="1" customWidth="1"/>
    <col min="2834" max="2834" width="21.28515625" style="810" customWidth="1"/>
    <col min="2835" max="2835" width="11.5703125" style="810" customWidth="1"/>
    <col min="2836" max="3075" width="9.140625" style="810"/>
    <col min="3076" max="3076" width="3" style="810" customWidth="1"/>
    <col min="3077" max="3077" width="11.5703125" style="810" bestFit="1" customWidth="1"/>
    <col min="3078" max="3078" width="17.5703125" style="810" bestFit="1" customWidth="1"/>
    <col min="3079" max="3079" width="18.85546875" style="810" customWidth="1"/>
    <col min="3080" max="3080" width="23" style="810" customWidth="1"/>
    <col min="3081" max="3081" width="21.7109375" style="810" customWidth="1"/>
    <col min="3082" max="3082" width="23.5703125" style="810" customWidth="1"/>
    <col min="3083" max="3086" width="21.7109375" style="810" customWidth="1"/>
    <col min="3087" max="3088" width="23.28515625" style="810" customWidth="1"/>
    <col min="3089" max="3089" width="20.42578125" style="810" bestFit="1" customWidth="1"/>
    <col min="3090" max="3090" width="21.28515625" style="810" customWidth="1"/>
    <col min="3091" max="3091" width="11.5703125" style="810" customWidth="1"/>
    <col min="3092" max="3331" width="9.140625" style="810"/>
    <col min="3332" max="3332" width="3" style="810" customWidth="1"/>
    <col min="3333" max="3333" width="11.5703125" style="810" bestFit="1" customWidth="1"/>
    <col min="3334" max="3334" width="17.5703125" style="810" bestFit="1" customWidth="1"/>
    <col min="3335" max="3335" width="18.85546875" style="810" customWidth="1"/>
    <col min="3336" max="3336" width="23" style="810" customWidth="1"/>
    <col min="3337" max="3337" width="21.7109375" style="810" customWidth="1"/>
    <col min="3338" max="3338" width="23.5703125" style="810" customWidth="1"/>
    <col min="3339" max="3342" width="21.7109375" style="810" customWidth="1"/>
    <col min="3343" max="3344" width="23.28515625" style="810" customWidth="1"/>
    <col min="3345" max="3345" width="20.42578125" style="810" bestFit="1" customWidth="1"/>
    <col min="3346" max="3346" width="21.28515625" style="810" customWidth="1"/>
    <col min="3347" max="3347" width="11.5703125" style="810" customWidth="1"/>
    <col min="3348" max="3587" width="9.140625" style="810"/>
    <col min="3588" max="3588" width="3" style="810" customWidth="1"/>
    <col min="3589" max="3589" width="11.5703125" style="810" bestFit="1" customWidth="1"/>
    <col min="3590" max="3590" width="17.5703125" style="810" bestFit="1" customWidth="1"/>
    <col min="3591" max="3591" width="18.85546875" style="810" customWidth="1"/>
    <col min="3592" max="3592" width="23" style="810" customWidth="1"/>
    <col min="3593" max="3593" width="21.7109375" style="810" customWidth="1"/>
    <col min="3594" max="3594" width="23.5703125" style="810" customWidth="1"/>
    <col min="3595" max="3598" width="21.7109375" style="810" customWidth="1"/>
    <col min="3599" max="3600" width="23.28515625" style="810" customWidth="1"/>
    <col min="3601" max="3601" width="20.42578125" style="810" bestFit="1" customWidth="1"/>
    <col min="3602" max="3602" width="21.28515625" style="810" customWidth="1"/>
    <col min="3603" max="3603" width="11.5703125" style="810" customWidth="1"/>
    <col min="3604" max="3843" width="9.140625" style="810"/>
    <col min="3844" max="3844" width="3" style="810" customWidth="1"/>
    <col min="3845" max="3845" width="11.5703125" style="810" bestFit="1" customWidth="1"/>
    <col min="3846" max="3846" width="17.5703125" style="810" bestFit="1" customWidth="1"/>
    <col min="3847" max="3847" width="18.85546875" style="810" customWidth="1"/>
    <col min="3848" max="3848" width="23" style="810" customWidth="1"/>
    <col min="3849" max="3849" width="21.7109375" style="810" customWidth="1"/>
    <col min="3850" max="3850" width="23.5703125" style="810" customWidth="1"/>
    <col min="3851" max="3854" width="21.7109375" style="810" customWidth="1"/>
    <col min="3855" max="3856" width="23.28515625" style="810" customWidth="1"/>
    <col min="3857" max="3857" width="20.42578125" style="810" bestFit="1" customWidth="1"/>
    <col min="3858" max="3858" width="21.28515625" style="810" customWidth="1"/>
    <col min="3859" max="3859" width="11.5703125" style="810" customWidth="1"/>
    <col min="3860" max="4099" width="9.140625" style="810"/>
    <col min="4100" max="4100" width="3" style="810" customWidth="1"/>
    <col min="4101" max="4101" width="11.5703125" style="810" bestFit="1" customWidth="1"/>
    <col min="4102" max="4102" width="17.5703125" style="810" bestFit="1" customWidth="1"/>
    <col min="4103" max="4103" width="18.85546875" style="810" customWidth="1"/>
    <col min="4104" max="4104" width="23" style="810" customWidth="1"/>
    <col min="4105" max="4105" width="21.7109375" style="810" customWidth="1"/>
    <col min="4106" max="4106" width="23.5703125" style="810" customWidth="1"/>
    <col min="4107" max="4110" width="21.7109375" style="810" customWidth="1"/>
    <col min="4111" max="4112" width="23.28515625" style="810" customWidth="1"/>
    <col min="4113" max="4113" width="20.42578125" style="810" bestFit="1" customWidth="1"/>
    <col min="4114" max="4114" width="21.28515625" style="810" customWidth="1"/>
    <col min="4115" max="4115" width="11.5703125" style="810" customWidth="1"/>
    <col min="4116" max="4355" width="9.140625" style="810"/>
    <col min="4356" max="4356" width="3" style="810" customWidth="1"/>
    <col min="4357" max="4357" width="11.5703125" style="810" bestFit="1" customWidth="1"/>
    <col min="4358" max="4358" width="17.5703125" style="810" bestFit="1" customWidth="1"/>
    <col min="4359" max="4359" width="18.85546875" style="810" customWidth="1"/>
    <col min="4360" max="4360" width="23" style="810" customWidth="1"/>
    <col min="4361" max="4361" width="21.7109375" style="810" customWidth="1"/>
    <col min="4362" max="4362" width="23.5703125" style="810" customWidth="1"/>
    <col min="4363" max="4366" width="21.7109375" style="810" customWidth="1"/>
    <col min="4367" max="4368" width="23.28515625" style="810" customWidth="1"/>
    <col min="4369" max="4369" width="20.42578125" style="810" bestFit="1" customWidth="1"/>
    <col min="4370" max="4370" width="21.28515625" style="810" customWidth="1"/>
    <col min="4371" max="4371" width="11.5703125" style="810" customWidth="1"/>
    <col min="4372" max="4611" width="9.140625" style="810"/>
    <col min="4612" max="4612" width="3" style="810" customWidth="1"/>
    <col min="4613" max="4613" width="11.5703125" style="810" bestFit="1" customWidth="1"/>
    <col min="4614" max="4614" width="17.5703125" style="810" bestFit="1" customWidth="1"/>
    <col min="4615" max="4615" width="18.85546875" style="810" customWidth="1"/>
    <col min="4616" max="4616" width="23" style="810" customWidth="1"/>
    <col min="4617" max="4617" width="21.7109375" style="810" customWidth="1"/>
    <col min="4618" max="4618" width="23.5703125" style="810" customWidth="1"/>
    <col min="4619" max="4622" width="21.7109375" style="810" customWidth="1"/>
    <col min="4623" max="4624" width="23.28515625" style="810" customWidth="1"/>
    <col min="4625" max="4625" width="20.42578125" style="810" bestFit="1" customWidth="1"/>
    <col min="4626" max="4626" width="21.28515625" style="810" customWidth="1"/>
    <col min="4627" max="4627" width="11.5703125" style="810" customWidth="1"/>
    <col min="4628" max="4867" width="9.140625" style="810"/>
    <col min="4868" max="4868" width="3" style="810" customWidth="1"/>
    <col min="4869" max="4869" width="11.5703125" style="810" bestFit="1" customWidth="1"/>
    <col min="4870" max="4870" width="17.5703125" style="810" bestFit="1" customWidth="1"/>
    <col min="4871" max="4871" width="18.85546875" style="810" customWidth="1"/>
    <col min="4872" max="4872" width="23" style="810" customWidth="1"/>
    <col min="4873" max="4873" width="21.7109375" style="810" customWidth="1"/>
    <col min="4874" max="4874" width="23.5703125" style="810" customWidth="1"/>
    <col min="4875" max="4878" width="21.7109375" style="810" customWidth="1"/>
    <col min="4879" max="4880" width="23.28515625" style="810" customWidth="1"/>
    <col min="4881" max="4881" width="20.42578125" style="810" bestFit="1" customWidth="1"/>
    <col min="4882" max="4882" width="21.28515625" style="810" customWidth="1"/>
    <col min="4883" max="4883" width="11.5703125" style="810" customWidth="1"/>
    <col min="4884" max="5123" width="9.140625" style="810"/>
    <col min="5124" max="5124" width="3" style="810" customWidth="1"/>
    <col min="5125" max="5125" width="11.5703125" style="810" bestFit="1" customWidth="1"/>
    <col min="5126" max="5126" width="17.5703125" style="810" bestFit="1" customWidth="1"/>
    <col min="5127" max="5127" width="18.85546875" style="810" customWidth="1"/>
    <col min="5128" max="5128" width="23" style="810" customWidth="1"/>
    <col min="5129" max="5129" width="21.7109375" style="810" customWidth="1"/>
    <col min="5130" max="5130" width="23.5703125" style="810" customWidth="1"/>
    <col min="5131" max="5134" width="21.7109375" style="810" customWidth="1"/>
    <col min="5135" max="5136" width="23.28515625" style="810" customWidth="1"/>
    <col min="5137" max="5137" width="20.42578125" style="810" bestFit="1" customWidth="1"/>
    <col min="5138" max="5138" width="21.28515625" style="810" customWidth="1"/>
    <col min="5139" max="5139" width="11.5703125" style="810" customWidth="1"/>
    <col min="5140" max="5379" width="9.140625" style="810"/>
    <col min="5380" max="5380" width="3" style="810" customWidth="1"/>
    <col min="5381" max="5381" width="11.5703125" style="810" bestFit="1" customWidth="1"/>
    <col min="5382" max="5382" width="17.5703125" style="810" bestFit="1" customWidth="1"/>
    <col min="5383" max="5383" width="18.85546875" style="810" customWidth="1"/>
    <col min="5384" max="5384" width="23" style="810" customWidth="1"/>
    <col min="5385" max="5385" width="21.7109375" style="810" customWidth="1"/>
    <col min="5386" max="5386" width="23.5703125" style="810" customWidth="1"/>
    <col min="5387" max="5390" width="21.7109375" style="810" customWidth="1"/>
    <col min="5391" max="5392" width="23.28515625" style="810" customWidth="1"/>
    <col min="5393" max="5393" width="20.42578125" style="810" bestFit="1" customWidth="1"/>
    <col min="5394" max="5394" width="21.28515625" style="810" customWidth="1"/>
    <col min="5395" max="5395" width="11.5703125" style="810" customWidth="1"/>
    <col min="5396" max="5635" width="9.140625" style="810"/>
    <col min="5636" max="5636" width="3" style="810" customWidth="1"/>
    <col min="5637" max="5637" width="11.5703125" style="810" bestFit="1" customWidth="1"/>
    <col min="5638" max="5638" width="17.5703125" style="810" bestFit="1" customWidth="1"/>
    <col min="5639" max="5639" width="18.85546875" style="810" customWidth="1"/>
    <col min="5640" max="5640" width="23" style="810" customWidth="1"/>
    <col min="5641" max="5641" width="21.7109375" style="810" customWidth="1"/>
    <col min="5642" max="5642" width="23.5703125" style="810" customWidth="1"/>
    <col min="5643" max="5646" width="21.7109375" style="810" customWidth="1"/>
    <col min="5647" max="5648" width="23.28515625" style="810" customWidth="1"/>
    <col min="5649" max="5649" width="20.42578125" style="810" bestFit="1" customWidth="1"/>
    <col min="5650" max="5650" width="21.28515625" style="810" customWidth="1"/>
    <col min="5651" max="5651" width="11.5703125" style="810" customWidth="1"/>
    <col min="5652" max="5891" width="9.140625" style="810"/>
    <col min="5892" max="5892" width="3" style="810" customWidth="1"/>
    <col min="5893" max="5893" width="11.5703125" style="810" bestFit="1" customWidth="1"/>
    <col min="5894" max="5894" width="17.5703125" style="810" bestFit="1" customWidth="1"/>
    <col min="5895" max="5895" width="18.85546875" style="810" customWidth="1"/>
    <col min="5896" max="5896" width="23" style="810" customWidth="1"/>
    <col min="5897" max="5897" width="21.7109375" style="810" customWidth="1"/>
    <col min="5898" max="5898" width="23.5703125" style="810" customWidth="1"/>
    <col min="5899" max="5902" width="21.7109375" style="810" customWidth="1"/>
    <col min="5903" max="5904" width="23.28515625" style="810" customWidth="1"/>
    <col min="5905" max="5905" width="20.42578125" style="810" bestFit="1" customWidth="1"/>
    <col min="5906" max="5906" width="21.28515625" style="810" customWidth="1"/>
    <col min="5907" max="5907" width="11.5703125" style="810" customWidth="1"/>
    <col min="5908" max="6147" width="9.140625" style="810"/>
    <col min="6148" max="6148" width="3" style="810" customWidth="1"/>
    <col min="6149" max="6149" width="11.5703125" style="810" bestFit="1" customWidth="1"/>
    <col min="6150" max="6150" width="17.5703125" style="810" bestFit="1" customWidth="1"/>
    <col min="6151" max="6151" width="18.85546875" style="810" customWidth="1"/>
    <col min="6152" max="6152" width="23" style="810" customWidth="1"/>
    <col min="6153" max="6153" width="21.7109375" style="810" customWidth="1"/>
    <col min="6154" max="6154" width="23.5703125" style="810" customWidth="1"/>
    <col min="6155" max="6158" width="21.7109375" style="810" customWidth="1"/>
    <col min="6159" max="6160" width="23.28515625" style="810" customWidth="1"/>
    <col min="6161" max="6161" width="20.42578125" style="810" bestFit="1" customWidth="1"/>
    <col min="6162" max="6162" width="21.28515625" style="810" customWidth="1"/>
    <col min="6163" max="6163" width="11.5703125" style="810" customWidth="1"/>
    <col min="6164" max="6403" width="9.140625" style="810"/>
    <col min="6404" max="6404" width="3" style="810" customWidth="1"/>
    <col min="6405" max="6405" width="11.5703125" style="810" bestFit="1" customWidth="1"/>
    <col min="6406" max="6406" width="17.5703125" style="810" bestFit="1" customWidth="1"/>
    <col min="6407" max="6407" width="18.85546875" style="810" customWidth="1"/>
    <col min="6408" max="6408" width="23" style="810" customWidth="1"/>
    <col min="6409" max="6409" width="21.7109375" style="810" customWidth="1"/>
    <col min="6410" max="6410" width="23.5703125" style="810" customWidth="1"/>
    <col min="6411" max="6414" width="21.7109375" style="810" customWidth="1"/>
    <col min="6415" max="6416" width="23.28515625" style="810" customWidth="1"/>
    <col min="6417" max="6417" width="20.42578125" style="810" bestFit="1" customWidth="1"/>
    <col min="6418" max="6418" width="21.28515625" style="810" customWidth="1"/>
    <col min="6419" max="6419" width="11.5703125" style="810" customWidth="1"/>
    <col min="6420" max="6659" width="9.140625" style="810"/>
    <col min="6660" max="6660" width="3" style="810" customWidth="1"/>
    <col min="6661" max="6661" width="11.5703125" style="810" bestFit="1" customWidth="1"/>
    <col min="6662" max="6662" width="17.5703125" style="810" bestFit="1" customWidth="1"/>
    <col min="6663" max="6663" width="18.85546875" style="810" customWidth="1"/>
    <col min="6664" max="6664" width="23" style="810" customWidth="1"/>
    <col min="6665" max="6665" width="21.7109375" style="810" customWidth="1"/>
    <col min="6666" max="6666" width="23.5703125" style="810" customWidth="1"/>
    <col min="6667" max="6670" width="21.7109375" style="810" customWidth="1"/>
    <col min="6671" max="6672" width="23.28515625" style="810" customWidth="1"/>
    <col min="6673" max="6673" width="20.42578125" style="810" bestFit="1" customWidth="1"/>
    <col min="6674" max="6674" width="21.28515625" style="810" customWidth="1"/>
    <col min="6675" max="6675" width="11.5703125" style="810" customWidth="1"/>
    <col min="6676" max="6915" width="9.140625" style="810"/>
    <col min="6916" max="6916" width="3" style="810" customWidth="1"/>
    <col min="6917" max="6917" width="11.5703125" style="810" bestFit="1" customWidth="1"/>
    <col min="6918" max="6918" width="17.5703125" style="810" bestFit="1" customWidth="1"/>
    <col min="6919" max="6919" width="18.85546875" style="810" customWidth="1"/>
    <col min="6920" max="6920" width="23" style="810" customWidth="1"/>
    <col min="6921" max="6921" width="21.7109375" style="810" customWidth="1"/>
    <col min="6922" max="6922" width="23.5703125" style="810" customWidth="1"/>
    <col min="6923" max="6926" width="21.7109375" style="810" customWidth="1"/>
    <col min="6927" max="6928" width="23.28515625" style="810" customWidth="1"/>
    <col min="6929" max="6929" width="20.42578125" style="810" bestFit="1" customWidth="1"/>
    <col min="6930" max="6930" width="21.28515625" style="810" customWidth="1"/>
    <col min="6931" max="6931" width="11.5703125" style="810" customWidth="1"/>
    <col min="6932" max="7171" width="9.140625" style="810"/>
    <col min="7172" max="7172" width="3" style="810" customWidth="1"/>
    <col min="7173" max="7173" width="11.5703125" style="810" bestFit="1" customWidth="1"/>
    <col min="7174" max="7174" width="17.5703125" style="810" bestFit="1" customWidth="1"/>
    <col min="7175" max="7175" width="18.85546875" style="810" customWidth="1"/>
    <col min="7176" max="7176" width="23" style="810" customWidth="1"/>
    <col min="7177" max="7177" width="21.7109375" style="810" customWidth="1"/>
    <col min="7178" max="7178" width="23.5703125" style="810" customWidth="1"/>
    <col min="7179" max="7182" width="21.7109375" style="810" customWidth="1"/>
    <col min="7183" max="7184" width="23.28515625" style="810" customWidth="1"/>
    <col min="7185" max="7185" width="20.42578125" style="810" bestFit="1" customWidth="1"/>
    <col min="7186" max="7186" width="21.28515625" style="810" customWidth="1"/>
    <col min="7187" max="7187" width="11.5703125" style="810" customWidth="1"/>
    <col min="7188" max="7427" width="9.140625" style="810"/>
    <col min="7428" max="7428" width="3" style="810" customWidth="1"/>
    <col min="7429" max="7429" width="11.5703125" style="810" bestFit="1" customWidth="1"/>
    <col min="7430" max="7430" width="17.5703125" style="810" bestFit="1" customWidth="1"/>
    <col min="7431" max="7431" width="18.85546875" style="810" customWidth="1"/>
    <col min="7432" max="7432" width="23" style="810" customWidth="1"/>
    <col min="7433" max="7433" width="21.7109375" style="810" customWidth="1"/>
    <col min="7434" max="7434" width="23.5703125" style="810" customWidth="1"/>
    <col min="7435" max="7438" width="21.7109375" style="810" customWidth="1"/>
    <col min="7439" max="7440" width="23.28515625" style="810" customWidth="1"/>
    <col min="7441" max="7441" width="20.42578125" style="810" bestFit="1" customWidth="1"/>
    <col min="7442" max="7442" width="21.28515625" style="810" customWidth="1"/>
    <col min="7443" max="7443" width="11.5703125" style="810" customWidth="1"/>
    <col min="7444" max="7683" width="9.140625" style="810"/>
    <col min="7684" max="7684" width="3" style="810" customWidth="1"/>
    <col min="7685" max="7685" width="11.5703125" style="810" bestFit="1" customWidth="1"/>
    <col min="7686" max="7686" width="17.5703125" style="810" bestFit="1" customWidth="1"/>
    <col min="7687" max="7687" width="18.85546875" style="810" customWidth="1"/>
    <col min="7688" max="7688" width="23" style="810" customWidth="1"/>
    <col min="7689" max="7689" width="21.7109375" style="810" customWidth="1"/>
    <col min="7690" max="7690" width="23.5703125" style="810" customWidth="1"/>
    <col min="7691" max="7694" width="21.7109375" style="810" customWidth="1"/>
    <col min="7695" max="7696" width="23.28515625" style="810" customWidth="1"/>
    <col min="7697" max="7697" width="20.42578125" style="810" bestFit="1" customWidth="1"/>
    <col min="7698" max="7698" width="21.28515625" style="810" customWidth="1"/>
    <col min="7699" max="7699" width="11.5703125" style="810" customWidth="1"/>
    <col min="7700" max="7939" width="9.140625" style="810"/>
    <col min="7940" max="7940" width="3" style="810" customWidth="1"/>
    <col min="7941" max="7941" width="11.5703125" style="810" bestFit="1" customWidth="1"/>
    <col min="7942" max="7942" width="17.5703125" style="810" bestFit="1" customWidth="1"/>
    <col min="7943" max="7943" width="18.85546875" style="810" customWidth="1"/>
    <col min="7944" max="7944" width="23" style="810" customWidth="1"/>
    <col min="7945" max="7945" width="21.7109375" style="810" customWidth="1"/>
    <col min="7946" max="7946" width="23.5703125" style="810" customWidth="1"/>
    <col min="7947" max="7950" width="21.7109375" style="810" customWidth="1"/>
    <col min="7951" max="7952" width="23.28515625" style="810" customWidth="1"/>
    <col min="7953" max="7953" width="20.42578125" style="810" bestFit="1" customWidth="1"/>
    <col min="7954" max="7954" width="21.28515625" style="810" customWidth="1"/>
    <col min="7955" max="7955" width="11.5703125" style="810" customWidth="1"/>
    <col min="7956" max="8195" width="9.140625" style="810"/>
    <col min="8196" max="8196" width="3" style="810" customWidth="1"/>
    <col min="8197" max="8197" width="11.5703125" style="810" bestFit="1" customWidth="1"/>
    <col min="8198" max="8198" width="17.5703125" style="810" bestFit="1" customWidth="1"/>
    <col min="8199" max="8199" width="18.85546875" style="810" customWidth="1"/>
    <col min="8200" max="8200" width="23" style="810" customWidth="1"/>
    <col min="8201" max="8201" width="21.7109375" style="810" customWidth="1"/>
    <col min="8202" max="8202" width="23.5703125" style="810" customWidth="1"/>
    <col min="8203" max="8206" width="21.7109375" style="810" customWidth="1"/>
    <col min="8207" max="8208" width="23.28515625" style="810" customWidth="1"/>
    <col min="8209" max="8209" width="20.42578125" style="810" bestFit="1" customWidth="1"/>
    <col min="8210" max="8210" width="21.28515625" style="810" customWidth="1"/>
    <col min="8211" max="8211" width="11.5703125" style="810" customWidth="1"/>
    <col min="8212" max="8451" width="9.140625" style="810"/>
    <col min="8452" max="8452" width="3" style="810" customWidth="1"/>
    <col min="8453" max="8453" width="11.5703125" style="810" bestFit="1" customWidth="1"/>
    <col min="8454" max="8454" width="17.5703125" style="810" bestFit="1" customWidth="1"/>
    <col min="8455" max="8455" width="18.85546875" style="810" customWidth="1"/>
    <col min="8456" max="8456" width="23" style="810" customWidth="1"/>
    <col min="8457" max="8457" width="21.7109375" style="810" customWidth="1"/>
    <col min="8458" max="8458" width="23.5703125" style="810" customWidth="1"/>
    <col min="8459" max="8462" width="21.7109375" style="810" customWidth="1"/>
    <col min="8463" max="8464" width="23.28515625" style="810" customWidth="1"/>
    <col min="8465" max="8465" width="20.42578125" style="810" bestFit="1" customWidth="1"/>
    <col min="8466" max="8466" width="21.28515625" style="810" customWidth="1"/>
    <col min="8467" max="8467" width="11.5703125" style="810" customWidth="1"/>
    <col min="8468" max="8707" width="9.140625" style="810"/>
    <col min="8708" max="8708" width="3" style="810" customWidth="1"/>
    <col min="8709" max="8709" width="11.5703125" style="810" bestFit="1" customWidth="1"/>
    <col min="8710" max="8710" width="17.5703125" style="810" bestFit="1" customWidth="1"/>
    <col min="8711" max="8711" width="18.85546875" style="810" customWidth="1"/>
    <col min="8712" max="8712" width="23" style="810" customWidth="1"/>
    <col min="8713" max="8713" width="21.7109375" style="810" customWidth="1"/>
    <col min="8714" max="8714" width="23.5703125" style="810" customWidth="1"/>
    <col min="8715" max="8718" width="21.7109375" style="810" customWidth="1"/>
    <col min="8719" max="8720" width="23.28515625" style="810" customWidth="1"/>
    <col min="8721" max="8721" width="20.42578125" style="810" bestFit="1" customWidth="1"/>
    <col min="8722" max="8722" width="21.28515625" style="810" customWidth="1"/>
    <col min="8723" max="8723" width="11.5703125" style="810" customWidth="1"/>
    <col min="8724" max="8963" width="9.140625" style="810"/>
    <col min="8964" max="8964" width="3" style="810" customWidth="1"/>
    <col min="8965" max="8965" width="11.5703125" style="810" bestFit="1" customWidth="1"/>
    <col min="8966" max="8966" width="17.5703125" style="810" bestFit="1" customWidth="1"/>
    <col min="8967" max="8967" width="18.85546875" style="810" customWidth="1"/>
    <col min="8968" max="8968" width="23" style="810" customWidth="1"/>
    <col min="8969" max="8969" width="21.7109375" style="810" customWidth="1"/>
    <col min="8970" max="8970" width="23.5703125" style="810" customWidth="1"/>
    <col min="8971" max="8974" width="21.7109375" style="810" customWidth="1"/>
    <col min="8975" max="8976" width="23.28515625" style="810" customWidth="1"/>
    <col min="8977" max="8977" width="20.42578125" style="810" bestFit="1" customWidth="1"/>
    <col min="8978" max="8978" width="21.28515625" style="810" customWidth="1"/>
    <col min="8979" max="8979" width="11.5703125" style="810" customWidth="1"/>
    <col min="8980" max="9219" width="9.140625" style="810"/>
    <col min="9220" max="9220" width="3" style="810" customWidth="1"/>
    <col min="9221" max="9221" width="11.5703125" style="810" bestFit="1" customWidth="1"/>
    <col min="9222" max="9222" width="17.5703125" style="810" bestFit="1" customWidth="1"/>
    <col min="9223" max="9223" width="18.85546875" style="810" customWidth="1"/>
    <col min="9224" max="9224" width="23" style="810" customWidth="1"/>
    <col min="9225" max="9225" width="21.7109375" style="810" customWidth="1"/>
    <col min="9226" max="9226" width="23.5703125" style="810" customWidth="1"/>
    <col min="9227" max="9230" width="21.7109375" style="810" customWidth="1"/>
    <col min="9231" max="9232" width="23.28515625" style="810" customWidth="1"/>
    <col min="9233" max="9233" width="20.42578125" style="810" bestFit="1" customWidth="1"/>
    <col min="9234" max="9234" width="21.28515625" style="810" customWidth="1"/>
    <col min="9235" max="9235" width="11.5703125" style="810" customWidth="1"/>
    <col min="9236" max="9475" width="9.140625" style="810"/>
    <col min="9476" max="9476" width="3" style="810" customWidth="1"/>
    <col min="9477" max="9477" width="11.5703125" style="810" bestFit="1" customWidth="1"/>
    <col min="9478" max="9478" width="17.5703125" style="810" bestFit="1" customWidth="1"/>
    <col min="9479" max="9479" width="18.85546875" style="810" customWidth="1"/>
    <col min="9480" max="9480" width="23" style="810" customWidth="1"/>
    <col min="9481" max="9481" width="21.7109375" style="810" customWidth="1"/>
    <col min="9482" max="9482" width="23.5703125" style="810" customWidth="1"/>
    <col min="9483" max="9486" width="21.7109375" style="810" customWidth="1"/>
    <col min="9487" max="9488" width="23.28515625" style="810" customWidth="1"/>
    <col min="9489" max="9489" width="20.42578125" style="810" bestFit="1" customWidth="1"/>
    <col min="9490" max="9490" width="21.28515625" style="810" customWidth="1"/>
    <col min="9491" max="9491" width="11.5703125" style="810" customWidth="1"/>
    <col min="9492" max="9731" width="9.140625" style="810"/>
    <col min="9732" max="9732" width="3" style="810" customWidth="1"/>
    <col min="9733" max="9733" width="11.5703125" style="810" bestFit="1" customWidth="1"/>
    <col min="9734" max="9734" width="17.5703125" style="810" bestFit="1" customWidth="1"/>
    <col min="9735" max="9735" width="18.85546875" style="810" customWidth="1"/>
    <col min="9736" max="9736" width="23" style="810" customWidth="1"/>
    <col min="9737" max="9737" width="21.7109375" style="810" customWidth="1"/>
    <col min="9738" max="9738" width="23.5703125" style="810" customWidth="1"/>
    <col min="9739" max="9742" width="21.7109375" style="810" customWidth="1"/>
    <col min="9743" max="9744" width="23.28515625" style="810" customWidth="1"/>
    <col min="9745" max="9745" width="20.42578125" style="810" bestFit="1" customWidth="1"/>
    <col min="9746" max="9746" width="21.28515625" style="810" customWidth="1"/>
    <col min="9747" max="9747" width="11.5703125" style="810" customWidth="1"/>
    <col min="9748" max="9987" width="9.140625" style="810"/>
    <col min="9988" max="9988" width="3" style="810" customWidth="1"/>
    <col min="9989" max="9989" width="11.5703125" style="810" bestFit="1" customWidth="1"/>
    <col min="9990" max="9990" width="17.5703125" style="810" bestFit="1" customWidth="1"/>
    <col min="9991" max="9991" width="18.85546875" style="810" customWidth="1"/>
    <col min="9992" max="9992" width="23" style="810" customWidth="1"/>
    <col min="9993" max="9993" width="21.7109375" style="810" customWidth="1"/>
    <col min="9994" max="9994" width="23.5703125" style="810" customWidth="1"/>
    <col min="9995" max="9998" width="21.7109375" style="810" customWidth="1"/>
    <col min="9999" max="10000" width="23.28515625" style="810" customWidth="1"/>
    <col min="10001" max="10001" width="20.42578125" style="810" bestFit="1" customWidth="1"/>
    <col min="10002" max="10002" width="21.28515625" style="810" customWidth="1"/>
    <col min="10003" max="10003" width="11.5703125" style="810" customWidth="1"/>
    <col min="10004" max="10243" width="9.140625" style="810"/>
    <col min="10244" max="10244" width="3" style="810" customWidth="1"/>
    <col min="10245" max="10245" width="11.5703125" style="810" bestFit="1" customWidth="1"/>
    <col min="10246" max="10246" width="17.5703125" style="810" bestFit="1" customWidth="1"/>
    <col min="10247" max="10247" width="18.85546875" style="810" customWidth="1"/>
    <col min="10248" max="10248" width="23" style="810" customWidth="1"/>
    <col min="10249" max="10249" width="21.7109375" style="810" customWidth="1"/>
    <col min="10250" max="10250" width="23.5703125" style="810" customWidth="1"/>
    <col min="10251" max="10254" width="21.7109375" style="810" customWidth="1"/>
    <col min="10255" max="10256" width="23.28515625" style="810" customWidth="1"/>
    <col min="10257" max="10257" width="20.42578125" style="810" bestFit="1" customWidth="1"/>
    <col min="10258" max="10258" width="21.28515625" style="810" customWidth="1"/>
    <col min="10259" max="10259" width="11.5703125" style="810" customWidth="1"/>
    <col min="10260" max="10499" width="9.140625" style="810"/>
    <col min="10500" max="10500" width="3" style="810" customWidth="1"/>
    <col min="10501" max="10501" width="11.5703125" style="810" bestFit="1" customWidth="1"/>
    <col min="10502" max="10502" width="17.5703125" style="810" bestFit="1" customWidth="1"/>
    <col min="10503" max="10503" width="18.85546875" style="810" customWidth="1"/>
    <col min="10504" max="10504" width="23" style="810" customWidth="1"/>
    <col min="10505" max="10505" width="21.7109375" style="810" customWidth="1"/>
    <col min="10506" max="10506" width="23.5703125" style="810" customWidth="1"/>
    <col min="10507" max="10510" width="21.7109375" style="810" customWidth="1"/>
    <col min="10511" max="10512" width="23.28515625" style="810" customWidth="1"/>
    <col min="10513" max="10513" width="20.42578125" style="810" bestFit="1" customWidth="1"/>
    <col min="10514" max="10514" width="21.28515625" style="810" customWidth="1"/>
    <col min="10515" max="10515" width="11.5703125" style="810" customWidth="1"/>
    <col min="10516" max="10755" width="9.140625" style="810"/>
    <col min="10756" max="10756" width="3" style="810" customWidth="1"/>
    <col min="10757" max="10757" width="11.5703125" style="810" bestFit="1" customWidth="1"/>
    <col min="10758" max="10758" width="17.5703125" style="810" bestFit="1" customWidth="1"/>
    <col min="10759" max="10759" width="18.85546875" style="810" customWidth="1"/>
    <col min="10760" max="10760" width="23" style="810" customWidth="1"/>
    <col min="10761" max="10761" width="21.7109375" style="810" customWidth="1"/>
    <col min="10762" max="10762" width="23.5703125" style="810" customWidth="1"/>
    <col min="10763" max="10766" width="21.7109375" style="810" customWidth="1"/>
    <col min="10767" max="10768" width="23.28515625" style="810" customWidth="1"/>
    <col min="10769" max="10769" width="20.42578125" style="810" bestFit="1" customWidth="1"/>
    <col min="10770" max="10770" width="21.28515625" style="810" customWidth="1"/>
    <col min="10771" max="10771" width="11.5703125" style="810" customWidth="1"/>
    <col min="10772" max="11011" width="9.140625" style="810"/>
    <col min="11012" max="11012" width="3" style="810" customWidth="1"/>
    <col min="11013" max="11013" width="11.5703125" style="810" bestFit="1" customWidth="1"/>
    <col min="11014" max="11014" width="17.5703125" style="810" bestFit="1" customWidth="1"/>
    <col min="11015" max="11015" width="18.85546875" style="810" customWidth="1"/>
    <col min="11016" max="11016" width="23" style="810" customWidth="1"/>
    <col min="11017" max="11017" width="21.7109375" style="810" customWidth="1"/>
    <col min="11018" max="11018" width="23.5703125" style="810" customWidth="1"/>
    <col min="11019" max="11022" width="21.7109375" style="810" customWidth="1"/>
    <col min="11023" max="11024" width="23.28515625" style="810" customWidth="1"/>
    <col min="11025" max="11025" width="20.42578125" style="810" bestFit="1" customWidth="1"/>
    <col min="11026" max="11026" width="21.28515625" style="810" customWidth="1"/>
    <col min="11027" max="11027" width="11.5703125" style="810" customWidth="1"/>
    <col min="11028" max="11267" width="9.140625" style="810"/>
    <col min="11268" max="11268" width="3" style="810" customWidth="1"/>
    <col min="11269" max="11269" width="11.5703125" style="810" bestFit="1" customWidth="1"/>
    <col min="11270" max="11270" width="17.5703125" style="810" bestFit="1" customWidth="1"/>
    <col min="11271" max="11271" width="18.85546875" style="810" customWidth="1"/>
    <col min="11272" max="11272" width="23" style="810" customWidth="1"/>
    <col min="11273" max="11273" width="21.7109375" style="810" customWidth="1"/>
    <col min="11274" max="11274" width="23.5703125" style="810" customWidth="1"/>
    <col min="11275" max="11278" width="21.7109375" style="810" customWidth="1"/>
    <col min="11279" max="11280" width="23.28515625" style="810" customWidth="1"/>
    <col min="11281" max="11281" width="20.42578125" style="810" bestFit="1" customWidth="1"/>
    <col min="11282" max="11282" width="21.28515625" style="810" customWidth="1"/>
    <col min="11283" max="11283" width="11.5703125" style="810" customWidth="1"/>
    <col min="11284" max="11523" width="9.140625" style="810"/>
    <col min="11524" max="11524" width="3" style="810" customWidth="1"/>
    <col min="11525" max="11525" width="11.5703125" style="810" bestFit="1" customWidth="1"/>
    <col min="11526" max="11526" width="17.5703125" style="810" bestFit="1" customWidth="1"/>
    <col min="11527" max="11527" width="18.85546875" style="810" customWidth="1"/>
    <col min="11528" max="11528" width="23" style="810" customWidth="1"/>
    <col min="11529" max="11529" width="21.7109375" style="810" customWidth="1"/>
    <col min="11530" max="11530" width="23.5703125" style="810" customWidth="1"/>
    <col min="11531" max="11534" width="21.7109375" style="810" customWidth="1"/>
    <col min="11535" max="11536" width="23.28515625" style="810" customWidth="1"/>
    <col min="11537" max="11537" width="20.42578125" style="810" bestFit="1" customWidth="1"/>
    <col min="11538" max="11538" width="21.28515625" style="810" customWidth="1"/>
    <col min="11539" max="11539" width="11.5703125" style="810" customWidth="1"/>
    <col min="11540" max="11779" width="9.140625" style="810"/>
    <col min="11780" max="11780" width="3" style="810" customWidth="1"/>
    <col min="11781" max="11781" width="11.5703125" style="810" bestFit="1" customWidth="1"/>
    <col min="11782" max="11782" width="17.5703125" style="810" bestFit="1" customWidth="1"/>
    <col min="11783" max="11783" width="18.85546875" style="810" customWidth="1"/>
    <col min="11784" max="11784" width="23" style="810" customWidth="1"/>
    <col min="11785" max="11785" width="21.7109375" style="810" customWidth="1"/>
    <col min="11786" max="11786" width="23.5703125" style="810" customWidth="1"/>
    <col min="11787" max="11790" width="21.7109375" style="810" customWidth="1"/>
    <col min="11791" max="11792" width="23.28515625" style="810" customWidth="1"/>
    <col min="11793" max="11793" width="20.42578125" style="810" bestFit="1" customWidth="1"/>
    <col min="11794" max="11794" width="21.28515625" style="810" customWidth="1"/>
    <col min="11795" max="11795" width="11.5703125" style="810" customWidth="1"/>
    <col min="11796" max="12035" width="9.140625" style="810"/>
    <col min="12036" max="12036" width="3" style="810" customWidth="1"/>
    <col min="12037" max="12037" width="11.5703125" style="810" bestFit="1" customWidth="1"/>
    <col min="12038" max="12038" width="17.5703125" style="810" bestFit="1" customWidth="1"/>
    <col min="12039" max="12039" width="18.85546875" style="810" customWidth="1"/>
    <col min="12040" max="12040" width="23" style="810" customWidth="1"/>
    <col min="12041" max="12041" width="21.7109375" style="810" customWidth="1"/>
    <col min="12042" max="12042" width="23.5703125" style="810" customWidth="1"/>
    <col min="12043" max="12046" width="21.7109375" style="810" customWidth="1"/>
    <col min="12047" max="12048" width="23.28515625" style="810" customWidth="1"/>
    <col min="12049" max="12049" width="20.42578125" style="810" bestFit="1" customWidth="1"/>
    <col min="12050" max="12050" width="21.28515625" style="810" customWidth="1"/>
    <col min="12051" max="12051" width="11.5703125" style="810" customWidth="1"/>
    <col min="12052" max="12291" width="9.140625" style="810"/>
    <col min="12292" max="12292" width="3" style="810" customWidth="1"/>
    <col min="12293" max="12293" width="11.5703125" style="810" bestFit="1" customWidth="1"/>
    <col min="12294" max="12294" width="17.5703125" style="810" bestFit="1" customWidth="1"/>
    <col min="12295" max="12295" width="18.85546875" style="810" customWidth="1"/>
    <col min="12296" max="12296" width="23" style="810" customWidth="1"/>
    <col min="12297" max="12297" width="21.7109375" style="810" customWidth="1"/>
    <col min="12298" max="12298" width="23.5703125" style="810" customWidth="1"/>
    <col min="12299" max="12302" width="21.7109375" style="810" customWidth="1"/>
    <col min="12303" max="12304" width="23.28515625" style="810" customWidth="1"/>
    <col min="12305" max="12305" width="20.42578125" style="810" bestFit="1" customWidth="1"/>
    <col min="12306" max="12306" width="21.28515625" style="810" customWidth="1"/>
    <col min="12307" max="12307" width="11.5703125" style="810" customWidth="1"/>
    <col min="12308" max="12547" width="9.140625" style="810"/>
    <col min="12548" max="12548" width="3" style="810" customWidth="1"/>
    <col min="12549" max="12549" width="11.5703125" style="810" bestFit="1" customWidth="1"/>
    <col min="12550" max="12550" width="17.5703125" style="810" bestFit="1" customWidth="1"/>
    <col min="12551" max="12551" width="18.85546875" style="810" customWidth="1"/>
    <col min="12552" max="12552" width="23" style="810" customWidth="1"/>
    <col min="12553" max="12553" width="21.7109375" style="810" customWidth="1"/>
    <col min="12554" max="12554" width="23.5703125" style="810" customWidth="1"/>
    <col min="12555" max="12558" width="21.7109375" style="810" customWidth="1"/>
    <col min="12559" max="12560" width="23.28515625" style="810" customWidth="1"/>
    <col min="12561" max="12561" width="20.42578125" style="810" bestFit="1" customWidth="1"/>
    <col min="12562" max="12562" width="21.28515625" style="810" customWidth="1"/>
    <col min="12563" max="12563" width="11.5703125" style="810" customWidth="1"/>
    <col min="12564" max="12803" width="9.140625" style="810"/>
    <col min="12804" max="12804" width="3" style="810" customWidth="1"/>
    <col min="12805" max="12805" width="11.5703125" style="810" bestFit="1" customWidth="1"/>
    <col min="12806" max="12806" width="17.5703125" style="810" bestFit="1" customWidth="1"/>
    <col min="12807" max="12807" width="18.85546875" style="810" customWidth="1"/>
    <col min="12808" max="12808" width="23" style="810" customWidth="1"/>
    <col min="12809" max="12809" width="21.7109375" style="810" customWidth="1"/>
    <col min="12810" max="12810" width="23.5703125" style="810" customWidth="1"/>
    <col min="12811" max="12814" width="21.7109375" style="810" customWidth="1"/>
    <col min="12815" max="12816" width="23.28515625" style="810" customWidth="1"/>
    <col min="12817" max="12817" width="20.42578125" style="810" bestFit="1" customWidth="1"/>
    <col min="12818" max="12818" width="21.28515625" style="810" customWidth="1"/>
    <col min="12819" max="12819" width="11.5703125" style="810" customWidth="1"/>
    <col min="12820" max="13059" width="9.140625" style="810"/>
    <col min="13060" max="13060" width="3" style="810" customWidth="1"/>
    <col min="13061" max="13061" width="11.5703125" style="810" bestFit="1" customWidth="1"/>
    <col min="13062" max="13062" width="17.5703125" style="810" bestFit="1" customWidth="1"/>
    <col min="13063" max="13063" width="18.85546875" style="810" customWidth="1"/>
    <col min="13064" max="13064" width="23" style="810" customWidth="1"/>
    <col min="13065" max="13065" width="21.7109375" style="810" customWidth="1"/>
    <col min="13066" max="13066" width="23.5703125" style="810" customWidth="1"/>
    <col min="13067" max="13070" width="21.7109375" style="810" customWidth="1"/>
    <col min="13071" max="13072" width="23.28515625" style="810" customWidth="1"/>
    <col min="13073" max="13073" width="20.42578125" style="810" bestFit="1" customWidth="1"/>
    <col min="13074" max="13074" width="21.28515625" style="810" customWidth="1"/>
    <col min="13075" max="13075" width="11.5703125" style="810" customWidth="1"/>
    <col min="13076" max="13315" width="9.140625" style="810"/>
    <col min="13316" max="13316" width="3" style="810" customWidth="1"/>
    <col min="13317" max="13317" width="11.5703125" style="810" bestFit="1" customWidth="1"/>
    <col min="13318" max="13318" width="17.5703125" style="810" bestFit="1" customWidth="1"/>
    <col min="13319" max="13319" width="18.85546875" style="810" customWidth="1"/>
    <col min="13320" max="13320" width="23" style="810" customWidth="1"/>
    <col min="13321" max="13321" width="21.7109375" style="810" customWidth="1"/>
    <col min="13322" max="13322" width="23.5703125" style="810" customWidth="1"/>
    <col min="13323" max="13326" width="21.7109375" style="810" customWidth="1"/>
    <col min="13327" max="13328" width="23.28515625" style="810" customWidth="1"/>
    <col min="13329" max="13329" width="20.42578125" style="810" bestFit="1" customWidth="1"/>
    <col min="13330" max="13330" width="21.28515625" style="810" customWidth="1"/>
    <col min="13331" max="13331" width="11.5703125" style="810" customWidth="1"/>
    <col min="13332" max="13571" width="9.140625" style="810"/>
    <col min="13572" max="13572" width="3" style="810" customWidth="1"/>
    <col min="13573" max="13573" width="11.5703125" style="810" bestFit="1" customWidth="1"/>
    <col min="13574" max="13574" width="17.5703125" style="810" bestFit="1" customWidth="1"/>
    <col min="13575" max="13575" width="18.85546875" style="810" customWidth="1"/>
    <col min="13576" max="13576" width="23" style="810" customWidth="1"/>
    <col min="13577" max="13577" width="21.7109375" style="810" customWidth="1"/>
    <col min="13578" max="13578" width="23.5703125" style="810" customWidth="1"/>
    <col min="13579" max="13582" width="21.7109375" style="810" customWidth="1"/>
    <col min="13583" max="13584" width="23.28515625" style="810" customWidth="1"/>
    <col min="13585" max="13585" width="20.42578125" style="810" bestFit="1" customWidth="1"/>
    <col min="13586" max="13586" width="21.28515625" style="810" customWidth="1"/>
    <col min="13587" max="13587" width="11.5703125" style="810" customWidth="1"/>
    <col min="13588" max="13827" width="9.140625" style="810"/>
    <col min="13828" max="13828" width="3" style="810" customWidth="1"/>
    <col min="13829" max="13829" width="11.5703125" style="810" bestFit="1" customWidth="1"/>
    <col min="13830" max="13830" width="17.5703125" style="810" bestFit="1" customWidth="1"/>
    <col min="13831" max="13831" width="18.85546875" style="810" customWidth="1"/>
    <col min="13832" max="13832" width="23" style="810" customWidth="1"/>
    <col min="13833" max="13833" width="21.7109375" style="810" customWidth="1"/>
    <col min="13834" max="13834" width="23.5703125" style="810" customWidth="1"/>
    <col min="13835" max="13838" width="21.7109375" style="810" customWidth="1"/>
    <col min="13839" max="13840" width="23.28515625" style="810" customWidth="1"/>
    <col min="13841" max="13841" width="20.42578125" style="810" bestFit="1" customWidth="1"/>
    <col min="13842" max="13842" width="21.28515625" style="810" customWidth="1"/>
    <col min="13843" max="13843" width="11.5703125" style="810" customWidth="1"/>
    <col min="13844" max="14083" width="9.140625" style="810"/>
    <col min="14084" max="14084" width="3" style="810" customWidth="1"/>
    <col min="14085" max="14085" width="11.5703125" style="810" bestFit="1" customWidth="1"/>
    <col min="14086" max="14086" width="17.5703125" style="810" bestFit="1" customWidth="1"/>
    <col min="14087" max="14087" width="18.85546875" style="810" customWidth="1"/>
    <col min="14088" max="14088" width="23" style="810" customWidth="1"/>
    <col min="14089" max="14089" width="21.7109375" style="810" customWidth="1"/>
    <col min="14090" max="14090" width="23.5703125" style="810" customWidth="1"/>
    <col min="14091" max="14094" width="21.7109375" style="810" customWidth="1"/>
    <col min="14095" max="14096" width="23.28515625" style="810" customWidth="1"/>
    <col min="14097" max="14097" width="20.42578125" style="810" bestFit="1" customWidth="1"/>
    <col min="14098" max="14098" width="21.28515625" style="810" customWidth="1"/>
    <col min="14099" max="14099" width="11.5703125" style="810" customWidth="1"/>
    <col min="14100" max="14339" width="9.140625" style="810"/>
    <col min="14340" max="14340" width="3" style="810" customWidth="1"/>
    <col min="14341" max="14341" width="11.5703125" style="810" bestFit="1" customWidth="1"/>
    <col min="14342" max="14342" width="17.5703125" style="810" bestFit="1" customWidth="1"/>
    <col min="14343" max="14343" width="18.85546875" style="810" customWidth="1"/>
    <col min="14344" max="14344" width="23" style="810" customWidth="1"/>
    <col min="14345" max="14345" width="21.7109375" style="810" customWidth="1"/>
    <col min="14346" max="14346" width="23.5703125" style="810" customWidth="1"/>
    <col min="14347" max="14350" width="21.7109375" style="810" customWidth="1"/>
    <col min="14351" max="14352" width="23.28515625" style="810" customWidth="1"/>
    <col min="14353" max="14353" width="20.42578125" style="810" bestFit="1" customWidth="1"/>
    <col min="14354" max="14354" width="21.28515625" style="810" customWidth="1"/>
    <col min="14355" max="14355" width="11.5703125" style="810" customWidth="1"/>
    <col min="14356" max="14595" width="9.140625" style="810"/>
    <col min="14596" max="14596" width="3" style="810" customWidth="1"/>
    <col min="14597" max="14597" width="11.5703125" style="810" bestFit="1" customWidth="1"/>
    <col min="14598" max="14598" width="17.5703125" style="810" bestFit="1" customWidth="1"/>
    <col min="14599" max="14599" width="18.85546875" style="810" customWidth="1"/>
    <col min="14600" max="14600" width="23" style="810" customWidth="1"/>
    <col min="14601" max="14601" width="21.7109375" style="810" customWidth="1"/>
    <col min="14602" max="14602" width="23.5703125" style="810" customWidth="1"/>
    <col min="14603" max="14606" width="21.7109375" style="810" customWidth="1"/>
    <col min="14607" max="14608" width="23.28515625" style="810" customWidth="1"/>
    <col min="14609" max="14609" width="20.42578125" style="810" bestFit="1" customWidth="1"/>
    <col min="14610" max="14610" width="21.28515625" style="810" customWidth="1"/>
    <col min="14611" max="14611" width="11.5703125" style="810" customWidth="1"/>
    <col min="14612" max="14851" width="9.140625" style="810"/>
    <col min="14852" max="14852" width="3" style="810" customWidth="1"/>
    <col min="14853" max="14853" width="11.5703125" style="810" bestFit="1" customWidth="1"/>
    <col min="14854" max="14854" width="17.5703125" style="810" bestFit="1" customWidth="1"/>
    <col min="14855" max="14855" width="18.85546875" style="810" customWidth="1"/>
    <col min="14856" max="14856" width="23" style="810" customWidth="1"/>
    <col min="14857" max="14857" width="21.7109375" style="810" customWidth="1"/>
    <col min="14858" max="14858" width="23.5703125" style="810" customWidth="1"/>
    <col min="14859" max="14862" width="21.7109375" style="810" customWidth="1"/>
    <col min="14863" max="14864" width="23.28515625" style="810" customWidth="1"/>
    <col min="14865" max="14865" width="20.42578125" style="810" bestFit="1" customWidth="1"/>
    <col min="14866" max="14866" width="21.28515625" style="810" customWidth="1"/>
    <col min="14867" max="14867" width="11.5703125" style="810" customWidth="1"/>
    <col min="14868" max="15107" width="9.140625" style="810"/>
    <col min="15108" max="15108" width="3" style="810" customWidth="1"/>
    <col min="15109" max="15109" width="11.5703125" style="810" bestFit="1" customWidth="1"/>
    <col min="15110" max="15110" width="17.5703125" style="810" bestFit="1" customWidth="1"/>
    <col min="15111" max="15111" width="18.85546875" style="810" customWidth="1"/>
    <col min="15112" max="15112" width="23" style="810" customWidth="1"/>
    <col min="15113" max="15113" width="21.7109375" style="810" customWidth="1"/>
    <col min="15114" max="15114" width="23.5703125" style="810" customWidth="1"/>
    <col min="15115" max="15118" width="21.7109375" style="810" customWidth="1"/>
    <col min="15119" max="15120" width="23.28515625" style="810" customWidth="1"/>
    <col min="15121" max="15121" width="20.42578125" style="810" bestFit="1" customWidth="1"/>
    <col min="15122" max="15122" width="21.28515625" style="810" customWidth="1"/>
    <col min="15123" max="15123" width="11.5703125" style="810" customWidth="1"/>
    <col min="15124" max="15363" width="9.140625" style="810"/>
    <col min="15364" max="15364" width="3" style="810" customWidth="1"/>
    <col min="15365" max="15365" width="11.5703125" style="810" bestFit="1" customWidth="1"/>
    <col min="15366" max="15366" width="17.5703125" style="810" bestFit="1" customWidth="1"/>
    <col min="15367" max="15367" width="18.85546875" style="810" customWidth="1"/>
    <col min="15368" max="15368" width="23" style="810" customWidth="1"/>
    <col min="15369" max="15369" width="21.7109375" style="810" customWidth="1"/>
    <col min="15370" max="15370" width="23.5703125" style="810" customWidth="1"/>
    <col min="15371" max="15374" width="21.7109375" style="810" customWidth="1"/>
    <col min="15375" max="15376" width="23.28515625" style="810" customWidth="1"/>
    <col min="15377" max="15377" width="20.42578125" style="810" bestFit="1" customWidth="1"/>
    <col min="15378" max="15378" width="21.28515625" style="810" customWidth="1"/>
    <col min="15379" max="15379" width="11.5703125" style="810" customWidth="1"/>
    <col min="15380" max="15619" width="9.140625" style="810"/>
    <col min="15620" max="15620" width="3" style="810" customWidth="1"/>
    <col min="15621" max="15621" width="11.5703125" style="810" bestFit="1" customWidth="1"/>
    <col min="15622" max="15622" width="17.5703125" style="810" bestFit="1" customWidth="1"/>
    <col min="15623" max="15623" width="18.85546875" style="810" customWidth="1"/>
    <col min="15624" max="15624" width="23" style="810" customWidth="1"/>
    <col min="15625" max="15625" width="21.7109375" style="810" customWidth="1"/>
    <col min="15626" max="15626" width="23.5703125" style="810" customWidth="1"/>
    <col min="15627" max="15630" width="21.7109375" style="810" customWidth="1"/>
    <col min="15631" max="15632" width="23.28515625" style="810" customWidth="1"/>
    <col min="15633" max="15633" width="20.42578125" style="810" bestFit="1" customWidth="1"/>
    <col min="15634" max="15634" width="21.28515625" style="810" customWidth="1"/>
    <col min="15635" max="15635" width="11.5703125" style="810" customWidth="1"/>
    <col min="15636" max="15875" width="9.140625" style="810"/>
    <col min="15876" max="15876" width="3" style="810" customWidth="1"/>
    <col min="15877" max="15877" width="11.5703125" style="810" bestFit="1" customWidth="1"/>
    <col min="15878" max="15878" width="17.5703125" style="810" bestFit="1" customWidth="1"/>
    <col min="15879" max="15879" width="18.85546875" style="810" customWidth="1"/>
    <col min="15880" max="15880" width="23" style="810" customWidth="1"/>
    <col min="15881" max="15881" width="21.7109375" style="810" customWidth="1"/>
    <col min="15882" max="15882" width="23.5703125" style="810" customWidth="1"/>
    <col min="15883" max="15886" width="21.7109375" style="810" customWidth="1"/>
    <col min="15887" max="15888" width="23.28515625" style="810" customWidth="1"/>
    <col min="15889" max="15889" width="20.42578125" style="810" bestFit="1" customWidth="1"/>
    <col min="15890" max="15890" width="21.28515625" style="810" customWidth="1"/>
    <col min="15891" max="15891" width="11.5703125" style="810" customWidth="1"/>
    <col min="15892" max="16131" width="9.140625" style="810"/>
    <col min="16132" max="16132" width="3" style="810" customWidth="1"/>
    <col min="16133" max="16133" width="11.5703125" style="810" bestFit="1" customWidth="1"/>
    <col min="16134" max="16134" width="17.5703125" style="810" bestFit="1" customWidth="1"/>
    <col min="16135" max="16135" width="18.85546875" style="810" customWidth="1"/>
    <col min="16136" max="16136" width="23" style="810" customWidth="1"/>
    <col min="16137" max="16137" width="21.7109375" style="810" customWidth="1"/>
    <col min="16138" max="16138" width="23.5703125" style="810" customWidth="1"/>
    <col min="16139" max="16142" width="21.7109375" style="810" customWidth="1"/>
    <col min="16143" max="16144" width="23.28515625" style="810" customWidth="1"/>
    <col min="16145" max="16145" width="20.42578125" style="810" bestFit="1" customWidth="1"/>
    <col min="16146" max="16146" width="21.28515625" style="810" customWidth="1"/>
    <col min="16147" max="16147" width="11.5703125" style="810" customWidth="1"/>
    <col min="16148" max="16384" width="9.140625" style="810"/>
  </cols>
  <sheetData>
    <row r="1" spans="2:18" ht="19.5" hidden="1" customHeight="1" x14ac:dyDescent="0.2">
      <c r="B1" s="1" t="s">
        <v>0</v>
      </c>
      <c r="C1" s="2" t="s">
        <v>220</v>
      </c>
      <c r="D1" s="2"/>
      <c r="E1" s="750"/>
      <c r="F1" s="750"/>
      <c r="G1" s="2"/>
      <c r="H1" s="2"/>
      <c r="I1" s="2"/>
      <c r="J1" s="2"/>
      <c r="K1" s="2"/>
      <c r="L1" s="2"/>
      <c r="M1" s="2"/>
      <c r="N1" s="751"/>
      <c r="O1" s="369"/>
      <c r="P1" s="369"/>
      <c r="Q1" s="752"/>
    </row>
    <row r="2" spans="2:18" ht="19.5" hidden="1" customHeight="1" x14ac:dyDescent="0.2">
      <c r="B2" s="8" t="s">
        <v>2</v>
      </c>
      <c r="C2" s="9" t="s">
        <v>226</v>
      </c>
      <c r="D2" s="9"/>
      <c r="E2" s="754"/>
      <c r="F2" s="754"/>
      <c r="G2" s="9"/>
      <c r="H2" s="9"/>
      <c r="I2" s="9"/>
      <c r="J2" s="9"/>
      <c r="K2" s="9"/>
      <c r="L2" s="9"/>
      <c r="M2" s="9"/>
      <c r="N2" s="755"/>
      <c r="O2" s="54"/>
      <c r="P2" s="54"/>
      <c r="Q2" s="756"/>
    </row>
    <row r="3" spans="2:18" ht="19.5" hidden="1" customHeight="1" x14ac:dyDescent="0.2">
      <c r="B3" s="8" t="s">
        <v>5</v>
      </c>
      <c r="C3" s="9" t="s">
        <v>231</v>
      </c>
      <c r="D3" s="9"/>
      <c r="E3" s="754"/>
      <c r="F3" s="754"/>
      <c r="G3" s="9"/>
      <c r="H3" s="9"/>
      <c r="I3" s="9"/>
      <c r="J3" s="9"/>
      <c r="K3" s="9"/>
      <c r="L3" s="9"/>
      <c r="M3" s="9"/>
      <c r="N3" s="757"/>
      <c r="O3" s="54"/>
      <c r="P3" s="54"/>
      <c r="Q3" s="756"/>
    </row>
    <row r="4" spans="2:18" ht="19.5" hidden="1" customHeight="1" x14ac:dyDescent="0.2">
      <c r="B4" s="14" t="s">
        <v>7</v>
      </c>
      <c r="C4" s="1481">
        <v>0</v>
      </c>
      <c r="D4" s="1481"/>
      <c r="E4" s="758"/>
      <c r="F4" s="758"/>
      <c r="G4" s="15"/>
      <c r="H4" s="15"/>
      <c r="I4" s="15"/>
      <c r="J4" s="15"/>
      <c r="K4" s="15"/>
      <c r="L4" s="15"/>
      <c r="M4" s="15"/>
      <c r="N4" s="759"/>
      <c r="O4" s="378"/>
      <c r="P4" s="378"/>
      <c r="Q4" s="760"/>
    </row>
    <row r="5" spans="2:18" s="753" customFormat="1" ht="30" customHeight="1" x14ac:dyDescent="0.2">
      <c r="B5" s="1482" t="s">
        <v>479</v>
      </c>
      <c r="C5" s="1482"/>
      <c r="D5" s="1482"/>
      <c r="E5" s="1482"/>
      <c r="F5" s="1482"/>
      <c r="G5" s="1482"/>
      <c r="H5" s="1482"/>
      <c r="I5" s="1482"/>
      <c r="J5" s="1482"/>
      <c r="K5" s="1482"/>
      <c r="L5" s="1482"/>
      <c r="M5" s="1482"/>
      <c r="N5" s="1482"/>
      <c r="O5" s="1482"/>
      <c r="P5" s="1482"/>
      <c r="Q5" s="1482"/>
    </row>
    <row r="6" spans="2:18" s="761" customFormat="1" ht="20.25" customHeight="1" x14ac:dyDescent="0.25">
      <c r="B6" s="1483" t="s">
        <v>480</v>
      </c>
      <c r="C6" s="1486" t="s">
        <v>481</v>
      </c>
      <c r="D6" s="1488" t="s">
        <v>481</v>
      </c>
      <c r="E6" s="1490" t="s">
        <v>482</v>
      </c>
      <c r="F6" s="1491"/>
      <c r="G6" s="1490" t="s">
        <v>483</v>
      </c>
      <c r="H6" s="1491"/>
      <c r="I6" s="1490" t="s">
        <v>484</v>
      </c>
      <c r="J6" s="1491"/>
      <c r="K6" s="1492" t="s">
        <v>485</v>
      </c>
      <c r="L6" s="1494" t="s">
        <v>486</v>
      </c>
      <c r="M6" s="1466" t="s">
        <v>487</v>
      </c>
      <c r="N6" s="1467"/>
      <c r="O6" s="1467"/>
      <c r="P6" s="1467"/>
      <c r="Q6" s="1468"/>
    </row>
    <row r="7" spans="2:18" s="764" customFormat="1" ht="16.5" customHeight="1" x14ac:dyDescent="0.25">
      <c r="B7" s="1484"/>
      <c r="C7" s="1487"/>
      <c r="D7" s="1489"/>
      <c r="E7" s="762" t="s">
        <v>159</v>
      </c>
      <c r="F7" s="763" t="s">
        <v>488</v>
      </c>
      <c r="G7" s="762" t="s">
        <v>159</v>
      </c>
      <c r="H7" s="763" t="s">
        <v>488</v>
      </c>
      <c r="I7" s="762" t="s">
        <v>159</v>
      </c>
      <c r="J7" s="763" t="s">
        <v>488</v>
      </c>
      <c r="K7" s="1493"/>
      <c r="L7" s="1495"/>
      <c r="M7" s="1469"/>
      <c r="N7" s="1470"/>
      <c r="O7" s="1470"/>
      <c r="P7" s="1470"/>
      <c r="Q7" s="1471"/>
    </row>
    <row r="8" spans="2:18" s="770" customFormat="1" ht="20.100000000000001" customHeight="1" x14ac:dyDescent="0.25">
      <c r="B8" s="1485"/>
      <c r="C8" s="765" t="s">
        <v>489</v>
      </c>
      <c r="D8" s="766" t="s">
        <v>490</v>
      </c>
      <c r="E8" s="767" t="s">
        <v>491</v>
      </c>
      <c r="F8" s="768" t="s">
        <v>492</v>
      </c>
      <c r="G8" s="767" t="s">
        <v>491</v>
      </c>
      <c r="H8" s="768" t="s">
        <v>492</v>
      </c>
      <c r="I8" s="767" t="s">
        <v>491</v>
      </c>
      <c r="J8" s="768" t="s">
        <v>492</v>
      </c>
      <c r="K8" s="768" t="s">
        <v>493</v>
      </c>
      <c r="L8" s="768" t="s">
        <v>492</v>
      </c>
      <c r="M8" s="769" t="s">
        <v>494</v>
      </c>
      <c r="N8" s="769" t="s">
        <v>495</v>
      </c>
      <c r="O8" s="769" t="s">
        <v>496</v>
      </c>
      <c r="P8" s="769" t="s">
        <v>497</v>
      </c>
      <c r="Q8" s="769" t="s">
        <v>498</v>
      </c>
      <c r="R8" s="764"/>
    </row>
    <row r="9" spans="2:18" s="761" customFormat="1" ht="20.25" customHeight="1" x14ac:dyDescent="0.25">
      <c r="B9" s="1472" t="s">
        <v>499</v>
      </c>
      <c r="C9" s="1473"/>
      <c r="D9" s="1473"/>
      <c r="E9" s="1473"/>
      <c r="F9" s="1473"/>
      <c r="G9" s="1473"/>
      <c r="H9" s="1473"/>
      <c r="I9" s="1473"/>
      <c r="J9" s="1473"/>
      <c r="K9" s="1473"/>
      <c r="L9" s="1473"/>
      <c r="M9" s="1473"/>
      <c r="N9" s="1473"/>
      <c r="O9" s="1473"/>
      <c r="P9" s="1473"/>
      <c r="Q9" s="1474"/>
    </row>
    <row r="10" spans="2:18" s="761" customFormat="1" ht="27" customHeight="1" x14ac:dyDescent="0.25">
      <c r="B10" s="771">
        <v>45309</v>
      </c>
      <c r="C10" s="772">
        <v>90</v>
      </c>
      <c r="D10" s="773">
        <f>TRUNC(C10*1.5,2)</f>
        <v>135</v>
      </c>
      <c r="E10" s="774">
        <f>DMT!F10</f>
        <v>101.01</v>
      </c>
      <c r="F10" s="774">
        <v>2.7</v>
      </c>
      <c r="G10" s="774">
        <v>30</v>
      </c>
      <c r="H10" s="774">
        <v>2.4900000000000002</v>
      </c>
      <c r="I10" s="774">
        <f>DMT!G17-30</f>
        <v>123.69999999999999</v>
      </c>
      <c r="J10" s="774">
        <v>0.98</v>
      </c>
      <c r="K10" s="774">
        <f>TRUNC((E10*F10)+(G10*H10)+(I10+J10),2)</f>
        <v>472.1</v>
      </c>
      <c r="L10" s="774">
        <f>K10+D10</f>
        <v>607.1</v>
      </c>
      <c r="M10" s="775" t="s">
        <v>500</v>
      </c>
      <c r="N10" s="775" t="s">
        <v>501</v>
      </c>
      <c r="O10" s="776" t="s">
        <v>502</v>
      </c>
      <c r="P10" s="775" t="s">
        <v>503</v>
      </c>
      <c r="Q10" s="775" t="s">
        <v>504</v>
      </c>
      <c r="R10" s="777">
        <v>93589</v>
      </c>
    </row>
    <row r="11" spans="2:18" s="761" customFormat="1" ht="27" customHeight="1" x14ac:dyDescent="0.25">
      <c r="B11" s="778">
        <v>45309</v>
      </c>
      <c r="C11" s="779">
        <v>75</v>
      </c>
      <c r="D11" s="780">
        <f>TRUNC(C11*1.5,2)</f>
        <v>112.5</v>
      </c>
      <c r="E11" s="781">
        <v>176</v>
      </c>
      <c r="F11" s="781">
        <v>2.7</v>
      </c>
      <c r="G11" s="781">
        <v>30</v>
      </c>
      <c r="H11" s="781">
        <v>2.4900000000000002</v>
      </c>
      <c r="I11" s="781">
        <v>428</v>
      </c>
      <c r="J11" s="781">
        <v>0.98</v>
      </c>
      <c r="K11" s="781">
        <f>TRUNC((E11*F11)+(G11*H11)+(I11+J11),2)</f>
        <v>978.88</v>
      </c>
      <c r="L11" s="781">
        <f>K11+D11</f>
        <v>1091.3800000000001</v>
      </c>
      <c r="M11" s="782" t="s">
        <v>505</v>
      </c>
      <c r="N11" s="783" t="s">
        <v>506</v>
      </c>
      <c r="O11" s="784" t="s">
        <v>507</v>
      </c>
      <c r="P11" s="782" t="s">
        <v>508</v>
      </c>
      <c r="Q11" s="783"/>
      <c r="R11" s="777">
        <v>95875</v>
      </c>
    </row>
    <row r="12" spans="2:18" s="761" customFormat="1" ht="27" customHeight="1" x14ac:dyDescent="0.25">
      <c r="B12" s="778">
        <v>45309</v>
      </c>
      <c r="C12" s="779">
        <v>120</v>
      </c>
      <c r="D12" s="780">
        <f>TRUNC(C12*1.5,2)</f>
        <v>180</v>
      </c>
      <c r="E12" s="785">
        <v>176</v>
      </c>
      <c r="F12" s="781">
        <v>2.7</v>
      </c>
      <c r="G12" s="781">
        <v>30</v>
      </c>
      <c r="H12" s="781">
        <v>2.4900000000000002</v>
      </c>
      <c r="I12" s="785">
        <f>429-30</f>
        <v>399</v>
      </c>
      <c r="J12" s="781">
        <v>0.98</v>
      </c>
      <c r="K12" s="781">
        <f>TRUNC((E12*F12)+(G12*H12)+(I12+J12),2)</f>
        <v>949.88</v>
      </c>
      <c r="L12" s="781">
        <f>K12+D12</f>
        <v>1129.8800000000001</v>
      </c>
      <c r="M12" s="786" t="s">
        <v>509</v>
      </c>
      <c r="N12" s="787" t="s">
        <v>510</v>
      </c>
      <c r="O12" s="788" t="s">
        <v>511</v>
      </c>
      <c r="P12" s="786" t="s">
        <v>512</v>
      </c>
      <c r="Q12" s="787" t="s">
        <v>513</v>
      </c>
      <c r="R12" s="777">
        <v>93590</v>
      </c>
    </row>
    <row r="13" spans="2:18" s="761" customFormat="1" ht="18.75" customHeight="1" x14ac:dyDescent="0.25">
      <c r="B13" s="789" t="s">
        <v>514</v>
      </c>
      <c r="C13" s="790">
        <f>C10</f>
        <v>90</v>
      </c>
      <c r="D13" s="791">
        <f>D10</f>
        <v>135</v>
      </c>
      <c r="E13" s="792"/>
      <c r="F13" s="792"/>
      <c r="G13" s="792"/>
      <c r="H13" s="792"/>
      <c r="I13" s="792"/>
      <c r="J13" s="792"/>
      <c r="K13" s="793"/>
      <c r="L13" s="793"/>
      <c r="M13" s="793"/>
      <c r="N13" s="793"/>
      <c r="O13" s="793"/>
      <c r="P13" s="793"/>
      <c r="Q13" s="794"/>
    </row>
    <row r="14" spans="2:18" s="761" customFormat="1" ht="20.25" customHeight="1" x14ac:dyDescent="0.25">
      <c r="B14" s="1472" t="s">
        <v>515</v>
      </c>
      <c r="C14" s="1473"/>
      <c r="D14" s="1473"/>
      <c r="E14" s="1473"/>
      <c r="F14" s="1473"/>
      <c r="G14" s="1473"/>
      <c r="H14" s="1473"/>
      <c r="I14" s="1473"/>
      <c r="J14" s="1473"/>
      <c r="K14" s="1473"/>
      <c r="L14" s="1473"/>
      <c r="M14" s="1473"/>
      <c r="N14" s="1473"/>
      <c r="O14" s="1473"/>
      <c r="P14" s="1473"/>
      <c r="Q14" s="1474"/>
    </row>
    <row r="15" spans="2:18" s="761" customFormat="1" ht="27" customHeight="1" x14ac:dyDescent="0.25">
      <c r="B15" s="771">
        <v>45309</v>
      </c>
      <c r="C15" s="772">
        <v>90</v>
      </c>
      <c r="D15" s="773">
        <f>TRUNC(C15*1.5,2)</f>
        <v>135</v>
      </c>
      <c r="E15" s="774">
        <f>E10</f>
        <v>101.01</v>
      </c>
      <c r="F15" s="774">
        <v>2.7</v>
      </c>
      <c r="G15" s="774">
        <f>G10</f>
        <v>30</v>
      </c>
      <c r="H15" s="774">
        <v>2.4900000000000002</v>
      </c>
      <c r="I15" s="774">
        <f>I10</f>
        <v>123.69999999999999</v>
      </c>
      <c r="J15" s="774">
        <v>0.98</v>
      </c>
      <c r="K15" s="774">
        <f>TRUNC((E15*F15)+(G15*H15)+(I15+J15),2)</f>
        <v>472.1</v>
      </c>
      <c r="L15" s="774">
        <f>K15+D15</f>
        <v>607.1</v>
      </c>
      <c r="M15" s="795" t="str">
        <f t="shared" ref="M15:Q17" si="0">M10</f>
        <v xml:space="preserve">BRITADEIRA LOPES </v>
      </c>
      <c r="N15" s="795" t="str">
        <f t="shared" si="0"/>
        <v>01.117.807/0001-71</v>
      </c>
      <c r="O15" s="795" t="str">
        <f t="shared" si="0"/>
        <v>JUÍNA</v>
      </c>
      <c r="P15" s="795" t="str">
        <f t="shared" si="0"/>
        <v>(66) 3566-3270</v>
      </c>
      <c r="Q15" s="795" t="str">
        <f t="shared" si="0"/>
        <v>EDGAR</v>
      </c>
    </row>
    <row r="16" spans="2:18" s="761" customFormat="1" ht="27" customHeight="1" x14ac:dyDescent="0.25">
      <c r="B16" s="778">
        <v>45309</v>
      </c>
      <c r="C16" s="779">
        <v>100</v>
      </c>
      <c r="D16" s="780">
        <f>TRUNC(C16*1.5,2)</f>
        <v>150</v>
      </c>
      <c r="E16" s="781">
        <f>E11</f>
        <v>176</v>
      </c>
      <c r="F16" s="781">
        <v>2.7</v>
      </c>
      <c r="G16" s="781">
        <f>G11</f>
        <v>30</v>
      </c>
      <c r="H16" s="781">
        <v>2.4900000000000002</v>
      </c>
      <c r="I16" s="781">
        <f>I11</f>
        <v>428</v>
      </c>
      <c r="J16" s="781">
        <v>0.98</v>
      </c>
      <c r="K16" s="781">
        <f>TRUNC((E16*F16)+(G16*H16)+(I16+J16),2)</f>
        <v>978.88</v>
      </c>
      <c r="L16" s="781">
        <f>K16+D16</f>
        <v>1128.8800000000001</v>
      </c>
      <c r="M16" s="796" t="str">
        <f t="shared" si="0"/>
        <v>MIL PEDRAS</v>
      </c>
      <c r="N16" s="796" t="str">
        <f t="shared" si="0"/>
        <v>36.819.731/0001-00</v>
      </c>
      <c r="O16" s="796" t="str">
        <f t="shared" si="0"/>
        <v>NOVA SANTA HELENA</v>
      </c>
      <c r="P16" s="796" t="str">
        <f t="shared" si="0"/>
        <v>( 66) 3531-0116</v>
      </c>
      <c r="Q16" s="796"/>
    </row>
    <row r="17" spans="2:23" s="761" customFormat="1" ht="27" customHeight="1" x14ac:dyDescent="0.25">
      <c r="B17" s="778">
        <v>45309</v>
      </c>
      <c r="C17" s="779">
        <v>100</v>
      </c>
      <c r="D17" s="780">
        <f>TRUNC(C17*1.5,2)</f>
        <v>150</v>
      </c>
      <c r="E17" s="781">
        <f>E12</f>
        <v>176</v>
      </c>
      <c r="F17" s="781">
        <v>2.7</v>
      </c>
      <c r="G17" s="781">
        <f>G12</f>
        <v>30</v>
      </c>
      <c r="H17" s="781">
        <v>2.4900000000000002</v>
      </c>
      <c r="I17" s="781">
        <f>I12</f>
        <v>399</v>
      </c>
      <c r="J17" s="781">
        <v>0.98</v>
      </c>
      <c r="K17" s="781">
        <f>TRUNC((E17*F17)+(G17*H17)+(I17+J17),2)</f>
        <v>949.88</v>
      </c>
      <c r="L17" s="781">
        <f>K17+D17</f>
        <v>1099.8800000000001</v>
      </c>
      <c r="M17" s="796" t="str">
        <f t="shared" si="0"/>
        <v>JG INDUSTRIA DE PEDRAS</v>
      </c>
      <c r="N17" s="796" t="str">
        <f t="shared" si="0"/>
        <v>05.605.056/0001-93</v>
      </c>
      <c r="O17" s="796" t="str">
        <f t="shared" si="0"/>
        <v>COLIDER</v>
      </c>
      <c r="P17" s="796" t="str">
        <f t="shared" si="0"/>
        <v>( 66) 99219-3331</v>
      </c>
      <c r="Q17" s="796" t="str">
        <f t="shared" si="0"/>
        <v xml:space="preserve">JOSÉ </v>
      </c>
    </row>
    <row r="18" spans="2:23" s="761" customFormat="1" ht="18.75" customHeight="1" x14ac:dyDescent="0.25">
      <c r="B18" s="789" t="s">
        <v>514</v>
      </c>
      <c r="C18" s="790">
        <f>C15</f>
        <v>90</v>
      </c>
      <c r="D18" s="791">
        <f>D15</f>
        <v>135</v>
      </c>
      <c r="E18" s="792"/>
      <c r="F18" s="792"/>
      <c r="G18" s="792"/>
      <c r="H18" s="792"/>
      <c r="I18" s="792"/>
      <c r="J18" s="792"/>
      <c r="K18" s="793"/>
      <c r="L18" s="793"/>
      <c r="M18" s="793"/>
      <c r="N18" s="793"/>
      <c r="O18" s="793"/>
      <c r="P18" s="793"/>
      <c r="Q18" s="794"/>
    </row>
    <row r="19" spans="2:23" s="761" customFormat="1" ht="18.75" customHeight="1" x14ac:dyDescent="0.25">
      <c r="B19" s="1472" t="s">
        <v>516</v>
      </c>
      <c r="C19" s="1473"/>
      <c r="D19" s="1473"/>
      <c r="E19" s="1473"/>
      <c r="F19" s="1473"/>
      <c r="G19" s="1473"/>
      <c r="H19" s="1473"/>
      <c r="I19" s="1473"/>
      <c r="J19" s="1473"/>
      <c r="K19" s="1473"/>
      <c r="L19" s="1473"/>
      <c r="M19" s="1473"/>
      <c r="N19" s="1473"/>
      <c r="O19" s="1473"/>
      <c r="P19" s="1473"/>
      <c r="Q19" s="1474"/>
    </row>
    <row r="20" spans="2:23" s="761" customFormat="1" ht="18.75" customHeight="1" x14ac:dyDescent="0.25">
      <c r="B20" s="771">
        <v>45309</v>
      </c>
      <c r="C20" s="772">
        <v>90</v>
      </c>
      <c r="D20" s="773">
        <f>TRUNC(C20*1.5,2)</f>
        <v>135</v>
      </c>
      <c r="E20" s="774">
        <f>E15</f>
        <v>101.01</v>
      </c>
      <c r="F20" s="774">
        <v>2.7</v>
      </c>
      <c r="G20" s="774">
        <f>G15</f>
        <v>30</v>
      </c>
      <c r="H20" s="774">
        <v>2.4900000000000002</v>
      </c>
      <c r="I20" s="774">
        <f>I15</f>
        <v>123.69999999999999</v>
      </c>
      <c r="J20" s="774">
        <v>0.98</v>
      </c>
      <c r="K20" s="774">
        <f>TRUNC((E20*F20)+(G20*H20)+(I20+J20),2)</f>
        <v>472.1</v>
      </c>
      <c r="L20" s="774">
        <f>K20+D20</f>
        <v>607.1</v>
      </c>
      <c r="M20" s="795" t="str">
        <f t="shared" ref="M20:Q22" si="1">M15</f>
        <v xml:space="preserve">BRITADEIRA LOPES </v>
      </c>
      <c r="N20" s="795" t="str">
        <f t="shared" si="1"/>
        <v>01.117.807/0001-71</v>
      </c>
      <c r="O20" s="795" t="str">
        <f t="shared" si="1"/>
        <v>JUÍNA</v>
      </c>
      <c r="P20" s="795" t="str">
        <f t="shared" si="1"/>
        <v>(66) 3566-3270</v>
      </c>
      <c r="Q20" s="795" t="str">
        <f t="shared" si="1"/>
        <v>EDGAR</v>
      </c>
    </row>
    <row r="21" spans="2:23" s="761" customFormat="1" ht="18.75" customHeight="1" x14ac:dyDescent="0.25">
      <c r="B21" s="778">
        <v>45309</v>
      </c>
      <c r="C21" s="779">
        <v>100</v>
      </c>
      <c r="D21" s="780">
        <f>TRUNC(C21*1.5,2)</f>
        <v>150</v>
      </c>
      <c r="E21" s="781">
        <f>E16</f>
        <v>176</v>
      </c>
      <c r="F21" s="781">
        <v>2.7</v>
      </c>
      <c r="G21" s="781">
        <f>G16</f>
        <v>30</v>
      </c>
      <c r="H21" s="781">
        <v>2.4900000000000002</v>
      </c>
      <c r="I21" s="781">
        <f>I16</f>
        <v>428</v>
      </c>
      <c r="J21" s="781">
        <v>0.98</v>
      </c>
      <c r="K21" s="781">
        <f>TRUNC((E21*F21)+(G21*H21)+(I21+J21),2)</f>
        <v>978.88</v>
      </c>
      <c r="L21" s="781">
        <f>K21+D21</f>
        <v>1128.8800000000001</v>
      </c>
      <c r="M21" s="796" t="str">
        <f t="shared" si="1"/>
        <v>MIL PEDRAS</v>
      </c>
      <c r="N21" s="796" t="str">
        <f t="shared" si="1"/>
        <v>36.819.731/0001-00</v>
      </c>
      <c r="O21" s="796" t="str">
        <f t="shared" si="1"/>
        <v>NOVA SANTA HELENA</v>
      </c>
      <c r="P21" s="796" t="str">
        <f t="shared" si="1"/>
        <v>( 66) 3531-0116</v>
      </c>
      <c r="Q21" s="796"/>
    </row>
    <row r="22" spans="2:23" s="761" customFormat="1" ht="18.75" customHeight="1" x14ac:dyDescent="0.25">
      <c r="B22" s="778">
        <v>45309</v>
      </c>
      <c r="C22" s="779">
        <v>100</v>
      </c>
      <c r="D22" s="780">
        <f>TRUNC(C22*1.5,2)</f>
        <v>150</v>
      </c>
      <c r="E22" s="781">
        <f>E17</f>
        <v>176</v>
      </c>
      <c r="F22" s="781">
        <v>2.7</v>
      </c>
      <c r="G22" s="781">
        <f>G17</f>
        <v>30</v>
      </c>
      <c r="H22" s="781">
        <v>2.4900000000000002</v>
      </c>
      <c r="I22" s="781">
        <f>I17</f>
        <v>399</v>
      </c>
      <c r="J22" s="781">
        <v>0.98</v>
      </c>
      <c r="K22" s="781">
        <f>TRUNC((E22*F22)+(G22*H22)+(I22+J22),2)</f>
        <v>949.88</v>
      </c>
      <c r="L22" s="781">
        <f>K22+D22</f>
        <v>1099.8800000000001</v>
      </c>
      <c r="M22" s="796" t="str">
        <f t="shared" si="1"/>
        <v>JG INDUSTRIA DE PEDRAS</v>
      </c>
      <c r="N22" s="796" t="str">
        <f t="shared" si="1"/>
        <v>05.605.056/0001-93</v>
      </c>
      <c r="O22" s="796" t="str">
        <f t="shared" si="1"/>
        <v>COLIDER</v>
      </c>
      <c r="P22" s="796" t="str">
        <f t="shared" si="1"/>
        <v>( 66) 99219-3331</v>
      </c>
      <c r="Q22" s="796" t="str">
        <f t="shared" si="1"/>
        <v xml:space="preserve">JOSÉ </v>
      </c>
    </row>
    <row r="23" spans="2:23" s="761" customFormat="1" ht="18.75" customHeight="1" x14ac:dyDescent="0.25">
      <c r="B23" s="789" t="s">
        <v>514</v>
      </c>
      <c r="C23" s="790">
        <f>C20</f>
        <v>90</v>
      </c>
      <c r="D23" s="791">
        <f>D20</f>
        <v>135</v>
      </c>
      <c r="E23" s="792"/>
      <c r="F23" s="792"/>
      <c r="G23" s="792"/>
      <c r="H23" s="792"/>
      <c r="I23" s="792"/>
      <c r="J23" s="792"/>
      <c r="K23" s="793"/>
      <c r="L23" s="793"/>
      <c r="M23" s="793"/>
      <c r="N23" s="793"/>
      <c r="O23" s="793"/>
      <c r="P23" s="793"/>
      <c r="Q23" s="794"/>
    </row>
    <row r="24" spans="2:23" s="753" customFormat="1" ht="15" customHeight="1" x14ac:dyDescent="0.2">
      <c r="B24" s="1475" t="s">
        <v>517</v>
      </c>
      <c r="C24" s="1476"/>
      <c r="D24" s="1476"/>
      <c r="E24" s="1476"/>
      <c r="F24" s="1476"/>
      <c r="G24" s="1476"/>
      <c r="H24" s="1476"/>
      <c r="I24" s="1476"/>
      <c r="J24" s="1476"/>
      <c r="K24" s="1476"/>
      <c r="L24" s="1476"/>
      <c r="M24" s="1476"/>
      <c r="N24" s="1476"/>
      <c r="O24" s="1476"/>
      <c r="P24" s="1476"/>
      <c r="Q24" s="1477"/>
      <c r="R24" s="797"/>
      <c r="S24" s="797"/>
      <c r="T24" s="797"/>
      <c r="U24" s="797"/>
      <c r="V24" s="797"/>
      <c r="W24" s="798"/>
    </row>
    <row r="25" spans="2:23" s="753" customFormat="1" ht="15" customHeight="1" x14ac:dyDescent="0.2">
      <c r="B25" s="1478" t="s">
        <v>518</v>
      </c>
      <c r="C25" s="1479"/>
      <c r="D25" s="1479"/>
      <c r="E25" s="1479"/>
      <c r="F25" s="1479"/>
      <c r="G25" s="1479"/>
      <c r="H25" s="1479"/>
      <c r="I25" s="1479"/>
      <c r="J25" s="1479"/>
      <c r="K25" s="1479"/>
      <c r="L25" s="1479"/>
      <c r="M25" s="1479"/>
      <c r="N25" s="1479"/>
      <c r="O25" s="1479"/>
      <c r="P25" s="1479"/>
      <c r="Q25" s="1480"/>
      <c r="R25" s="797"/>
      <c r="S25" s="797"/>
      <c r="T25" s="797"/>
      <c r="U25" s="797"/>
      <c r="V25" s="797"/>
      <c r="W25" s="798"/>
    </row>
    <row r="26" spans="2:23" s="753" customFormat="1" ht="15" customHeight="1" x14ac:dyDescent="0.2">
      <c r="B26" s="1457" t="s">
        <v>519</v>
      </c>
      <c r="C26" s="1458"/>
      <c r="D26" s="1458"/>
      <c r="E26" s="1458"/>
      <c r="F26" s="1458"/>
      <c r="G26" s="1458"/>
      <c r="H26" s="1458"/>
      <c r="I26" s="1458"/>
      <c r="J26" s="1458"/>
      <c r="K26" s="1458"/>
      <c r="L26" s="1458"/>
      <c r="M26" s="1458"/>
      <c r="N26" s="1458"/>
      <c r="O26" s="1458"/>
      <c r="P26" s="1458"/>
      <c r="Q26" s="1459"/>
      <c r="R26" s="799"/>
      <c r="S26" s="799"/>
      <c r="T26" s="799"/>
      <c r="U26" s="799"/>
      <c r="V26" s="799"/>
      <c r="W26" s="800"/>
    </row>
    <row r="27" spans="2:23" s="753" customFormat="1" ht="15" customHeight="1" x14ac:dyDescent="0.2">
      <c r="B27" s="1460" t="s">
        <v>520</v>
      </c>
      <c r="C27" s="1461"/>
      <c r="D27" s="1461"/>
      <c r="E27" s="1461"/>
      <c r="F27" s="1461"/>
      <c r="G27" s="1461"/>
      <c r="H27" s="1461"/>
      <c r="I27" s="1461"/>
      <c r="J27" s="1461"/>
      <c r="K27" s="1461"/>
      <c r="L27" s="1461"/>
      <c r="M27" s="1461"/>
      <c r="N27" s="1461"/>
      <c r="O27" s="1461"/>
      <c r="P27" s="1461"/>
      <c r="Q27" s="1462"/>
      <c r="R27" s="801"/>
      <c r="S27" s="801"/>
      <c r="T27" s="801"/>
      <c r="U27" s="801"/>
      <c r="V27" s="801"/>
      <c r="W27" s="801"/>
    </row>
    <row r="28" spans="2:23" s="753" customFormat="1" ht="15" customHeight="1" x14ac:dyDescent="0.2">
      <c r="B28" s="1460"/>
      <c r="C28" s="1461"/>
      <c r="D28" s="1461"/>
      <c r="E28" s="1461"/>
      <c r="F28" s="1461"/>
      <c r="G28" s="1461"/>
      <c r="H28" s="1461"/>
      <c r="I28" s="1461"/>
      <c r="J28" s="1461"/>
      <c r="K28" s="1461"/>
      <c r="L28" s="1461"/>
      <c r="M28" s="1461"/>
      <c r="N28" s="1461"/>
      <c r="O28" s="1461"/>
      <c r="P28" s="1461"/>
      <c r="Q28" s="1462"/>
      <c r="R28" s="801"/>
      <c r="S28" s="801"/>
      <c r="T28" s="801"/>
      <c r="U28" s="801"/>
      <c r="V28" s="801"/>
      <c r="W28" s="801"/>
    </row>
    <row r="29" spans="2:23" s="753" customFormat="1" ht="15" customHeight="1" x14ac:dyDescent="0.2">
      <c r="B29" s="1460"/>
      <c r="C29" s="1461"/>
      <c r="D29" s="1461"/>
      <c r="E29" s="1461"/>
      <c r="F29" s="1461"/>
      <c r="G29" s="1461"/>
      <c r="H29" s="1461"/>
      <c r="I29" s="1461"/>
      <c r="J29" s="1461"/>
      <c r="K29" s="1461"/>
      <c r="L29" s="1461"/>
      <c r="M29" s="1461"/>
      <c r="N29" s="1461"/>
      <c r="O29" s="1461"/>
      <c r="P29" s="1461"/>
      <c r="Q29" s="1462"/>
      <c r="R29" s="801"/>
      <c r="S29" s="801"/>
      <c r="T29" s="801"/>
      <c r="U29" s="801"/>
      <c r="V29" s="801"/>
      <c r="W29" s="801"/>
    </row>
    <row r="30" spans="2:23" s="753" customFormat="1" ht="15" customHeight="1" x14ac:dyDescent="0.2">
      <c r="B30" s="1460"/>
      <c r="C30" s="1461"/>
      <c r="D30" s="1461"/>
      <c r="E30" s="1461"/>
      <c r="F30" s="1461"/>
      <c r="G30" s="1461"/>
      <c r="H30" s="1461"/>
      <c r="I30" s="1461"/>
      <c r="J30" s="1461"/>
      <c r="K30" s="1461"/>
      <c r="L30" s="1461"/>
      <c r="M30" s="1461"/>
      <c r="N30" s="1461"/>
      <c r="O30" s="1461"/>
      <c r="P30" s="1461"/>
      <c r="Q30" s="1462"/>
      <c r="R30" s="801"/>
      <c r="S30" s="801"/>
      <c r="T30" s="801"/>
      <c r="U30" s="801"/>
      <c r="V30" s="801"/>
      <c r="W30" s="801"/>
    </row>
    <row r="31" spans="2:23" s="753" customFormat="1" ht="33.75" customHeight="1" x14ac:dyDescent="0.2">
      <c r="B31" s="1460" t="s">
        <v>521</v>
      </c>
      <c r="C31" s="1461"/>
      <c r="D31" s="1461"/>
      <c r="E31" s="1461"/>
      <c r="F31" s="1461"/>
      <c r="G31" s="1461"/>
      <c r="H31" s="1461"/>
      <c r="I31" s="1461"/>
      <c r="J31" s="1461"/>
      <c r="K31" s="1461"/>
      <c r="L31" s="1461"/>
      <c r="M31" s="1461"/>
      <c r="N31" s="1461"/>
      <c r="O31" s="1461"/>
      <c r="P31" s="1461"/>
      <c r="Q31" s="1462"/>
      <c r="R31" s="801"/>
      <c r="S31" s="801"/>
      <c r="T31" s="801"/>
      <c r="U31" s="801"/>
      <c r="V31" s="801"/>
      <c r="W31" s="801"/>
    </row>
    <row r="32" spans="2:23" s="753" customFormat="1" ht="21.75" customHeight="1" x14ac:dyDescent="0.2">
      <c r="B32" s="1463" t="s">
        <v>522</v>
      </c>
      <c r="C32" s="1464"/>
      <c r="D32" s="1464"/>
      <c r="E32" s="1464"/>
      <c r="F32" s="1464"/>
      <c r="G32" s="1464"/>
      <c r="H32" s="1464"/>
      <c r="I32" s="1464"/>
      <c r="J32" s="1464"/>
      <c r="K32" s="1464"/>
      <c r="L32" s="1464"/>
      <c r="M32" s="1464"/>
      <c r="N32" s="1464"/>
      <c r="O32" s="1464"/>
      <c r="P32" s="1464"/>
      <c r="Q32" s="1465"/>
      <c r="R32" s="801"/>
      <c r="S32" s="801"/>
      <c r="T32" s="801"/>
      <c r="U32" s="801"/>
      <c r="V32" s="801"/>
      <c r="W32" s="801"/>
    </row>
    <row r="33" spans="2:17" s="753" customFormat="1" x14ac:dyDescent="0.2">
      <c r="B33" s="802"/>
      <c r="C33" s="802"/>
      <c r="D33" s="802"/>
      <c r="E33" s="802"/>
      <c r="F33" s="802"/>
      <c r="G33" s="802"/>
      <c r="H33" s="802"/>
      <c r="I33" s="802"/>
      <c r="J33" s="802"/>
      <c r="K33" s="802"/>
      <c r="L33" s="802"/>
      <c r="M33" s="802"/>
      <c r="N33" s="802"/>
      <c r="O33" s="802"/>
      <c r="P33" s="802"/>
      <c r="Q33" s="802"/>
    </row>
    <row r="34" spans="2:17" s="753" customFormat="1" x14ac:dyDescent="0.2">
      <c r="B34" s="802"/>
      <c r="C34" s="802"/>
      <c r="D34" s="802"/>
      <c r="E34" s="802"/>
      <c r="F34" s="802"/>
      <c r="G34" s="802"/>
      <c r="H34" s="802"/>
      <c r="I34" s="802"/>
      <c r="J34" s="802"/>
      <c r="K34" s="802"/>
      <c r="L34" s="802"/>
      <c r="M34" s="802"/>
      <c r="N34" s="802"/>
      <c r="O34" s="802"/>
      <c r="P34" s="802"/>
      <c r="Q34" s="802"/>
    </row>
    <row r="35" spans="2:17" s="753" customFormat="1" x14ac:dyDescent="0.2">
      <c r="B35" s="803"/>
      <c r="C35" s="804"/>
      <c r="D35" s="805"/>
      <c r="E35" s="805"/>
      <c r="F35" s="805"/>
      <c r="G35" s="805"/>
      <c r="H35" s="805"/>
      <c r="I35" s="805"/>
      <c r="J35" s="805"/>
      <c r="K35" s="805"/>
      <c r="L35" s="805"/>
      <c r="M35" s="805"/>
      <c r="N35" s="805"/>
      <c r="O35" s="805"/>
      <c r="P35" s="805"/>
      <c r="Q35" s="805"/>
    </row>
    <row r="36" spans="2:17" s="753" customFormat="1" x14ac:dyDescent="0.2">
      <c r="B36" s="803"/>
      <c r="C36" s="804"/>
      <c r="D36" s="805"/>
      <c r="E36" s="805"/>
      <c r="F36" s="805"/>
      <c r="G36" s="805"/>
      <c r="H36" s="805"/>
      <c r="I36" s="805"/>
      <c r="J36" s="805"/>
      <c r="K36" s="805"/>
      <c r="L36" s="805"/>
      <c r="M36" s="805"/>
      <c r="N36" s="805"/>
      <c r="O36" s="805"/>
      <c r="P36" s="805"/>
      <c r="Q36" s="805"/>
    </row>
    <row r="37" spans="2:17" s="753" customFormat="1" x14ac:dyDescent="0.2">
      <c r="B37" s="803"/>
      <c r="C37" s="804"/>
      <c r="D37" s="805"/>
      <c r="E37" s="805"/>
      <c r="F37" s="805"/>
      <c r="G37" s="805"/>
      <c r="H37" s="805"/>
      <c r="I37" s="805"/>
      <c r="J37" s="805"/>
      <c r="K37" s="805"/>
      <c r="L37" s="805"/>
      <c r="M37" s="805"/>
      <c r="N37" s="805"/>
      <c r="O37" s="805"/>
      <c r="P37" s="805"/>
      <c r="Q37" s="805"/>
    </row>
    <row r="38" spans="2:17" s="753" customFormat="1" x14ac:dyDescent="0.2">
      <c r="B38" s="803"/>
      <c r="C38" s="804"/>
      <c r="D38" s="805"/>
      <c r="E38" s="805"/>
      <c r="F38" s="805"/>
      <c r="G38" s="805"/>
      <c r="H38" s="805"/>
      <c r="I38" s="805"/>
      <c r="J38" s="805"/>
      <c r="K38" s="805"/>
      <c r="L38" s="805"/>
      <c r="M38" s="805"/>
      <c r="N38" s="805"/>
      <c r="O38" s="805"/>
      <c r="P38" s="805"/>
      <c r="Q38" s="805"/>
    </row>
    <row r="39" spans="2:17" s="753" customFormat="1" x14ac:dyDescent="0.2">
      <c r="B39" s="803"/>
      <c r="C39" s="804"/>
      <c r="D39" s="805"/>
      <c r="E39" s="805"/>
      <c r="F39" s="805"/>
      <c r="G39" s="805"/>
      <c r="H39" s="805"/>
      <c r="I39" s="805"/>
      <c r="J39" s="805"/>
      <c r="K39" s="805"/>
      <c r="L39" s="805"/>
      <c r="M39" s="805"/>
      <c r="N39" s="805"/>
      <c r="O39" s="805"/>
      <c r="P39" s="805"/>
      <c r="Q39" s="805"/>
    </row>
    <row r="40" spans="2:17" s="753" customFormat="1" x14ac:dyDescent="0.2">
      <c r="B40" s="803"/>
      <c r="C40" s="804"/>
      <c r="D40" s="805"/>
      <c r="E40" s="806"/>
      <c r="F40" s="805"/>
      <c r="G40" s="805"/>
      <c r="H40" s="805"/>
      <c r="I40" s="805"/>
      <c r="J40" s="805"/>
      <c r="K40" s="805"/>
      <c r="L40" s="805"/>
      <c r="M40" s="805"/>
      <c r="N40" s="805"/>
      <c r="O40" s="805"/>
      <c r="P40" s="805"/>
      <c r="Q40" s="805"/>
    </row>
    <row r="41" spans="2:17" s="753" customFormat="1" x14ac:dyDescent="0.2">
      <c r="B41" s="803"/>
      <c r="C41" s="804"/>
      <c r="D41" s="805"/>
      <c r="E41" s="806" t="e">
        <f>#REF!*D10</f>
        <v>#REF!</v>
      </c>
      <c r="F41" s="805"/>
      <c r="G41" s="805"/>
      <c r="H41" s="805"/>
      <c r="I41" s="805"/>
      <c r="J41" s="805"/>
      <c r="K41" s="805"/>
      <c r="L41" s="805"/>
      <c r="M41" s="805"/>
      <c r="N41" s="805"/>
      <c r="O41" s="805"/>
      <c r="P41" s="805"/>
      <c r="Q41" s="805"/>
    </row>
    <row r="42" spans="2:17" s="753" customFormat="1" x14ac:dyDescent="0.2">
      <c r="B42" s="803"/>
      <c r="C42" s="804"/>
      <c r="D42" s="805"/>
      <c r="E42" s="806" t="e">
        <f>#REF!*D15</f>
        <v>#REF!</v>
      </c>
      <c r="F42" s="805"/>
      <c r="G42" s="805"/>
      <c r="H42" s="805"/>
      <c r="I42" s="805"/>
      <c r="J42" s="805"/>
      <c r="K42" s="805"/>
      <c r="L42" s="805"/>
      <c r="M42" s="805"/>
      <c r="N42" s="805"/>
      <c r="O42" s="805"/>
      <c r="P42" s="805"/>
      <c r="Q42" s="805"/>
    </row>
    <row r="43" spans="2:17" s="753" customFormat="1" x14ac:dyDescent="0.2">
      <c r="B43" s="803"/>
      <c r="C43" s="804"/>
      <c r="D43" s="805"/>
      <c r="E43" s="806" t="e">
        <f>SUM(E41:E42)</f>
        <v>#REF!</v>
      </c>
      <c r="F43" s="805"/>
      <c r="G43" s="805"/>
      <c r="H43" s="805"/>
      <c r="I43" s="805"/>
      <c r="J43" s="805"/>
      <c r="K43" s="805"/>
      <c r="L43" s="805"/>
      <c r="M43" s="805"/>
      <c r="N43" s="805"/>
      <c r="O43" s="805"/>
      <c r="P43" s="805"/>
      <c r="Q43" s="805"/>
    </row>
    <row r="44" spans="2:17" s="753" customFormat="1" x14ac:dyDescent="0.2">
      <c r="B44" s="803"/>
      <c r="C44" s="804"/>
      <c r="D44" s="805"/>
      <c r="E44" s="805"/>
      <c r="F44" s="805"/>
      <c r="G44" s="805"/>
      <c r="H44" s="805"/>
      <c r="I44" s="805"/>
      <c r="J44" s="805"/>
      <c r="K44" s="805"/>
      <c r="L44" s="805"/>
      <c r="M44" s="805"/>
      <c r="N44" s="805"/>
      <c r="O44" s="805"/>
      <c r="P44" s="805"/>
      <c r="Q44" s="805"/>
    </row>
    <row r="45" spans="2:17" s="753" customFormat="1" x14ac:dyDescent="0.2">
      <c r="B45" s="803"/>
      <c r="C45" s="804"/>
      <c r="D45" s="805"/>
      <c r="E45" s="805"/>
      <c r="F45" s="805"/>
      <c r="G45" s="805"/>
      <c r="H45" s="805"/>
      <c r="I45" s="805"/>
      <c r="J45" s="805"/>
      <c r="K45" s="805"/>
      <c r="L45" s="805"/>
      <c r="M45" s="805"/>
      <c r="N45" s="805"/>
      <c r="O45" s="805"/>
      <c r="P45" s="805"/>
      <c r="Q45" s="805"/>
    </row>
    <row r="46" spans="2:17" s="753" customFormat="1" x14ac:dyDescent="0.2">
      <c r="B46" s="803"/>
      <c r="C46" s="804"/>
      <c r="D46" s="805"/>
      <c r="E46" s="805"/>
      <c r="F46" s="805"/>
      <c r="G46" s="805"/>
      <c r="H46" s="805"/>
      <c r="I46" s="805"/>
      <c r="J46" s="805"/>
      <c r="K46" s="805"/>
      <c r="L46" s="805"/>
      <c r="M46" s="805"/>
      <c r="N46" s="805"/>
      <c r="O46" s="805"/>
      <c r="P46" s="805"/>
      <c r="Q46" s="805"/>
    </row>
    <row r="47" spans="2:17" s="753" customFormat="1" x14ac:dyDescent="0.2">
      <c r="B47" s="803"/>
      <c r="C47" s="804"/>
      <c r="D47" s="805"/>
      <c r="E47" s="805"/>
      <c r="F47" s="805"/>
      <c r="G47" s="805"/>
      <c r="H47" s="805"/>
      <c r="I47" s="805"/>
      <c r="J47" s="805"/>
      <c r="K47" s="805"/>
      <c r="L47" s="805"/>
      <c r="M47" s="805"/>
      <c r="N47" s="805"/>
      <c r="O47" s="805"/>
      <c r="P47" s="805"/>
      <c r="Q47" s="805"/>
    </row>
    <row r="48" spans="2:17" s="753" customFormat="1" x14ac:dyDescent="0.2">
      <c r="B48" s="803"/>
      <c r="C48" s="804"/>
      <c r="D48" s="805"/>
      <c r="E48" s="805"/>
      <c r="F48" s="805"/>
      <c r="G48" s="805"/>
      <c r="H48" s="805"/>
      <c r="I48" s="805"/>
      <c r="J48" s="805"/>
      <c r="K48" s="805"/>
      <c r="L48" s="805"/>
      <c r="M48" s="805"/>
      <c r="N48" s="805"/>
      <c r="O48" s="805"/>
      <c r="P48" s="805"/>
      <c r="Q48" s="805"/>
    </row>
    <row r="49" spans="2:17" s="753" customFormat="1" x14ac:dyDescent="0.2">
      <c r="B49" s="803"/>
      <c r="C49" s="804"/>
      <c r="D49" s="805"/>
      <c r="E49" s="805"/>
      <c r="F49" s="805"/>
      <c r="G49" s="805"/>
      <c r="H49" s="805"/>
      <c r="I49" s="805"/>
      <c r="J49" s="805"/>
      <c r="K49" s="805"/>
      <c r="L49" s="805"/>
      <c r="M49" s="805"/>
      <c r="N49" s="805"/>
      <c r="O49" s="805"/>
      <c r="P49" s="805"/>
      <c r="Q49" s="805"/>
    </row>
    <row r="50" spans="2:17" s="753" customFormat="1" x14ac:dyDescent="0.2">
      <c r="B50" s="803"/>
      <c r="C50" s="804"/>
      <c r="D50" s="805"/>
      <c r="E50" s="805"/>
      <c r="F50" s="805"/>
      <c r="G50" s="805"/>
      <c r="H50" s="805"/>
      <c r="I50" s="805"/>
      <c r="J50" s="805"/>
      <c r="K50" s="805"/>
      <c r="L50" s="805"/>
      <c r="M50" s="805"/>
      <c r="N50" s="805"/>
      <c r="O50" s="805"/>
      <c r="P50" s="805"/>
      <c r="Q50" s="805"/>
    </row>
    <row r="51" spans="2:17" s="753" customFormat="1" x14ac:dyDescent="0.2">
      <c r="B51" s="803"/>
      <c r="C51" s="804"/>
      <c r="D51" s="805"/>
      <c r="E51" s="805"/>
      <c r="F51" s="805"/>
      <c r="G51" s="805"/>
      <c r="H51" s="805"/>
      <c r="I51" s="805"/>
      <c r="J51" s="805"/>
      <c r="K51" s="805"/>
      <c r="L51" s="805"/>
      <c r="M51" s="805"/>
      <c r="N51" s="805"/>
      <c r="O51" s="805"/>
      <c r="P51" s="805"/>
      <c r="Q51" s="805"/>
    </row>
    <row r="52" spans="2:17" s="753" customFormat="1" x14ac:dyDescent="0.2">
      <c r="B52" s="803"/>
      <c r="C52" s="804"/>
      <c r="D52" s="805"/>
      <c r="E52" s="805"/>
      <c r="F52" s="805"/>
      <c r="G52" s="805"/>
      <c r="H52" s="805"/>
      <c r="I52" s="805"/>
      <c r="J52" s="805"/>
      <c r="K52" s="805"/>
      <c r="L52" s="805"/>
      <c r="M52" s="805"/>
      <c r="N52" s="805"/>
      <c r="O52" s="805"/>
      <c r="P52" s="805"/>
      <c r="Q52" s="805"/>
    </row>
    <row r="53" spans="2:17" s="753" customFormat="1" x14ac:dyDescent="0.2">
      <c r="B53" s="803"/>
      <c r="C53" s="804"/>
      <c r="D53" s="805"/>
      <c r="E53" s="805"/>
      <c r="F53" s="805"/>
      <c r="G53" s="805"/>
      <c r="H53" s="805"/>
      <c r="I53" s="805"/>
      <c r="J53" s="805"/>
      <c r="K53" s="805"/>
      <c r="L53" s="805"/>
      <c r="M53" s="805"/>
      <c r="N53" s="805"/>
      <c r="O53" s="805"/>
      <c r="P53" s="805"/>
      <c r="Q53" s="805"/>
    </row>
    <row r="54" spans="2:17" s="753" customFormat="1" x14ac:dyDescent="0.2">
      <c r="B54" s="803"/>
      <c r="C54" s="804"/>
      <c r="D54" s="805"/>
      <c r="E54" s="805"/>
      <c r="F54" s="805"/>
      <c r="G54" s="805"/>
      <c r="H54" s="805"/>
      <c r="I54" s="805"/>
      <c r="J54" s="805"/>
      <c r="K54" s="805"/>
      <c r="L54" s="805"/>
      <c r="M54" s="805"/>
      <c r="N54" s="805"/>
      <c r="O54" s="805"/>
      <c r="P54" s="805"/>
      <c r="Q54" s="805"/>
    </row>
    <row r="55" spans="2:17" s="753" customFormat="1" x14ac:dyDescent="0.2">
      <c r="B55" s="803"/>
      <c r="C55" s="804"/>
      <c r="D55" s="805"/>
      <c r="E55" s="805"/>
      <c r="F55" s="805"/>
      <c r="G55" s="805"/>
      <c r="H55" s="805"/>
      <c r="I55" s="805"/>
      <c r="J55" s="805"/>
      <c r="K55" s="805"/>
      <c r="L55" s="805"/>
      <c r="M55" s="805"/>
      <c r="N55" s="805"/>
      <c r="O55" s="805"/>
      <c r="P55" s="805"/>
      <c r="Q55" s="805"/>
    </row>
    <row r="56" spans="2:17" s="753" customFormat="1" x14ac:dyDescent="0.2">
      <c r="B56" s="803"/>
      <c r="C56" s="804"/>
      <c r="D56" s="805"/>
      <c r="E56" s="805"/>
      <c r="F56" s="805"/>
      <c r="G56" s="805"/>
      <c r="H56" s="805"/>
      <c r="I56" s="805"/>
      <c r="J56" s="805"/>
      <c r="K56" s="805"/>
      <c r="L56" s="805"/>
      <c r="M56" s="805"/>
      <c r="N56" s="805"/>
      <c r="O56" s="805"/>
      <c r="P56" s="805"/>
      <c r="Q56" s="805"/>
    </row>
    <row r="57" spans="2:17" s="753" customFormat="1" x14ac:dyDescent="0.2">
      <c r="B57" s="803"/>
      <c r="C57" s="804"/>
      <c r="D57" s="805"/>
      <c r="E57" s="805"/>
      <c r="F57" s="805"/>
      <c r="G57" s="805"/>
      <c r="H57" s="805"/>
      <c r="I57" s="805"/>
      <c r="J57" s="805"/>
      <c r="K57" s="805"/>
      <c r="L57" s="805"/>
      <c r="M57" s="805"/>
      <c r="N57" s="805"/>
      <c r="O57" s="805"/>
      <c r="P57" s="805"/>
      <c r="Q57" s="805"/>
    </row>
    <row r="58" spans="2:17" s="753" customFormat="1" x14ac:dyDescent="0.2">
      <c r="B58" s="803"/>
      <c r="C58" s="804"/>
      <c r="D58" s="805"/>
      <c r="E58" s="805"/>
      <c r="F58" s="805"/>
      <c r="G58" s="805"/>
      <c r="H58" s="805"/>
      <c r="I58" s="805"/>
      <c r="J58" s="805"/>
      <c r="K58" s="805"/>
      <c r="L58" s="805"/>
      <c r="M58" s="805"/>
      <c r="N58" s="805"/>
      <c r="O58" s="805"/>
      <c r="P58" s="805"/>
      <c r="Q58" s="805"/>
    </row>
    <row r="59" spans="2:17" s="753" customFormat="1" x14ac:dyDescent="0.2">
      <c r="B59" s="803"/>
      <c r="C59" s="804"/>
      <c r="D59" s="805"/>
      <c r="E59" s="805"/>
      <c r="F59" s="805"/>
      <c r="G59" s="805"/>
      <c r="H59" s="805"/>
      <c r="I59" s="805"/>
      <c r="J59" s="805"/>
      <c r="K59" s="805"/>
      <c r="L59" s="805"/>
      <c r="M59" s="805"/>
      <c r="N59" s="805"/>
      <c r="O59" s="805"/>
      <c r="P59" s="805"/>
      <c r="Q59" s="805"/>
    </row>
    <row r="60" spans="2:17" s="753" customFormat="1" x14ac:dyDescent="0.2">
      <c r="B60" s="803"/>
      <c r="C60" s="804"/>
      <c r="D60" s="805"/>
      <c r="E60" s="805"/>
      <c r="F60" s="805"/>
      <c r="G60" s="805"/>
      <c r="H60" s="805"/>
      <c r="I60" s="805"/>
      <c r="J60" s="805"/>
      <c r="K60" s="805"/>
      <c r="L60" s="805"/>
      <c r="M60" s="805"/>
      <c r="N60" s="805"/>
      <c r="O60" s="805"/>
      <c r="P60" s="805"/>
      <c r="Q60" s="805"/>
    </row>
    <row r="61" spans="2:17" s="753" customFormat="1" x14ac:dyDescent="0.2">
      <c r="B61" s="803"/>
      <c r="C61" s="804"/>
      <c r="D61" s="805"/>
      <c r="E61" s="805"/>
      <c r="F61" s="805"/>
      <c r="G61" s="805"/>
      <c r="H61" s="805"/>
      <c r="I61" s="805"/>
      <c r="J61" s="805"/>
      <c r="K61" s="805"/>
      <c r="L61" s="805"/>
      <c r="M61" s="805"/>
      <c r="N61" s="805"/>
      <c r="O61" s="805"/>
      <c r="P61" s="805"/>
      <c r="Q61" s="805"/>
    </row>
    <row r="62" spans="2:17" s="753" customFormat="1" x14ac:dyDescent="0.2">
      <c r="B62" s="803"/>
      <c r="C62" s="804"/>
      <c r="D62" s="805"/>
      <c r="E62" s="805"/>
      <c r="F62" s="805"/>
      <c r="G62" s="805"/>
      <c r="H62" s="805"/>
      <c r="I62" s="805"/>
      <c r="J62" s="805"/>
      <c r="K62" s="805"/>
      <c r="L62" s="805"/>
      <c r="M62" s="805"/>
      <c r="N62" s="805"/>
      <c r="O62" s="805"/>
      <c r="P62" s="805"/>
      <c r="Q62" s="805"/>
    </row>
    <row r="63" spans="2:17" s="753" customFormat="1" x14ac:dyDescent="0.2">
      <c r="B63" s="803"/>
      <c r="C63" s="804"/>
      <c r="D63" s="805"/>
      <c r="E63" s="805"/>
      <c r="F63" s="805"/>
      <c r="G63" s="805"/>
      <c r="H63" s="805"/>
      <c r="I63" s="805"/>
      <c r="J63" s="805"/>
      <c r="K63" s="805"/>
      <c r="L63" s="805"/>
      <c r="M63" s="805"/>
      <c r="N63" s="805"/>
      <c r="O63" s="805"/>
      <c r="P63" s="805"/>
      <c r="Q63" s="805"/>
    </row>
    <row r="64" spans="2:17" s="753" customFormat="1" x14ac:dyDescent="0.2">
      <c r="B64" s="803"/>
      <c r="C64" s="804"/>
      <c r="D64" s="805"/>
      <c r="E64" s="805"/>
      <c r="F64" s="805"/>
      <c r="G64" s="805"/>
      <c r="H64" s="805"/>
      <c r="I64" s="805"/>
      <c r="J64" s="805"/>
      <c r="K64" s="805"/>
      <c r="L64" s="805"/>
      <c r="M64" s="805"/>
      <c r="N64" s="805"/>
      <c r="O64" s="805"/>
      <c r="P64" s="805"/>
      <c r="Q64" s="805"/>
    </row>
    <row r="65" spans="2:17" s="753" customFormat="1" x14ac:dyDescent="0.2">
      <c r="B65" s="803"/>
      <c r="C65" s="804"/>
      <c r="D65" s="805"/>
      <c r="E65" s="805"/>
      <c r="F65" s="805"/>
      <c r="G65" s="805"/>
      <c r="H65" s="805"/>
      <c r="I65" s="805"/>
      <c r="J65" s="805"/>
      <c r="K65" s="805"/>
      <c r="L65" s="805"/>
      <c r="M65" s="805"/>
      <c r="N65" s="805"/>
      <c r="O65" s="805"/>
      <c r="P65" s="805"/>
      <c r="Q65" s="805"/>
    </row>
    <row r="66" spans="2:17" s="753" customFormat="1" x14ac:dyDescent="0.2">
      <c r="B66" s="803"/>
      <c r="C66" s="804"/>
      <c r="D66" s="805"/>
      <c r="E66" s="805"/>
      <c r="F66" s="805"/>
      <c r="G66" s="805"/>
      <c r="H66" s="805"/>
      <c r="I66" s="805"/>
      <c r="J66" s="805"/>
      <c r="K66" s="805"/>
      <c r="L66" s="805"/>
      <c r="M66" s="805"/>
      <c r="N66" s="805"/>
      <c r="O66" s="805"/>
      <c r="P66" s="805"/>
      <c r="Q66" s="805"/>
    </row>
    <row r="67" spans="2:17" s="753" customFormat="1" x14ac:dyDescent="0.2">
      <c r="B67" s="803"/>
      <c r="C67" s="804"/>
      <c r="D67" s="805"/>
      <c r="E67" s="805"/>
      <c r="F67" s="805"/>
      <c r="G67" s="805"/>
      <c r="H67" s="805"/>
      <c r="I67" s="805"/>
      <c r="J67" s="805"/>
      <c r="K67" s="805"/>
      <c r="L67" s="805"/>
      <c r="M67" s="805"/>
      <c r="N67" s="805"/>
      <c r="O67" s="805"/>
      <c r="P67" s="805"/>
      <c r="Q67" s="805"/>
    </row>
    <row r="68" spans="2:17" s="753" customFormat="1" x14ac:dyDescent="0.2">
      <c r="B68" s="803"/>
      <c r="C68" s="804"/>
      <c r="D68" s="805"/>
      <c r="E68" s="805"/>
      <c r="F68" s="805"/>
      <c r="G68" s="805"/>
      <c r="H68" s="805"/>
      <c r="I68" s="805"/>
      <c r="J68" s="805"/>
      <c r="K68" s="805"/>
      <c r="L68" s="805"/>
      <c r="M68" s="805"/>
      <c r="N68" s="805"/>
      <c r="O68" s="805"/>
      <c r="P68" s="805"/>
      <c r="Q68" s="805"/>
    </row>
    <row r="69" spans="2:17" s="753" customFormat="1" x14ac:dyDescent="0.2">
      <c r="B69" s="803"/>
      <c r="C69" s="804"/>
      <c r="D69" s="805"/>
      <c r="E69" s="805"/>
      <c r="F69" s="805"/>
      <c r="G69" s="805"/>
      <c r="H69" s="805"/>
      <c r="I69" s="805"/>
      <c r="J69" s="805"/>
      <c r="K69" s="805"/>
      <c r="L69" s="805"/>
      <c r="M69" s="805"/>
      <c r="N69" s="805"/>
      <c r="O69" s="805"/>
      <c r="P69" s="805"/>
      <c r="Q69" s="805"/>
    </row>
    <row r="70" spans="2:17" s="753" customFormat="1" x14ac:dyDescent="0.2">
      <c r="B70" s="803"/>
      <c r="C70" s="804"/>
      <c r="D70" s="805"/>
      <c r="E70" s="805"/>
      <c r="F70" s="805"/>
      <c r="G70" s="805"/>
      <c r="H70" s="805"/>
      <c r="I70" s="805"/>
      <c r="J70" s="805"/>
      <c r="K70" s="805"/>
      <c r="L70" s="805"/>
      <c r="M70" s="805"/>
      <c r="N70" s="805"/>
      <c r="O70" s="805"/>
      <c r="P70" s="805"/>
      <c r="Q70" s="805"/>
    </row>
    <row r="71" spans="2:17" s="753" customFormat="1" x14ac:dyDescent="0.2">
      <c r="B71" s="803"/>
      <c r="C71" s="804"/>
      <c r="D71" s="805"/>
      <c r="E71" s="805"/>
      <c r="F71" s="805"/>
      <c r="G71" s="805"/>
      <c r="H71" s="805"/>
      <c r="I71" s="805"/>
      <c r="J71" s="805"/>
      <c r="K71" s="805"/>
      <c r="L71" s="805"/>
      <c r="M71" s="805"/>
      <c r="N71" s="805"/>
      <c r="O71" s="805"/>
      <c r="P71" s="805"/>
      <c r="Q71" s="805"/>
    </row>
    <row r="72" spans="2:17" s="753" customFormat="1" x14ac:dyDescent="0.2">
      <c r="B72" s="803"/>
      <c r="C72" s="804"/>
      <c r="D72" s="805"/>
      <c r="E72" s="805"/>
      <c r="F72" s="805"/>
      <c r="G72" s="805"/>
      <c r="H72" s="805"/>
      <c r="I72" s="805"/>
      <c r="J72" s="805"/>
      <c r="K72" s="805"/>
      <c r="L72" s="805"/>
      <c r="M72" s="805"/>
      <c r="N72" s="805"/>
      <c r="O72" s="805"/>
      <c r="P72" s="805"/>
      <c r="Q72" s="805"/>
    </row>
    <row r="73" spans="2:17" s="753" customFormat="1" x14ac:dyDescent="0.2">
      <c r="B73" s="803"/>
      <c r="C73" s="804"/>
      <c r="D73" s="805"/>
      <c r="E73" s="805"/>
      <c r="F73" s="805"/>
      <c r="G73" s="805"/>
      <c r="H73" s="805"/>
      <c r="I73" s="805"/>
      <c r="J73" s="805"/>
      <c r="K73" s="805"/>
      <c r="L73" s="805"/>
      <c r="M73" s="805"/>
      <c r="N73" s="805"/>
      <c r="O73" s="805"/>
      <c r="P73" s="805"/>
      <c r="Q73" s="805"/>
    </row>
    <row r="74" spans="2:17" s="753" customFormat="1" x14ac:dyDescent="0.2">
      <c r="B74" s="803"/>
      <c r="C74" s="804"/>
      <c r="D74" s="805"/>
      <c r="E74" s="805"/>
      <c r="F74" s="805"/>
      <c r="G74" s="805"/>
      <c r="H74" s="805"/>
      <c r="I74" s="805"/>
      <c r="J74" s="805"/>
      <c r="K74" s="805"/>
      <c r="L74" s="805"/>
      <c r="M74" s="805"/>
      <c r="N74" s="805"/>
      <c r="O74" s="805"/>
      <c r="P74" s="805"/>
      <c r="Q74" s="805"/>
    </row>
    <row r="75" spans="2:17" s="753" customFormat="1" x14ac:dyDescent="0.2">
      <c r="B75" s="803"/>
      <c r="C75" s="804"/>
      <c r="D75" s="805"/>
      <c r="E75" s="805"/>
      <c r="F75" s="805"/>
      <c r="G75" s="805"/>
      <c r="H75" s="805"/>
      <c r="I75" s="805"/>
      <c r="J75" s="805"/>
      <c r="K75" s="805"/>
      <c r="L75" s="805"/>
      <c r="M75" s="805"/>
      <c r="N75" s="805"/>
      <c r="O75" s="805"/>
      <c r="P75" s="805"/>
      <c r="Q75" s="805"/>
    </row>
    <row r="76" spans="2:17" s="753" customFormat="1" x14ac:dyDescent="0.2">
      <c r="B76" s="803"/>
      <c r="C76" s="804"/>
      <c r="D76" s="805"/>
      <c r="E76" s="805"/>
      <c r="F76" s="805"/>
      <c r="G76" s="805"/>
      <c r="H76" s="805"/>
      <c r="I76" s="805"/>
      <c r="J76" s="805"/>
      <c r="K76" s="805"/>
      <c r="L76" s="805"/>
      <c r="M76" s="805"/>
      <c r="N76" s="805"/>
      <c r="O76" s="805"/>
      <c r="P76" s="805"/>
      <c r="Q76" s="805"/>
    </row>
    <row r="77" spans="2:17" s="753" customFormat="1" x14ac:dyDescent="0.2">
      <c r="B77" s="803"/>
      <c r="C77" s="804"/>
      <c r="D77" s="805"/>
      <c r="E77" s="805"/>
      <c r="F77" s="805"/>
      <c r="G77" s="805"/>
      <c r="H77" s="805"/>
      <c r="I77" s="805"/>
      <c r="J77" s="805"/>
      <c r="K77" s="805"/>
      <c r="L77" s="805"/>
      <c r="M77" s="805"/>
      <c r="N77" s="805"/>
      <c r="O77" s="805"/>
      <c r="P77" s="805"/>
      <c r="Q77" s="805"/>
    </row>
    <row r="78" spans="2:17" s="753" customFormat="1" x14ac:dyDescent="0.2">
      <c r="B78" s="803"/>
      <c r="C78" s="804"/>
      <c r="D78" s="805"/>
      <c r="E78" s="805"/>
      <c r="F78" s="805"/>
      <c r="G78" s="805"/>
      <c r="H78" s="805"/>
      <c r="I78" s="805"/>
      <c r="J78" s="805"/>
      <c r="K78" s="805"/>
      <c r="L78" s="805"/>
      <c r="M78" s="805"/>
      <c r="N78" s="805"/>
      <c r="O78" s="805"/>
      <c r="P78" s="805"/>
      <c r="Q78" s="805"/>
    </row>
    <row r="79" spans="2:17" s="753" customFormat="1" x14ac:dyDescent="0.2">
      <c r="B79" s="803"/>
      <c r="C79" s="804"/>
      <c r="D79" s="805"/>
      <c r="E79" s="805"/>
      <c r="F79" s="805"/>
      <c r="G79" s="805"/>
      <c r="H79" s="805"/>
      <c r="I79" s="805"/>
      <c r="J79" s="805"/>
      <c r="K79" s="805"/>
      <c r="L79" s="805"/>
      <c r="M79" s="805"/>
      <c r="N79" s="805"/>
      <c r="O79" s="805"/>
      <c r="P79" s="805"/>
      <c r="Q79" s="805"/>
    </row>
    <row r="80" spans="2:17" s="753" customFormat="1" x14ac:dyDescent="0.2">
      <c r="B80" s="803"/>
      <c r="C80" s="804"/>
      <c r="D80" s="805"/>
      <c r="E80" s="805"/>
      <c r="F80" s="805"/>
      <c r="G80" s="805"/>
      <c r="H80" s="805"/>
      <c r="I80" s="805"/>
      <c r="J80" s="805"/>
      <c r="K80" s="805"/>
      <c r="L80" s="805"/>
      <c r="M80" s="805"/>
      <c r="N80" s="805"/>
      <c r="O80" s="805"/>
      <c r="P80" s="805"/>
      <c r="Q80" s="805"/>
    </row>
    <row r="81" spans="2:17" s="753" customFormat="1" x14ac:dyDescent="0.2">
      <c r="B81" s="803"/>
      <c r="C81" s="804"/>
      <c r="D81" s="805"/>
      <c r="E81" s="805"/>
      <c r="F81" s="805"/>
      <c r="G81" s="805"/>
      <c r="H81" s="805"/>
      <c r="I81" s="805"/>
      <c r="J81" s="805"/>
      <c r="K81" s="805"/>
      <c r="L81" s="805"/>
      <c r="M81" s="805"/>
      <c r="N81" s="805"/>
      <c r="O81" s="805"/>
      <c r="P81" s="805"/>
      <c r="Q81" s="805"/>
    </row>
    <row r="82" spans="2:17" s="753" customFormat="1" x14ac:dyDescent="0.2">
      <c r="B82" s="803"/>
      <c r="C82" s="804"/>
      <c r="D82" s="805"/>
      <c r="E82" s="805"/>
      <c r="F82" s="805"/>
      <c r="G82" s="805"/>
      <c r="H82" s="805"/>
      <c r="I82" s="805"/>
      <c r="J82" s="805"/>
      <c r="K82" s="805"/>
      <c r="L82" s="805"/>
      <c r="M82" s="805"/>
      <c r="N82" s="805"/>
      <c r="O82" s="805"/>
      <c r="P82" s="805"/>
      <c r="Q82" s="805"/>
    </row>
    <row r="83" spans="2:17" s="753" customFormat="1" x14ac:dyDescent="0.2">
      <c r="B83" s="803"/>
      <c r="C83" s="804"/>
      <c r="D83" s="805"/>
      <c r="E83" s="805"/>
      <c r="F83" s="805"/>
      <c r="G83" s="805"/>
      <c r="H83" s="805"/>
      <c r="I83" s="805"/>
      <c r="J83" s="805"/>
      <c r="K83" s="805"/>
      <c r="L83" s="805"/>
      <c r="M83" s="805"/>
      <c r="N83" s="805"/>
      <c r="O83" s="805"/>
      <c r="P83" s="805"/>
      <c r="Q83" s="805"/>
    </row>
    <row r="84" spans="2:17" s="753" customFormat="1" x14ac:dyDescent="0.2">
      <c r="B84" s="803"/>
      <c r="C84" s="804"/>
      <c r="D84" s="805"/>
      <c r="E84" s="805"/>
      <c r="F84" s="805"/>
      <c r="G84" s="805"/>
      <c r="H84" s="805"/>
      <c r="I84" s="805"/>
      <c r="J84" s="805"/>
      <c r="K84" s="805"/>
      <c r="L84" s="805"/>
      <c r="M84" s="805"/>
      <c r="N84" s="805"/>
      <c r="O84" s="805"/>
      <c r="P84" s="805"/>
      <c r="Q84" s="805"/>
    </row>
    <row r="85" spans="2:17" s="753" customFormat="1" x14ac:dyDescent="0.2">
      <c r="B85" s="803"/>
      <c r="C85" s="804"/>
      <c r="D85" s="805"/>
      <c r="E85" s="805"/>
      <c r="F85" s="805"/>
      <c r="G85" s="805"/>
      <c r="H85" s="805"/>
      <c r="I85" s="805"/>
      <c r="J85" s="805"/>
      <c r="K85" s="805"/>
      <c r="L85" s="805"/>
      <c r="M85" s="805"/>
      <c r="N85" s="805"/>
      <c r="O85" s="805"/>
      <c r="P85" s="805"/>
      <c r="Q85" s="805"/>
    </row>
    <row r="86" spans="2:17" s="753" customFormat="1" x14ac:dyDescent="0.2">
      <c r="B86" s="803"/>
      <c r="C86" s="804"/>
      <c r="D86" s="805"/>
      <c r="E86" s="805"/>
      <c r="F86" s="805"/>
      <c r="G86" s="805"/>
      <c r="H86" s="805"/>
      <c r="I86" s="805"/>
      <c r="J86" s="805"/>
      <c r="K86" s="805"/>
      <c r="L86" s="805"/>
      <c r="M86" s="805"/>
      <c r="N86" s="805"/>
      <c r="O86" s="805"/>
      <c r="P86" s="805"/>
      <c r="Q86" s="805"/>
    </row>
    <row r="87" spans="2:17" s="753" customFormat="1" x14ac:dyDescent="0.2">
      <c r="B87" s="803"/>
      <c r="C87" s="804"/>
      <c r="D87" s="805"/>
      <c r="E87" s="805"/>
      <c r="F87" s="805"/>
      <c r="G87" s="805"/>
      <c r="H87" s="805"/>
      <c r="I87" s="805"/>
      <c r="J87" s="805"/>
      <c r="K87" s="805"/>
      <c r="L87" s="805"/>
      <c r="M87" s="805"/>
      <c r="N87" s="805"/>
      <c r="O87" s="805"/>
      <c r="P87" s="805"/>
      <c r="Q87" s="805"/>
    </row>
    <row r="88" spans="2:17" s="753" customFormat="1" x14ac:dyDescent="0.2">
      <c r="B88" s="803"/>
      <c r="C88" s="804"/>
      <c r="D88" s="805"/>
      <c r="E88" s="805"/>
      <c r="F88" s="805"/>
      <c r="G88" s="805"/>
      <c r="H88" s="805"/>
      <c r="I88" s="805"/>
      <c r="J88" s="805"/>
      <c r="K88" s="805"/>
      <c r="L88" s="805"/>
      <c r="M88" s="805"/>
      <c r="N88" s="805"/>
      <c r="O88" s="805"/>
      <c r="P88" s="805"/>
      <c r="Q88" s="805"/>
    </row>
    <row r="89" spans="2:17" s="753" customFormat="1" x14ac:dyDescent="0.2">
      <c r="B89" s="803"/>
      <c r="C89" s="804"/>
      <c r="D89" s="805"/>
      <c r="E89" s="805"/>
      <c r="F89" s="805"/>
      <c r="G89" s="805"/>
      <c r="H89" s="805"/>
      <c r="I89" s="805"/>
      <c r="J89" s="805"/>
      <c r="K89" s="805"/>
      <c r="L89" s="805"/>
      <c r="M89" s="805"/>
      <c r="N89" s="805"/>
      <c r="O89" s="805"/>
      <c r="P89" s="805"/>
      <c r="Q89" s="805"/>
    </row>
    <row r="90" spans="2:17" s="753" customFormat="1" x14ac:dyDescent="0.2">
      <c r="B90" s="803"/>
      <c r="C90" s="804"/>
      <c r="D90" s="805"/>
      <c r="E90" s="805"/>
      <c r="F90" s="805"/>
      <c r="G90" s="805"/>
      <c r="H90" s="805"/>
      <c r="I90" s="805"/>
      <c r="J90" s="805"/>
      <c r="K90" s="805"/>
      <c r="L90" s="805"/>
      <c r="M90" s="805"/>
      <c r="N90" s="805"/>
      <c r="O90" s="805"/>
      <c r="P90" s="805"/>
      <c r="Q90" s="805"/>
    </row>
    <row r="91" spans="2:17" s="753" customFormat="1" x14ac:dyDescent="0.2">
      <c r="B91" s="803"/>
      <c r="C91" s="804"/>
      <c r="D91" s="805"/>
      <c r="E91" s="805"/>
      <c r="F91" s="805"/>
      <c r="G91" s="805"/>
      <c r="H91" s="805"/>
      <c r="I91" s="805"/>
      <c r="J91" s="805"/>
      <c r="K91" s="805"/>
      <c r="L91" s="805"/>
      <c r="M91" s="805"/>
      <c r="N91" s="805"/>
      <c r="O91" s="805"/>
      <c r="P91" s="805"/>
      <c r="Q91" s="805"/>
    </row>
    <row r="92" spans="2:17" s="753" customFormat="1" x14ac:dyDescent="0.2">
      <c r="B92" s="803"/>
      <c r="C92" s="804"/>
      <c r="D92" s="805"/>
      <c r="E92" s="805"/>
      <c r="F92" s="805"/>
      <c r="G92" s="805"/>
      <c r="H92" s="805"/>
      <c r="I92" s="805"/>
      <c r="J92" s="805"/>
      <c r="K92" s="805"/>
      <c r="L92" s="805"/>
      <c r="M92" s="805"/>
      <c r="N92" s="805"/>
      <c r="O92" s="805"/>
      <c r="P92" s="805"/>
      <c r="Q92" s="805"/>
    </row>
    <row r="93" spans="2:17" s="753" customFormat="1" x14ac:dyDescent="0.2">
      <c r="B93" s="803"/>
      <c r="C93" s="804"/>
      <c r="D93" s="805"/>
      <c r="E93" s="805"/>
      <c r="F93" s="805"/>
      <c r="G93" s="805"/>
      <c r="H93" s="805"/>
      <c r="I93" s="805"/>
      <c r="J93" s="805"/>
      <c r="K93" s="805"/>
      <c r="L93" s="805"/>
      <c r="M93" s="805"/>
      <c r="N93" s="805"/>
      <c r="O93" s="805"/>
      <c r="P93" s="805"/>
      <c r="Q93" s="805"/>
    </row>
    <row r="94" spans="2:17" s="753" customFormat="1" x14ac:dyDescent="0.2">
      <c r="B94" s="803"/>
      <c r="C94" s="804"/>
      <c r="D94" s="805"/>
      <c r="E94" s="805"/>
      <c r="F94" s="805"/>
      <c r="G94" s="805"/>
      <c r="H94" s="805"/>
      <c r="I94" s="805"/>
      <c r="J94" s="805"/>
      <c r="K94" s="805"/>
      <c r="L94" s="805"/>
      <c r="M94" s="805"/>
      <c r="N94" s="805"/>
      <c r="O94" s="805"/>
      <c r="P94" s="805"/>
      <c r="Q94" s="805"/>
    </row>
    <row r="95" spans="2:17" s="753" customFormat="1" x14ac:dyDescent="0.2">
      <c r="B95" s="803"/>
      <c r="C95" s="804"/>
      <c r="D95" s="805"/>
      <c r="E95" s="805"/>
      <c r="F95" s="805"/>
      <c r="G95" s="805"/>
      <c r="H95" s="805"/>
      <c r="I95" s="805"/>
      <c r="J95" s="805"/>
      <c r="K95" s="805"/>
      <c r="L95" s="805"/>
      <c r="M95" s="805"/>
      <c r="N95" s="805"/>
      <c r="O95" s="805"/>
      <c r="P95" s="805"/>
      <c r="Q95" s="805"/>
    </row>
    <row r="96" spans="2:17" s="753" customFormat="1" x14ac:dyDescent="0.2">
      <c r="B96" s="803"/>
      <c r="C96" s="804"/>
      <c r="D96" s="805"/>
      <c r="E96" s="805"/>
      <c r="F96" s="805"/>
      <c r="G96" s="805"/>
      <c r="H96" s="805"/>
      <c r="I96" s="805"/>
      <c r="J96" s="805"/>
      <c r="K96" s="805"/>
      <c r="L96" s="805"/>
      <c r="M96" s="805"/>
      <c r="N96" s="805"/>
      <c r="O96" s="805"/>
      <c r="P96" s="805"/>
      <c r="Q96" s="805"/>
    </row>
    <row r="97" spans="2:17" s="753" customFormat="1" x14ac:dyDescent="0.2">
      <c r="B97" s="803"/>
      <c r="C97" s="804"/>
      <c r="D97" s="805"/>
      <c r="E97" s="805"/>
      <c r="F97" s="805"/>
      <c r="G97" s="805"/>
      <c r="H97" s="805"/>
      <c r="I97" s="805"/>
      <c r="J97" s="805"/>
      <c r="K97" s="805"/>
      <c r="L97" s="805"/>
      <c r="M97" s="805"/>
      <c r="N97" s="805"/>
      <c r="O97" s="805"/>
      <c r="P97" s="805"/>
      <c r="Q97" s="805"/>
    </row>
    <row r="98" spans="2:17" s="753" customFormat="1" x14ac:dyDescent="0.2">
      <c r="B98" s="803"/>
      <c r="C98" s="804"/>
      <c r="D98" s="805"/>
      <c r="E98" s="805"/>
      <c r="F98" s="805"/>
      <c r="G98" s="805"/>
      <c r="H98" s="805"/>
      <c r="I98" s="805"/>
      <c r="J98" s="805"/>
      <c r="K98" s="805"/>
      <c r="L98" s="805"/>
      <c r="M98" s="805"/>
      <c r="N98" s="805"/>
      <c r="O98" s="805"/>
      <c r="P98" s="805"/>
      <c r="Q98" s="805"/>
    </row>
    <row r="99" spans="2:17" s="753" customFormat="1" x14ac:dyDescent="0.2">
      <c r="B99" s="803"/>
      <c r="C99" s="804"/>
      <c r="D99" s="805"/>
      <c r="E99" s="805"/>
      <c r="F99" s="805"/>
      <c r="G99" s="805"/>
      <c r="H99" s="805"/>
      <c r="I99" s="805"/>
      <c r="J99" s="805"/>
      <c r="K99" s="805"/>
      <c r="L99" s="805"/>
      <c r="M99" s="805"/>
      <c r="N99" s="805"/>
      <c r="O99" s="805"/>
      <c r="P99" s="805"/>
      <c r="Q99" s="805"/>
    </row>
    <row r="100" spans="2:17" s="753" customFormat="1" x14ac:dyDescent="0.2">
      <c r="B100" s="803"/>
      <c r="C100" s="804"/>
      <c r="D100" s="805"/>
      <c r="E100" s="805"/>
      <c r="F100" s="805"/>
      <c r="G100" s="805"/>
      <c r="H100" s="805"/>
      <c r="I100" s="805"/>
      <c r="J100" s="805"/>
      <c r="K100" s="805"/>
      <c r="L100" s="805"/>
      <c r="M100" s="805"/>
      <c r="N100" s="805"/>
      <c r="O100" s="805"/>
      <c r="P100" s="805"/>
      <c r="Q100" s="805"/>
    </row>
    <row r="101" spans="2:17" s="753" customFormat="1" x14ac:dyDescent="0.2">
      <c r="B101" s="803"/>
      <c r="C101" s="804"/>
      <c r="D101" s="805"/>
      <c r="E101" s="805"/>
      <c r="F101" s="805"/>
      <c r="G101" s="805"/>
      <c r="H101" s="805"/>
      <c r="I101" s="805"/>
      <c r="J101" s="805"/>
      <c r="K101" s="805"/>
      <c r="L101" s="805"/>
      <c r="M101" s="805"/>
      <c r="N101" s="805"/>
      <c r="O101" s="805"/>
      <c r="P101" s="805"/>
      <c r="Q101" s="805"/>
    </row>
    <row r="102" spans="2:17" s="753" customFormat="1" x14ac:dyDescent="0.2">
      <c r="B102" s="803"/>
      <c r="C102" s="804"/>
      <c r="D102" s="805"/>
      <c r="E102" s="805"/>
      <c r="F102" s="805"/>
      <c r="G102" s="805"/>
      <c r="H102" s="805"/>
      <c r="I102" s="805"/>
      <c r="J102" s="805"/>
      <c r="K102" s="805"/>
      <c r="L102" s="805"/>
      <c r="M102" s="805"/>
      <c r="N102" s="805"/>
      <c r="O102" s="805"/>
      <c r="P102" s="805"/>
      <c r="Q102" s="805"/>
    </row>
    <row r="103" spans="2:17" s="753" customFormat="1" x14ac:dyDescent="0.2">
      <c r="B103" s="803"/>
      <c r="C103" s="804"/>
      <c r="D103" s="805"/>
      <c r="E103" s="805"/>
      <c r="F103" s="805"/>
      <c r="G103" s="805"/>
      <c r="H103" s="805"/>
      <c r="I103" s="805"/>
      <c r="J103" s="805"/>
      <c r="K103" s="805"/>
      <c r="L103" s="805"/>
      <c r="M103" s="805"/>
      <c r="N103" s="805"/>
      <c r="O103" s="805"/>
      <c r="P103" s="805"/>
      <c r="Q103" s="805"/>
    </row>
    <row r="104" spans="2:17" s="753" customFormat="1" x14ac:dyDescent="0.2">
      <c r="B104" s="803"/>
      <c r="C104" s="804"/>
      <c r="D104" s="805"/>
      <c r="E104" s="805"/>
      <c r="F104" s="805"/>
      <c r="G104" s="805"/>
      <c r="H104" s="805"/>
      <c r="I104" s="805"/>
      <c r="J104" s="805"/>
      <c r="K104" s="805"/>
      <c r="L104" s="805"/>
      <c r="M104" s="805"/>
      <c r="N104" s="805"/>
      <c r="O104" s="805"/>
      <c r="P104" s="805"/>
      <c r="Q104" s="805"/>
    </row>
    <row r="105" spans="2:17" s="753" customFormat="1" x14ac:dyDescent="0.2">
      <c r="B105" s="803"/>
      <c r="C105" s="804"/>
      <c r="D105" s="805"/>
      <c r="E105" s="805"/>
      <c r="F105" s="805"/>
      <c r="G105" s="805"/>
      <c r="H105" s="805"/>
      <c r="I105" s="805"/>
      <c r="J105" s="805"/>
      <c r="K105" s="805"/>
      <c r="L105" s="805"/>
      <c r="M105" s="805"/>
      <c r="N105" s="805"/>
      <c r="O105" s="805"/>
      <c r="P105" s="805"/>
      <c r="Q105" s="805"/>
    </row>
    <row r="106" spans="2:17" s="753" customFormat="1" x14ac:dyDescent="0.2">
      <c r="B106" s="803"/>
      <c r="C106" s="804"/>
      <c r="D106" s="805"/>
      <c r="E106" s="805"/>
      <c r="F106" s="805"/>
      <c r="G106" s="805"/>
      <c r="H106" s="805"/>
      <c r="I106" s="805"/>
      <c r="J106" s="805"/>
      <c r="K106" s="805"/>
      <c r="L106" s="805"/>
      <c r="M106" s="805"/>
      <c r="N106" s="805"/>
      <c r="O106" s="805"/>
      <c r="P106" s="805"/>
      <c r="Q106" s="805"/>
    </row>
    <row r="107" spans="2:17" s="753" customFormat="1" x14ac:dyDescent="0.2">
      <c r="B107" s="803"/>
      <c r="C107" s="804"/>
      <c r="D107" s="805"/>
      <c r="E107" s="805"/>
      <c r="F107" s="805"/>
      <c r="G107" s="805"/>
      <c r="H107" s="805"/>
      <c r="I107" s="805"/>
      <c r="J107" s="805"/>
      <c r="K107" s="805"/>
      <c r="L107" s="805"/>
      <c r="M107" s="805"/>
      <c r="N107" s="805"/>
      <c r="O107" s="805"/>
      <c r="P107" s="805"/>
      <c r="Q107" s="805"/>
    </row>
    <row r="108" spans="2:17" s="753" customFormat="1" x14ac:dyDescent="0.2">
      <c r="B108" s="803"/>
      <c r="C108" s="804"/>
      <c r="D108" s="805"/>
      <c r="E108" s="805"/>
      <c r="F108" s="805"/>
      <c r="G108" s="805"/>
      <c r="H108" s="805"/>
      <c r="I108" s="805"/>
      <c r="J108" s="805"/>
      <c r="K108" s="805"/>
      <c r="L108" s="805"/>
      <c r="M108" s="805"/>
      <c r="N108" s="805"/>
      <c r="O108" s="805"/>
      <c r="P108" s="805"/>
      <c r="Q108" s="805"/>
    </row>
    <row r="109" spans="2:17" s="753" customFormat="1" x14ac:dyDescent="0.2">
      <c r="B109" s="803"/>
      <c r="C109" s="804"/>
      <c r="D109" s="805"/>
      <c r="E109" s="805"/>
      <c r="F109" s="805"/>
      <c r="G109" s="805"/>
      <c r="H109" s="805"/>
      <c r="I109" s="805"/>
      <c r="J109" s="805"/>
      <c r="K109" s="805"/>
      <c r="L109" s="805"/>
      <c r="M109" s="805"/>
      <c r="N109" s="805"/>
      <c r="O109" s="805"/>
      <c r="P109" s="805"/>
      <c r="Q109" s="805"/>
    </row>
    <row r="110" spans="2:17" s="753" customFormat="1" x14ac:dyDescent="0.2">
      <c r="B110" s="803"/>
      <c r="C110" s="804"/>
      <c r="D110" s="805"/>
      <c r="E110" s="805"/>
      <c r="F110" s="805"/>
      <c r="G110" s="805"/>
      <c r="H110" s="805"/>
      <c r="I110" s="805"/>
      <c r="J110" s="805"/>
      <c r="K110" s="805"/>
      <c r="L110" s="805"/>
      <c r="M110" s="805"/>
      <c r="N110" s="805"/>
      <c r="O110" s="805"/>
      <c r="P110" s="805"/>
      <c r="Q110" s="805"/>
    </row>
    <row r="111" spans="2:17" s="753" customFormat="1" x14ac:dyDescent="0.2">
      <c r="B111" s="803"/>
      <c r="C111" s="804"/>
      <c r="D111" s="805"/>
      <c r="E111" s="805"/>
      <c r="F111" s="805"/>
      <c r="G111" s="805"/>
      <c r="H111" s="805"/>
      <c r="I111" s="805"/>
      <c r="J111" s="805"/>
      <c r="K111" s="805"/>
      <c r="L111" s="805"/>
      <c r="M111" s="805"/>
      <c r="N111" s="805"/>
      <c r="O111" s="805"/>
      <c r="P111" s="805"/>
      <c r="Q111" s="805"/>
    </row>
    <row r="112" spans="2:17" s="753" customFormat="1" x14ac:dyDescent="0.2">
      <c r="B112" s="803"/>
      <c r="C112" s="804"/>
      <c r="D112" s="805"/>
      <c r="E112" s="805"/>
      <c r="F112" s="805"/>
      <c r="G112" s="805"/>
      <c r="H112" s="805"/>
      <c r="I112" s="805"/>
      <c r="J112" s="805"/>
      <c r="K112" s="805"/>
      <c r="L112" s="805"/>
      <c r="M112" s="805"/>
      <c r="N112" s="805"/>
      <c r="O112" s="805"/>
      <c r="P112" s="805"/>
      <c r="Q112" s="805"/>
    </row>
    <row r="113" spans="2:17" s="753" customFormat="1" x14ac:dyDescent="0.2">
      <c r="B113" s="803"/>
      <c r="C113" s="804"/>
      <c r="D113" s="805"/>
      <c r="E113" s="805"/>
      <c r="F113" s="805"/>
      <c r="G113" s="805"/>
      <c r="H113" s="805"/>
      <c r="I113" s="805"/>
      <c r="J113" s="805"/>
      <c r="K113" s="805"/>
      <c r="L113" s="805"/>
      <c r="M113" s="805"/>
      <c r="N113" s="805"/>
      <c r="O113" s="805"/>
      <c r="P113" s="805"/>
      <c r="Q113" s="805"/>
    </row>
    <row r="114" spans="2:17" s="753" customFormat="1" x14ac:dyDescent="0.2">
      <c r="B114" s="803"/>
      <c r="C114" s="804"/>
      <c r="D114" s="805"/>
      <c r="E114" s="805"/>
      <c r="F114" s="805"/>
      <c r="G114" s="805"/>
      <c r="H114" s="805"/>
      <c r="I114" s="805"/>
      <c r="J114" s="805"/>
      <c r="K114" s="805"/>
      <c r="L114" s="805"/>
      <c r="M114" s="805"/>
      <c r="N114" s="805"/>
      <c r="O114" s="805"/>
      <c r="P114" s="805"/>
      <c r="Q114" s="805"/>
    </row>
    <row r="115" spans="2:17" s="753" customFormat="1" x14ac:dyDescent="0.2">
      <c r="B115" s="803"/>
      <c r="C115" s="804"/>
      <c r="D115" s="805"/>
      <c r="E115" s="805"/>
      <c r="F115" s="805"/>
      <c r="G115" s="805"/>
      <c r="H115" s="805"/>
      <c r="I115" s="805"/>
      <c r="J115" s="805"/>
      <c r="K115" s="805"/>
      <c r="L115" s="805"/>
      <c r="M115" s="805"/>
      <c r="N115" s="805"/>
      <c r="O115" s="805"/>
      <c r="P115" s="805"/>
      <c r="Q115" s="805"/>
    </row>
    <row r="116" spans="2:17" s="753" customFormat="1" x14ac:dyDescent="0.2">
      <c r="B116" s="803"/>
      <c r="C116" s="804"/>
      <c r="D116" s="805"/>
      <c r="E116" s="805"/>
      <c r="F116" s="805"/>
      <c r="G116" s="805"/>
      <c r="H116" s="805"/>
      <c r="I116" s="805"/>
      <c r="J116" s="805"/>
      <c r="K116" s="805"/>
      <c r="L116" s="805"/>
      <c r="M116" s="805"/>
      <c r="N116" s="805"/>
      <c r="O116" s="805"/>
      <c r="P116" s="805"/>
      <c r="Q116" s="805"/>
    </row>
    <row r="117" spans="2:17" s="753" customFormat="1" x14ac:dyDescent="0.2">
      <c r="B117" s="803"/>
      <c r="C117" s="804"/>
      <c r="D117" s="805"/>
      <c r="E117" s="805"/>
      <c r="F117" s="805"/>
      <c r="G117" s="805"/>
      <c r="H117" s="805"/>
      <c r="I117" s="805"/>
      <c r="J117" s="805"/>
      <c r="K117" s="805"/>
      <c r="L117" s="805"/>
      <c r="M117" s="805"/>
      <c r="N117" s="805"/>
      <c r="O117" s="805"/>
      <c r="P117" s="805"/>
      <c r="Q117" s="805"/>
    </row>
    <row r="118" spans="2:17" s="753" customFormat="1" x14ac:dyDescent="0.2">
      <c r="B118" s="803"/>
      <c r="C118" s="804"/>
      <c r="D118" s="805"/>
      <c r="E118" s="805"/>
      <c r="F118" s="805"/>
      <c r="G118" s="805"/>
      <c r="H118" s="805"/>
      <c r="I118" s="805"/>
      <c r="J118" s="805"/>
      <c r="K118" s="805"/>
      <c r="L118" s="805"/>
      <c r="M118" s="805"/>
      <c r="N118" s="805"/>
      <c r="O118" s="805"/>
      <c r="P118" s="805"/>
      <c r="Q118" s="805"/>
    </row>
    <row r="119" spans="2:17" s="753" customFormat="1" x14ac:dyDescent="0.2">
      <c r="B119" s="803"/>
      <c r="C119" s="804"/>
      <c r="D119" s="805"/>
      <c r="E119" s="805"/>
      <c r="F119" s="805"/>
      <c r="G119" s="805"/>
      <c r="H119" s="805"/>
      <c r="I119" s="805"/>
      <c r="J119" s="805"/>
      <c r="K119" s="805"/>
      <c r="L119" s="805"/>
      <c r="M119" s="805"/>
      <c r="N119" s="805"/>
      <c r="O119" s="805"/>
      <c r="P119" s="805"/>
      <c r="Q119" s="805"/>
    </row>
    <row r="120" spans="2:17" s="753" customFormat="1" x14ac:dyDescent="0.2">
      <c r="B120" s="803"/>
      <c r="C120" s="804"/>
      <c r="D120" s="805"/>
      <c r="E120" s="805"/>
      <c r="F120" s="805"/>
      <c r="G120" s="805"/>
      <c r="H120" s="805"/>
      <c r="I120" s="805"/>
      <c r="J120" s="805"/>
      <c r="K120" s="805"/>
      <c r="L120" s="805"/>
      <c r="M120" s="805"/>
      <c r="N120" s="805"/>
      <c r="O120" s="805"/>
      <c r="P120" s="805"/>
      <c r="Q120" s="805"/>
    </row>
    <row r="121" spans="2:17" s="753" customFormat="1" x14ac:dyDescent="0.2">
      <c r="B121" s="803"/>
      <c r="C121" s="804"/>
      <c r="D121" s="805"/>
      <c r="E121" s="805"/>
      <c r="F121" s="805"/>
      <c r="G121" s="805"/>
      <c r="H121" s="805"/>
      <c r="I121" s="805"/>
      <c r="J121" s="805"/>
      <c r="K121" s="805"/>
      <c r="L121" s="805"/>
      <c r="M121" s="805"/>
      <c r="N121" s="805"/>
      <c r="O121" s="805"/>
      <c r="P121" s="805"/>
      <c r="Q121" s="805"/>
    </row>
    <row r="122" spans="2:17" s="753" customFormat="1" x14ac:dyDescent="0.2">
      <c r="B122" s="803"/>
      <c r="C122" s="804"/>
      <c r="D122" s="805"/>
      <c r="E122" s="805"/>
      <c r="F122" s="805"/>
      <c r="G122" s="805"/>
      <c r="H122" s="805"/>
      <c r="I122" s="805"/>
      <c r="J122" s="805"/>
      <c r="K122" s="805"/>
      <c r="L122" s="805"/>
      <c r="M122" s="805"/>
      <c r="N122" s="805"/>
      <c r="O122" s="805"/>
      <c r="P122" s="805"/>
      <c r="Q122" s="805"/>
    </row>
    <row r="123" spans="2:17" s="753" customFormat="1" x14ac:dyDescent="0.2">
      <c r="B123" s="803"/>
      <c r="C123" s="804"/>
      <c r="D123" s="805"/>
      <c r="E123" s="805"/>
      <c r="F123" s="805"/>
      <c r="G123" s="805"/>
      <c r="H123" s="805"/>
      <c r="I123" s="805"/>
      <c r="J123" s="805"/>
      <c r="K123" s="805"/>
      <c r="L123" s="805"/>
      <c r="M123" s="805"/>
      <c r="N123" s="805"/>
      <c r="O123" s="805"/>
      <c r="P123" s="805"/>
      <c r="Q123" s="805"/>
    </row>
    <row r="124" spans="2:17" s="753" customFormat="1" x14ac:dyDescent="0.2">
      <c r="B124" s="803"/>
      <c r="C124" s="804"/>
      <c r="D124" s="805"/>
      <c r="E124" s="805"/>
      <c r="F124" s="805"/>
      <c r="G124" s="805"/>
      <c r="H124" s="805"/>
      <c r="I124" s="805"/>
      <c r="J124" s="805"/>
      <c r="K124" s="805"/>
      <c r="L124" s="805"/>
      <c r="M124" s="805"/>
      <c r="N124" s="805"/>
      <c r="O124" s="805"/>
      <c r="P124" s="805"/>
      <c r="Q124" s="805"/>
    </row>
    <row r="125" spans="2:17" s="753" customFormat="1" x14ac:dyDescent="0.2">
      <c r="B125" s="803"/>
      <c r="C125" s="804"/>
      <c r="D125" s="805"/>
      <c r="E125" s="805"/>
      <c r="F125" s="805"/>
      <c r="G125" s="805"/>
      <c r="H125" s="805"/>
      <c r="I125" s="805"/>
      <c r="J125" s="805"/>
      <c r="K125" s="805"/>
      <c r="L125" s="805"/>
      <c r="M125" s="805"/>
      <c r="N125" s="805"/>
      <c r="O125" s="805"/>
      <c r="P125" s="805"/>
      <c r="Q125" s="805"/>
    </row>
    <row r="126" spans="2:17" s="753" customFormat="1" x14ac:dyDescent="0.2">
      <c r="B126" s="803"/>
      <c r="C126" s="804"/>
      <c r="D126" s="805"/>
      <c r="E126" s="805"/>
      <c r="F126" s="805"/>
      <c r="G126" s="805"/>
      <c r="H126" s="805"/>
      <c r="I126" s="805"/>
      <c r="J126" s="805"/>
      <c r="K126" s="805"/>
      <c r="L126" s="805"/>
      <c r="M126" s="805"/>
      <c r="N126" s="805"/>
      <c r="O126" s="805"/>
      <c r="P126" s="805"/>
      <c r="Q126" s="805"/>
    </row>
    <row r="127" spans="2:17" s="753" customFormat="1" x14ac:dyDescent="0.2">
      <c r="B127" s="803"/>
      <c r="C127" s="804"/>
      <c r="D127" s="805"/>
      <c r="E127" s="805"/>
      <c r="F127" s="805"/>
      <c r="G127" s="805"/>
      <c r="H127" s="805"/>
      <c r="I127" s="805"/>
      <c r="J127" s="805"/>
      <c r="K127" s="805"/>
      <c r="L127" s="805"/>
      <c r="M127" s="805"/>
      <c r="N127" s="805"/>
      <c r="O127" s="805"/>
      <c r="P127" s="805"/>
      <c r="Q127" s="805"/>
    </row>
    <row r="128" spans="2:17" s="753" customFormat="1" x14ac:dyDescent="0.2">
      <c r="B128" s="803"/>
      <c r="C128" s="804"/>
      <c r="D128" s="805"/>
      <c r="E128" s="805"/>
      <c r="F128" s="805"/>
      <c r="G128" s="805"/>
      <c r="H128" s="805"/>
      <c r="I128" s="805"/>
      <c r="J128" s="805"/>
      <c r="K128" s="805"/>
      <c r="L128" s="805"/>
      <c r="M128" s="805"/>
      <c r="N128" s="805"/>
      <c r="O128" s="805"/>
      <c r="P128" s="805"/>
      <c r="Q128" s="805"/>
    </row>
    <row r="129" spans="2:17" s="753" customFormat="1" x14ac:dyDescent="0.2">
      <c r="B129" s="803"/>
      <c r="C129" s="804"/>
      <c r="D129" s="805"/>
      <c r="E129" s="805"/>
      <c r="F129" s="805"/>
      <c r="G129" s="805"/>
      <c r="H129" s="805"/>
      <c r="I129" s="805"/>
      <c r="J129" s="805"/>
      <c r="K129" s="805"/>
      <c r="L129" s="805"/>
      <c r="M129" s="805"/>
      <c r="N129" s="805"/>
      <c r="O129" s="805"/>
      <c r="P129" s="805"/>
      <c r="Q129" s="805"/>
    </row>
    <row r="130" spans="2:17" s="753" customFormat="1" x14ac:dyDescent="0.2">
      <c r="B130" s="803"/>
      <c r="C130" s="804"/>
      <c r="D130" s="805"/>
      <c r="E130" s="805"/>
      <c r="F130" s="805"/>
      <c r="G130" s="805"/>
      <c r="H130" s="805"/>
      <c r="I130" s="805"/>
      <c r="J130" s="805"/>
      <c r="K130" s="805"/>
      <c r="L130" s="805"/>
      <c r="M130" s="805"/>
      <c r="N130" s="805"/>
      <c r="O130" s="805"/>
      <c r="P130" s="805"/>
      <c r="Q130" s="805"/>
    </row>
    <row r="131" spans="2:17" s="753" customFormat="1" x14ac:dyDescent="0.2">
      <c r="B131" s="803"/>
      <c r="C131" s="804"/>
      <c r="D131" s="805"/>
      <c r="E131" s="805"/>
      <c r="F131" s="805"/>
      <c r="G131" s="805"/>
      <c r="H131" s="805"/>
      <c r="I131" s="805"/>
      <c r="J131" s="805"/>
      <c r="K131" s="805"/>
      <c r="L131" s="805"/>
      <c r="M131" s="805"/>
      <c r="N131" s="805"/>
      <c r="O131" s="805"/>
      <c r="P131" s="805"/>
      <c r="Q131" s="805"/>
    </row>
    <row r="132" spans="2:17" s="753" customFormat="1" x14ac:dyDescent="0.2">
      <c r="B132" s="803"/>
      <c r="C132" s="804"/>
      <c r="D132" s="805"/>
      <c r="E132" s="805"/>
      <c r="F132" s="805"/>
      <c r="G132" s="805"/>
      <c r="H132" s="805"/>
      <c r="I132" s="805"/>
      <c r="J132" s="805"/>
      <c r="K132" s="805"/>
      <c r="L132" s="805"/>
      <c r="M132" s="805"/>
      <c r="N132" s="805"/>
      <c r="O132" s="805"/>
      <c r="P132" s="805"/>
      <c r="Q132" s="805"/>
    </row>
    <row r="133" spans="2:17" s="753" customFormat="1" x14ac:dyDescent="0.2">
      <c r="B133" s="803"/>
      <c r="C133" s="804"/>
      <c r="D133" s="805"/>
      <c r="E133" s="805"/>
      <c r="F133" s="805"/>
      <c r="G133" s="805"/>
      <c r="H133" s="805"/>
      <c r="I133" s="805"/>
      <c r="J133" s="805"/>
      <c r="K133" s="805"/>
      <c r="L133" s="805"/>
      <c r="M133" s="805"/>
      <c r="N133" s="805"/>
      <c r="O133" s="805"/>
      <c r="P133" s="805"/>
      <c r="Q133" s="805"/>
    </row>
    <row r="134" spans="2:17" s="753" customFormat="1" x14ac:dyDescent="0.2">
      <c r="B134" s="803"/>
      <c r="C134" s="804"/>
      <c r="D134" s="805"/>
      <c r="E134" s="805"/>
      <c r="F134" s="805"/>
      <c r="G134" s="805"/>
      <c r="H134" s="805"/>
      <c r="I134" s="805"/>
      <c r="J134" s="805"/>
      <c r="K134" s="805"/>
      <c r="L134" s="805"/>
      <c r="M134" s="805"/>
      <c r="N134" s="805"/>
      <c r="O134" s="805"/>
      <c r="P134" s="805"/>
      <c r="Q134" s="805"/>
    </row>
    <row r="135" spans="2:17" s="753" customFormat="1" x14ac:dyDescent="0.2">
      <c r="B135" s="803"/>
      <c r="C135" s="804"/>
      <c r="D135" s="805"/>
      <c r="E135" s="805"/>
      <c r="F135" s="805"/>
      <c r="G135" s="805"/>
      <c r="H135" s="805"/>
      <c r="I135" s="805"/>
      <c r="J135" s="805"/>
      <c r="K135" s="805"/>
      <c r="L135" s="805"/>
      <c r="M135" s="805"/>
      <c r="N135" s="805"/>
      <c r="O135" s="805"/>
      <c r="P135" s="805"/>
      <c r="Q135" s="805"/>
    </row>
    <row r="136" spans="2:17" s="753" customFormat="1" x14ac:dyDescent="0.2">
      <c r="B136" s="803"/>
      <c r="C136" s="804"/>
      <c r="D136" s="805"/>
      <c r="E136" s="805"/>
      <c r="F136" s="805"/>
      <c r="G136" s="805"/>
      <c r="H136" s="805"/>
      <c r="I136" s="805"/>
      <c r="J136" s="805"/>
      <c r="K136" s="805"/>
      <c r="L136" s="805"/>
      <c r="M136" s="805"/>
      <c r="N136" s="805"/>
      <c r="O136" s="805"/>
      <c r="P136" s="805"/>
      <c r="Q136" s="805"/>
    </row>
    <row r="137" spans="2:17" s="753" customFormat="1" x14ac:dyDescent="0.2">
      <c r="B137" s="803"/>
      <c r="C137" s="804"/>
      <c r="D137" s="805"/>
      <c r="E137" s="805"/>
      <c r="F137" s="805"/>
      <c r="G137" s="805"/>
      <c r="H137" s="805"/>
      <c r="I137" s="805"/>
      <c r="J137" s="805"/>
      <c r="K137" s="805"/>
      <c r="L137" s="805"/>
      <c r="M137" s="805"/>
      <c r="N137" s="805"/>
      <c r="O137" s="805"/>
      <c r="P137" s="805"/>
      <c r="Q137" s="805"/>
    </row>
    <row r="138" spans="2:17" s="753" customFormat="1" x14ac:dyDescent="0.2">
      <c r="B138" s="803"/>
      <c r="C138" s="804"/>
      <c r="D138" s="805"/>
      <c r="E138" s="805"/>
      <c r="F138" s="805"/>
      <c r="G138" s="805"/>
      <c r="H138" s="805"/>
      <c r="I138" s="805"/>
      <c r="J138" s="805"/>
      <c r="K138" s="805"/>
      <c r="L138" s="805"/>
      <c r="M138" s="805"/>
      <c r="N138" s="805"/>
      <c r="O138" s="805"/>
      <c r="P138" s="805"/>
      <c r="Q138" s="805"/>
    </row>
    <row r="139" spans="2:17" s="753" customFormat="1" x14ac:dyDescent="0.2">
      <c r="B139" s="803"/>
      <c r="C139" s="804"/>
      <c r="D139" s="805"/>
      <c r="E139" s="805"/>
      <c r="F139" s="805"/>
      <c r="G139" s="805"/>
      <c r="H139" s="805"/>
      <c r="I139" s="805"/>
      <c r="J139" s="805"/>
      <c r="K139" s="805"/>
      <c r="L139" s="805"/>
      <c r="M139" s="805"/>
      <c r="N139" s="805"/>
      <c r="O139" s="805"/>
      <c r="P139" s="805"/>
      <c r="Q139" s="805"/>
    </row>
    <row r="140" spans="2:17" s="753" customFormat="1" x14ac:dyDescent="0.2">
      <c r="B140" s="803"/>
      <c r="C140" s="804"/>
      <c r="D140" s="805"/>
      <c r="E140" s="805"/>
      <c r="F140" s="805"/>
      <c r="G140" s="805"/>
      <c r="H140" s="805"/>
      <c r="I140" s="805"/>
      <c r="J140" s="805"/>
      <c r="K140" s="805"/>
      <c r="L140" s="805"/>
      <c r="M140" s="805"/>
      <c r="N140" s="805"/>
      <c r="O140" s="805"/>
      <c r="P140" s="805"/>
      <c r="Q140" s="805"/>
    </row>
    <row r="141" spans="2:17" s="753" customFormat="1" x14ac:dyDescent="0.2">
      <c r="B141" s="803"/>
      <c r="C141" s="804"/>
      <c r="D141" s="805"/>
      <c r="E141" s="805"/>
      <c r="F141" s="805"/>
      <c r="G141" s="805"/>
      <c r="H141" s="805"/>
      <c r="I141" s="805"/>
      <c r="J141" s="805"/>
      <c r="K141" s="805"/>
      <c r="L141" s="805"/>
      <c r="M141" s="805"/>
      <c r="N141" s="805"/>
      <c r="O141" s="805"/>
      <c r="P141" s="805"/>
      <c r="Q141" s="805"/>
    </row>
    <row r="142" spans="2:17" s="753" customFormat="1" x14ac:dyDescent="0.2">
      <c r="B142" s="803"/>
      <c r="C142" s="804"/>
      <c r="D142" s="805"/>
      <c r="E142" s="805"/>
      <c r="F142" s="805"/>
      <c r="G142" s="805"/>
      <c r="H142" s="805"/>
      <c r="I142" s="805"/>
      <c r="J142" s="805"/>
      <c r="K142" s="805"/>
      <c r="L142" s="805"/>
      <c r="M142" s="805"/>
      <c r="N142" s="805"/>
      <c r="O142" s="805"/>
      <c r="P142" s="805"/>
      <c r="Q142" s="805"/>
    </row>
    <row r="143" spans="2:17" s="753" customFormat="1" x14ac:dyDescent="0.2">
      <c r="B143" s="803"/>
      <c r="C143" s="804"/>
      <c r="D143" s="805"/>
      <c r="E143" s="805"/>
      <c r="F143" s="805"/>
      <c r="G143" s="805"/>
      <c r="H143" s="805"/>
      <c r="I143" s="805"/>
      <c r="J143" s="805"/>
      <c r="K143" s="805"/>
      <c r="L143" s="805"/>
      <c r="M143" s="805"/>
      <c r="N143" s="805"/>
      <c r="O143" s="805"/>
      <c r="P143" s="805"/>
      <c r="Q143" s="805"/>
    </row>
    <row r="144" spans="2:17" s="753" customFormat="1" x14ac:dyDescent="0.2">
      <c r="B144" s="803"/>
      <c r="C144" s="804"/>
      <c r="D144" s="805"/>
      <c r="E144" s="805"/>
      <c r="F144" s="805"/>
      <c r="G144" s="805"/>
      <c r="H144" s="805"/>
      <c r="I144" s="805"/>
      <c r="J144" s="805"/>
      <c r="K144" s="805"/>
      <c r="L144" s="805"/>
      <c r="M144" s="805"/>
      <c r="N144" s="805"/>
      <c r="O144" s="805"/>
      <c r="P144" s="805"/>
      <c r="Q144" s="805"/>
    </row>
    <row r="145" spans="2:17" s="753" customFormat="1" x14ac:dyDescent="0.2">
      <c r="B145" s="803"/>
      <c r="C145" s="804"/>
      <c r="D145" s="805"/>
      <c r="E145" s="805"/>
      <c r="F145" s="805"/>
      <c r="G145" s="805"/>
      <c r="H145" s="805"/>
      <c r="I145" s="805"/>
      <c r="J145" s="805"/>
      <c r="K145" s="805"/>
      <c r="L145" s="805"/>
      <c r="M145" s="805"/>
      <c r="N145" s="805"/>
      <c r="O145" s="805"/>
      <c r="P145" s="805"/>
      <c r="Q145" s="805"/>
    </row>
    <row r="146" spans="2:17" s="753" customFormat="1" x14ac:dyDescent="0.2">
      <c r="B146" s="803"/>
      <c r="C146" s="804"/>
      <c r="D146" s="805"/>
      <c r="E146" s="805"/>
      <c r="F146" s="805"/>
      <c r="G146" s="805"/>
      <c r="H146" s="805"/>
      <c r="I146" s="805"/>
      <c r="J146" s="805"/>
      <c r="K146" s="805"/>
      <c r="L146" s="805"/>
      <c r="M146" s="805"/>
      <c r="N146" s="805"/>
      <c r="O146" s="805"/>
      <c r="P146" s="805"/>
      <c r="Q146" s="805"/>
    </row>
    <row r="147" spans="2:17" s="753" customFormat="1" x14ac:dyDescent="0.2">
      <c r="B147" s="803"/>
      <c r="C147" s="804"/>
      <c r="D147" s="805"/>
      <c r="E147" s="805"/>
      <c r="F147" s="805"/>
      <c r="G147" s="805"/>
      <c r="H147" s="805"/>
      <c r="I147" s="805"/>
      <c r="J147" s="805"/>
      <c r="K147" s="805"/>
      <c r="L147" s="805"/>
      <c r="M147" s="805"/>
      <c r="N147" s="805"/>
      <c r="O147" s="805"/>
      <c r="P147" s="805"/>
      <c r="Q147" s="805"/>
    </row>
    <row r="148" spans="2:17" s="753" customFormat="1" x14ac:dyDescent="0.2">
      <c r="B148" s="803"/>
      <c r="C148" s="804"/>
      <c r="D148" s="805"/>
      <c r="E148" s="805"/>
      <c r="F148" s="805"/>
      <c r="G148" s="805"/>
      <c r="H148" s="805"/>
      <c r="I148" s="805"/>
      <c r="J148" s="805"/>
      <c r="K148" s="805"/>
      <c r="L148" s="805"/>
      <c r="M148" s="805"/>
      <c r="N148" s="805"/>
      <c r="O148" s="805"/>
      <c r="P148" s="805"/>
      <c r="Q148" s="805"/>
    </row>
    <row r="149" spans="2:17" s="753" customFormat="1" x14ac:dyDescent="0.2">
      <c r="B149" s="803"/>
      <c r="C149" s="804"/>
      <c r="D149" s="805"/>
      <c r="E149" s="805"/>
      <c r="F149" s="805"/>
      <c r="G149" s="805"/>
      <c r="H149" s="805"/>
      <c r="I149" s="805"/>
      <c r="J149" s="805"/>
      <c r="K149" s="805"/>
      <c r="L149" s="805"/>
      <c r="M149" s="805"/>
      <c r="N149" s="805"/>
      <c r="O149" s="805"/>
      <c r="P149" s="805"/>
      <c r="Q149" s="805"/>
    </row>
    <row r="150" spans="2:17" s="753" customFormat="1" x14ac:dyDescent="0.2">
      <c r="B150" s="803"/>
      <c r="C150" s="804"/>
      <c r="D150" s="805"/>
      <c r="E150" s="805"/>
      <c r="F150" s="805"/>
      <c r="G150" s="805"/>
      <c r="H150" s="805"/>
      <c r="I150" s="805"/>
      <c r="J150" s="805"/>
      <c r="K150" s="805"/>
      <c r="L150" s="805"/>
      <c r="M150" s="805"/>
      <c r="N150" s="805"/>
      <c r="O150" s="805"/>
      <c r="P150" s="805"/>
      <c r="Q150" s="805"/>
    </row>
    <row r="151" spans="2:17" s="753" customFormat="1" x14ac:dyDescent="0.2">
      <c r="B151" s="803"/>
      <c r="C151" s="804"/>
      <c r="D151" s="805"/>
      <c r="E151" s="805"/>
      <c r="F151" s="805"/>
      <c r="G151" s="805"/>
      <c r="H151" s="805"/>
      <c r="I151" s="805"/>
      <c r="J151" s="805"/>
      <c r="K151" s="805"/>
      <c r="L151" s="805"/>
      <c r="M151" s="805"/>
      <c r="N151" s="805"/>
      <c r="O151" s="805"/>
      <c r="P151" s="805"/>
      <c r="Q151" s="805"/>
    </row>
    <row r="152" spans="2:17" s="753" customFormat="1" x14ac:dyDescent="0.2">
      <c r="B152" s="803"/>
      <c r="C152" s="804"/>
      <c r="D152" s="805"/>
      <c r="E152" s="805"/>
      <c r="F152" s="805"/>
      <c r="G152" s="805"/>
      <c r="H152" s="805"/>
      <c r="I152" s="805"/>
      <c r="J152" s="805"/>
      <c r="K152" s="805"/>
      <c r="L152" s="805"/>
      <c r="M152" s="805"/>
      <c r="N152" s="805"/>
      <c r="O152" s="805"/>
      <c r="P152" s="805"/>
      <c r="Q152" s="805"/>
    </row>
    <row r="153" spans="2:17" s="753" customFormat="1" x14ac:dyDescent="0.2">
      <c r="B153" s="803"/>
      <c r="C153" s="804"/>
      <c r="D153" s="805"/>
      <c r="E153" s="805"/>
      <c r="F153" s="805"/>
      <c r="G153" s="805"/>
      <c r="H153" s="805"/>
      <c r="I153" s="805"/>
      <c r="J153" s="805"/>
      <c r="K153" s="805"/>
      <c r="L153" s="805"/>
      <c r="M153" s="805"/>
      <c r="N153" s="805"/>
      <c r="O153" s="805"/>
      <c r="P153" s="805"/>
      <c r="Q153" s="805"/>
    </row>
    <row r="154" spans="2:17" s="753" customFormat="1" x14ac:dyDescent="0.2">
      <c r="B154" s="803"/>
      <c r="C154" s="804"/>
      <c r="D154" s="805"/>
      <c r="E154" s="805"/>
      <c r="F154" s="805"/>
      <c r="G154" s="805"/>
      <c r="H154" s="805"/>
      <c r="I154" s="805"/>
      <c r="J154" s="805"/>
      <c r="K154" s="805"/>
      <c r="L154" s="805"/>
      <c r="M154" s="805"/>
      <c r="N154" s="805"/>
      <c r="O154" s="805"/>
      <c r="P154" s="805"/>
      <c r="Q154" s="805"/>
    </row>
    <row r="155" spans="2:17" s="753" customFormat="1" x14ac:dyDescent="0.2">
      <c r="B155" s="803"/>
      <c r="C155" s="804"/>
      <c r="D155" s="805"/>
      <c r="E155" s="805"/>
      <c r="F155" s="805"/>
      <c r="G155" s="805"/>
      <c r="H155" s="805"/>
      <c r="I155" s="805"/>
      <c r="J155" s="805"/>
      <c r="K155" s="805"/>
      <c r="L155" s="805"/>
      <c r="M155" s="805"/>
      <c r="N155" s="805"/>
      <c r="O155" s="805"/>
      <c r="P155" s="805"/>
      <c r="Q155" s="805"/>
    </row>
    <row r="156" spans="2:17" s="753" customFormat="1" x14ac:dyDescent="0.2">
      <c r="B156" s="803"/>
      <c r="C156" s="804"/>
      <c r="D156" s="805"/>
      <c r="E156" s="805"/>
      <c r="F156" s="805"/>
      <c r="G156" s="805"/>
      <c r="H156" s="805"/>
      <c r="I156" s="805"/>
      <c r="J156" s="805"/>
      <c r="K156" s="805"/>
      <c r="L156" s="805"/>
      <c r="M156" s="805"/>
      <c r="N156" s="805"/>
      <c r="O156" s="805"/>
      <c r="P156" s="805"/>
      <c r="Q156" s="805"/>
    </row>
    <row r="157" spans="2:17" s="753" customFormat="1" x14ac:dyDescent="0.2">
      <c r="B157" s="803"/>
      <c r="C157" s="804"/>
      <c r="D157" s="805"/>
      <c r="E157" s="805"/>
      <c r="F157" s="805"/>
      <c r="G157" s="805"/>
      <c r="H157" s="805"/>
      <c r="I157" s="805"/>
      <c r="J157" s="805"/>
      <c r="K157" s="805"/>
      <c r="L157" s="805"/>
      <c r="M157" s="805"/>
      <c r="N157" s="805"/>
      <c r="O157" s="805"/>
      <c r="P157" s="805"/>
      <c r="Q157" s="805"/>
    </row>
    <row r="158" spans="2:17" s="753" customFormat="1" x14ac:dyDescent="0.2">
      <c r="B158" s="803"/>
      <c r="C158" s="804"/>
      <c r="D158" s="805"/>
      <c r="E158" s="805"/>
      <c r="F158" s="805"/>
      <c r="G158" s="805"/>
      <c r="H158" s="805"/>
      <c r="I158" s="805"/>
      <c r="J158" s="805"/>
      <c r="K158" s="805"/>
      <c r="L158" s="805"/>
      <c r="M158" s="805"/>
      <c r="N158" s="805"/>
      <c r="O158" s="805"/>
      <c r="P158" s="805"/>
      <c r="Q158" s="805"/>
    </row>
    <row r="159" spans="2:17" s="753" customFormat="1" x14ac:dyDescent="0.2">
      <c r="B159" s="803"/>
      <c r="C159" s="804"/>
      <c r="D159" s="805"/>
      <c r="E159" s="805"/>
      <c r="F159" s="805"/>
      <c r="G159" s="805"/>
      <c r="H159" s="805"/>
      <c r="I159" s="805"/>
      <c r="J159" s="805"/>
      <c r="K159" s="805"/>
      <c r="L159" s="805"/>
      <c r="M159" s="805"/>
      <c r="N159" s="805"/>
      <c r="O159" s="805"/>
      <c r="P159" s="805"/>
      <c r="Q159" s="805"/>
    </row>
    <row r="160" spans="2:17" s="753" customFormat="1" x14ac:dyDescent="0.2">
      <c r="B160" s="803"/>
      <c r="C160" s="804"/>
      <c r="D160" s="805"/>
      <c r="E160" s="805"/>
      <c r="F160" s="805"/>
      <c r="G160" s="805"/>
      <c r="H160" s="805"/>
      <c r="I160" s="805"/>
      <c r="J160" s="805"/>
      <c r="K160" s="805"/>
      <c r="L160" s="805"/>
      <c r="M160" s="805"/>
      <c r="N160" s="805"/>
      <c r="O160" s="805"/>
      <c r="P160" s="805"/>
      <c r="Q160" s="805"/>
    </row>
    <row r="161" spans="2:17" s="753" customFormat="1" x14ac:dyDescent="0.2">
      <c r="B161" s="803"/>
      <c r="C161" s="804"/>
      <c r="D161" s="805"/>
      <c r="E161" s="805"/>
      <c r="F161" s="805"/>
      <c r="G161" s="805"/>
      <c r="H161" s="805"/>
      <c r="I161" s="805"/>
      <c r="J161" s="805"/>
      <c r="K161" s="805"/>
      <c r="L161" s="805"/>
      <c r="M161" s="805"/>
      <c r="N161" s="805"/>
      <c r="O161" s="805"/>
      <c r="P161" s="805"/>
      <c r="Q161" s="805"/>
    </row>
    <row r="162" spans="2:17" s="753" customFormat="1" x14ac:dyDescent="0.2">
      <c r="B162" s="803"/>
      <c r="C162" s="804"/>
      <c r="D162" s="805"/>
      <c r="E162" s="805"/>
      <c r="F162" s="805"/>
      <c r="G162" s="805"/>
      <c r="H162" s="805"/>
      <c r="I162" s="805"/>
      <c r="J162" s="805"/>
      <c r="K162" s="805"/>
      <c r="L162" s="805"/>
      <c r="M162" s="805"/>
      <c r="N162" s="805"/>
      <c r="O162" s="805"/>
      <c r="P162" s="805"/>
      <c r="Q162" s="805"/>
    </row>
    <row r="163" spans="2:17" s="753" customFormat="1" x14ac:dyDescent="0.2">
      <c r="B163" s="803"/>
      <c r="C163" s="804"/>
      <c r="D163" s="805"/>
      <c r="E163" s="805"/>
      <c r="F163" s="805"/>
      <c r="G163" s="805"/>
      <c r="H163" s="805"/>
      <c r="I163" s="805"/>
      <c r="J163" s="805"/>
      <c r="K163" s="805"/>
      <c r="L163" s="805"/>
      <c r="M163" s="805"/>
      <c r="N163" s="805"/>
      <c r="O163" s="805"/>
      <c r="P163" s="805"/>
      <c r="Q163" s="805"/>
    </row>
    <row r="164" spans="2:17" s="753" customFormat="1" x14ac:dyDescent="0.2">
      <c r="B164" s="803"/>
      <c r="C164" s="804"/>
      <c r="D164" s="805"/>
      <c r="E164" s="805"/>
      <c r="F164" s="805"/>
      <c r="G164" s="805"/>
      <c r="H164" s="805"/>
      <c r="I164" s="805"/>
      <c r="J164" s="805"/>
      <c r="K164" s="805"/>
      <c r="L164" s="805"/>
      <c r="M164" s="805"/>
      <c r="N164" s="805"/>
      <c r="O164" s="805"/>
      <c r="P164" s="805"/>
      <c r="Q164" s="805"/>
    </row>
    <row r="165" spans="2:17" s="753" customFormat="1" x14ac:dyDescent="0.2">
      <c r="B165" s="803"/>
      <c r="C165" s="804"/>
      <c r="D165" s="805"/>
      <c r="E165" s="805"/>
      <c r="F165" s="805"/>
      <c r="G165" s="805"/>
      <c r="H165" s="805"/>
      <c r="I165" s="805"/>
      <c r="J165" s="805"/>
      <c r="K165" s="805"/>
      <c r="L165" s="805"/>
      <c r="M165" s="805"/>
      <c r="N165" s="805"/>
      <c r="O165" s="805"/>
      <c r="P165" s="805"/>
      <c r="Q165" s="805"/>
    </row>
  </sheetData>
  <mergeCells count="20">
    <mergeCell ref="C4:D4"/>
    <mergeCell ref="B5:Q5"/>
    <mergeCell ref="B6:B8"/>
    <mergeCell ref="C6:C7"/>
    <mergeCell ref="D6:D7"/>
    <mergeCell ref="E6:F6"/>
    <mergeCell ref="G6:H6"/>
    <mergeCell ref="I6:J6"/>
    <mergeCell ref="K6:K7"/>
    <mergeCell ref="L6:L7"/>
    <mergeCell ref="B26:Q26"/>
    <mergeCell ref="B27:Q30"/>
    <mergeCell ref="B31:Q31"/>
    <mergeCell ref="B32:Q32"/>
    <mergeCell ref="M6:Q7"/>
    <mergeCell ref="B9:Q9"/>
    <mergeCell ref="B14:Q14"/>
    <mergeCell ref="B19:Q19"/>
    <mergeCell ref="B24:Q24"/>
    <mergeCell ref="B25:Q25"/>
  </mergeCells>
  <printOptions horizontalCentered="1"/>
  <pageMargins left="0.59055118110236227" right="0.59055118110236227" top="1.7716535433070868" bottom="0.78740157480314965" header="0" footer="0"/>
  <pageSetup paperSize="9" scale="16" orientation="landscape" r:id="rId1"/>
  <headerFooter scaleWithDoc="0">
    <oddHeader>&amp;L&amp;G</oddHeader>
    <oddFooter>&amp;C&amp;"-,Negrito"&amp;12DIONI CAETANEO DE OLIVEIRA
&amp;"-,Regular"ENGENHEIRO CIVIL - CREA /MT 40957
DEPARTAMENTO DE ENGENHARIA</oddFooter>
  </headerFooter>
  <colBreaks count="1" manualBreakCount="1">
    <brk id="17" max="1048575" man="1"/>
  </colBreaks>
  <legacyDrawingHF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224CD-BAFA-4E06-984C-1E34380671F9}">
  <sheetPr codeName="Planilha34">
    <tabColor rgb="FF99CCFF"/>
  </sheetPr>
  <dimension ref="A1:E37"/>
  <sheetViews>
    <sheetView showGridLines="0" view="pageLayout" topLeftCell="A4" zoomScaleNormal="85" zoomScaleSheetLayoutView="85" workbookViewId="0">
      <selection activeCell="K45" sqref="K45"/>
    </sheetView>
  </sheetViews>
  <sheetFormatPr defaultColWidth="9.140625" defaultRowHeight="16.5" x14ac:dyDescent="0.3"/>
  <cols>
    <col min="1" max="1" width="18.28515625" style="719" customWidth="1"/>
    <col min="2" max="2" width="99.28515625" style="719" customWidth="1"/>
    <col min="3" max="3" width="14.85546875" style="719" customWidth="1"/>
    <col min="4" max="4" width="13.85546875" style="719" customWidth="1"/>
    <col min="5" max="5" width="15.7109375" style="719" customWidth="1"/>
    <col min="6" max="16384" width="9.140625" style="719"/>
  </cols>
  <sheetData>
    <row r="1" spans="1:5" ht="20.100000000000001" customHeight="1" x14ac:dyDescent="0.3">
      <c r="A1" s="716"/>
      <c r="B1" s="717"/>
      <c r="C1" s="717"/>
      <c r="D1" s="717"/>
      <c r="E1" s="718"/>
    </row>
    <row r="2" spans="1:5" ht="20.100000000000001" customHeight="1" x14ac:dyDescent="0.3">
      <c r="A2" s="720"/>
      <c r="B2" s="721" t="s">
        <v>446</v>
      </c>
      <c r="C2" s="722"/>
      <c r="D2" s="722"/>
      <c r="E2" s="723"/>
    </row>
    <row r="3" spans="1:5" ht="20.100000000000001" customHeight="1" x14ac:dyDescent="0.3">
      <c r="A3" s="720"/>
      <c r="B3" s="721" t="s">
        <v>447</v>
      </c>
      <c r="C3" s="722"/>
      <c r="D3" s="722"/>
      <c r="E3" s="723"/>
    </row>
    <row r="4" spans="1:5" ht="20.100000000000001" customHeight="1" x14ac:dyDescent="0.3">
      <c r="A4" s="720"/>
      <c r="B4" s="722"/>
      <c r="C4" s="724"/>
      <c r="D4" s="724"/>
      <c r="E4" s="725"/>
    </row>
    <row r="5" spans="1:5" ht="23.25" customHeight="1" x14ac:dyDescent="0.3">
      <c r="A5" s="1451" t="s">
        <v>448</v>
      </c>
      <c r="B5" s="1452"/>
      <c r="C5" s="1452"/>
      <c r="D5" s="1452"/>
      <c r="E5" s="1453"/>
    </row>
    <row r="6" spans="1:5" s="728" customFormat="1" ht="25.5" customHeight="1" x14ac:dyDescent="0.25">
      <c r="A6" s="1454" t="s">
        <v>449</v>
      </c>
      <c r="B6" s="1455"/>
      <c r="C6" s="726" t="s">
        <v>450</v>
      </c>
      <c r="D6" s="726" t="s">
        <v>451</v>
      </c>
      <c r="E6" s="727" t="s">
        <v>30</v>
      </c>
    </row>
    <row r="7" spans="1:5" s="734" customFormat="1" ht="15" x14ac:dyDescent="0.25">
      <c r="A7" s="729">
        <v>45292</v>
      </c>
      <c r="B7" s="730" t="s">
        <v>315</v>
      </c>
      <c r="C7" s="731">
        <v>5.1129319346114075</v>
      </c>
      <c r="D7" s="732">
        <v>3.6499999999999998E-2</v>
      </c>
      <c r="E7" s="733">
        <f>TRUNC(C7/(1-D7),5)</f>
        <v>5.3066199999999997</v>
      </c>
    </row>
    <row r="8" spans="1:5" s="734" customFormat="1" ht="15" x14ac:dyDescent="0.25">
      <c r="A8" s="735">
        <v>45292</v>
      </c>
      <c r="B8" s="736" t="s">
        <v>452</v>
      </c>
      <c r="C8" s="737" t="s">
        <v>310</v>
      </c>
      <c r="D8" s="738" t="s">
        <v>310</v>
      </c>
      <c r="E8" s="739" t="s">
        <v>310</v>
      </c>
    </row>
    <row r="9" spans="1:5" s="734" customFormat="1" ht="15" x14ac:dyDescent="0.25">
      <c r="A9" s="735">
        <v>45292</v>
      </c>
      <c r="B9" s="736" t="s">
        <v>453</v>
      </c>
      <c r="C9" s="737" t="s">
        <v>310</v>
      </c>
      <c r="D9" s="738" t="s">
        <v>310</v>
      </c>
      <c r="E9" s="739" t="s">
        <v>310</v>
      </c>
    </row>
    <row r="10" spans="1:5" s="734" customFormat="1" ht="15" x14ac:dyDescent="0.25">
      <c r="A10" s="735">
        <v>45292</v>
      </c>
      <c r="B10" s="736" t="s">
        <v>454</v>
      </c>
      <c r="C10" s="737" t="s">
        <v>310</v>
      </c>
      <c r="D10" s="738" t="s">
        <v>310</v>
      </c>
      <c r="E10" s="739" t="s">
        <v>310</v>
      </c>
    </row>
    <row r="11" spans="1:5" s="734" customFormat="1" ht="15" x14ac:dyDescent="0.25">
      <c r="A11" s="735">
        <v>45292</v>
      </c>
      <c r="B11" s="736" t="s">
        <v>455</v>
      </c>
      <c r="C11" s="737" t="s">
        <v>310</v>
      </c>
      <c r="D11" s="738" t="s">
        <v>310</v>
      </c>
      <c r="E11" s="739" t="s">
        <v>310</v>
      </c>
    </row>
    <row r="12" spans="1:5" s="734" customFormat="1" ht="15" x14ac:dyDescent="0.25">
      <c r="A12" s="735">
        <v>45292</v>
      </c>
      <c r="B12" s="736" t="s">
        <v>456</v>
      </c>
      <c r="C12" s="737" t="s">
        <v>310</v>
      </c>
      <c r="D12" s="738" t="s">
        <v>310</v>
      </c>
      <c r="E12" s="739" t="s">
        <v>310</v>
      </c>
    </row>
    <row r="13" spans="1:5" s="734" customFormat="1" ht="15" x14ac:dyDescent="0.25">
      <c r="A13" s="735">
        <v>45292</v>
      </c>
      <c r="B13" s="736" t="s">
        <v>457</v>
      </c>
      <c r="C13" s="737" t="s">
        <v>310</v>
      </c>
      <c r="D13" s="738" t="s">
        <v>310</v>
      </c>
      <c r="E13" s="739" t="s">
        <v>310</v>
      </c>
    </row>
    <row r="14" spans="1:5" s="734" customFormat="1" ht="15" x14ac:dyDescent="0.25">
      <c r="A14" s="735">
        <v>45292</v>
      </c>
      <c r="B14" s="736" t="s">
        <v>458</v>
      </c>
      <c r="C14" s="737">
        <v>5.3097256526739516</v>
      </c>
      <c r="D14" s="740">
        <v>3.6499999999999998E-2</v>
      </c>
      <c r="E14" s="739">
        <f>TRUNC(C14/(1-D14),5)</f>
        <v>5.5108699999999997</v>
      </c>
    </row>
    <row r="15" spans="1:5" s="734" customFormat="1" ht="15" x14ac:dyDescent="0.25">
      <c r="A15" s="735">
        <v>45292</v>
      </c>
      <c r="B15" s="736" t="s">
        <v>459</v>
      </c>
      <c r="C15" s="737" t="s">
        <v>310</v>
      </c>
      <c r="D15" s="738" t="s">
        <v>310</v>
      </c>
      <c r="E15" s="739" t="s">
        <v>310</v>
      </c>
    </row>
    <row r="16" spans="1:5" s="734" customFormat="1" ht="15" x14ac:dyDescent="0.25">
      <c r="A16" s="735">
        <v>45292</v>
      </c>
      <c r="B16" s="736" t="s">
        <v>460</v>
      </c>
      <c r="C16" s="737" t="s">
        <v>310</v>
      </c>
      <c r="D16" s="738" t="s">
        <v>310</v>
      </c>
      <c r="E16" s="739" t="s">
        <v>310</v>
      </c>
    </row>
    <row r="17" spans="1:5" s="734" customFormat="1" ht="15" x14ac:dyDescent="0.25">
      <c r="A17" s="735">
        <v>45292</v>
      </c>
      <c r="B17" s="736" t="s">
        <v>461</v>
      </c>
      <c r="C17" s="737">
        <v>4.2447977584315684</v>
      </c>
      <c r="D17" s="740">
        <v>3.6499999999999998E-2</v>
      </c>
      <c r="E17" s="739">
        <f>TRUNC(C17/(1-D17),5)</f>
        <v>4.4055999999999997</v>
      </c>
    </row>
    <row r="18" spans="1:5" s="734" customFormat="1" ht="15" x14ac:dyDescent="0.25">
      <c r="A18" s="735">
        <v>45292</v>
      </c>
      <c r="B18" s="736" t="s">
        <v>462</v>
      </c>
      <c r="C18" s="737">
        <v>4.1042649986339113</v>
      </c>
      <c r="D18" s="740">
        <v>3.6499999999999998E-2</v>
      </c>
      <c r="E18" s="739">
        <f>TRUNC(C18/(1-D18),5)</f>
        <v>4.2597399999999999</v>
      </c>
    </row>
    <row r="19" spans="1:5" s="734" customFormat="1" ht="15" x14ac:dyDescent="0.25">
      <c r="A19" s="735">
        <v>45292</v>
      </c>
      <c r="B19" s="736" t="s">
        <v>463</v>
      </c>
      <c r="C19" s="737" t="s">
        <v>310</v>
      </c>
      <c r="D19" s="738" t="s">
        <v>310</v>
      </c>
      <c r="E19" s="739" t="s">
        <v>310</v>
      </c>
    </row>
    <row r="20" spans="1:5" s="734" customFormat="1" ht="15" x14ac:dyDescent="0.25">
      <c r="A20" s="735">
        <v>45292</v>
      </c>
      <c r="B20" s="736" t="s">
        <v>464</v>
      </c>
      <c r="C20" s="737" t="s">
        <v>310</v>
      </c>
      <c r="D20" s="738" t="s">
        <v>310</v>
      </c>
      <c r="E20" s="739" t="s">
        <v>310</v>
      </c>
    </row>
    <row r="21" spans="1:5" s="734" customFormat="1" ht="15" x14ac:dyDescent="0.25">
      <c r="A21" s="735">
        <v>45292</v>
      </c>
      <c r="B21" s="736" t="s">
        <v>465</v>
      </c>
      <c r="C21" s="737" t="s">
        <v>310</v>
      </c>
      <c r="D21" s="738" t="s">
        <v>310</v>
      </c>
      <c r="E21" s="739" t="s">
        <v>310</v>
      </c>
    </row>
    <row r="22" spans="1:5" s="734" customFormat="1" ht="15" x14ac:dyDescent="0.25">
      <c r="A22" s="735">
        <v>45292</v>
      </c>
      <c r="B22" s="736" t="s">
        <v>466</v>
      </c>
      <c r="C22" s="737" t="s">
        <v>310</v>
      </c>
      <c r="D22" s="738" t="s">
        <v>310</v>
      </c>
      <c r="E22" s="739" t="s">
        <v>310</v>
      </c>
    </row>
    <row r="23" spans="1:5" s="745" customFormat="1" ht="15" x14ac:dyDescent="0.25">
      <c r="A23" s="741">
        <v>45292</v>
      </c>
      <c r="B23" s="742" t="s">
        <v>467</v>
      </c>
      <c r="C23" s="743">
        <v>2.7841069839238579</v>
      </c>
      <c r="D23" s="744">
        <v>3.6499999999999998E-2</v>
      </c>
      <c r="E23" s="739">
        <f>TRUNC(C23/(1-D23),5)</f>
        <v>2.88957</v>
      </c>
    </row>
    <row r="24" spans="1:5" s="734" customFormat="1" ht="15" x14ac:dyDescent="0.25">
      <c r="A24" s="735">
        <v>45292</v>
      </c>
      <c r="B24" s="736" t="s">
        <v>468</v>
      </c>
      <c r="C24" s="737">
        <v>3.7566749400278936</v>
      </c>
      <c r="D24" s="740">
        <v>3.6499999999999998E-2</v>
      </c>
      <c r="E24" s="739">
        <f>TRUNC(C24/(1-D24),5)</f>
        <v>3.8989799999999999</v>
      </c>
    </row>
    <row r="25" spans="1:5" s="734" customFormat="1" ht="15" x14ac:dyDescent="0.25">
      <c r="A25" s="735">
        <v>45292</v>
      </c>
      <c r="B25" s="736" t="s">
        <v>469</v>
      </c>
      <c r="C25" s="737" t="s">
        <v>310</v>
      </c>
      <c r="D25" s="738" t="s">
        <v>310</v>
      </c>
      <c r="E25" s="739" t="s">
        <v>310</v>
      </c>
    </row>
    <row r="26" spans="1:5" s="734" customFormat="1" ht="15" x14ac:dyDescent="0.25">
      <c r="A26" s="735">
        <v>45292</v>
      </c>
      <c r="B26" s="736" t="s">
        <v>470</v>
      </c>
      <c r="C26" s="737" t="s">
        <v>310</v>
      </c>
      <c r="D26" s="738" t="s">
        <v>310</v>
      </c>
      <c r="E26" s="739" t="s">
        <v>310</v>
      </c>
    </row>
    <row r="27" spans="1:5" s="734" customFormat="1" ht="15" x14ac:dyDescent="0.25">
      <c r="A27" s="735">
        <v>45292</v>
      </c>
      <c r="B27" s="736" t="s">
        <v>471</v>
      </c>
      <c r="C27" s="737" t="s">
        <v>310</v>
      </c>
      <c r="D27" s="738" t="s">
        <v>310</v>
      </c>
      <c r="E27" s="739" t="s">
        <v>310</v>
      </c>
    </row>
    <row r="28" spans="1:5" s="734" customFormat="1" ht="15" x14ac:dyDescent="0.25">
      <c r="A28" s="735">
        <v>45292</v>
      </c>
      <c r="B28" s="736" t="s">
        <v>472</v>
      </c>
      <c r="C28" s="737" t="s">
        <v>310</v>
      </c>
      <c r="D28" s="738" t="s">
        <v>310</v>
      </c>
      <c r="E28" s="739" t="s">
        <v>310</v>
      </c>
    </row>
    <row r="29" spans="1:5" s="734" customFormat="1" ht="15" x14ac:dyDescent="0.25">
      <c r="A29" s="735">
        <v>45292</v>
      </c>
      <c r="B29" s="736" t="s">
        <v>473</v>
      </c>
      <c r="C29" s="737">
        <v>3.1045426865129282</v>
      </c>
      <c r="D29" s="740">
        <v>3.6499999999999998E-2</v>
      </c>
      <c r="E29" s="739">
        <f>TRUNC(C29/(1-D29),5)</f>
        <v>3.2221500000000001</v>
      </c>
    </row>
    <row r="30" spans="1:5" s="734" customFormat="1" ht="15" x14ac:dyDescent="0.25">
      <c r="A30" s="735">
        <v>45292</v>
      </c>
      <c r="B30" s="736" t="s">
        <v>474</v>
      </c>
      <c r="C30" s="737" t="s">
        <v>310</v>
      </c>
      <c r="D30" s="738" t="s">
        <v>310</v>
      </c>
      <c r="E30" s="739" t="s">
        <v>310</v>
      </c>
    </row>
    <row r="31" spans="1:5" s="734" customFormat="1" ht="15" x14ac:dyDescent="0.25">
      <c r="A31" s="735">
        <v>45292</v>
      </c>
      <c r="B31" s="736" t="s">
        <v>475</v>
      </c>
      <c r="C31" s="737" t="s">
        <v>310</v>
      </c>
      <c r="D31" s="738" t="s">
        <v>310</v>
      </c>
      <c r="E31" s="739" t="s">
        <v>310</v>
      </c>
    </row>
    <row r="32" spans="1:5" s="734" customFormat="1" ht="15" x14ac:dyDescent="0.25">
      <c r="A32" s="735">
        <v>45292</v>
      </c>
      <c r="B32" s="736" t="s">
        <v>476</v>
      </c>
      <c r="C32" s="737" t="s">
        <v>310</v>
      </c>
      <c r="D32" s="738" t="s">
        <v>310</v>
      </c>
      <c r="E32" s="738" t="s">
        <v>310</v>
      </c>
    </row>
    <row r="33" spans="1:5" s="734" customFormat="1" ht="15" x14ac:dyDescent="0.25">
      <c r="A33" s="746">
        <v>45292</v>
      </c>
      <c r="B33" s="747" t="s">
        <v>314</v>
      </c>
      <c r="C33" s="748">
        <v>3.3990711132993972</v>
      </c>
      <c r="D33" s="749">
        <v>3.6499999999999998E-2</v>
      </c>
      <c r="E33" s="733">
        <f>TRUNC(C33/(1-D33),5)</f>
        <v>3.5278299999999998</v>
      </c>
    </row>
    <row r="34" spans="1:5" s="734" customFormat="1" ht="15" x14ac:dyDescent="0.25">
      <c r="A34" s="746">
        <v>45292</v>
      </c>
      <c r="B34" s="747" t="s">
        <v>477</v>
      </c>
      <c r="C34" s="748">
        <v>5.78</v>
      </c>
      <c r="D34" s="749">
        <v>3.6499999999999998E-2</v>
      </c>
      <c r="E34" s="733">
        <f>TRUNC(C34/(1-D34),5)</f>
        <v>5.9989600000000003</v>
      </c>
    </row>
    <row r="36" spans="1:5" ht="16.5" customHeight="1" x14ac:dyDescent="0.3">
      <c r="A36" s="1456" t="s">
        <v>478</v>
      </c>
      <c r="B36" s="1456"/>
      <c r="C36" s="1456"/>
      <c r="D36" s="1456"/>
      <c r="E36" s="1456"/>
    </row>
    <row r="37" spans="1:5" ht="13.5" customHeight="1" x14ac:dyDescent="0.3">
      <c r="A37" s="1456"/>
      <c r="B37" s="1456"/>
      <c r="C37" s="1456"/>
      <c r="D37" s="1456"/>
      <c r="E37" s="1456"/>
    </row>
  </sheetData>
  <mergeCells count="3">
    <mergeCell ref="A5:E5"/>
    <mergeCell ref="A6:B6"/>
    <mergeCell ref="A36:E37"/>
  </mergeCells>
  <printOptions horizontalCentered="1"/>
  <pageMargins left="0.59055118110236227" right="0.59055118110236227" top="1.7716535433070868" bottom="0.78740157480314965" header="0" footer="0"/>
  <pageSetup paperSize="9" scale="70" orientation="landscape" r:id="rId1"/>
  <headerFooter scaleWithDoc="0">
    <oddHeader>&amp;L&amp;G</oddHeader>
    <oddFooter>&amp;C&amp;"-,Negrito"&amp;12DIONI CAETANEO DE OLIVEIRA
&amp;"-,Regular"ENGENHEIRO CIVIL - CREA /MT 40957
DEPARTAMENTO DE ENGENHARIA</oddFooter>
  </headerFooter>
  <drawing r:id="rId2"/>
  <legacyDrawing r:id="rId3"/>
  <legacyDrawingHF r:id="rId4"/>
  <oleObjects>
    <mc:AlternateContent xmlns:mc="http://schemas.openxmlformats.org/markup-compatibility/2006">
      <mc:Choice Requires="x14">
        <oleObject shapeId="13313" r:id="rId5">
          <objectPr defaultSize="0" autoPict="0" r:id="rId6">
            <anchor moveWithCells="1" sizeWithCells="1">
              <from>
                <xdr:col>0</xdr:col>
                <xdr:colOff>342900</xdr:colOff>
                <xdr:row>0</xdr:row>
                <xdr:rowOff>95250</xdr:rowOff>
              </from>
              <to>
                <xdr:col>0</xdr:col>
                <xdr:colOff>933450</xdr:colOff>
                <xdr:row>3</xdr:row>
                <xdr:rowOff>190500</xdr:rowOff>
              </to>
            </anchor>
          </objectPr>
        </oleObject>
      </mc:Choice>
      <mc:Fallback>
        <oleObject shapeId="13313" r:id="rId5"/>
      </mc:Fallback>
    </mc:AlternateContent>
  </oleObjec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9B39E-4665-4720-8C76-CFFF336BBD21}">
  <sheetPr codeName="Plan16">
    <tabColor rgb="FFFFC000"/>
  </sheetPr>
  <dimension ref="A1:IC79"/>
  <sheetViews>
    <sheetView showGridLines="0" showZeros="0" view="pageLayout" topLeftCell="A10" zoomScaleNormal="85" zoomScaleSheetLayoutView="100" workbookViewId="0">
      <selection activeCell="C23" sqref="C23"/>
    </sheetView>
  </sheetViews>
  <sheetFormatPr defaultColWidth="8.85546875" defaultRowHeight="14.25" x14ac:dyDescent="0.2"/>
  <cols>
    <col min="1" max="2" width="8.85546875" style="593"/>
    <col min="3" max="3" width="26.140625" style="593" customWidth="1"/>
    <col min="4" max="4" width="18.5703125" style="593" customWidth="1"/>
    <col min="5" max="5" width="23.28515625" style="593" customWidth="1"/>
    <col min="6" max="6" width="28.5703125" style="593" customWidth="1"/>
    <col min="7" max="7" width="19" style="593" customWidth="1"/>
    <col min="8" max="8" width="12.28515625" style="593" customWidth="1"/>
    <col min="9" max="9" width="14.7109375" style="593" customWidth="1"/>
    <col min="10" max="10" width="8.85546875" style="593"/>
    <col min="11" max="11" width="15.85546875" style="593" customWidth="1"/>
    <col min="12" max="13" width="8.85546875" style="593"/>
    <col min="14" max="14" width="13.7109375" style="593" customWidth="1"/>
    <col min="15" max="15" width="13.28515625" style="593" customWidth="1"/>
    <col min="16" max="16384" width="8.85546875" style="593"/>
  </cols>
  <sheetData>
    <row r="1" spans="1:237" ht="15" customHeight="1" x14ac:dyDescent="0.2">
      <c r="B1" s="1" t="s">
        <v>0</v>
      </c>
      <c r="C1" s="811" t="str">
        <f>'ORÇAMENTO - GERAL'!H1</f>
        <v>PAVIMENTAÇÃO ASFÁLTICA E DRENAGEM</v>
      </c>
      <c r="D1" s="590"/>
      <c r="E1" s="590"/>
      <c r="F1" s="2"/>
      <c r="G1" s="590"/>
      <c r="H1" s="812"/>
      <c r="I1" s="1188" t="s">
        <v>221</v>
      </c>
      <c r="J1" s="1189"/>
      <c r="K1" s="1398" t="s">
        <v>523</v>
      </c>
      <c r="L1" s="1399"/>
      <c r="M1" s="814"/>
      <c r="N1" s="815"/>
    </row>
    <row r="2" spans="1:237" ht="15" customHeight="1" x14ac:dyDescent="0.2">
      <c r="B2" s="8" t="s">
        <v>2</v>
      </c>
      <c r="C2" s="816" t="str">
        <f>'ORÇAMENTO - GERAL'!H2</f>
        <v>RUAS DIVERSAS - BAIRRO JARDIM PLANALTO</v>
      </c>
      <c r="F2" s="9"/>
      <c r="H2" s="817"/>
      <c r="I2" s="1188" t="s">
        <v>227</v>
      </c>
      <c r="J2" s="1189"/>
      <c r="K2" s="1190" t="s">
        <v>229</v>
      </c>
      <c r="L2" s="1191"/>
      <c r="M2" s="818"/>
      <c r="N2" s="113"/>
    </row>
    <row r="3" spans="1:237" ht="15" customHeight="1" x14ac:dyDescent="0.2">
      <c r="B3" s="8" t="s">
        <v>5</v>
      </c>
      <c r="C3" s="816" t="str">
        <f>'ORÇAMENTO - GERAL'!H3</f>
        <v>MUNICÍPIO DE ARIPUANÃ</v>
      </c>
      <c r="F3" s="9"/>
      <c r="H3" s="817"/>
      <c r="I3" s="1181" t="s">
        <v>232</v>
      </c>
      <c r="J3" s="1182"/>
      <c r="K3" s="1400">
        <v>0</v>
      </c>
      <c r="L3" s="1401"/>
      <c r="M3" s="818"/>
      <c r="N3" s="113"/>
    </row>
    <row r="4" spans="1:237" ht="15" customHeight="1" x14ac:dyDescent="0.2">
      <c r="B4" s="14" t="s">
        <v>7</v>
      </c>
      <c r="C4" s="819" t="str">
        <f ca="1">'ORÇAMENTO - GERAL'!H4</f>
        <v>DEZEMBRO/2024</v>
      </c>
      <c r="D4" s="597"/>
      <c r="E4" s="597"/>
      <c r="F4" s="15"/>
      <c r="G4" s="597"/>
      <c r="H4" s="820"/>
      <c r="I4" s="1181" t="s">
        <v>233</v>
      </c>
      <c r="J4" s="1182"/>
      <c r="K4" s="1183" t="e">
        <f>#REF!</f>
        <v>#REF!</v>
      </c>
      <c r="L4" s="1184"/>
      <c r="M4" s="821"/>
      <c r="N4" s="822"/>
    </row>
    <row r="5" spans="1:237" ht="24" customHeight="1" x14ac:dyDescent="0.2">
      <c r="B5" s="1387" t="str">
        <f>CONCATENATE("RESUMO ORIENTATIVO- ",'ORÇAMENTO - GERAL'!R2)</f>
        <v>RESUMO ORIENTATIVO- NÃO DESONERADO</v>
      </c>
      <c r="C5" s="1388"/>
      <c r="D5" s="1388"/>
      <c r="E5" s="1388"/>
      <c r="F5" s="1388"/>
      <c r="G5" s="1388"/>
      <c r="H5" s="1389"/>
      <c r="I5" s="823"/>
      <c r="J5" s="823"/>
      <c r="K5" s="824"/>
      <c r="L5" s="824"/>
      <c r="M5" s="54"/>
      <c r="N5" s="54"/>
    </row>
    <row r="6" spans="1:237" ht="30" customHeight="1" x14ac:dyDescent="0.2">
      <c r="B6" s="464" t="s">
        <v>174</v>
      </c>
      <c r="C6" s="1390" t="s">
        <v>237</v>
      </c>
      <c r="D6" s="1391"/>
      <c r="E6" s="1391"/>
      <c r="F6" s="1391"/>
      <c r="G6" s="825" t="s">
        <v>524</v>
      </c>
      <c r="H6" s="467" t="s">
        <v>289</v>
      </c>
    </row>
    <row r="7" spans="1:237" ht="30" customHeight="1" x14ac:dyDescent="0.2">
      <c r="A7" s="593">
        <v>1</v>
      </c>
      <c r="B7" s="468" t="str">
        <f t="shared" ref="B7:B12" si="0">CONCATENATE(A7,".0")</f>
        <v>1.0</v>
      </c>
      <c r="C7" s="1392" t="str">
        <f>'ORÇAMENTO - ORIENTATIVO'!K8</f>
        <v>PLACA DE OBRA</v>
      </c>
      <c r="D7" s="1393"/>
      <c r="E7" s="1393"/>
      <c r="F7" s="1394"/>
      <c r="G7" s="826">
        <f>'ORÇAMENTO - ORIENTATIVO'!P8</f>
        <v>5114.42</v>
      </c>
      <c r="H7" s="827">
        <f>'ORÇAMENTO - ORIENTATIVO'!Q8</f>
        <v>4.8277216236760115E-4</v>
      </c>
      <c r="K7" s="593" t="e">
        <f>VLOOKUP('RESUMO -ORIENTATIVO'!B7,'ORÇAMENTO - GERAL'!J:S,7,FALSE)</f>
        <v>#N/A</v>
      </c>
    </row>
    <row r="8" spans="1:237" ht="30" customHeight="1" x14ac:dyDescent="0.2">
      <c r="A8" s="593">
        <f>A7+1</f>
        <v>2</v>
      </c>
      <c r="B8" s="468" t="str">
        <f t="shared" si="0"/>
        <v>2.0</v>
      </c>
      <c r="C8" s="1392" t="str">
        <f>'ORÇAMENTO - ORIENTATIVO'!K11</f>
        <v>TERRAPLANAGEM</v>
      </c>
      <c r="D8" s="1393"/>
      <c r="E8" s="1393"/>
      <c r="F8" s="1394"/>
      <c r="G8" s="826">
        <f>'ORÇAMENTO - ORIENTATIVO'!P11</f>
        <v>150714.26999999999</v>
      </c>
      <c r="H8" s="827">
        <f>'ORÇAMENTO - ORIENTATIVO'!Q11</f>
        <v>1.4226569978131338E-2</v>
      </c>
    </row>
    <row r="9" spans="1:237" ht="30" customHeight="1" x14ac:dyDescent="0.2">
      <c r="A9" s="593">
        <f>A8+1</f>
        <v>3</v>
      </c>
      <c r="B9" s="468" t="str">
        <f t="shared" si="0"/>
        <v>3.0</v>
      </c>
      <c r="C9" s="1392" t="str">
        <f>'ORÇAMENTO - ORIENTATIVO'!K16</f>
        <v>PAVIMENTAÇÃO</v>
      </c>
      <c r="D9" s="1393"/>
      <c r="E9" s="1393"/>
      <c r="F9" s="1394"/>
      <c r="G9" s="826">
        <f>'ORÇAMENTO - ORIENTATIVO'!P16</f>
        <v>3228543.25</v>
      </c>
      <c r="H9" s="827">
        <f>'ORÇAMENTO - ORIENTATIVO'!Q16</f>
        <v>0.30475612212133979</v>
      </c>
      <c r="I9" s="828"/>
    </row>
    <row r="10" spans="1:237" ht="30" customHeight="1" x14ac:dyDescent="0.2">
      <c r="A10" s="593">
        <f>A9+1</f>
        <v>4</v>
      </c>
      <c r="B10" s="829" t="str">
        <f t="shared" si="0"/>
        <v>4.0</v>
      </c>
      <c r="C10" s="1395" t="str">
        <f>'ORÇAMENTO - ORIENTATIVO'!K37</f>
        <v>DRENAGEM</v>
      </c>
      <c r="D10" s="1396"/>
      <c r="E10" s="1396"/>
      <c r="F10" s="1397"/>
      <c r="G10" s="830">
        <f>'ORÇAMENTO - ORIENTATIVO'!P37</f>
        <v>4910654.4799999986</v>
      </c>
      <c r="H10" s="831">
        <f>'ORÇAMENTO - ORIENTATIVO'!Q37</f>
        <v>0.46353785609115938</v>
      </c>
      <c r="I10" s="828">
        <f>SUM(G7:G10)</f>
        <v>8295026.4199999981</v>
      </c>
    </row>
    <row r="11" spans="1:237" ht="30" customHeight="1" x14ac:dyDescent="0.2">
      <c r="A11" s="593">
        <f>A10+1</f>
        <v>5</v>
      </c>
      <c r="B11" s="829" t="str">
        <f t="shared" si="0"/>
        <v>5.0</v>
      </c>
      <c r="C11" s="1395" t="str">
        <f>'ORÇAMENTO - ORIENTATIVO'!K63</f>
        <v>PASSEIO PÚBLICO E ACESSIBILIDADE UNIVERSAL</v>
      </c>
      <c r="D11" s="1396"/>
      <c r="E11" s="1396"/>
      <c r="F11" s="1397"/>
      <c r="G11" s="830">
        <f>'ORÇAMENTO - ORIENTATIVO'!P63</f>
        <v>2026900.55</v>
      </c>
      <c r="H11" s="831">
        <f>'ORÇAMENTO - ORIENTATIVO'!Q63</f>
        <v>0.1913278849659551</v>
      </c>
    </row>
    <row r="12" spans="1:237" ht="30" customHeight="1" x14ac:dyDescent="0.2">
      <c r="A12" s="593">
        <f>A11+1</f>
        <v>6</v>
      </c>
      <c r="B12" s="829" t="str">
        <f t="shared" si="0"/>
        <v>6.0</v>
      </c>
      <c r="C12" s="1395" t="str">
        <f>'ORÇAMENTO - ORIENTATIVO'!K72</f>
        <v>SINALIZAÇÃO VIÁRIA</v>
      </c>
      <c r="D12" s="1396"/>
      <c r="E12" s="1396"/>
      <c r="F12" s="1397"/>
      <c r="G12" s="830">
        <f>'ORÇAMENTO - ORIENTATIVO'!P72</f>
        <v>271931.57999999996</v>
      </c>
      <c r="H12" s="831">
        <f>'ORÇAMENTO - ORIENTATIVO'!Q72</f>
        <v>2.5668794681046589E-2</v>
      </c>
    </row>
    <row r="13" spans="1:237" ht="30" customHeight="1" x14ac:dyDescent="0.2">
      <c r="B13" s="1385" t="s">
        <v>312</v>
      </c>
      <c r="C13" s="1386"/>
      <c r="D13" s="1386"/>
      <c r="E13" s="1386"/>
      <c r="F13" s="1386"/>
      <c r="G13" s="832">
        <f>SUM(G7:G12)</f>
        <v>10593858.549999999</v>
      </c>
      <c r="H13" s="833">
        <f>SUM(H7:H12)</f>
        <v>0.99999999999999978</v>
      </c>
      <c r="I13" s="625"/>
      <c r="J13" s="625"/>
      <c r="K13" s="624"/>
      <c r="L13" s="627"/>
      <c r="M13" s="625"/>
      <c r="N13" s="625"/>
      <c r="O13" s="625"/>
      <c r="P13" s="625"/>
      <c r="Q13" s="624"/>
      <c r="R13" s="627"/>
      <c r="S13" s="625"/>
      <c r="T13" s="625"/>
      <c r="U13" s="625"/>
      <c r="V13" s="625"/>
      <c r="W13" s="624"/>
      <c r="X13" s="627"/>
      <c r="Y13" s="625"/>
      <c r="Z13" s="625"/>
      <c r="AA13" s="625"/>
      <c r="AB13" s="625"/>
      <c r="AC13" s="624"/>
      <c r="AD13" s="627"/>
      <c r="AE13" s="625"/>
      <c r="AF13" s="625"/>
      <c r="AG13" s="625"/>
      <c r="AH13" s="625"/>
      <c r="AI13" s="624"/>
      <c r="AJ13" s="627"/>
      <c r="AK13" s="625"/>
      <c r="AL13" s="625"/>
      <c r="AM13" s="625"/>
      <c r="AN13" s="625"/>
      <c r="AO13" s="624"/>
      <c r="AP13" s="627"/>
      <c r="AQ13" s="625"/>
      <c r="AR13" s="625"/>
      <c r="AS13" s="625"/>
      <c r="AT13" s="625"/>
      <c r="AU13" s="624"/>
      <c r="AV13" s="627"/>
      <c r="AW13" s="625"/>
      <c r="AX13" s="625"/>
      <c r="AY13" s="625"/>
      <c r="AZ13" s="625"/>
      <c r="BA13" s="624"/>
      <c r="BB13" s="627"/>
      <c r="BC13" s="625"/>
      <c r="BD13" s="625"/>
      <c r="BE13" s="625"/>
      <c r="BF13" s="625"/>
      <c r="BG13" s="624"/>
      <c r="BH13" s="627"/>
      <c r="BI13" s="625"/>
      <c r="BJ13" s="625"/>
      <c r="BK13" s="625"/>
      <c r="BL13" s="625"/>
      <c r="BM13" s="624"/>
      <c r="BN13" s="627"/>
      <c r="BO13" s="625"/>
      <c r="BP13" s="625"/>
      <c r="BQ13" s="625"/>
      <c r="BR13" s="625"/>
      <c r="BS13" s="624"/>
      <c r="BT13" s="627"/>
      <c r="BU13" s="625"/>
      <c r="BV13" s="625"/>
      <c r="BW13" s="625"/>
      <c r="BX13" s="625"/>
      <c r="BY13" s="624"/>
      <c r="BZ13" s="627"/>
      <c r="CA13" s="625"/>
      <c r="CB13" s="625"/>
      <c r="CC13" s="625"/>
      <c r="CD13" s="625"/>
      <c r="CE13" s="624"/>
      <c r="CF13" s="627"/>
      <c r="CG13" s="625"/>
      <c r="CH13" s="625"/>
      <c r="CI13" s="625"/>
      <c r="CJ13" s="625"/>
      <c r="CK13" s="624"/>
      <c r="CL13" s="627"/>
      <c r="CM13" s="625"/>
      <c r="CN13" s="625"/>
      <c r="CO13" s="625"/>
      <c r="CP13" s="625"/>
      <c r="CQ13" s="624"/>
      <c r="CR13" s="627"/>
      <c r="CS13" s="625"/>
      <c r="CT13" s="625"/>
      <c r="CU13" s="625"/>
      <c r="CV13" s="625"/>
      <c r="CW13" s="624"/>
      <c r="CX13" s="627"/>
      <c r="CY13" s="625"/>
      <c r="CZ13" s="625"/>
      <c r="DA13" s="625"/>
      <c r="DB13" s="625"/>
      <c r="DC13" s="624"/>
      <c r="DD13" s="627"/>
      <c r="DE13" s="625"/>
      <c r="DF13" s="625"/>
      <c r="DG13" s="625"/>
      <c r="DH13" s="625"/>
      <c r="DI13" s="624"/>
      <c r="DJ13" s="627"/>
      <c r="DK13" s="625"/>
      <c r="DL13" s="625"/>
      <c r="DM13" s="625"/>
      <c r="DN13" s="625"/>
      <c r="DO13" s="624"/>
      <c r="DP13" s="627"/>
      <c r="DQ13" s="625"/>
      <c r="DR13" s="625"/>
      <c r="DS13" s="625"/>
      <c r="DT13" s="625"/>
      <c r="DU13" s="624"/>
      <c r="DV13" s="627"/>
      <c r="DW13" s="625"/>
      <c r="DX13" s="625"/>
      <c r="DY13" s="625"/>
      <c r="DZ13" s="625"/>
      <c r="EA13" s="624"/>
      <c r="EB13" s="627"/>
      <c r="EC13" s="625"/>
      <c r="ED13" s="625"/>
      <c r="EE13" s="625"/>
      <c r="EF13" s="625"/>
      <c r="EG13" s="624"/>
      <c r="EH13" s="627"/>
      <c r="EI13" s="625"/>
      <c r="EJ13" s="625"/>
      <c r="EK13" s="625"/>
      <c r="EL13" s="625"/>
      <c r="EM13" s="624"/>
      <c r="EN13" s="627"/>
      <c r="EO13" s="625"/>
      <c r="EP13" s="625"/>
      <c r="EQ13" s="625"/>
      <c r="ER13" s="625"/>
      <c r="ES13" s="624"/>
      <c r="ET13" s="627"/>
      <c r="EU13" s="625"/>
      <c r="EV13" s="625"/>
      <c r="EW13" s="625"/>
      <c r="EX13" s="625"/>
      <c r="EY13" s="624"/>
      <c r="EZ13" s="627"/>
      <c r="FA13" s="625"/>
      <c r="FB13" s="625"/>
      <c r="FC13" s="625"/>
      <c r="FD13" s="625"/>
      <c r="FE13" s="624"/>
      <c r="FF13" s="627"/>
      <c r="FG13" s="625"/>
      <c r="FH13" s="625"/>
      <c r="FI13" s="625"/>
      <c r="FJ13" s="625"/>
      <c r="FK13" s="624"/>
      <c r="FL13" s="627"/>
      <c r="FM13" s="625"/>
      <c r="FN13" s="625"/>
      <c r="FO13" s="625"/>
      <c r="FP13" s="625"/>
      <c r="FQ13" s="624"/>
      <c r="FR13" s="627"/>
      <c r="FS13" s="625"/>
      <c r="FT13" s="625"/>
      <c r="FU13" s="625"/>
      <c r="FV13" s="625"/>
      <c r="FW13" s="624"/>
      <c r="FX13" s="627"/>
      <c r="FY13" s="625"/>
      <c r="FZ13" s="625"/>
      <c r="GA13" s="625"/>
      <c r="GB13" s="625"/>
      <c r="GC13" s="624"/>
      <c r="GD13" s="627"/>
      <c r="GE13" s="625"/>
      <c r="GF13" s="625"/>
      <c r="GG13" s="625"/>
      <c r="GH13" s="625"/>
      <c r="GI13" s="624"/>
      <c r="GJ13" s="627"/>
      <c r="GK13" s="625"/>
      <c r="GL13" s="625"/>
      <c r="GM13" s="625"/>
      <c r="GN13" s="625"/>
      <c r="GO13" s="624"/>
      <c r="GP13" s="627"/>
      <c r="GQ13" s="625"/>
      <c r="GR13" s="625"/>
      <c r="GS13" s="625"/>
      <c r="GT13" s="625"/>
      <c r="GU13" s="624"/>
      <c r="GV13" s="627"/>
      <c r="GW13" s="625"/>
      <c r="GX13" s="625"/>
      <c r="GY13" s="625"/>
      <c r="GZ13" s="625"/>
      <c r="HA13" s="624"/>
      <c r="HB13" s="627"/>
      <c r="HC13" s="625"/>
      <c r="HD13" s="625"/>
      <c r="HE13" s="625"/>
      <c r="HF13" s="625"/>
      <c r="HG13" s="624"/>
      <c r="HH13" s="627"/>
      <c r="HI13" s="625"/>
      <c r="HJ13" s="625"/>
      <c r="HK13" s="625"/>
      <c r="HL13" s="625"/>
      <c r="HM13" s="624"/>
      <c r="HN13" s="627"/>
      <c r="HO13" s="625"/>
      <c r="HP13" s="625"/>
      <c r="HQ13" s="625"/>
      <c r="HR13" s="625"/>
      <c r="HS13" s="624"/>
      <c r="HT13" s="627"/>
      <c r="HU13" s="625"/>
      <c r="HV13" s="625"/>
      <c r="HW13" s="625"/>
      <c r="HX13" s="625"/>
      <c r="HY13" s="624"/>
      <c r="HZ13" s="627"/>
      <c r="IA13" s="625"/>
      <c r="IB13" s="625"/>
      <c r="IC13" s="625"/>
    </row>
    <row r="14" spans="1:237" x14ac:dyDescent="0.2">
      <c r="G14" s="611"/>
    </row>
    <row r="79" spans="16:16" x14ac:dyDescent="0.2">
      <c r="P79" s="593">
        <f>SUM(P8:P78)/2</f>
        <v>0</v>
      </c>
    </row>
  </sheetData>
  <mergeCells count="17">
    <mergeCell ref="C8:F8"/>
    <mergeCell ref="I1:J1"/>
    <mergeCell ref="K1:L1"/>
    <mergeCell ref="I2:J2"/>
    <mergeCell ref="K2:L2"/>
    <mergeCell ref="I3:J3"/>
    <mergeCell ref="K3:L3"/>
    <mergeCell ref="I4:J4"/>
    <mergeCell ref="K4:L4"/>
    <mergeCell ref="B5:H5"/>
    <mergeCell ref="C6:F6"/>
    <mergeCell ref="C7:F7"/>
    <mergeCell ref="C9:F9"/>
    <mergeCell ref="C10:F10"/>
    <mergeCell ref="C11:F11"/>
    <mergeCell ref="C12:F12"/>
    <mergeCell ref="B13:F13"/>
  </mergeCells>
  <conditionalFormatting sqref="B5">
    <cfRule type="expression" dxfId="17" priority="1">
      <formula>$K5="VERIFICAR CÓDIGO"</formula>
    </cfRule>
  </conditionalFormatting>
  <dataValidations disablePrompts="1" count="1">
    <dataValidation type="list" allowBlank="1" showInputMessage="1" showErrorMessage="1" sqref="K2:L2" xr:uid="{6146ED1D-5CD7-434C-A5CF-C330873DAF70}">
      <formula1>$R$1:$R$2</formula1>
    </dataValidation>
  </dataValidations>
  <printOptions horizontalCentered="1"/>
  <pageMargins left="0.59055118110236227" right="0.59055118110236227" top="1.7716535433070868" bottom="0.78740157480314965" header="0" footer="0"/>
  <pageSetup paperSize="9" scale="90" firstPageNumber="25" orientation="landscape" r:id="rId1"/>
  <headerFooter scaleWithDoc="0">
    <oddHeader>&amp;L&amp;G</oddHeader>
    <oddFooter>&amp;C&amp;"-,Negrito"&amp;12DIONI CAETANEO DE OLIVEIRA
&amp;"-,Regular"ENGENHEIRO CIVIL - CREA /MT 40957
DEPARTAMENTO DE ENGENHARIA</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5FB9D-5F2E-4D11-A4CE-0A2E4642C1C7}">
  <sheetPr codeName="Plan14">
    <tabColor rgb="FFFFC000"/>
  </sheetPr>
  <dimension ref="A1:AD92"/>
  <sheetViews>
    <sheetView showGridLines="0" view="pageLayout" topLeftCell="A25" zoomScale="40" zoomScaleNormal="85" zoomScaleSheetLayoutView="85" zoomScalePageLayoutView="40" workbookViewId="0">
      <selection activeCell="K46" sqref="K46"/>
    </sheetView>
  </sheetViews>
  <sheetFormatPr defaultColWidth="15.5703125" defaultRowHeight="14.25" x14ac:dyDescent="0.25"/>
  <cols>
    <col min="1" max="1" width="3.5703125" style="54" bestFit="1" customWidth="1"/>
    <col min="2" max="2" width="3.85546875" style="54" bestFit="1" customWidth="1"/>
    <col min="3" max="3" width="2.5703125" style="54" customWidth="1"/>
    <col min="4" max="4" width="2.5703125" style="54" bestFit="1" customWidth="1"/>
    <col min="5" max="5" width="2.85546875" style="54" bestFit="1" customWidth="1"/>
    <col min="6" max="6" width="14.7109375" style="54" customWidth="1"/>
    <col min="7" max="7" width="15.5703125" style="460"/>
    <col min="8" max="8" width="16.5703125" style="54" customWidth="1"/>
    <col min="9" max="9" width="16.85546875" style="54" bestFit="1" customWidth="1"/>
    <col min="10" max="10" width="14" style="54" customWidth="1"/>
    <col min="11" max="11" width="74.42578125" style="54" customWidth="1"/>
    <col min="12" max="12" width="11" style="340" customWidth="1"/>
    <col min="13" max="13" width="18.28515625" style="461" bestFit="1" customWidth="1"/>
    <col min="14" max="14" width="15.5703125" style="54"/>
    <col min="15" max="15" width="15.5703125" style="462"/>
    <col min="16" max="16" width="21.140625" style="54" customWidth="1"/>
    <col min="17" max="17" width="12.85546875" style="54" customWidth="1"/>
    <col min="18" max="18" width="25.42578125" style="54" customWidth="1"/>
    <col min="19" max="16384" width="15.5703125" style="54"/>
  </cols>
  <sheetData>
    <row r="1" spans="1:29" ht="45" customHeight="1" thickBot="1" x14ac:dyDescent="0.3">
      <c r="G1" s="1" t="s">
        <v>0</v>
      </c>
      <c r="H1" s="2" t="s">
        <v>220</v>
      </c>
      <c r="I1" s="3"/>
      <c r="J1" s="369"/>
      <c r="K1" s="369"/>
      <c r="L1" s="363"/>
      <c r="M1" s="370"/>
      <c r="N1" s="1188" t="s">
        <v>221</v>
      </c>
      <c r="O1" s="1189"/>
      <c r="P1" s="1398" t="s">
        <v>222</v>
      </c>
      <c r="Q1" s="1399"/>
      <c r="R1" s="372"/>
      <c r="T1" s="54" t="s">
        <v>223</v>
      </c>
      <c r="V1" s="373" t="s">
        <v>224</v>
      </c>
      <c r="AC1" s="54" t="s">
        <v>225</v>
      </c>
    </row>
    <row r="2" spans="1:29" ht="15" customHeight="1" thickTop="1" x14ac:dyDescent="0.25">
      <c r="G2" s="8" t="s">
        <v>2</v>
      </c>
      <c r="H2" s="9" t="s">
        <v>226</v>
      </c>
      <c r="I2" s="10"/>
      <c r="M2" s="374"/>
      <c r="N2" s="1188" t="s">
        <v>227</v>
      </c>
      <c r="O2" s="1189"/>
      <c r="P2" s="1418" t="s">
        <v>229</v>
      </c>
      <c r="Q2" s="1419"/>
      <c r="R2" s="1380" t="s">
        <v>228</v>
      </c>
      <c r="T2" s="54" t="s">
        <v>229</v>
      </c>
      <c r="V2" s="376" t="s">
        <v>230</v>
      </c>
    </row>
    <row r="3" spans="1:29" ht="15" customHeight="1" x14ac:dyDescent="0.25">
      <c r="G3" s="8" t="s">
        <v>5</v>
      </c>
      <c r="H3" s="9" t="s">
        <v>231</v>
      </c>
      <c r="I3" s="10"/>
      <c r="M3" s="374"/>
      <c r="N3" s="1181" t="s">
        <v>232</v>
      </c>
      <c r="O3" s="1182"/>
      <c r="P3" s="1400">
        <v>0</v>
      </c>
      <c r="Q3" s="1401"/>
      <c r="R3" s="1381"/>
      <c r="V3" s="7" t="s">
        <v>1</v>
      </c>
    </row>
    <row r="4" spans="1:29" ht="15" customHeight="1" thickBot="1" x14ac:dyDescent="0.3">
      <c r="G4" s="14" t="s">
        <v>7</v>
      </c>
      <c r="H4" s="15" t="str">
        <f ca="1">UPPER(TEXT(TODAY(),"mmmm/aaaa"))</f>
        <v>DEZEMBRO/2024</v>
      </c>
      <c r="I4" s="16"/>
      <c r="J4" s="378"/>
      <c r="K4" s="378"/>
      <c r="L4" s="379"/>
      <c r="M4" s="380"/>
      <c r="N4" s="1181" t="s">
        <v>233</v>
      </c>
      <c r="O4" s="1182"/>
      <c r="P4" s="1183">
        <v>0</v>
      </c>
      <c r="Q4" s="1184"/>
      <c r="R4" s="1382"/>
      <c r="V4" s="13" t="s">
        <v>4</v>
      </c>
    </row>
    <row r="5" spans="1:29" ht="26.25" customHeight="1" thickTop="1" x14ac:dyDescent="0.25">
      <c r="G5" s="381"/>
      <c r="H5" s="382"/>
      <c r="I5" s="382"/>
      <c r="J5" s="382"/>
      <c r="K5" s="383" t="s">
        <v>525</v>
      </c>
      <c r="L5" s="382"/>
      <c r="M5" s="384"/>
      <c r="N5" s="382"/>
      <c r="O5" s="382"/>
      <c r="P5" s="382"/>
      <c r="Q5" s="498"/>
      <c r="V5" s="7" t="s">
        <v>6</v>
      </c>
      <c r="AC5" s="385"/>
    </row>
    <row r="6" spans="1:29" ht="18" customHeight="1" x14ac:dyDescent="0.25">
      <c r="G6" s="1374" t="s">
        <v>235</v>
      </c>
      <c r="H6" s="1383" t="s">
        <v>34</v>
      </c>
      <c r="I6" s="1383" t="s">
        <v>236</v>
      </c>
      <c r="J6" s="1383" t="s">
        <v>174</v>
      </c>
      <c r="K6" s="1383" t="s">
        <v>237</v>
      </c>
      <c r="L6" s="1374" t="s">
        <v>16</v>
      </c>
      <c r="M6" s="1376" t="s">
        <v>238</v>
      </c>
      <c r="N6" s="1383" t="s">
        <v>354</v>
      </c>
      <c r="O6" s="1383"/>
      <c r="P6" s="1383"/>
      <c r="Q6" s="1383"/>
      <c r="V6" s="7" t="s">
        <v>8</v>
      </c>
      <c r="AC6" s="385"/>
    </row>
    <row r="7" spans="1:29" s="385" customFormat="1" ht="24" customHeight="1" x14ac:dyDescent="0.25">
      <c r="G7" s="1375"/>
      <c r="H7" s="1384"/>
      <c r="I7" s="1384"/>
      <c r="J7" s="1384"/>
      <c r="K7" s="1384"/>
      <c r="L7" s="1375"/>
      <c r="M7" s="1377"/>
      <c r="N7" s="499" t="s">
        <v>434</v>
      </c>
      <c r="O7" s="499" t="s">
        <v>526</v>
      </c>
      <c r="P7" s="386" t="s">
        <v>435</v>
      </c>
      <c r="Q7" s="386" t="s">
        <v>289</v>
      </c>
      <c r="V7" s="7" t="s">
        <v>9</v>
      </c>
      <c r="AC7" s="54"/>
    </row>
    <row r="8" spans="1:29" s="400" customFormat="1" ht="15.75" x14ac:dyDescent="0.25">
      <c r="A8" s="387">
        <f t="shared" ref="A8:A17" ca="1" si="0">IF(LEN(D8),OFFSET(A8,-1,0)+1,OFFSET(A8,-1,0))</f>
        <v>1</v>
      </c>
      <c r="B8" s="387">
        <f ca="1">IF(OR(C8=1,D8=1),SUMIF($A$8:A8,A8,$C$8:C8),"")</f>
        <v>0</v>
      </c>
      <c r="C8" s="387" t="str">
        <f>IF(I8&gt;0,1,"")</f>
        <v/>
      </c>
      <c r="D8" s="388">
        <f>IF(AND(CONCATENATE(K8,L8,M8,N8,O8,P8,R8)=K8&amp;P8&amp;R8,CONCATENATE(K8,L8,M8,N8,O8,P8,R8)&lt;&gt;"",P8&lt;&gt;""),1,"")</f>
        <v>1</v>
      </c>
      <c r="E8" s="389"/>
      <c r="F8" s="390"/>
      <c r="G8" s="391"/>
      <c r="H8" s="392"/>
      <c r="I8" s="393"/>
      <c r="J8" s="394" t="str">
        <f ca="1">IFERROR(IF(B8&lt;&gt;"",A8&amp;"."&amp;B8,""),"S/Nº")</f>
        <v>1.0</v>
      </c>
      <c r="K8" s="395" t="s">
        <v>242</v>
      </c>
      <c r="L8" s="396"/>
      <c r="M8" s="397"/>
      <c r="N8" s="429"/>
      <c r="O8" s="430"/>
      <c r="P8" s="399">
        <f>P9+P10</f>
        <v>5114.42</v>
      </c>
      <c r="Q8" s="553">
        <f t="shared" ref="Q8:Q16" si="1">IF(P8&gt;0,P8/$P$82,0)</f>
        <v>4.8277216236760115E-4</v>
      </c>
      <c r="R8" s="400">
        <v>4848.74</v>
      </c>
      <c r="V8" s="401" t="s">
        <v>13</v>
      </c>
    </row>
    <row r="9" spans="1:29" s="400" customFormat="1" ht="28.5" x14ac:dyDescent="0.25">
      <c r="A9" s="387">
        <f t="shared" ca="1" si="0"/>
        <v>1</v>
      </c>
      <c r="B9" s="387">
        <f ca="1">IF(OR(C9=1,D9=1),SUMIF($A$8:A9,A9,$C$8:C9),"")</f>
        <v>1</v>
      </c>
      <c r="C9" s="387">
        <f>IF(I9&gt;0,1,"")</f>
        <v>1</v>
      </c>
      <c r="D9" s="388" t="str">
        <f t="shared" ref="D9:D81" si="2">IF(AND(CONCATENATE(K9,L9,M9,N9,O9,P9,R9)=K9&amp;P9&amp;R9,CONCATENATE(K9,L9,M9,N9,O9,P9,R9)&lt;&gt;"",P9&lt;&gt;""),1,"")</f>
        <v/>
      </c>
      <c r="E9" s="389"/>
      <c r="F9" s="390"/>
      <c r="G9" s="402" t="s">
        <v>1</v>
      </c>
      <c r="H9" s="403">
        <v>103689</v>
      </c>
      <c r="I9" s="404" t="s">
        <v>224</v>
      </c>
      <c r="J9" s="404" t="str">
        <f t="shared" ref="J9:J15" ca="1" si="3">IFERROR(IF(B9&lt;&gt;"",A9&amp;"."&amp;B9,""),"S/Nº")</f>
        <v>1.1</v>
      </c>
      <c r="K9" s="405" t="s">
        <v>32</v>
      </c>
      <c r="L9" s="406" t="s">
        <v>33</v>
      </c>
      <c r="M9" s="407">
        <f>TRUNC((5*2.5)+(2.5*1.25),2)</f>
        <v>15.62</v>
      </c>
      <c r="N9" s="408">
        <v>312.57</v>
      </c>
      <c r="O9" s="409">
        <f>IFERROR(TRUNC(IF(I9="SERVIÇO",(1+$P$3)*$N9,(1+$P$4)*$N9),2),"0,00")</f>
        <v>312.57</v>
      </c>
      <c r="P9" s="410">
        <f>IF($R$2="OUTROS",TRUNC(M9*O9,2),TRUNC(M9*O9,2))</f>
        <v>4882.34</v>
      </c>
      <c r="Q9" s="835">
        <f t="shared" si="1"/>
        <v>4.6086513020319683E-4</v>
      </c>
      <c r="V9" s="401" t="s">
        <v>17</v>
      </c>
    </row>
    <row r="10" spans="1:29" s="400" customFormat="1" ht="42.75" x14ac:dyDescent="0.25">
      <c r="A10" s="387">
        <v>1</v>
      </c>
      <c r="B10" s="387">
        <v>2</v>
      </c>
      <c r="C10" s="387">
        <v>1</v>
      </c>
      <c r="D10" s="388"/>
      <c r="E10" s="389"/>
      <c r="F10" s="390"/>
      <c r="G10" s="402" t="s">
        <v>1</v>
      </c>
      <c r="H10" s="411">
        <v>103694</v>
      </c>
      <c r="I10" s="404" t="s">
        <v>224</v>
      </c>
      <c r="J10" s="404" t="str">
        <f t="shared" si="3"/>
        <v>1.2</v>
      </c>
      <c r="K10" s="405" t="s">
        <v>43</v>
      </c>
      <c r="L10" s="406" t="s">
        <v>16</v>
      </c>
      <c r="M10" s="407">
        <v>2</v>
      </c>
      <c r="N10" s="408">
        <v>116.04</v>
      </c>
      <c r="O10" s="409">
        <f>IFERROR(TRUNC(IF(I10="SERVIÇO",(1+$P$3)*$N10,(1+$P$4)*$N10),2),"0,00")</f>
        <v>116.04</v>
      </c>
      <c r="P10" s="410">
        <f>IF($R$2="OUTROS",TRUNC(M10*O10,2),TRUNC(M10*O10,2))</f>
        <v>232.08</v>
      </c>
      <c r="Q10" s="835">
        <f t="shared" si="1"/>
        <v>2.1907032164404348E-5</v>
      </c>
    </row>
    <row r="11" spans="1:29" s="400" customFormat="1" ht="15.75" x14ac:dyDescent="0.25">
      <c r="A11" s="387">
        <f t="shared" ca="1" si="0"/>
        <v>2</v>
      </c>
      <c r="B11" s="387">
        <f ca="1">IF(OR(C11=1,D11=1),SUMIF($A$8:A11,A11,$C$8:C11),"")</f>
        <v>0</v>
      </c>
      <c r="C11" s="387" t="str">
        <f t="shared" ref="C11:C18" si="4">IF(I11&gt;0,1,"")</f>
        <v/>
      </c>
      <c r="D11" s="388">
        <f t="shared" si="2"/>
        <v>1</v>
      </c>
      <c r="E11" s="389"/>
      <c r="F11" s="390"/>
      <c r="G11" s="391"/>
      <c r="H11" s="392"/>
      <c r="I11" s="393"/>
      <c r="J11" s="393" t="str">
        <f t="shared" ca="1" si="3"/>
        <v>2.0</v>
      </c>
      <c r="K11" s="395" t="s">
        <v>243</v>
      </c>
      <c r="L11" s="396"/>
      <c r="M11" s="397"/>
      <c r="N11" s="429"/>
      <c r="O11" s="430"/>
      <c r="P11" s="399">
        <f>SUM(P12:P15)</f>
        <v>150714.26999999999</v>
      </c>
      <c r="Q11" s="553">
        <f t="shared" si="1"/>
        <v>1.4226569978131338E-2</v>
      </c>
      <c r="R11" s="400">
        <v>4282.05</v>
      </c>
      <c r="S11" s="400">
        <v>597.62</v>
      </c>
      <c r="T11" s="400">
        <f>R11+S11</f>
        <v>4879.67</v>
      </c>
      <c r="U11" s="412">
        <f>T11-P9</f>
        <v>-2.6700000000000728</v>
      </c>
    </row>
    <row r="12" spans="1:29" s="400" customFormat="1" ht="28.5" x14ac:dyDescent="0.25">
      <c r="A12" s="387">
        <f t="shared" ca="1" si="0"/>
        <v>2</v>
      </c>
      <c r="B12" s="387">
        <f ca="1">IF(OR(C12=1,D12=1),SUMIF($A$8:A12,A12,$C$8:C12),"")</f>
        <v>1</v>
      </c>
      <c r="C12" s="387">
        <f t="shared" si="4"/>
        <v>1</v>
      </c>
      <c r="D12" s="388" t="str">
        <f t="shared" si="2"/>
        <v/>
      </c>
      <c r="E12" s="389"/>
      <c r="F12" s="390"/>
      <c r="G12" s="402" t="s">
        <v>20</v>
      </c>
      <c r="H12" s="403" t="s">
        <v>115</v>
      </c>
      <c r="I12" s="404" t="s">
        <v>224</v>
      </c>
      <c r="J12" s="404" t="str">
        <f t="shared" ca="1" si="3"/>
        <v>2.1</v>
      </c>
      <c r="K12" s="405" t="s">
        <v>116</v>
      </c>
      <c r="L12" s="406" t="s">
        <v>118</v>
      </c>
      <c r="M12" s="407">
        <f>TERRAPLENAGEM!K54</f>
        <v>21845.07</v>
      </c>
      <c r="N12" s="408">
        <v>1.51</v>
      </c>
      <c r="O12" s="409">
        <f>IFERROR(TRUNC(IF(I12="SERVIÇO",(1+$P$3)*$N12,(1+$P$4)*$N12),2),"0,00")</f>
        <v>1.51</v>
      </c>
      <c r="P12" s="410">
        <f>IF($R$2="OUTROS",TRUNC(M12*O12,2),TRUNC(M12*O12,2))</f>
        <v>32986.050000000003</v>
      </c>
      <c r="Q12" s="835">
        <f t="shared" si="1"/>
        <v>3.1136955288118321E-3</v>
      </c>
      <c r="R12" s="400">
        <f>'ORÇ. MATERIAL'!R31</f>
        <v>13854.32</v>
      </c>
      <c r="S12" s="400">
        <v>182624.78</v>
      </c>
      <c r="T12" s="400">
        <f>R12+S12</f>
        <v>196479.1</v>
      </c>
      <c r="U12" s="412">
        <f>T12-P12</f>
        <v>163493.04999999999</v>
      </c>
    </row>
    <row r="13" spans="1:29" s="400" customFormat="1" ht="28.5" x14ac:dyDescent="0.25">
      <c r="A13" s="387">
        <f t="shared" ca="1" si="0"/>
        <v>2</v>
      </c>
      <c r="B13" s="387">
        <f ca="1">IF(OR(C13=1,D13=1),SUMIF($A$8:A13,A13,$C$8:C13),"")</f>
        <v>2</v>
      </c>
      <c r="C13" s="387">
        <f t="shared" si="4"/>
        <v>1</v>
      </c>
      <c r="D13" s="388" t="str">
        <f t="shared" si="2"/>
        <v/>
      </c>
      <c r="E13" s="389"/>
      <c r="F13" s="390"/>
      <c r="G13" s="402" t="s">
        <v>1</v>
      </c>
      <c r="H13" s="403">
        <v>93592</v>
      </c>
      <c r="I13" s="404" t="s">
        <v>224</v>
      </c>
      <c r="J13" s="404" t="str">
        <f t="shared" ca="1" si="3"/>
        <v>2.2</v>
      </c>
      <c r="K13" s="405" t="s">
        <v>2918</v>
      </c>
      <c r="L13" s="406" t="s">
        <v>263</v>
      </c>
      <c r="M13" s="407">
        <f>TERRAPLENAGEM!P54</f>
        <v>24568.42</v>
      </c>
      <c r="N13" s="408">
        <v>2.36</v>
      </c>
      <c r="O13" s="409">
        <f>IFERROR(TRUNC(IF(I13="SERVIÇO",(1+$P$3)*$N13,(1+$P$4)*$N13),2),"0,00")</f>
        <v>2.36</v>
      </c>
      <c r="P13" s="410">
        <f>IF($R$2="OUTROS",TRUNC(M13*O13,2),TRUNC(M13*O13,2))</f>
        <v>57981.47</v>
      </c>
      <c r="Q13" s="835">
        <f t="shared" si="1"/>
        <v>5.4731210282206377E-3</v>
      </c>
      <c r="R13" s="400">
        <f>'ORÇ. MATERIAL'!R33</f>
        <v>32378.65</v>
      </c>
      <c r="S13" s="400">
        <v>30464.84</v>
      </c>
      <c r="T13" s="400">
        <f>R13+S13</f>
        <v>62843.490000000005</v>
      </c>
      <c r="U13" s="412">
        <f>T13-P13</f>
        <v>4862.0200000000041</v>
      </c>
    </row>
    <row r="14" spans="1:29" s="400" customFormat="1" ht="42.75" x14ac:dyDescent="0.25">
      <c r="A14" s="387">
        <f t="shared" ca="1" si="0"/>
        <v>2</v>
      </c>
      <c r="B14" s="387">
        <f ca="1">IF(OR(C14=1,D14=1),SUMIF($A$8:A14,A14,$C$8:C14),"")</f>
        <v>3</v>
      </c>
      <c r="C14" s="387">
        <f t="shared" si="4"/>
        <v>1</v>
      </c>
      <c r="D14" s="388" t="str">
        <f t="shared" si="2"/>
        <v/>
      </c>
      <c r="E14" s="389"/>
      <c r="F14" s="390"/>
      <c r="G14" s="402" t="s">
        <v>1</v>
      </c>
      <c r="H14" s="403">
        <v>95876</v>
      </c>
      <c r="I14" s="404" t="s">
        <v>224</v>
      </c>
      <c r="J14" s="404" t="str">
        <f t="shared" ca="1" si="3"/>
        <v>2.3</v>
      </c>
      <c r="K14" s="405" t="s">
        <v>2919</v>
      </c>
      <c r="L14" s="406" t="s">
        <v>263</v>
      </c>
      <c r="M14" s="407">
        <f>TERRAPLENAGEM!R54</f>
        <v>25828.82</v>
      </c>
      <c r="N14" s="408">
        <v>2.13</v>
      </c>
      <c r="O14" s="409">
        <f>IFERROR(TRUNC(IF(I14="SERVIÇO",(1+$P$3)*$N14,(1+$P$4)*$N14),2),"0,00")</f>
        <v>2.13</v>
      </c>
      <c r="P14" s="410">
        <f>IF($R$2="OUTROS",TRUNC(M14*O14,2),TRUNC(M14*O14,2))</f>
        <v>55015.38</v>
      </c>
      <c r="Q14" s="835">
        <f t="shared" si="1"/>
        <v>5.1931390003314695E-3</v>
      </c>
      <c r="R14" s="400">
        <f>'ORÇ. MATERIAL'!R35</f>
        <v>30897.59</v>
      </c>
      <c r="S14" s="400">
        <v>29186.560000000001</v>
      </c>
      <c r="T14" s="400">
        <f>R14+S14</f>
        <v>60084.15</v>
      </c>
      <c r="U14" s="412">
        <f>T14-P14</f>
        <v>5068.7700000000041</v>
      </c>
    </row>
    <row r="15" spans="1:29" s="400" customFormat="1" ht="42.75" x14ac:dyDescent="0.25">
      <c r="A15" s="387">
        <f t="shared" ca="1" si="0"/>
        <v>2</v>
      </c>
      <c r="B15" s="387">
        <f ca="1">IF(OR(C15=1,D15=1),SUMIF($A$8:A15,A15,$C$8:C15),"")</f>
        <v>4</v>
      </c>
      <c r="C15" s="387">
        <f t="shared" si="4"/>
        <v>1</v>
      </c>
      <c r="D15" s="388" t="str">
        <f t="shared" si="2"/>
        <v/>
      </c>
      <c r="E15" s="389"/>
      <c r="F15" s="390"/>
      <c r="G15" s="402" t="s">
        <v>1</v>
      </c>
      <c r="H15" s="403">
        <v>96385</v>
      </c>
      <c r="I15" s="404" t="s">
        <v>224</v>
      </c>
      <c r="J15" s="404" t="str">
        <f t="shared" ca="1" si="3"/>
        <v>2.4</v>
      </c>
      <c r="K15" s="405" t="s">
        <v>2920</v>
      </c>
      <c r="L15" s="406" t="s">
        <v>259</v>
      </c>
      <c r="M15" s="407">
        <f>TERRAPLENAGEM!L54</f>
        <v>426.25</v>
      </c>
      <c r="N15" s="408">
        <v>11.1</v>
      </c>
      <c r="O15" s="409">
        <f>IFERROR(TRUNC(IF(I15="SERVIÇO",(1+$P$3)*$N15,(1+$P$4)*$N15),2),"0,00")</f>
        <v>11.1</v>
      </c>
      <c r="P15" s="410">
        <f>IF($R$2="OUTROS",TRUNC(M15*O15,2),TRUNC(M15*O15,2))</f>
        <v>4731.37</v>
      </c>
      <c r="Q15" s="835">
        <f t="shared" si="1"/>
        <v>4.4661442076739826E-4</v>
      </c>
      <c r="R15" s="400">
        <f>'ORÇ. MATERIAL'!R37</f>
        <v>903.34</v>
      </c>
      <c r="S15" s="400">
        <v>4011.01</v>
      </c>
      <c r="T15" s="400">
        <f>R15+S15</f>
        <v>4914.3500000000004</v>
      </c>
      <c r="U15" s="412">
        <f>T15-P15</f>
        <v>182.98000000000047</v>
      </c>
    </row>
    <row r="16" spans="1:29" s="400" customFormat="1" ht="15.75" x14ac:dyDescent="0.25">
      <c r="A16" s="387">
        <v>3</v>
      </c>
      <c r="B16" s="387">
        <v>0</v>
      </c>
      <c r="C16" s="387" t="str">
        <f t="shared" si="4"/>
        <v/>
      </c>
      <c r="D16" s="388">
        <v>1</v>
      </c>
      <c r="E16" s="389"/>
      <c r="F16" s="390"/>
      <c r="G16" s="413"/>
      <c r="H16" s="414"/>
      <c r="I16" s="415"/>
      <c r="J16" s="415" t="s">
        <v>193</v>
      </c>
      <c r="K16" s="416" t="s">
        <v>244</v>
      </c>
      <c r="L16" s="417"/>
      <c r="M16" s="418"/>
      <c r="N16" s="436"/>
      <c r="O16" s="540"/>
      <c r="P16" s="419">
        <f>SUM(P17:P36)</f>
        <v>3228543.25</v>
      </c>
      <c r="Q16" s="836">
        <f t="shared" si="1"/>
        <v>0.30475612212133979</v>
      </c>
    </row>
    <row r="17" spans="1:18" s="400" customFormat="1" ht="15.75" x14ac:dyDescent="0.25">
      <c r="A17" s="387">
        <f t="shared" ca="1" si="0"/>
        <v>3</v>
      </c>
      <c r="B17" s="387" t="str">
        <f>IF(OR(C17=1,D17=1),SUMIF($A$8:A17,A17,$C$8:C17),"")</f>
        <v/>
      </c>
      <c r="C17" s="387" t="str">
        <f t="shared" si="4"/>
        <v/>
      </c>
      <c r="D17" s="388" t="str">
        <f t="shared" si="2"/>
        <v/>
      </c>
      <c r="E17" s="389"/>
      <c r="F17" s="390"/>
      <c r="G17" s="420"/>
      <c r="H17" s="421"/>
      <c r="I17" s="422"/>
      <c r="J17" s="422"/>
      <c r="K17" s="423" t="s">
        <v>245</v>
      </c>
      <c r="L17" s="424"/>
      <c r="M17" s="425"/>
      <c r="N17" s="426"/>
      <c r="O17" s="427"/>
      <c r="P17" s="398"/>
      <c r="Q17" s="837"/>
    </row>
    <row r="18" spans="1:18" s="400" customFormat="1" ht="28.5" x14ac:dyDescent="0.25">
      <c r="A18" s="387">
        <v>3</v>
      </c>
      <c r="B18" s="387">
        <v>1</v>
      </c>
      <c r="C18" s="387">
        <f t="shared" si="4"/>
        <v>1</v>
      </c>
      <c r="D18" s="388" t="str">
        <f t="shared" si="2"/>
        <v/>
      </c>
      <c r="E18" s="389"/>
      <c r="F18" s="390"/>
      <c r="G18" s="402" t="s">
        <v>1</v>
      </c>
      <c r="H18" s="403">
        <v>100577</v>
      </c>
      <c r="I18" s="404" t="s">
        <v>224</v>
      </c>
      <c r="J18" s="404" t="str">
        <f>IFERROR(IF(B18&lt;&gt;"",A18&amp;"."&amp;B18,""),"S/Nº")</f>
        <v>3.1</v>
      </c>
      <c r="K18" s="405" t="s">
        <v>2921</v>
      </c>
      <c r="L18" s="406" t="s">
        <v>33</v>
      </c>
      <c r="M18" s="407">
        <f>'SUBLEITO-BASE-SUB.'!H56</f>
        <v>71419.360000000001</v>
      </c>
      <c r="N18" s="408">
        <v>1.18</v>
      </c>
      <c r="O18" s="409">
        <f>IFERROR(TRUNC(IF(I18="SERVIÇO",(1+$P$3)*$N18,(1+$P$4)*$N18),2),"0,00")</f>
        <v>1.18</v>
      </c>
      <c r="P18" s="410">
        <f>IF($R$2="OUTROS",TRUNC(M18*O18,2),TRUNC(M18*O18,2))</f>
        <v>84274.84</v>
      </c>
      <c r="Q18" s="835">
        <f>IF(P18&gt;0,P18/$P$82,0)</f>
        <v>7.9550656262066099E-3</v>
      </c>
    </row>
    <row r="19" spans="1:18" s="400" customFormat="1" ht="28.5" x14ac:dyDescent="0.25">
      <c r="A19" s="387">
        <v>3</v>
      </c>
      <c r="B19" s="387">
        <v>2</v>
      </c>
      <c r="C19" s="387">
        <v>1</v>
      </c>
      <c r="D19" s="388" t="str">
        <f t="shared" si="2"/>
        <v/>
      </c>
      <c r="E19" s="389"/>
      <c r="F19" s="390"/>
      <c r="G19" s="402" t="s">
        <v>6</v>
      </c>
      <c r="H19" s="403">
        <v>4011219</v>
      </c>
      <c r="I19" s="404" t="s">
        <v>224</v>
      </c>
      <c r="J19" s="404" t="str">
        <f>IFERROR(IF(B19&lt;&gt;"",A19&amp;"."&amp;B19,""),"S/Nº")</f>
        <v>3.2</v>
      </c>
      <c r="K19" s="405" t="s">
        <v>807</v>
      </c>
      <c r="L19" s="406" t="s">
        <v>118</v>
      </c>
      <c r="M19" s="407">
        <f>'SUBLEITO-BASE-SUB.'!M56</f>
        <v>17854.830000000002</v>
      </c>
      <c r="N19" s="408">
        <v>12.53</v>
      </c>
      <c r="O19" s="409">
        <f>IFERROR(TRUNC(IF(I19="SERVIÇO",(1+$P$3)*$N19,(1+$P$4)*$N19),2),"0,00")</f>
        <v>12.53</v>
      </c>
      <c r="P19" s="410">
        <f>IF($R$2="OUTROS",TRUNC(M19*O19,2),TRUNC(M19*O19,2))</f>
        <v>223721.01</v>
      </c>
      <c r="Q19" s="835">
        <f>IF(P19&gt;0,P19/$P$82,0)</f>
        <v>2.1117991045859302E-2</v>
      </c>
    </row>
    <row r="20" spans="1:18" s="400" customFormat="1" ht="15.75" x14ac:dyDescent="0.25">
      <c r="A20" s="387">
        <v>3</v>
      </c>
      <c r="B20" s="387">
        <v>3</v>
      </c>
      <c r="C20" s="387">
        <f t="shared" ref="C20:C25" si="5">IF(I20&gt;0,1,"")</f>
        <v>1</v>
      </c>
      <c r="D20" s="388" t="str">
        <f t="shared" si="2"/>
        <v/>
      </c>
      <c r="E20" s="389"/>
      <c r="F20" s="390"/>
      <c r="G20" s="402" t="s">
        <v>20</v>
      </c>
      <c r="H20" s="403" t="str">
        <f>'CPAV004-IMPRIMAÇÃO'!$A$7</f>
        <v>CPAV004</v>
      </c>
      <c r="I20" s="404" t="s">
        <v>224</v>
      </c>
      <c r="J20" s="404" t="str">
        <f>IFERROR(IF(B20&lt;&gt;"",A20&amp;"."&amp;B20,""),"S/Nº")</f>
        <v>3.3</v>
      </c>
      <c r="K20" s="405" t="s">
        <v>49</v>
      </c>
      <c r="L20" s="406" t="s">
        <v>33</v>
      </c>
      <c r="M20" s="407">
        <f>PAVIMENTO!H55</f>
        <v>64201.630000000005</v>
      </c>
      <c r="N20" s="408">
        <v>1.1000000000000001</v>
      </c>
      <c r="O20" s="409">
        <f>IFERROR(TRUNC(IF(I20="SERVIÇO",(1+$P$3)*$N20,(1+$P$4)*$N20),2),"0,00")</f>
        <v>1.1000000000000001</v>
      </c>
      <c r="P20" s="410">
        <f>IF($R$2="OUTROS",TRUNC(M20*O20,2),TRUNC(M20*O20,2))</f>
        <v>70621.789999999994</v>
      </c>
      <c r="Q20" s="835">
        <f>IF(P20&gt;0,P20/$P$82,0)</f>
        <v>6.6662953509040376E-3</v>
      </c>
    </row>
    <row r="21" spans="1:18" s="400" customFormat="1" ht="28.5" x14ac:dyDescent="0.25">
      <c r="A21" s="387">
        <v>3</v>
      </c>
      <c r="B21" s="387">
        <v>4</v>
      </c>
      <c r="C21" s="387">
        <f t="shared" si="5"/>
        <v>1</v>
      </c>
      <c r="D21" s="388" t="str">
        <f t="shared" si="2"/>
        <v/>
      </c>
      <c r="E21" s="389"/>
      <c r="F21" s="390"/>
      <c r="G21" s="402" t="s">
        <v>20</v>
      </c>
      <c r="H21" s="403" t="str">
        <f>'CPAV005-TSD-104389'!$A$7</f>
        <v>CPAV005-1</v>
      </c>
      <c r="I21" s="404" t="s">
        <v>224</v>
      </c>
      <c r="J21" s="404" t="str">
        <f>IFERROR(IF(B21&lt;&gt;"",A21&amp;"."&amp;B21,""),"S/Nº")</f>
        <v>3.4</v>
      </c>
      <c r="K21" s="405" t="s">
        <v>55</v>
      </c>
      <c r="L21" s="406" t="s">
        <v>33</v>
      </c>
      <c r="M21" s="407">
        <f>PAVIMENTO!H55</f>
        <v>64201.630000000005</v>
      </c>
      <c r="N21" s="408">
        <v>5.09</v>
      </c>
      <c r="O21" s="409">
        <f>IFERROR(TRUNC(IF(I21="SERVIÇO",(1+$P$3)*$N21,(1+$P$4)*$N21),2),"0,00")</f>
        <v>5.09</v>
      </c>
      <c r="P21" s="410">
        <f>IF($R$2="OUTROS",TRUNC(M21*O21,2),TRUNC(M21*O21,2))</f>
        <v>326786.28999999998</v>
      </c>
      <c r="Q21" s="835">
        <f>IF(P21&gt;0,P21/$P$82,0)</f>
        <v>3.0846767347106022E-2</v>
      </c>
      <c r="R21" s="400">
        <v>5.12</v>
      </c>
    </row>
    <row r="22" spans="1:18" s="400" customFormat="1" ht="15.75" x14ac:dyDescent="0.25">
      <c r="A22" s="387">
        <v>3</v>
      </c>
      <c r="B22" s="387"/>
      <c r="C22" s="387" t="str">
        <f t="shared" si="5"/>
        <v/>
      </c>
      <c r="D22" s="388" t="str">
        <f t="shared" si="2"/>
        <v/>
      </c>
      <c r="E22" s="389"/>
      <c r="F22" s="390"/>
      <c r="G22" s="391"/>
      <c r="H22" s="392"/>
      <c r="I22" s="393"/>
      <c r="J22" s="393"/>
      <c r="K22" s="428" t="s">
        <v>246</v>
      </c>
      <c r="L22" s="396"/>
      <c r="M22" s="397"/>
      <c r="N22" s="429"/>
      <c r="O22" s="430"/>
      <c r="P22" s="399"/>
      <c r="Q22" s="553"/>
    </row>
    <row r="23" spans="1:18" s="400" customFormat="1" ht="15.75" x14ac:dyDescent="0.25">
      <c r="A23" s="387">
        <v>3</v>
      </c>
      <c r="B23" s="387">
        <v>5</v>
      </c>
      <c r="C23" s="387">
        <f t="shared" si="5"/>
        <v>1</v>
      </c>
      <c r="D23" s="388" t="str">
        <f t="shared" si="2"/>
        <v/>
      </c>
      <c r="E23" s="389"/>
      <c r="F23" s="390"/>
      <c r="G23" s="402" t="s">
        <v>17</v>
      </c>
      <c r="H23" s="403"/>
      <c r="I23" s="404" t="s">
        <v>230</v>
      </c>
      <c r="J23" s="404" t="str">
        <f>IFERROR(IF(B23&lt;&gt;"",A23&amp;"."&amp;B23,""),"S/Nº")</f>
        <v>3.5</v>
      </c>
      <c r="K23" s="405" t="str">
        <f>ANP!B7</f>
        <v>ASFALTOS DILUÍDOS CM-30</v>
      </c>
      <c r="L23" s="406" t="s">
        <v>247</v>
      </c>
      <c r="M23" s="431">
        <f>PAVIMENTO!J55</f>
        <v>77.03</v>
      </c>
      <c r="N23" s="432">
        <f>TRUNC(ANP!E7*1000,2)</f>
        <v>5306.62</v>
      </c>
      <c r="O23" s="409">
        <f>IFERROR(TRUNC(IF(I23="SERVIÇO",(1+$P$3)*$N23,(1+$P$4)*$N23),2),"0,00")</f>
        <v>5306.62</v>
      </c>
      <c r="P23" s="410">
        <f>IF($R$2="OUTROS",TRUNC(M23*O23,2),TRUNC(M23*O23,2))</f>
        <v>408768.93</v>
      </c>
      <c r="Q23" s="835">
        <f>IF(P23&gt;0,P23/$P$82,0)</f>
        <v>3.8585462329020805E-2</v>
      </c>
    </row>
    <row r="24" spans="1:18" s="400" customFormat="1" ht="15.75" x14ac:dyDescent="0.25">
      <c r="A24" s="387">
        <v>3</v>
      </c>
      <c r="B24" s="387">
        <v>6</v>
      </c>
      <c r="C24" s="387">
        <f t="shared" si="5"/>
        <v>1</v>
      </c>
      <c r="D24" s="388" t="str">
        <f t="shared" si="2"/>
        <v/>
      </c>
      <c r="E24" s="389"/>
      <c r="F24" s="390"/>
      <c r="G24" s="402" t="s">
        <v>17</v>
      </c>
      <c r="H24" s="403"/>
      <c r="I24" s="404" t="s">
        <v>230</v>
      </c>
      <c r="J24" s="404" t="str">
        <f>IFERROR(IF(B24&lt;&gt;"",A24&amp;"."&amp;B24,""),"S/Nº")</f>
        <v>3.6</v>
      </c>
      <c r="K24" s="433" t="str">
        <f>ANP!B33</f>
        <v>EMULSÕES ASFÁLTICAS RR-2C</v>
      </c>
      <c r="L24" s="434" t="s">
        <v>247</v>
      </c>
      <c r="M24" s="407">
        <f>PAVIMENTO!L55</f>
        <v>224.7</v>
      </c>
      <c r="N24" s="435">
        <f>TRUNC(ANP!E33*1000,2)</f>
        <v>3527.83</v>
      </c>
      <c r="O24" s="409">
        <f>IFERROR(TRUNC(IF(I24="SERVIÇO",(1+$P$3)*$N24,(1+$P$4)*$N24),2),"0,00")</f>
        <v>3527.83</v>
      </c>
      <c r="P24" s="410">
        <f>IF($R$2="OUTROS",TRUNC(M24*O24,2),TRUNC(M24*O24,2))</f>
        <v>792703.4</v>
      </c>
      <c r="Q24" s="835">
        <f>IF(P24&gt;0,P24/$P$82,0)</f>
        <v>7.4826692867255615E-2</v>
      </c>
    </row>
    <row r="25" spans="1:18" s="400" customFormat="1" ht="15.75" x14ac:dyDescent="0.25">
      <c r="A25" s="387">
        <v>3</v>
      </c>
      <c r="B25" s="387"/>
      <c r="C25" s="387" t="str">
        <f t="shared" si="5"/>
        <v/>
      </c>
      <c r="D25" s="388" t="str">
        <f t="shared" si="2"/>
        <v/>
      </c>
      <c r="E25" s="389"/>
      <c r="F25" s="390"/>
      <c r="G25" s="391"/>
      <c r="H25" s="392"/>
      <c r="I25" s="393"/>
      <c r="J25" s="393"/>
      <c r="K25" s="428" t="s">
        <v>248</v>
      </c>
      <c r="L25" s="396"/>
      <c r="M25" s="397"/>
      <c r="N25" s="429"/>
      <c r="O25" s="430"/>
      <c r="P25" s="399"/>
      <c r="Q25" s="553"/>
    </row>
    <row r="26" spans="1:18" s="400" customFormat="1" ht="15.75" x14ac:dyDescent="0.25">
      <c r="A26" s="387"/>
      <c r="B26" s="387"/>
      <c r="C26" s="387"/>
      <c r="D26" s="388"/>
      <c r="E26" s="389"/>
      <c r="F26" s="390"/>
      <c r="G26" s="391"/>
      <c r="H26" s="392"/>
      <c r="I26" s="393"/>
      <c r="J26" s="393"/>
      <c r="K26" s="414" t="s">
        <v>249</v>
      </c>
      <c r="L26" s="417"/>
      <c r="M26" s="397"/>
      <c r="N26" s="436"/>
      <c r="O26" s="430"/>
      <c r="P26" s="399"/>
      <c r="Q26" s="553"/>
    </row>
    <row r="27" spans="1:18" s="400" customFormat="1" ht="28.5" x14ac:dyDescent="0.25">
      <c r="A27" s="387">
        <v>3</v>
      </c>
      <c r="B27" s="387">
        <v>7</v>
      </c>
      <c r="C27" s="387">
        <f>IF(I27&gt;0,1,"")</f>
        <v>1</v>
      </c>
      <c r="D27" s="388" t="str">
        <f t="shared" si="2"/>
        <v/>
      </c>
      <c r="E27" s="389"/>
      <c r="F27" s="390"/>
      <c r="G27" s="402" t="s">
        <v>1</v>
      </c>
      <c r="H27" s="403">
        <v>93589</v>
      </c>
      <c r="I27" s="404" t="s">
        <v>224</v>
      </c>
      <c r="J27" s="404" t="str">
        <f t="shared" ref="J27:J36" si="6">IFERROR(IF(B27&lt;&gt;"",A27&amp;"."&amp;B27,""),"S/Nº")</f>
        <v>3.7</v>
      </c>
      <c r="K27" s="405" t="s">
        <v>262</v>
      </c>
      <c r="L27" s="406" t="s">
        <v>263</v>
      </c>
      <c r="M27" s="407">
        <f>'TRANSP. MAT.PAV'!K13</f>
        <v>147837.88</v>
      </c>
      <c r="N27" s="408">
        <v>2.7</v>
      </c>
      <c r="O27" s="409">
        <f t="shared" ref="O27:O36" si="7">IFERROR(TRUNC(IF(I27="SERVIÇO",(1+$P$3)*$N27,(1+$P$4)*$N27),2),"0,00")</f>
        <v>2.7</v>
      </c>
      <c r="P27" s="410">
        <f t="shared" ref="P27:P36" si="8">IF($R$2="OUTROS",TRUNC(M27*O27,2),TRUNC(M27*O27,2))</f>
        <v>399162.27</v>
      </c>
      <c r="Q27" s="835">
        <f t="shared" ref="Q27:Q37" si="9">IF(P27&gt;0,P27/$P$82,0)</f>
        <v>3.7678648257956963E-2</v>
      </c>
    </row>
    <row r="28" spans="1:18" s="400" customFormat="1" ht="31.5" customHeight="1" x14ac:dyDescent="0.25">
      <c r="A28" s="387">
        <v>3</v>
      </c>
      <c r="B28" s="387">
        <v>8</v>
      </c>
      <c r="C28" s="387">
        <f>IF(I28&gt;0,1,"")</f>
        <v>1</v>
      </c>
      <c r="D28" s="388" t="str">
        <f t="shared" si="2"/>
        <v/>
      </c>
      <c r="E28" s="389"/>
      <c r="F28" s="390"/>
      <c r="G28" s="402" t="s">
        <v>1</v>
      </c>
      <c r="H28" s="403">
        <v>95875</v>
      </c>
      <c r="I28" s="404" t="s">
        <v>224</v>
      </c>
      <c r="J28" s="404" t="str">
        <f t="shared" si="6"/>
        <v>3.8</v>
      </c>
      <c r="K28" s="405" t="s">
        <v>264</v>
      </c>
      <c r="L28" s="406" t="s">
        <v>263</v>
      </c>
      <c r="M28" s="407">
        <f>'TRANSP. MAT.PAV'!K19</f>
        <v>19945.813999999998</v>
      </c>
      <c r="N28" s="408">
        <v>2.4900000000000002</v>
      </c>
      <c r="O28" s="409">
        <f t="shared" si="7"/>
        <v>2.4900000000000002</v>
      </c>
      <c r="P28" s="410">
        <f t="shared" si="8"/>
        <v>49665.07</v>
      </c>
      <c r="Q28" s="835">
        <f t="shared" si="9"/>
        <v>4.6881001634668795E-3</v>
      </c>
    </row>
    <row r="29" spans="1:18" s="400" customFormat="1" ht="17.25" customHeight="1" x14ac:dyDescent="0.25">
      <c r="A29" s="387"/>
      <c r="B29" s="387">
        <v>9</v>
      </c>
      <c r="C29" s="387"/>
      <c r="D29" s="388"/>
      <c r="E29" s="389"/>
      <c r="F29" s="390"/>
      <c r="G29" s="391"/>
      <c r="H29" s="392"/>
      <c r="I29" s="393"/>
      <c r="J29" s="393"/>
      <c r="K29" s="414" t="s">
        <v>250</v>
      </c>
      <c r="L29" s="417"/>
      <c r="M29" s="437"/>
      <c r="N29" s="438"/>
      <c r="O29" s="439"/>
      <c r="P29" s="440"/>
      <c r="Q29" s="554"/>
    </row>
    <row r="30" spans="1:18" s="400" customFormat="1" ht="28.5" x14ac:dyDescent="0.25">
      <c r="A30" s="387">
        <v>3</v>
      </c>
      <c r="B30" s="387">
        <v>10</v>
      </c>
      <c r="C30" s="387">
        <f>IF(I30&gt;0,1,"")</f>
        <v>1</v>
      </c>
      <c r="D30" s="388" t="str">
        <f t="shared" si="2"/>
        <v/>
      </c>
      <c r="E30" s="389"/>
      <c r="F30" s="390"/>
      <c r="G30" s="402" t="s">
        <v>1</v>
      </c>
      <c r="H30" s="403">
        <v>93589</v>
      </c>
      <c r="I30" s="404" t="s">
        <v>224</v>
      </c>
      <c r="J30" s="404" t="str">
        <f t="shared" si="6"/>
        <v>3.10</v>
      </c>
      <c r="K30" s="405" t="s">
        <v>262</v>
      </c>
      <c r="L30" s="406" t="s">
        <v>263</v>
      </c>
      <c r="M30" s="407">
        <f>'TRANSP. MAT.PAV'!K28</f>
        <v>144613.98000000001</v>
      </c>
      <c r="N30" s="408">
        <v>2.7</v>
      </c>
      <c r="O30" s="409">
        <f t="shared" si="7"/>
        <v>2.7</v>
      </c>
      <c r="P30" s="410">
        <f t="shared" si="8"/>
        <v>390457.74</v>
      </c>
      <c r="Q30" s="835">
        <f t="shared" si="9"/>
        <v>3.6856990128492889E-2</v>
      </c>
    </row>
    <row r="31" spans="1:18" s="400" customFormat="1" ht="35.25" customHeight="1" x14ac:dyDescent="0.25">
      <c r="A31" s="387">
        <v>3</v>
      </c>
      <c r="B31" s="387">
        <v>11</v>
      </c>
      <c r="C31" s="387">
        <f>IF(I31&gt;0,1,"")</f>
        <v>1</v>
      </c>
      <c r="D31" s="388" t="str">
        <f t="shared" si="2"/>
        <v/>
      </c>
      <c r="E31" s="389"/>
      <c r="F31" s="390"/>
      <c r="G31" s="402" t="s">
        <v>1</v>
      </c>
      <c r="H31" s="403">
        <v>95875</v>
      </c>
      <c r="I31" s="404" t="s">
        <v>224</v>
      </c>
      <c r="J31" s="404" t="str">
        <f t="shared" si="6"/>
        <v>3.11</v>
      </c>
      <c r="K31" s="405" t="s">
        <v>264</v>
      </c>
      <c r="L31" s="406" t="s">
        <v>263</v>
      </c>
      <c r="M31" s="407">
        <f>'TRANSP. MAT.PAV'!K36</f>
        <v>42950.399999999994</v>
      </c>
      <c r="N31" s="408">
        <v>2.4900000000000002</v>
      </c>
      <c r="O31" s="409">
        <f t="shared" si="7"/>
        <v>2.4900000000000002</v>
      </c>
      <c r="P31" s="410">
        <f t="shared" si="8"/>
        <v>106946.49</v>
      </c>
      <c r="Q31" s="835">
        <f t="shared" si="9"/>
        <v>1.0095140452861719E-2</v>
      </c>
    </row>
    <row r="32" spans="1:18" s="400" customFormat="1" ht="42.75" x14ac:dyDescent="0.25">
      <c r="A32" s="387">
        <v>3</v>
      </c>
      <c r="B32" s="387">
        <v>12</v>
      </c>
      <c r="C32" s="387">
        <f>IF(I32&gt;0,1,"")</f>
        <v>1</v>
      </c>
      <c r="D32" s="388" t="str">
        <f t="shared" si="2"/>
        <v/>
      </c>
      <c r="E32" s="389"/>
      <c r="F32" s="390"/>
      <c r="G32" s="402" t="s">
        <v>1</v>
      </c>
      <c r="H32" s="403">
        <v>93590</v>
      </c>
      <c r="I32" s="404" t="s">
        <v>224</v>
      </c>
      <c r="J32" s="404" t="str">
        <f t="shared" si="6"/>
        <v>3.12</v>
      </c>
      <c r="K32" s="405" t="s">
        <v>811</v>
      </c>
      <c r="L32" s="406" t="s">
        <v>263</v>
      </c>
      <c r="M32" s="407">
        <f>'TRANSP. MAT.PAV'!K44</f>
        <v>176975.98</v>
      </c>
      <c r="N32" s="408">
        <v>0.98</v>
      </c>
      <c r="O32" s="409">
        <f t="shared" si="7"/>
        <v>0.98</v>
      </c>
      <c r="P32" s="410">
        <f t="shared" si="8"/>
        <v>173436.46</v>
      </c>
      <c r="Q32" s="835">
        <f t="shared" si="9"/>
        <v>1.6371415493366199E-2</v>
      </c>
    </row>
    <row r="33" spans="1:18" s="400" customFormat="1" ht="15.75" x14ac:dyDescent="0.25">
      <c r="A33" s="387"/>
      <c r="B33" s="387">
        <v>13</v>
      </c>
      <c r="C33" s="387"/>
      <c r="D33" s="388"/>
      <c r="E33" s="389"/>
      <c r="F33" s="390"/>
      <c r="G33" s="391"/>
      <c r="H33" s="392"/>
      <c r="I33" s="393"/>
      <c r="J33" s="393"/>
      <c r="K33" s="414" t="s">
        <v>251</v>
      </c>
      <c r="L33" s="417"/>
      <c r="M33" s="437"/>
      <c r="N33" s="438"/>
      <c r="O33" s="439"/>
      <c r="P33" s="440"/>
      <c r="Q33" s="554"/>
    </row>
    <row r="34" spans="1:18" s="400" customFormat="1" ht="42.75" x14ac:dyDescent="0.25">
      <c r="A34" s="387">
        <v>3</v>
      </c>
      <c r="B34" s="387">
        <v>14</v>
      </c>
      <c r="C34" s="387">
        <f>IF(I34&gt;0,1,"")</f>
        <v>1</v>
      </c>
      <c r="D34" s="388" t="str">
        <f t="shared" si="2"/>
        <v/>
      </c>
      <c r="E34" s="389"/>
      <c r="F34" s="390"/>
      <c r="G34" s="402" t="s">
        <v>1</v>
      </c>
      <c r="H34" s="403">
        <v>100966</v>
      </c>
      <c r="I34" s="404" t="s">
        <v>230</v>
      </c>
      <c r="J34" s="404" t="str">
        <f t="shared" si="6"/>
        <v>3.14</v>
      </c>
      <c r="K34" s="405" t="s">
        <v>2922</v>
      </c>
      <c r="L34" s="406" t="s">
        <v>280</v>
      </c>
      <c r="M34" s="407">
        <f>'TRANSP. MAT.PAV'!K52</f>
        <v>28839.34</v>
      </c>
      <c r="N34" s="408">
        <v>1.52</v>
      </c>
      <c r="O34" s="409">
        <f t="shared" si="7"/>
        <v>1.52</v>
      </c>
      <c r="P34" s="410">
        <f t="shared" si="8"/>
        <v>43835.79</v>
      </c>
      <c r="Q34" s="835">
        <f t="shared" si="9"/>
        <v>4.1378492824977351E-3</v>
      </c>
    </row>
    <row r="35" spans="1:18" s="400" customFormat="1" ht="42.75" x14ac:dyDescent="0.25">
      <c r="A35" s="387">
        <v>3</v>
      </c>
      <c r="B35" s="387">
        <v>15</v>
      </c>
      <c r="C35" s="387">
        <f>IF(I35&gt;0,1,"")</f>
        <v>1</v>
      </c>
      <c r="D35" s="388" t="str">
        <f t="shared" si="2"/>
        <v/>
      </c>
      <c r="E35" s="389"/>
      <c r="F35" s="390"/>
      <c r="G35" s="402" t="s">
        <v>1</v>
      </c>
      <c r="H35" s="403">
        <v>102330</v>
      </c>
      <c r="I35" s="404" t="s">
        <v>230</v>
      </c>
      <c r="J35" s="404" t="str">
        <f t="shared" si="6"/>
        <v>3.15</v>
      </c>
      <c r="K35" s="405" t="s">
        <v>2923</v>
      </c>
      <c r="L35" s="406" t="s">
        <v>280</v>
      </c>
      <c r="M35" s="407">
        <f>'TRANSP. MAT.PAV'!K60</f>
        <v>9051.9</v>
      </c>
      <c r="N35" s="408">
        <v>1.42</v>
      </c>
      <c r="O35" s="409">
        <f t="shared" si="7"/>
        <v>1.42</v>
      </c>
      <c r="P35" s="410">
        <f t="shared" si="8"/>
        <v>12853.69</v>
      </c>
      <c r="Q35" s="835">
        <f t="shared" si="9"/>
        <v>1.2133152372513034E-3</v>
      </c>
    </row>
    <row r="36" spans="1:18" s="400" customFormat="1" ht="57" x14ac:dyDescent="0.25">
      <c r="A36" s="387">
        <v>3</v>
      </c>
      <c r="B36" s="387">
        <v>16</v>
      </c>
      <c r="C36" s="387">
        <f>IF(I36&gt;0,1,"")</f>
        <v>1</v>
      </c>
      <c r="D36" s="388" t="str">
        <f t="shared" si="2"/>
        <v/>
      </c>
      <c r="E36" s="389"/>
      <c r="F36" s="390"/>
      <c r="G36" s="402" t="s">
        <v>1</v>
      </c>
      <c r="H36" s="403">
        <v>102331</v>
      </c>
      <c r="I36" s="404" t="s">
        <v>230</v>
      </c>
      <c r="J36" s="404" t="str">
        <f t="shared" si="6"/>
        <v>3.16</v>
      </c>
      <c r="K36" s="405" t="s">
        <v>2924</v>
      </c>
      <c r="L36" s="406" t="s">
        <v>280</v>
      </c>
      <c r="M36" s="407">
        <f>'TRANSP. MAT.PAV'!K68</f>
        <v>264199.07</v>
      </c>
      <c r="N36" s="408">
        <v>0.55000000000000004</v>
      </c>
      <c r="O36" s="409">
        <f t="shared" si="7"/>
        <v>0.55000000000000004</v>
      </c>
      <c r="P36" s="410">
        <f t="shared" si="8"/>
        <v>145309.48000000001</v>
      </c>
      <c r="Q36" s="835">
        <f t="shared" si="9"/>
        <v>1.3716388539093719E-2</v>
      </c>
      <c r="R36" s="441"/>
    </row>
    <row r="37" spans="1:18" s="400" customFormat="1" ht="15.75" x14ac:dyDescent="0.25">
      <c r="A37" s="387">
        <v>4</v>
      </c>
      <c r="B37" s="387">
        <v>0</v>
      </c>
      <c r="C37" s="387">
        <v>1</v>
      </c>
      <c r="D37" s="388"/>
      <c r="E37" s="389"/>
      <c r="F37" s="390"/>
      <c r="G37" s="413"/>
      <c r="H37" s="414"/>
      <c r="I37" s="415"/>
      <c r="J37" s="415" t="str">
        <f>IFERROR(IF(B37&lt;&gt;"",A37&amp;"."&amp;B37,""),"S/Nº")</f>
        <v>4.0</v>
      </c>
      <c r="K37" s="416" t="s">
        <v>252</v>
      </c>
      <c r="L37" s="417"/>
      <c r="M37" s="418"/>
      <c r="N37" s="436"/>
      <c r="O37" s="540"/>
      <c r="P37" s="419">
        <f>SUM(P38:P62)</f>
        <v>4910654.4799999986</v>
      </c>
      <c r="Q37" s="836">
        <f t="shared" si="9"/>
        <v>0.46353785609115938</v>
      </c>
      <c r="R37" s="441"/>
    </row>
    <row r="38" spans="1:18" s="400" customFormat="1" ht="15.75" x14ac:dyDescent="0.25">
      <c r="A38" s="387">
        <v>4</v>
      </c>
      <c r="B38" s="387">
        <v>1</v>
      </c>
      <c r="C38" s="387">
        <v>1</v>
      </c>
      <c r="D38" s="388"/>
      <c r="E38" s="389"/>
      <c r="F38" s="390"/>
      <c r="G38" s="420"/>
      <c r="H38" s="421"/>
      <c r="I38" s="422"/>
      <c r="J38" s="422" t="str">
        <f>IFERROR(IF(B38&lt;&gt;"",A38&amp;"."&amp;B38,""),"S/Nº")</f>
        <v>4.1</v>
      </c>
      <c r="K38" s="423" t="s">
        <v>253</v>
      </c>
      <c r="L38" s="424"/>
      <c r="M38" s="425"/>
      <c r="N38" s="426"/>
      <c r="O38" s="427"/>
      <c r="P38" s="398"/>
      <c r="Q38" s="837"/>
      <c r="R38" s="441"/>
    </row>
    <row r="39" spans="1:18" s="400" customFormat="1" ht="57" x14ac:dyDescent="0.25">
      <c r="A39" s="387">
        <v>4</v>
      </c>
      <c r="B39" s="387">
        <v>1</v>
      </c>
      <c r="C39" s="387">
        <v>1</v>
      </c>
      <c r="D39" s="388"/>
      <c r="E39" s="389"/>
      <c r="F39" s="390"/>
      <c r="G39" s="402" t="s">
        <v>1</v>
      </c>
      <c r="H39" s="403">
        <v>94267</v>
      </c>
      <c r="I39" s="404" t="s">
        <v>224</v>
      </c>
      <c r="J39" s="404" t="str">
        <f>IFERROR(IF(B39&lt;&gt;"",A39&amp;"."&amp;B39,""),"S/Nº")</f>
        <v>4.1</v>
      </c>
      <c r="K39" s="405" t="s">
        <v>254</v>
      </c>
      <c r="L39" s="406" t="s">
        <v>255</v>
      </c>
      <c r="M39" s="407">
        <f>'MEIO-FIO E SARJETA'!F54</f>
        <v>13237.55</v>
      </c>
      <c r="N39" s="408">
        <v>67.66</v>
      </c>
      <c r="O39" s="409">
        <f>IFERROR(TRUNC(IF(I39="SERVIÇO",(1+$P$3)*$N39,(1+$P$4)*$N39),2),"0,00")</f>
        <v>67.66</v>
      </c>
      <c r="P39" s="410">
        <f>IF($R$2="OUTROS",TRUNC(M39*O39,2),TRUNC(M39*O39,2))</f>
        <v>895652.63</v>
      </c>
      <c r="Q39" s="835">
        <f>IF(P39&gt;0,P39/$P$82,0)</f>
        <v>8.4544514708477014E-2</v>
      </c>
      <c r="R39" s="441"/>
    </row>
    <row r="40" spans="1:18" s="400" customFormat="1" ht="57" x14ac:dyDescent="0.25">
      <c r="A40" s="387">
        <v>4</v>
      </c>
      <c r="B40" s="387">
        <v>2</v>
      </c>
      <c r="C40" s="387">
        <v>1</v>
      </c>
      <c r="D40" s="388"/>
      <c r="E40" s="389"/>
      <c r="F40" s="390"/>
      <c r="G40" s="402" t="s">
        <v>1</v>
      </c>
      <c r="H40" s="403">
        <v>94268</v>
      </c>
      <c r="I40" s="404" t="s">
        <v>224</v>
      </c>
      <c r="J40" s="404" t="str">
        <f>IFERROR(IF(B40&lt;&gt;"",A40&amp;"."&amp;B40,""),"S/Nº")</f>
        <v>4.2</v>
      </c>
      <c r="K40" s="433" t="s">
        <v>256</v>
      </c>
      <c r="L40" s="434" t="s">
        <v>255</v>
      </c>
      <c r="M40" s="407">
        <f>'MEIO-FIO E SARJETA'!H54</f>
        <v>1411.47</v>
      </c>
      <c r="N40" s="442">
        <v>73.05</v>
      </c>
      <c r="O40" s="409">
        <f>IFERROR(TRUNC(IF(I40="SERVIÇO",(1+$P$3)*$N40,(1+$P$4)*$N40),2),"0,00")</f>
        <v>73.05</v>
      </c>
      <c r="P40" s="410">
        <f>IF($R$2="OUTROS",TRUNC(M40*O40,2),TRUNC(M40*O40,2))</f>
        <v>103107.88</v>
      </c>
      <c r="Q40" s="835">
        <f>IF(P40&gt;0,P40/$P$82,0)</f>
        <v>9.7327974989811425E-3</v>
      </c>
      <c r="R40" s="441"/>
    </row>
    <row r="41" spans="1:18" s="400" customFormat="1" ht="15.75" x14ac:dyDescent="0.25">
      <c r="A41" s="387">
        <v>4</v>
      </c>
      <c r="B41" s="387">
        <v>2</v>
      </c>
      <c r="C41" s="387">
        <v>1</v>
      </c>
      <c r="D41" s="388"/>
      <c r="E41" s="389"/>
      <c r="F41" s="390"/>
      <c r="G41" s="391"/>
      <c r="H41" s="392"/>
      <c r="I41" s="393"/>
      <c r="J41" s="393"/>
      <c r="K41" s="428" t="s">
        <v>257</v>
      </c>
      <c r="L41" s="396"/>
      <c r="M41" s="397"/>
      <c r="N41" s="429"/>
      <c r="O41" s="430"/>
      <c r="P41" s="399"/>
      <c r="Q41" s="553"/>
      <c r="R41" s="441"/>
    </row>
    <row r="42" spans="1:18" s="400" customFormat="1" ht="71.25" x14ac:dyDescent="0.25">
      <c r="A42" s="387">
        <v>4</v>
      </c>
      <c r="B42" s="387">
        <v>3</v>
      </c>
      <c r="C42" s="387">
        <v>1</v>
      </c>
      <c r="D42" s="388"/>
      <c r="E42" s="389"/>
      <c r="F42" s="390"/>
      <c r="G42" s="402" t="s">
        <v>1</v>
      </c>
      <c r="H42" s="403">
        <v>90092</v>
      </c>
      <c r="I42" s="404" t="s">
        <v>224</v>
      </c>
      <c r="J42" s="404" t="str">
        <f t="shared" ref="J42:J72" si="10">IFERROR(IF(B42&lt;&gt;"",A42&amp;"."&amp;B42,""),"S/Nº")</f>
        <v>4.3</v>
      </c>
      <c r="K42" s="405" t="s">
        <v>258</v>
      </c>
      <c r="L42" s="406" t="s">
        <v>259</v>
      </c>
      <c r="M42" s="407">
        <f>'DREN. MEM. CAL.'!J90+'DREN. MEM. CAL.'!J98+'DREN. MEM. CAL.'!K106+'DREN. MEM. CAL.'!G179+'DREN. MEM. CAL.'!F190+'DREN. MEM. CAL.'!F196</f>
        <v>14986.76</v>
      </c>
      <c r="N42" s="408">
        <v>5.74</v>
      </c>
      <c r="O42" s="409">
        <f t="shared" ref="O42:O62" si="11">IFERROR(TRUNC(IF(I42="SERVIÇO",(1+$P$3)*$N42,(1+$P$4)*$N42),2),"0,00")</f>
        <v>5.74</v>
      </c>
      <c r="P42" s="410">
        <f t="shared" ref="P42:P62" si="12">IF($R$2="OUTROS",TRUNC(M42*O42,2),TRUNC(M42*O42,2))</f>
        <v>86024</v>
      </c>
      <c r="Q42" s="835">
        <f t="shared" ref="Q42:Q72" si="13">IF(P42&gt;0,P42/$P$82,0)</f>
        <v>8.1201763827590465E-3</v>
      </c>
      <c r="R42" s="441"/>
    </row>
    <row r="43" spans="1:18" s="400" customFormat="1" ht="71.25" x14ac:dyDescent="0.25">
      <c r="A43" s="387">
        <v>4</v>
      </c>
      <c r="B43" s="387">
        <v>4</v>
      </c>
      <c r="C43" s="387">
        <v>1</v>
      </c>
      <c r="D43" s="388"/>
      <c r="E43" s="389"/>
      <c r="F43" s="390"/>
      <c r="G43" s="402" t="s">
        <v>1</v>
      </c>
      <c r="H43" s="403">
        <v>93381</v>
      </c>
      <c r="I43" s="404" t="s">
        <v>224</v>
      </c>
      <c r="J43" s="404" t="str">
        <f t="shared" si="10"/>
        <v>4.4</v>
      </c>
      <c r="K43" s="405" t="s">
        <v>260</v>
      </c>
      <c r="L43" s="406" t="s">
        <v>259</v>
      </c>
      <c r="M43" s="407">
        <f>'DREN. MEM. CAL.'!G196+'DREN. MEM. CAL.'!G190</f>
        <v>8578.34</v>
      </c>
      <c r="N43" s="408">
        <v>10.85</v>
      </c>
      <c r="O43" s="409">
        <f t="shared" si="11"/>
        <v>10.85</v>
      </c>
      <c r="P43" s="410">
        <f t="shared" si="12"/>
        <v>93074.98</v>
      </c>
      <c r="Q43" s="835">
        <f t="shared" si="13"/>
        <v>8.7857487959380007E-3</v>
      </c>
      <c r="R43" s="441"/>
    </row>
    <row r="44" spans="1:18" s="400" customFormat="1" ht="30.75" customHeight="1" x14ac:dyDescent="0.25">
      <c r="A44" s="387">
        <v>4</v>
      </c>
      <c r="B44" s="387">
        <v>5</v>
      </c>
      <c r="C44" s="387">
        <v>1</v>
      </c>
      <c r="D44" s="388"/>
      <c r="E44" s="389"/>
      <c r="F44" s="390"/>
      <c r="G44" s="402" t="s">
        <v>1</v>
      </c>
      <c r="H44" s="403">
        <v>101572</v>
      </c>
      <c r="I44" s="404" t="s">
        <v>224</v>
      </c>
      <c r="J44" s="404" t="str">
        <f t="shared" si="10"/>
        <v>4.5</v>
      </c>
      <c r="K44" s="405" t="s">
        <v>261</v>
      </c>
      <c r="L44" s="406" t="s">
        <v>33</v>
      </c>
      <c r="M44" s="407">
        <f>'DREN. MEM. CAL.'!J190+'DREN. MEM. CAL.'!J196</f>
        <v>16939.11</v>
      </c>
      <c r="N44" s="408">
        <v>16.84</v>
      </c>
      <c r="O44" s="409">
        <f t="shared" si="11"/>
        <v>16.84</v>
      </c>
      <c r="P44" s="410">
        <f t="shared" si="12"/>
        <v>285254.61</v>
      </c>
      <c r="Q44" s="835">
        <f t="shared" si="13"/>
        <v>2.6926412945168121E-2</v>
      </c>
      <c r="R44" s="441"/>
    </row>
    <row r="45" spans="1:18" s="400" customFormat="1" ht="28.5" x14ac:dyDescent="0.25">
      <c r="A45" s="387">
        <v>4</v>
      </c>
      <c r="B45" s="387">
        <v>6</v>
      </c>
      <c r="C45" s="387">
        <v>1</v>
      </c>
      <c r="D45" s="388"/>
      <c r="E45" s="389"/>
      <c r="F45" s="390"/>
      <c r="G45" s="402" t="s">
        <v>1</v>
      </c>
      <c r="H45" s="403">
        <v>93589</v>
      </c>
      <c r="I45" s="404" t="s">
        <v>224</v>
      </c>
      <c r="J45" s="404" t="str">
        <f t="shared" si="10"/>
        <v>4.6</v>
      </c>
      <c r="K45" s="405" t="s">
        <v>262</v>
      </c>
      <c r="L45" s="406" t="s">
        <v>263</v>
      </c>
      <c r="M45" s="407">
        <f>'TRANSP. DRENAGEM'!M39+'TRANSP. DRENAGEM'!M46</f>
        <v>5156.08</v>
      </c>
      <c r="N45" s="408">
        <v>2.7</v>
      </c>
      <c r="O45" s="409">
        <f t="shared" si="11"/>
        <v>2.7</v>
      </c>
      <c r="P45" s="410">
        <f t="shared" si="12"/>
        <v>13921.41</v>
      </c>
      <c r="Q45" s="835">
        <f t="shared" si="13"/>
        <v>1.3141019331431416E-3</v>
      </c>
      <c r="R45" s="441"/>
    </row>
    <row r="46" spans="1:18" s="400" customFormat="1" ht="42.75" x14ac:dyDescent="0.25">
      <c r="A46" s="387">
        <v>4</v>
      </c>
      <c r="B46" s="387">
        <v>7</v>
      </c>
      <c r="C46" s="387">
        <v>1</v>
      </c>
      <c r="D46" s="388"/>
      <c r="E46" s="389"/>
      <c r="F46" s="390"/>
      <c r="G46" s="402" t="s">
        <v>1</v>
      </c>
      <c r="H46" s="403">
        <v>95875</v>
      </c>
      <c r="I46" s="404" t="s">
        <v>224</v>
      </c>
      <c r="J46" s="404" t="str">
        <f t="shared" si="10"/>
        <v>4.7</v>
      </c>
      <c r="K46" s="405" t="s">
        <v>264</v>
      </c>
      <c r="L46" s="406" t="s">
        <v>263</v>
      </c>
      <c r="M46" s="407">
        <f>'TRANSP. DRENAGEM'!M42+'TRANSP. DRENAGEM'!M49</f>
        <v>5743.13</v>
      </c>
      <c r="N46" s="408">
        <v>2.4900000000000002</v>
      </c>
      <c r="O46" s="409">
        <f t="shared" si="11"/>
        <v>2.4900000000000002</v>
      </c>
      <c r="P46" s="410">
        <f t="shared" si="12"/>
        <v>14300.39</v>
      </c>
      <c r="Q46" s="835">
        <f t="shared" si="13"/>
        <v>1.3498754898893753E-3</v>
      </c>
      <c r="R46" s="441"/>
    </row>
    <row r="47" spans="1:18" s="400" customFormat="1" ht="57" x14ac:dyDescent="0.25">
      <c r="A47" s="387">
        <v>4</v>
      </c>
      <c r="B47" s="387">
        <v>8</v>
      </c>
      <c r="C47" s="387">
        <v>1</v>
      </c>
      <c r="D47" s="388"/>
      <c r="E47" s="389"/>
      <c r="F47" s="390"/>
      <c r="G47" s="402" t="s">
        <v>1</v>
      </c>
      <c r="H47" s="403">
        <v>92219</v>
      </c>
      <c r="I47" s="404" t="s">
        <v>224</v>
      </c>
      <c r="J47" s="404" t="str">
        <f t="shared" si="10"/>
        <v>4.8</v>
      </c>
      <c r="K47" s="405" t="s">
        <v>265</v>
      </c>
      <c r="L47" s="406" t="s">
        <v>255</v>
      </c>
      <c r="M47" s="407">
        <f>'DREN. MEM. CAL.'!C184</f>
        <v>286</v>
      </c>
      <c r="N47" s="408">
        <v>187.63</v>
      </c>
      <c r="O47" s="409">
        <f t="shared" si="11"/>
        <v>187.63</v>
      </c>
      <c r="P47" s="410">
        <f t="shared" si="12"/>
        <v>53662.18</v>
      </c>
      <c r="Q47" s="835">
        <f t="shared" si="13"/>
        <v>5.0654046159602532E-3</v>
      </c>
      <c r="R47" s="441"/>
    </row>
    <row r="48" spans="1:18" s="400" customFormat="1" ht="57" x14ac:dyDescent="0.25">
      <c r="A48" s="387">
        <v>4</v>
      </c>
      <c r="B48" s="387">
        <v>9</v>
      </c>
      <c r="C48" s="387">
        <v>1</v>
      </c>
      <c r="D48" s="388"/>
      <c r="E48" s="389"/>
      <c r="F48" s="390"/>
      <c r="G48" s="402" t="s">
        <v>1</v>
      </c>
      <c r="H48" s="403">
        <v>92221</v>
      </c>
      <c r="I48" s="404" t="s">
        <v>224</v>
      </c>
      <c r="J48" s="404" t="str">
        <f t="shared" si="10"/>
        <v>4.9</v>
      </c>
      <c r="K48" s="405" t="s">
        <v>266</v>
      </c>
      <c r="L48" s="406" t="s">
        <v>255</v>
      </c>
      <c r="M48" s="407">
        <f>'DREN. MEM. CAL.'!C192+'DREN. MEM. CAL.'!C193+'DREN. MEM. CAL.'!C185+'DREN. MEM. CAL.'!C186</f>
        <v>2521</v>
      </c>
      <c r="N48" s="408">
        <v>335.55</v>
      </c>
      <c r="O48" s="409">
        <f t="shared" si="11"/>
        <v>335.55</v>
      </c>
      <c r="P48" s="410">
        <f t="shared" si="12"/>
        <v>845921.55</v>
      </c>
      <c r="Q48" s="835">
        <f t="shared" si="13"/>
        <v>7.9850183576408051E-2</v>
      </c>
      <c r="R48" s="441"/>
    </row>
    <row r="49" spans="1:18" s="400" customFormat="1" ht="57" x14ac:dyDescent="0.25">
      <c r="A49" s="387">
        <v>4</v>
      </c>
      <c r="B49" s="387">
        <v>10</v>
      </c>
      <c r="C49" s="387">
        <v>1</v>
      </c>
      <c r="D49" s="388"/>
      <c r="E49" s="389"/>
      <c r="F49" s="390"/>
      <c r="G49" s="402" t="s">
        <v>1</v>
      </c>
      <c r="H49" s="403">
        <v>92223</v>
      </c>
      <c r="I49" s="404" t="s">
        <v>224</v>
      </c>
      <c r="J49" s="404" t="str">
        <f t="shared" si="10"/>
        <v>4.10</v>
      </c>
      <c r="K49" s="405" t="s">
        <v>267</v>
      </c>
      <c r="L49" s="406" t="s">
        <v>255</v>
      </c>
      <c r="M49" s="407">
        <f>'DREN. MEM. CAL.'!C194+'DREN. MEM. CAL.'!C187</f>
        <v>832</v>
      </c>
      <c r="N49" s="408">
        <v>531.76</v>
      </c>
      <c r="O49" s="409">
        <f t="shared" si="11"/>
        <v>531.76</v>
      </c>
      <c r="P49" s="410">
        <f t="shared" si="12"/>
        <v>442424.32000000001</v>
      </c>
      <c r="Q49" s="835">
        <f t="shared" si="13"/>
        <v>4.1762339747305761E-2</v>
      </c>
      <c r="R49" s="441"/>
    </row>
    <row r="50" spans="1:18" s="400" customFormat="1" ht="57" x14ac:dyDescent="0.25">
      <c r="A50" s="387">
        <v>4</v>
      </c>
      <c r="B50" s="387">
        <v>11</v>
      </c>
      <c r="C50" s="387">
        <v>1</v>
      </c>
      <c r="D50" s="388"/>
      <c r="E50" s="389"/>
      <c r="F50" s="390"/>
      <c r="G50" s="402" t="s">
        <v>1</v>
      </c>
      <c r="H50" s="403">
        <v>92226</v>
      </c>
      <c r="I50" s="404" t="s">
        <v>224</v>
      </c>
      <c r="J50" s="404" t="str">
        <f t="shared" si="10"/>
        <v>4.11</v>
      </c>
      <c r="K50" s="405" t="s">
        <v>268</v>
      </c>
      <c r="L50" s="406" t="s">
        <v>255</v>
      </c>
      <c r="M50" s="407">
        <f>'DREN. MEM. CAL.'!C195+'DREN. MEM. CAL.'!C188</f>
        <v>1277</v>
      </c>
      <c r="N50" s="408">
        <v>639.38</v>
      </c>
      <c r="O50" s="409">
        <f t="shared" si="11"/>
        <v>639.38</v>
      </c>
      <c r="P50" s="410">
        <f t="shared" si="12"/>
        <v>816488.26</v>
      </c>
      <c r="Q50" s="835">
        <f t="shared" si="13"/>
        <v>7.7071848387101599E-2</v>
      </c>
      <c r="R50" s="441"/>
    </row>
    <row r="51" spans="1:18" s="400" customFormat="1" ht="57" x14ac:dyDescent="0.25">
      <c r="A51" s="387">
        <v>4</v>
      </c>
      <c r="B51" s="387">
        <v>12</v>
      </c>
      <c r="C51" s="387">
        <v>1</v>
      </c>
      <c r="D51" s="388"/>
      <c r="E51" s="389"/>
      <c r="F51" s="390"/>
      <c r="G51" s="402" t="s">
        <v>1</v>
      </c>
      <c r="H51" s="403">
        <v>92829</v>
      </c>
      <c r="I51" s="404" t="s">
        <v>224</v>
      </c>
      <c r="J51" s="404" t="str">
        <f t="shared" si="10"/>
        <v>4.12</v>
      </c>
      <c r="K51" s="405" t="s">
        <v>269</v>
      </c>
      <c r="L51" s="406" t="s">
        <v>255</v>
      </c>
      <c r="M51" s="407">
        <f>'DREN. MEM. CAL.'!C189</f>
        <v>447</v>
      </c>
      <c r="N51" s="408">
        <v>917.47</v>
      </c>
      <c r="O51" s="409">
        <f t="shared" si="11"/>
        <v>917.47</v>
      </c>
      <c r="P51" s="410">
        <f t="shared" si="12"/>
        <v>410109.09</v>
      </c>
      <c r="Q51" s="835">
        <f t="shared" si="13"/>
        <v>3.8711965811550314E-2</v>
      </c>
      <c r="R51" s="441"/>
    </row>
    <row r="52" spans="1:18" s="400" customFormat="1" ht="57" x14ac:dyDescent="0.25">
      <c r="A52" s="387">
        <v>4</v>
      </c>
      <c r="B52" s="387">
        <v>13</v>
      </c>
      <c r="C52" s="387">
        <v>1</v>
      </c>
      <c r="D52" s="388"/>
      <c r="E52" s="389"/>
      <c r="F52" s="390"/>
      <c r="G52" s="402" t="s">
        <v>1</v>
      </c>
      <c r="H52" s="403">
        <v>99290</v>
      </c>
      <c r="I52" s="404" t="s">
        <v>224</v>
      </c>
      <c r="J52" s="404" t="str">
        <f t="shared" si="10"/>
        <v>4.13</v>
      </c>
      <c r="K52" s="433" t="s">
        <v>270</v>
      </c>
      <c r="L52" s="434" t="s">
        <v>16</v>
      </c>
      <c r="M52" s="407">
        <f>'DREN. MEM. CAL.'!L175+'DREN. MEM. CAL.'!L140</f>
        <v>63</v>
      </c>
      <c r="N52" s="442">
        <v>4234.21</v>
      </c>
      <c r="O52" s="409">
        <f t="shared" si="11"/>
        <v>4234.21</v>
      </c>
      <c r="P52" s="410">
        <f t="shared" si="12"/>
        <v>266755.23</v>
      </c>
      <c r="Q52" s="835">
        <f t="shared" si="13"/>
        <v>2.5180176678874004E-2</v>
      </c>
      <c r="R52" s="441"/>
    </row>
    <row r="53" spans="1:18" s="400" customFormat="1" ht="42.75" x14ac:dyDescent="0.25">
      <c r="A53" s="387">
        <v>4</v>
      </c>
      <c r="B53" s="387">
        <v>14</v>
      </c>
      <c r="C53" s="387">
        <v>1</v>
      </c>
      <c r="D53" s="388"/>
      <c r="E53" s="389"/>
      <c r="F53" s="390"/>
      <c r="G53" s="402" t="s">
        <v>1</v>
      </c>
      <c r="H53" s="403">
        <v>99241</v>
      </c>
      <c r="I53" s="404" t="s">
        <v>224</v>
      </c>
      <c r="J53" s="404" t="str">
        <f t="shared" si="10"/>
        <v>4.14</v>
      </c>
      <c r="K53" s="433" t="s">
        <v>271</v>
      </c>
      <c r="L53" s="434" t="s">
        <v>255</v>
      </c>
      <c r="M53" s="407">
        <f>'DREN. MEM. CAL.'!K177</f>
        <v>27.85</v>
      </c>
      <c r="N53" s="442">
        <v>1807.64</v>
      </c>
      <c r="O53" s="409">
        <f t="shared" si="11"/>
        <v>1807.64</v>
      </c>
      <c r="P53" s="410">
        <f t="shared" si="12"/>
        <v>50342.77</v>
      </c>
      <c r="Q53" s="835">
        <f t="shared" si="13"/>
        <v>4.752071189396803E-3</v>
      </c>
      <c r="R53" s="441"/>
    </row>
    <row r="54" spans="1:18" s="400" customFormat="1" ht="28.5" x14ac:dyDescent="0.25">
      <c r="A54" s="387">
        <v>4</v>
      </c>
      <c r="B54" s="387">
        <v>15</v>
      </c>
      <c r="C54" s="387">
        <v>1</v>
      </c>
      <c r="D54" s="388"/>
      <c r="E54" s="389"/>
      <c r="F54" s="390"/>
      <c r="G54" s="402" t="s">
        <v>1</v>
      </c>
      <c r="H54" s="403">
        <v>98114</v>
      </c>
      <c r="I54" s="404" t="s">
        <v>224</v>
      </c>
      <c r="J54" s="404" t="str">
        <f t="shared" si="10"/>
        <v>4.15</v>
      </c>
      <c r="K54" s="405" t="s">
        <v>272</v>
      </c>
      <c r="L54" s="406" t="s">
        <v>16</v>
      </c>
      <c r="M54" s="407">
        <f>COUNTA('DREN. MEM. CAL.'!B111:B140)+COUNTA('DREN. MEM. CAL.'!B143:B175)</f>
        <v>63</v>
      </c>
      <c r="N54" s="408">
        <v>701.25</v>
      </c>
      <c r="O54" s="409">
        <f t="shared" si="11"/>
        <v>701.25</v>
      </c>
      <c r="P54" s="410">
        <f t="shared" si="12"/>
        <v>44178.75</v>
      </c>
      <c r="Q54" s="835">
        <f t="shared" si="13"/>
        <v>4.1702227560891873E-3</v>
      </c>
      <c r="R54" s="441"/>
    </row>
    <row r="55" spans="1:18" s="400" customFormat="1" ht="42.75" x14ac:dyDescent="0.25">
      <c r="A55" s="387">
        <v>4</v>
      </c>
      <c r="B55" s="387">
        <v>16</v>
      </c>
      <c r="C55" s="387">
        <v>1</v>
      </c>
      <c r="D55" s="388"/>
      <c r="E55" s="389"/>
      <c r="F55" s="390"/>
      <c r="G55" s="402" t="s">
        <v>1</v>
      </c>
      <c r="H55" s="403">
        <v>97947</v>
      </c>
      <c r="I55" s="404" t="s">
        <v>224</v>
      </c>
      <c r="J55" s="404" t="str">
        <f t="shared" si="10"/>
        <v>4.16</v>
      </c>
      <c r="K55" s="405" t="s">
        <v>273</v>
      </c>
      <c r="L55" s="406" t="s">
        <v>16</v>
      </c>
      <c r="M55" s="407">
        <f>'DREN. MEM. CAL.'!I90</f>
        <v>5</v>
      </c>
      <c r="N55" s="408">
        <v>1923.84</v>
      </c>
      <c r="O55" s="409">
        <f t="shared" si="11"/>
        <v>1923.84</v>
      </c>
      <c r="P55" s="410">
        <f t="shared" si="12"/>
        <v>9619.2000000000007</v>
      </c>
      <c r="Q55" s="835">
        <f t="shared" si="13"/>
        <v>9.0799777574904477E-4</v>
      </c>
      <c r="R55" s="441"/>
    </row>
    <row r="56" spans="1:18" s="400" customFormat="1" ht="42.75" x14ac:dyDescent="0.25">
      <c r="A56" s="387">
        <v>4</v>
      </c>
      <c r="B56" s="387">
        <v>17</v>
      </c>
      <c r="C56" s="387">
        <v>1</v>
      </c>
      <c r="D56" s="388"/>
      <c r="E56" s="389"/>
      <c r="F56" s="390"/>
      <c r="G56" s="402" t="s">
        <v>1</v>
      </c>
      <c r="H56" s="403">
        <v>97948</v>
      </c>
      <c r="I56" s="404" t="s">
        <v>224</v>
      </c>
      <c r="J56" s="404" t="str">
        <f t="shared" si="10"/>
        <v>4.17</v>
      </c>
      <c r="K56" s="405" t="s">
        <v>274</v>
      </c>
      <c r="L56" s="406" t="s">
        <v>16</v>
      </c>
      <c r="M56" s="407">
        <f>'DREN. MEM. CAL.'!I98</f>
        <v>92</v>
      </c>
      <c r="N56" s="408">
        <v>3531.73</v>
      </c>
      <c r="O56" s="409">
        <f t="shared" si="11"/>
        <v>3531.73</v>
      </c>
      <c r="P56" s="410">
        <f t="shared" si="12"/>
        <v>324919.15999999997</v>
      </c>
      <c r="Q56" s="835">
        <f t="shared" si="13"/>
        <v>3.0670520893447264E-2</v>
      </c>
      <c r="R56" s="441"/>
    </row>
    <row r="57" spans="1:18" s="400" customFormat="1" ht="28.5" x14ac:dyDescent="0.25">
      <c r="A57" s="387">
        <v>4</v>
      </c>
      <c r="B57" s="387">
        <v>18</v>
      </c>
      <c r="C57" s="387">
        <v>1</v>
      </c>
      <c r="D57" s="388"/>
      <c r="E57" s="389"/>
      <c r="F57" s="390"/>
      <c r="G57" s="402" t="s">
        <v>6</v>
      </c>
      <c r="H57" s="403">
        <v>2003767</v>
      </c>
      <c r="I57" s="404" t="s">
        <v>224</v>
      </c>
      <c r="J57" s="404" t="str">
        <f t="shared" si="10"/>
        <v>4.18</v>
      </c>
      <c r="K57" s="433" t="s">
        <v>275</v>
      </c>
      <c r="L57" s="434" t="s">
        <v>259</v>
      </c>
      <c r="M57" s="407">
        <f>'DREN. MEM. CAL.'!K196+'DREN. MEM. CAL.'!K190</f>
        <v>732.38</v>
      </c>
      <c r="N57" s="408">
        <v>106.88</v>
      </c>
      <c r="O57" s="409">
        <f t="shared" si="11"/>
        <v>106.88</v>
      </c>
      <c r="P57" s="410">
        <f t="shared" si="12"/>
        <v>78276.77</v>
      </c>
      <c r="Q57" s="835">
        <f t="shared" si="13"/>
        <v>7.3888819291437488E-3</v>
      </c>
      <c r="R57" s="441"/>
    </row>
    <row r="58" spans="1:18" s="400" customFormat="1" ht="28.5" x14ac:dyDescent="0.25">
      <c r="A58" s="387">
        <v>4</v>
      </c>
      <c r="B58" s="387">
        <v>19</v>
      </c>
      <c r="C58" s="387">
        <v>1</v>
      </c>
      <c r="D58" s="388"/>
      <c r="E58" s="389"/>
      <c r="F58" s="390"/>
      <c r="G58" s="402" t="s">
        <v>6</v>
      </c>
      <c r="H58" s="403">
        <v>2003457</v>
      </c>
      <c r="I58" s="404" t="s">
        <v>224</v>
      </c>
      <c r="J58" s="404" t="str">
        <f t="shared" si="10"/>
        <v>4.19</v>
      </c>
      <c r="K58" s="405" t="s">
        <v>276</v>
      </c>
      <c r="L58" s="406" t="s">
        <v>16</v>
      </c>
      <c r="M58" s="407">
        <v>1</v>
      </c>
      <c r="N58" s="408">
        <v>2887.64</v>
      </c>
      <c r="O58" s="409">
        <f t="shared" si="11"/>
        <v>2887.64</v>
      </c>
      <c r="P58" s="410">
        <f t="shared" si="12"/>
        <v>2887.64</v>
      </c>
      <c r="Q58" s="835">
        <f t="shared" si="13"/>
        <v>2.7257679403318064E-4</v>
      </c>
      <c r="R58" s="441"/>
    </row>
    <row r="59" spans="1:18" s="400" customFormat="1" ht="42.75" x14ac:dyDescent="0.25">
      <c r="A59" s="387">
        <v>4</v>
      </c>
      <c r="B59" s="387">
        <v>20</v>
      </c>
      <c r="C59" s="387">
        <v>1</v>
      </c>
      <c r="D59" s="388"/>
      <c r="E59" s="389"/>
      <c r="F59" s="390"/>
      <c r="G59" s="402" t="s">
        <v>1</v>
      </c>
      <c r="H59" s="403">
        <v>102740</v>
      </c>
      <c r="I59" s="404" t="s">
        <v>224</v>
      </c>
      <c r="J59" s="404" t="str">
        <f t="shared" si="10"/>
        <v>4.20</v>
      </c>
      <c r="K59" s="405" t="s">
        <v>277</v>
      </c>
      <c r="L59" s="406" t="s">
        <v>16</v>
      </c>
      <c r="M59" s="407">
        <v>1</v>
      </c>
      <c r="N59" s="408">
        <v>6381.75</v>
      </c>
      <c r="O59" s="409">
        <f t="shared" si="11"/>
        <v>6381.75</v>
      </c>
      <c r="P59" s="410">
        <f t="shared" si="12"/>
        <v>6381.75</v>
      </c>
      <c r="Q59" s="835">
        <f t="shared" si="13"/>
        <v>6.0240090708026301E-4</v>
      </c>
      <c r="R59" s="441"/>
    </row>
    <row r="60" spans="1:18" s="400" customFormat="1" ht="28.5" x14ac:dyDescent="0.25">
      <c r="A60" s="387">
        <v>4</v>
      </c>
      <c r="B60" s="387">
        <v>21</v>
      </c>
      <c r="C60" s="387">
        <v>1</v>
      </c>
      <c r="D60" s="388"/>
      <c r="E60" s="389"/>
      <c r="F60" s="390"/>
      <c r="G60" s="402" t="s">
        <v>6</v>
      </c>
      <c r="H60" s="403">
        <v>2003644</v>
      </c>
      <c r="I60" s="404" t="s">
        <v>224</v>
      </c>
      <c r="J60" s="404" t="str">
        <f t="shared" si="10"/>
        <v>4.21</v>
      </c>
      <c r="K60" s="405" t="s">
        <v>278</v>
      </c>
      <c r="L60" s="406" t="s">
        <v>16</v>
      </c>
      <c r="M60" s="407">
        <f>'DREN. MEM. CAL.'!J106</f>
        <v>19</v>
      </c>
      <c r="N60" s="408">
        <v>1592.24</v>
      </c>
      <c r="O60" s="409">
        <f>IFERROR(TRUNC(IF(I60="SERVIÇO",(1+$P$3)*$N60,(1+$P$4)*$N60),2),"0,00")</f>
        <v>1592.24</v>
      </c>
      <c r="P60" s="410">
        <f>IF($R$2="OUTROS",TRUNC(M60*O60,2),TRUNC(M60*O60,2))</f>
        <v>30252.560000000001</v>
      </c>
      <c r="Q60" s="835">
        <f t="shared" si="13"/>
        <v>2.8556696181298363E-3</v>
      </c>
      <c r="R60" s="441"/>
    </row>
    <row r="61" spans="1:18" s="400" customFormat="1" ht="42.75" x14ac:dyDescent="0.25">
      <c r="A61" s="387">
        <v>4</v>
      </c>
      <c r="B61" s="387">
        <v>22</v>
      </c>
      <c r="C61" s="387">
        <v>1</v>
      </c>
      <c r="D61" s="388"/>
      <c r="E61" s="389"/>
      <c r="F61" s="390"/>
      <c r="G61" s="402" t="s">
        <v>1</v>
      </c>
      <c r="H61" s="403">
        <v>100951</v>
      </c>
      <c r="I61" s="404" t="s">
        <v>224</v>
      </c>
      <c r="J61" s="404" t="str">
        <f t="shared" si="10"/>
        <v>4.22</v>
      </c>
      <c r="K61" s="405" t="s">
        <v>279</v>
      </c>
      <c r="L61" s="406" t="s">
        <v>280</v>
      </c>
      <c r="M61" s="407">
        <f>'TRANSP. DRENAGEM'!M19</f>
        <v>6193.5499999999993</v>
      </c>
      <c r="N61" s="408">
        <v>3.12</v>
      </c>
      <c r="O61" s="409">
        <f t="shared" si="11"/>
        <v>3.12</v>
      </c>
      <c r="P61" s="410">
        <f t="shared" si="12"/>
        <v>19323.87</v>
      </c>
      <c r="Q61" s="835">
        <f t="shared" si="13"/>
        <v>1.8240634334314382E-3</v>
      </c>
      <c r="R61" s="441"/>
    </row>
    <row r="62" spans="1:18" s="400" customFormat="1" ht="42.75" x14ac:dyDescent="0.25">
      <c r="A62" s="387">
        <v>4</v>
      </c>
      <c r="B62" s="387">
        <v>23</v>
      </c>
      <c r="C62" s="387">
        <v>1</v>
      </c>
      <c r="D62" s="388"/>
      <c r="E62" s="389"/>
      <c r="F62" s="390"/>
      <c r="G62" s="402" t="s">
        <v>1</v>
      </c>
      <c r="H62" s="403">
        <v>100952</v>
      </c>
      <c r="I62" s="404" t="s">
        <v>224</v>
      </c>
      <c r="J62" s="404" t="str">
        <f t="shared" si="10"/>
        <v>4.23</v>
      </c>
      <c r="K62" s="433" t="s">
        <v>281</v>
      </c>
      <c r="L62" s="434" t="s">
        <v>280</v>
      </c>
      <c r="M62" s="407">
        <f>'TRANSP. DRENAGEM'!M34</f>
        <v>6193.5499999999993</v>
      </c>
      <c r="N62" s="442">
        <v>2.87</v>
      </c>
      <c r="O62" s="409">
        <f t="shared" si="11"/>
        <v>2.87</v>
      </c>
      <c r="P62" s="410">
        <f t="shared" si="12"/>
        <v>17775.48</v>
      </c>
      <c r="Q62" s="835">
        <f t="shared" si="13"/>
        <v>1.677904223102922E-3</v>
      </c>
      <c r="R62" s="441"/>
    </row>
    <row r="63" spans="1:18" s="400" customFormat="1" ht="15.75" x14ac:dyDescent="0.25">
      <c r="A63" s="387">
        <v>5</v>
      </c>
      <c r="B63" s="387">
        <v>0</v>
      </c>
      <c r="C63" s="387" t="str">
        <f>IF(I63&gt;0,1,"")</f>
        <v/>
      </c>
      <c r="D63" s="388">
        <f t="shared" si="2"/>
        <v>1</v>
      </c>
      <c r="E63" s="389"/>
      <c r="F63" s="390"/>
      <c r="G63" s="391"/>
      <c r="H63" s="392"/>
      <c r="I63" s="393"/>
      <c r="J63" s="393" t="str">
        <f t="shared" si="10"/>
        <v>5.0</v>
      </c>
      <c r="K63" s="395" t="s">
        <v>282</v>
      </c>
      <c r="L63" s="396"/>
      <c r="M63" s="397"/>
      <c r="N63" s="429"/>
      <c r="O63" s="430"/>
      <c r="P63" s="399">
        <f>SUM(P64:P71)</f>
        <v>2026900.55</v>
      </c>
      <c r="Q63" s="553">
        <f t="shared" si="13"/>
        <v>0.1913278849659551</v>
      </c>
    </row>
    <row r="64" spans="1:18" s="400" customFormat="1" ht="42.75" x14ac:dyDescent="0.25">
      <c r="A64" s="387">
        <v>5</v>
      </c>
      <c r="B64" s="387">
        <v>1</v>
      </c>
      <c r="C64" s="387">
        <f>IF(I64&gt;0,1,"")</f>
        <v>1</v>
      </c>
      <c r="D64" s="388" t="str">
        <f t="shared" si="2"/>
        <v/>
      </c>
      <c r="E64" s="389"/>
      <c r="F64" s="390"/>
      <c r="G64" s="402" t="s">
        <v>1</v>
      </c>
      <c r="H64" s="403">
        <v>97083</v>
      </c>
      <c r="I64" s="404" t="s">
        <v>224</v>
      </c>
      <c r="J64" s="404" t="str">
        <f t="shared" si="10"/>
        <v>5.1</v>
      </c>
      <c r="K64" s="405" t="s">
        <v>2925</v>
      </c>
      <c r="L64" s="406" t="s">
        <v>33</v>
      </c>
      <c r="M64" s="407">
        <f>CALÇADA!I53</f>
        <v>22740.78</v>
      </c>
      <c r="N64" s="408">
        <v>3.12</v>
      </c>
      <c r="O64" s="409">
        <f t="shared" ref="O64:O71" si="14">IFERROR(TRUNC(IF(I64="SERVIÇO",(1+$P$3)*$N64,(1+$P$4)*$N64),2),"0,00")</f>
        <v>3.12</v>
      </c>
      <c r="P64" s="410">
        <f t="shared" ref="P64:P71" si="15">IF($R$2="OUTROS",TRUNC(M64*O64,2),TRUNC(M64*O64,2))</f>
        <v>70951.23</v>
      </c>
      <c r="Q64" s="835">
        <f t="shared" si="13"/>
        <v>6.6973926133835331E-3</v>
      </c>
    </row>
    <row r="65" spans="1:30" s="400" customFormat="1" ht="42.75" x14ac:dyDescent="0.25">
      <c r="A65" s="387">
        <v>5</v>
      </c>
      <c r="B65" s="387">
        <v>2</v>
      </c>
      <c r="C65" s="387">
        <f>IF(I65&gt;0,1,"")</f>
        <v>1</v>
      </c>
      <c r="D65" s="388" t="str">
        <f t="shared" si="2"/>
        <v/>
      </c>
      <c r="E65" s="389"/>
      <c r="F65" s="390"/>
      <c r="G65" s="402" t="s">
        <v>1</v>
      </c>
      <c r="H65" s="403">
        <v>94990</v>
      </c>
      <c r="I65" s="404" t="s">
        <v>224</v>
      </c>
      <c r="J65" s="404" t="str">
        <f t="shared" si="10"/>
        <v>5.2</v>
      </c>
      <c r="K65" s="405" t="s">
        <v>2926</v>
      </c>
      <c r="L65" s="406" t="s">
        <v>259</v>
      </c>
      <c r="M65" s="407">
        <f>CALÇADA!L53</f>
        <v>1364.25</v>
      </c>
      <c r="N65" s="408">
        <v>845.92</v>
      </c>
      <c r="O65" s="409">
        <f>IFERROR(TRUNC(IF(I65="SERVIÇO",(1+$P$3)*$N65,(1+$P$4)*$N65),2),"0,00")</f>
        <v>845.92</v>
      </c>
      <c r="P65" s="410">
        <f>IF($R$2="OUTROS",TRUNC(M65*O65,2),TRUNC(M65*O65,2))</f>
        <v>1154046.3600000001</v>
      </c>
      <c r="Q65" s="835">
        <f t="shared" si="13"/>
        <v>0.10893541333908031</v>
      </c>
    </row>
    <row r="66" spans="1:30" s="400" customFormat="1" ht="28.5" x14ac:dyDescent="0.25">
      <c r="A66" s="387">
        <v>5</v>
      </c>
      <c r="B66" s="387">
        <v>3</v>
      </c>
      <c r="C66" s="387">
        <v>1</v>
      </c>
      <c r="D66" s="388"/>
      <c r="E66" s="389"/>
      <c r="F66" s="390"/>
      <c r="G66" s="402" t="s">
        <v>1</v>
      </c>
      <c r="H66" s="403">
        <v>97113</v>
      </c>
      <c r="I66" s="404" t="s">
        <v>224</v>
      </c>
      <c r="J66" s="404" t="str">
        <f t="shared" si="10"/>
        <v>5.3</v>
      </c>
      <c r="K66" s="405" t="s">
        <v>2927</v>
      </c>
      <c r="L66" s="406" t="s">
        <v>33</v>
      </c>
      <c r="M66" s="407">
        <f>CALÇADA!I53</f>
        <v>22740.78</v>
      </c>
      <c r="N66" s="408">
        <v>2.2599999999999998</v>
      </c>
      <c r="O66" s="409">
        <f>IFERROR(TRUNC(IF(I66="SERVIÇO",(1+$P$3)*$N66,(1+$P$4)*$N66),2),"0,00")</f>
        <v>2.2599999999999998</v>
      </c>
      <c r="P66" s="410">
        <f>IF($R$2="OUTROS",TRUNC(M66*O66,2),TRUNC(M66*O66,2))</f>
        <v>51394.16</v>
      </c>
      <c r="Q66" s="835">
        <f t="shared" si="13"/>
        <v>4.8513164261571153E-3</v>
      </c>
    </row>
    <row r="67" spans="1:30" s="400" customFormat="1" ht="28.5" x14ac:dyDescent="0.25">
      <c r="A67" s="387">
        <v>5</v>
      </c>
      <c r="B67" s="387">
        <v>4</v>
      </c>
      <c r="C67" s="387">
        <v>1</v>
      </c>
      <c r="D67" s="388"/>
      <c r="E67" s="389"/>
      <c r="F67" s="390"/>
      <c r="G67" s="402" t="s">
        <v>6</v>
      </c>
      <c r="H67" s="403">
        <v>2003850</v>
      </c>
      <c r="I67" s="404" t="s">
        <v>224</v>
      </c>
      <c r="J67" s="404" t="str">
        <f t="shared" si="10"/>
        <v>5.4</v>
      </c>
      <c r="K67" s="405" t="s">
        <v>924</v>
      </c>
      <c r="L67" s="406" t="s">
        <v>118</v>
      </c>
      <c r="M67" s="407">
        <f>CALÇADA!N53</f>
        <v>1137.03</v>
      </c>
      <c r="N67" s="408">
        <v>156.9</v>
      </c>
      <c r="O67" s="409">
        <f>IFERROR(TRUNC(IF(I67="SERVIÇO",(1+$P$3)*$N67,(1+$P$4)*$N67),2),"0,00")</f>
        <v>156.9</v>
      </c>
      <c r="P67" s="410">
        <f>IF($R$2="OUTROS",TRUNC(M67*O67,2),TRUNC(M67*O67,2))</f>
        <v>178400</v>
      </c>
      <c r="Q67" s="835">
        <f t="shared" si="13"/>
        <v>1.6839945441786176E-2</v>
      </c>
    </row>
    <row r="68" spans="1:30" s="400" customFormat="1" ht="28.5" x14ac:dyDescent="0.25">
      <c r="A68" s="387">
        <v>5</v>
      </c>
      <c r="B68" s="387">
        <v>5</v>
      </c>
      <c r="C68" s="387">
        <f>IF(I68&gt;0,1,"")</f>
        <v>1</v>
      </c>
      <c r="D68" s="388" t="str">
        <f t="shared" si="2"/>
        <v/>
      </c>
      <c r="E68" s="389"/>
      <c r="F68" s="390"/>
      <c r="G68" s="402" t="s">
        <v>20</v>
      </c>
      <c r="H68" s="403" t="s">
        <v>64</v>
      </c>
      <c r="I68" s="404" t="s">
        <v>224</v>
      </c>
      <c r="J68" s="404" t="str">
        <f t="shared" si="10"/>
        <v>5.5</v>
      </c>
      <c r="K68" s="433" t="s">
        <v>63</v>
      </c>
      <c r="L68" s="434" t="s">
        <v>33</v>
      </c>
      <c r="M68" s="407">
        <f>'PISO TATIL SÓ RAMPA'!G18</f>
        <v>39.600000000000009</v>
      </c>
      <c r="N68" s="442">
        <v>164.66</v>
      </c>
      <c r="O68" s="409">
        <f t="shared" si="14"/>
        <v>164.66</v>
      </c>
      <c r="P68" s="410">
        <f t="shared" si="15"/>
        <v>6520.53</v>
      </c>
      <c r="Q68" s="835">
        <f t="shared" si="13"/>
        <v>6.1550094984041482E-4</v>
      </c>
    </row>
    <row r="69" spans="1:30" s="400" customFormat="1" ht="28.5" x14ac:dyDescent="0.25">
      <c r="A69" s="387">
        <v>5</v>
      </c>
      <c r="B69" s="387">
        <v>6</v>
      </c>
      <c r="C69" s="387">
        <v>1</v>
      </c>
      <c r="D69" s="388"/>
      <c r="E69" s="389"/>
      <c r="F69" s="390"/>
      <c r="G69" s="402" t="s">
        <v>1</v>
      </c>
      <c r="H69" s="403">
        <v>93595</v>
      </c>
      <c r="I69" s="404" t="s">
        <v>224</v>
      </c>
      <c r="J69" s="404" t="str">
        <f t="shared" si="10"/>
        <v>5.6</v>
      </c>
      <c r="K69" s="433" t="s">
        <v>923</v>
      </c>
      <c r="L69" s="434" t="s">
        <v>280</v>
      </c>
      <c r="M69" s="407">
        <f>'TRANSP.PASSEIO '!K8</f>
        <v>180891.73</v>
      </c>
      <c r="N69" s="442">
        <v>1.82</v>
      </c>
      <c r="O69" s="409">
        <f t="shared" si="14"/>
        <v>1.82</v>
      </c>
      <c r="P69" s="410">
        <f t="shared" si="15"/>
        <v>329222.94</v>
      </c>
      <c r="Q69" s="835">
        <f t="shared" si="13"/>
        <v>3.1076773249912797E-2</v>
      </c>
    </row>
    <row r="70" spans="1:30" s="400" customFormat="1" ht="28.5" x14ac:dyDescent="0.25">
      <c r="A70" s="387">
        <v>5</v>
      </c>
      <c r="B70" s="387">
        <v>7</v>
      </c>
      <c r="C70" s="387">
        <v>1</v>
      </c>
      <c r="D70" s="388"/>
      <c r="E70" s="389"/>
      <c r="F70" s="390"/>
      <c r="G70" s="402" t="s">
        <v>1</v>
      </c>
      <c r="H70" s="403">
        <v>95878</v>
      </c>
      <c r="I70" s="404" t="s">
        <v>224</v>
      </c>
      <c r="J70" s="404" t="str">
        <f t="shared" si="10"/>
        <v>5.7</v>
      </c>
      <c r="K70" s="433" t="s">
        <v>926</v>
      </c>
      <c r="L70" s="434" t="s">
        <v>280</v>
      </c>
      <c r="M70" s="407">
        <f>'TRANSP.PASSEIO '!K14</f>
        <v>53724.9</v>
      </c>
      <c r="N70" s="442">
        <v>1.68</v>
      </c>
      <c r="O70" s="409">
        <f t="shared" si="14"/>
        <v>1.68</v>
      </c>
      <c r="P70" s="410">
        <f t="shared" si="15"/>
        <v>90257.83</v>
      </c>
      <c r="Q70" s="835">
        <f t="shared" si="13"/>
        <v>8.5198258570292115E-3</v>
      </c>
    </row>
    <row r="71" spans="1:30" s="400" customFormat="1" ht="42.75" x14ac:dyDescent="0.25">
      <c r="A71" s="387">
        <v>5</v>
      </c>
      <c r="B71" s="387">
        <v>8</v>
      </c>
      <c r="C71" s="387">
        <v>1</v>
      </c>
      <c r="D71" s="388"/>
      <c r="E71" s="389"/>
      <c r="F71" s="390"/>
      <c r="G71" s="402" t="s">
        <v>1</v>
      </c>
      <c r="H71" s="403">
        <v>93596</v>
      </c>
      <c r="I71" s="404" t="s">
        <v>224</v>
      </c>
      <c r="J71" s="404" t="str">
        <f t="shared" si="10"/>
        <v>5.8</v>
      </c>
      <c r="K71" s="433" t="s">
        <v>927</v>
      </c>
      <c r="L71" s="434" t="s">
        <v>280</v>
      </c>
      <c r="M71" s="407">
        <f>'TRANSP.PASSEIO '!K20</f>
        <v>221375</v>
      </c>
      <c r="N71" s="442">
        <v>0.66</v>
      </c>
      <c r="O71" s="409">
        <f t="shared" si="14"/>
        <v>0.66</v>
      </c>
      <c r="P71" s="410">
        <f t="shared" si="15"/>
        <v>146107.5</v>
      </c>
      <c r="Q71" s="835">
        <f t="shared" si="13"/>
        <v>1.3791717088765545E-2</v>
      </c>
    </row>
    <row r="72" spans="1:30" s="400" customFormat="1" ht="15.75" x14ac:dyDescent="0.25">
      <c r="A72" s="387">
        <v>6</v>
      </c>
      <c r="B72" s="387">
        <v>0</v>
      </c>
      <c r="C72" s="387" t="str">
        <f>IF(I72&gt;0,1,"")</f>
        <v/>
      </c>
      <c r="D72" s="388">
        <v>1</v>
      </c>
      <c r="E72" s="389"/>
      <c r="F72" s="390"/>
      <c r="G72" s="413"/>
      <c r="H72" s="414"/>
      <c r="I72" s="415"/>
      <c r="J72" s="415" t="str">
        <f t="shared" si="10"/>
        <v>6.0</v>
      </c>
      <c r="K72" s="416" t="s">
        <v>283</v>
      </c>
      <c r="L72" s="417"/>
      <c r="M72" s="418"/>
      <c r="N72" s="436"/>
      <c r="O72" s="540"/>
      <c r="P72" s="419">
        <f>SUM(P73:P81)</f>
        <v>271931.57999999996</v>
      </c>
      <c r="Q72" s="836">
        <f t="shared" si="13"/>
        <v>2.5668794681046589E-2</v>
      </c>
    </row>
    <row r="73" spans="1:30" s="400" customFormat="1" ht="15.75" x14ac:dyDescent="0.25">
      <c r="A73" s="387">
        <v>6</v>
      </c>
      <c r="B73" s="387">
        <v>1</v>
      </c>
      <c r="C73" s="387" t="str">
        <f>IF(I73&gt;0,1,"")</f>
        <v/>
      </c>
      <c r="D73" s="388" t="str">
        <f t="shared" si="2"/>
        <v/>
      </c>
      <c r="E73" s="389"/>
      <c r="F73" s="390"/>
      <c r="G73" s="420"/>
      <c r="H73" s="421"/>
      <c r="I73" s="422"/>
      <c r="J73" s="422"/>
      <c r="K73" s="423" t="s">
        <v>284</v>
      </c>
      <c r="L73" s="424"/>
      <c r="M73" s="425"/>
      <c r="N73" s="426"/>
      <c r="O73" s="427"/>
      <c r="P73" s="398"/>
      <c r="Q73" s="837"/>
    </row>
    <row r="74" spans="1:30" s="400" customFormat="1" ht="28.5" x14ac:dyDescent="0.25">
      <c r="A74" s="387">
        <v>6</v>
      </c>
      <c r="B74" s="387">
        <v>1</v>
      </c>
      <c r="C74" s="387">
        <f t="shared" ref="C74:C81" si="16">IF(I74&gt;0,1,"")</f>
        <v>1</v>
      </c>
      <c r="D74" s="388" t="str">
        <f t="shared" si="2"/>
        <v/>
      </c>
      <c r="E74" s="389"/>
      <c r="F74" s="390"/>
      <c r="G74" s="402" t="s">
        <v>6</v>
      </c>
      <c r="H74" s="403">
        <v>5213444</v>
      </c>
      <c r="I74" s="404" t="s">
        <v>224</v>
      </c>
      <c r="J74" s="404" t="str">
        <f>IFERROR(IF(B74&lt;&gt;"",A74&amp;"."&amp;B74,""),"S/Nº")</f>
        <v>6.1</v>
      </c>
      <c r="K74" s="405" t="s">
        <v>2928</v>
      </c>
      <c r="L74" s="406" t="s">
        <v>16</v>
      </c>
      <c r="M74" s="407">
        <f>'SIN. VERTICAL'!C52</f>
        <v>89</v>
      </c>
      <c r="N74" s="408">
        <v>252.82</v>
      </c>
      <c r="O74" s="409">
        <f>IFERROR(TRUNC(IF(I74="SERVIÇO",(1+$P$3)*$N74,(1+$P$4)*$N74),2),"0,00")</f>
        <v>252.82</v>
      </c>
      <c r="P74" s="410">
        <f>IF($R$2="OUTROS",TRUNC(M74*O74,2),TRUNC(M74*O74,2))</f>
        <v>22500.98</v>
      </c>
      <c r="Q74" s="835">
        <f>IF(P74&gt;0,P74/$P$82,0)</f>
        <v>2.1239645492529251E-3</v>
      </c>
      <c r="S74" s="412"/>
    </row>
    <row r="75" spans="1:30" s="400" customFormat="1" ht="28.5" x14ac:dyDescent="0.25">
      <c r="A75" s="387">
        <v>6</v>
      </c>
      <c r="B75" s="387">
        <v>2</v>
      </c>
      <c r="C75" s="387">
        <f t="shared" si="16"/>
        <v>1</v>
      </c>
      <c r="D75" s="388" t="str">
        <f t="shared" si="2"/>
        <v/>
      </c>
      <c r="E75" s="389"/>
      <c r="F75" s="390"/>
      <c r="G75" s="402" t="s">
        <v>6</v>
      </c>
      <c r="H75" s="403">
        <v>5213440</v>
      </c>
      <c r="I75" s="404" t="s">
        <v>224</v>
      </c>
      <c r="J75" s="404" t="str">
        <f>IFERROR(IF(B75&lt;&gt;"",A75&amp;"."&amp;B75,""),"S/Nº")</f>
        <v>6.2</v>
      </c>
      <c r="K75" s="405" t="s">
        <v>2929</v>
      </c>
      <c r="L75" s="406" t="s">
        <v>16</v>
      </c>
      <c r="M75" s="407">
        <f>'SIN. VERTICAL'!D52</f>
        <v>129</v>
      </c>
      <c r="N75" s="408">
        <v>252.76</v>
      </c>
      <c r="O75" s="409">
        <f>IFERROR(TRUNC(IF(I75="SERVIÇO",(1+$P$3)*$N75,(1+$P$4)*$N75),2),"0,00")</f>
        <v>252.76</v>
      </c>
      <c r="P75" s="410">
        <f>IF($R$2="OUTROS",TRUNC(M75*O75,2),TRUNC(M75*O75,2))</f>
        <v>32606.04</v>
      </c>
      <c r="Q75" s="835">
        <f>IF(P75&gt;0,P75/$P$82,0)</f>
        <v>3.0778247459231933E-3</v>
      </c>
      <c r="S75" s="412"/>
    </row>
    <row r="76" spans="1:30" s="400" customFormat="1" ht="28.5" x14ac:dyDescent="0.25">
      <c r="A76" s="387">
        <v>6</v>
      </c>
      <c r="B76" s="387">
        <v>3</v>
      </c>
      <c r="C76" s="387">
        <f t="shared" si="16"/>
        <v>1</v>
      </c>
      <c r="D76" s="388" t="str">
        <f t="shared" si="2"/>
        <v/>
      </c>
      <c r="E76" s="389"/>
      <c r="F76" s="390"/>
      <c r="G76" s="402" t="s">
        <v>6</v>
      </c>
      <c r="H76" s="403">
        <v>5213464</v>
      </c>
      <c r="I76" s="404" t="s">
        <v>224</v>
      </c>
      <c r="J76" s="404" t="str">
        <f>IFERROR(IF(B76&lt;&gt;"",A76&amp;"."&amp;B76,""),"S/Nº")</f>
        <v>6.3</v>
      </c>
      <c r="K76" s="405" t="s">
        <v>2930</v>
      </c>
      <c r="L76" s="406" t="s">
        <v>16</v>
      </c>
      <c r="M76" s="407">
        <f>'SIN. VERTICAL'!E52</f>
        <v>11</v>
      </c>
      <c r="N76" s="408">
        <v>252.8</v>
      </c>
      <c r="O76" s="409">
        <f>IFERROR(TRUNC(IF(I76="SERVIÇO",(1+$P$3)*$N76,(1+$P$4)*$N76),2),"0,00")</f>
        <v>252.8</v>
      </c>
      <c r="P76" s="410">
        <f>IF($R$2="OUTROS",TRUNC(M76*O76,2),TRUNC(M76*O76,2))</f>
        <v>2780.8</v>
      </c>
      <c r="Q76" s="835">
        <f>IF(P76&gt;0,P76/$P$82,0)</f>
        <v>2.6249170563071185E-4</v>
      </c>
    </row>
    <row r="77" spans="1:30" s="400" customFormat="1" ht="37.5" customHeight="1" x14ac:dyDescent="0.25">
      <c r="A77" s="387">
        <v>6</v>
      </c>
      <c r="B77" s="387">
        <v>4</v>
      </c>
      <c r="C77" s="387">
        <f t="shared" si="16"/>
        <v>1</v>
      </c>
      <c r="D77" s="388" t="str">
        <f t="shared" si="2"/>
        <v/>
      </c>
      <c r="E77" s="389"/>
      <c r="F77" s="390"/>
      <c r="G77" s="402" t="s">
        <v>6</v>
      </c>
      <c r="H77" s="403">
        <v>5213855</v>
      </c>
      <c r="I77" s="404" t="s">
        <v>224</v>
      </c>
      <c r="J77" s="404" t="str">
        <f>IFERROR(IF(B77&lt;&gt;"",A77&amp;"."&amp;B77,""),"S/Nº")</f>
        <v>6.4</v>
      </c>
      <c r="K77" s="405" t="s">
        <v>2931</v>
      </c>
      <c r="L77" s="406" t="s">
        <v>16</v>
      </c>
      <c r="M77" s="407">
        <f>M74</f>
        <v>89</v>
      </c>
      <c r="N77" s="408">
        <v>405.25</v>
      </c>
      <c r="O77" s="409">
        <f>IFERROR(TRUNC(IF(I77="SERVIÇO",(1+$P$3)*$N77,(1+$P$4)*$N77),2),"0,00")</f>
        <v>405.25</v>
      </c>
      <c r="P77" s="410">
        <f>IF($R$2="OUTROS",TRUNC(M77*O77,2),TRUNC(M77*O77,2))</f>
        <v>36067.25</v>
      </c>
      <c r="Q77" s="835">
        <f>IF(P77&gt;0,P77/$P$82,0)</f>
        <v>3.4045432860720986E-3</v>
      </c>
      <c r="T77" s="443"/>
      <c r="U77" s="444"/>
      <c r="W77" s="445"/>
      <c r="X77" s="446"/>
      <c r="Y77" s="447"/>
      <c r="Z77" s="448"/>
      <c r="AA77" s="449"/>
      <c r="AB77" s="450"/>
      <c r="AC77" s="451"/>
      <c r="AD77" s="452"/>
    </row>
    <row r="78" spans="1:30" s="400" customFormat="1" ht="42.75" x14ac:dyDescent="0.25">
      <c r="A78" s="387">
        <v>6</v>
      </c>
      <c r="B78" s="387">
        <v>5</v>
      </c>
      <c r="C78" s="387">
        <f t="shared" si="16"/>
        <v>1</v>
      </c>
      <c r="D78" s="388" t="str">
        <f t="shared" si="2"/>
        <v/>
      </c>
      <c r="E78" s="389"/>
      <c r="F78" s="390"/>
      <c r="G78" s="402" t="s">
        <v>6</v>
      </c>
      <c r="H78" s="403">
        <v>5213863</v>
      </c>
      <c r="I78" s="404" t="s">
        <v>224</v>
      </c>
      <c r="J78" s="404" t="str">
        <f>IFERROR(IF(B78&lt;&gt;"",A78&amp;"."&amp;B78,""),"S/Nº")</f>
        <v>6.5</v>
      </c>
      <c r="K78" s="405" t="s">
        <v>2932</v>
      </c>
      <c r="L78" s="406" t="s">
        <v>16</v>
      </c>
      <c r="M78" s="407">
        <f>M75+M76</f>
        <v>140</v>
      </c>
      <c r="N78" s="408">
        <v>450.62</v>
      </c>
      <c r="O78" s="409">
        <f>IFERROR(TRUNC(IF(I78="SERVIÇO",(1+$P$3)*$N78,(1+$P$4)*$N78),2),"0,00")</f>
        <v>450.62</v>
      </c>
      <c r="P78" s="410">
        <f>IF($R$2="OUTROS",TRUNC(M78*O78,2),TRUNC(M78*O78,2))</f>
        <v>63086.8</v>
      </c>
      <c r="Q78" s="835">
        <f>IF(P78&gt;0,P78/$P$82,0)</f>
        <v>5.9550351462829372E-3</v>
      </c>
    </row>
    <row r="79" spans="1:30" s="400" customFormat="1" ht="15.75" x14ac:dyDescent="0.25">
      <c r="A79" s="387">
        <v>6</v>
      </c>
      <c r="B79" s="387">
        <v>6</v>
      </c>
      <c r="C79" s="387" t="str">
        <f t="shared" si="16"/>
        <v/>
      </c>
      <c r="D79" s="388" t="str">
        <f t="shared" si="2"/>
        <v/>
      </c>
      <c r="E79" s="389"/>
      <c r="F79" s="390"/>
      <c r="G79" s="391"/>
      <c r="H79" s="392"/>
      <c r="I79" s="393"/>
      <c r="J79" s="393"/>
      <c r="K79" s="428" t="s">
        <v>285</v>
      </c>
      <c r="L79" s="396"/>
      <c r="M79" s="397"/>
      <c r="N79" s="429"/>
      <c r="O79" s="430"/>
      <c r="P79" s="399"/>
      <c r="Q79" s="553"/>
    </row>
    <row r="80" spans="1:30" s="400" customFormat="1" ht="28.5" x14ac:dyDescent="0.25">
      <c r="A80" s="387">
        <v>6</v>
      </c>
      <c r="B80" s="387">
        <v>7</v>
      </c>
      <c r="C80" s="387">
        <f t="shared" si="16"/>
        <v>1</v>
      </c>
      <c r="D80" s="388" t="str">
        <f t="shared" si="2"/>
        <v/>
      </c>
      <c r="E80" s="389"/>
      <c r="F80" s="390"/>
      <c r="G80" s="402" t="s">
        <v>6</v>
      </c>
      <c r="H80" s="403">
        <v>5213401</v>
      </c>
      <c r="I80" s="404" t="s">
        <v>224</v>
      </c>
      <c r="J80" s="404" t="str">
        <f>IFERROR(IF(B80&lt;&gt;"",A80&amp;"."&amp;B80,""),"S/Nº")</f>
        <v>6.7</v>
      </c>
      <c r="K80" s="405" t="s">
        <v>957</v>
      </c>
      <c r="L80" s="406" t="s">
        <v>322</v>
      </c>
      <c r="M80" s="407">
        <f>'SIN. HORIZONTAL '!I104</f>
        <v>2060.91</v>
      </c>
      <c r="N80" s="408">
        <v>42.93</v>
      </c>
      <c r="O80" s="409">
        <f>IFERROR(TRUNC(IF(I80="SERVIÇO",(1+$P$3)*$N80,(1+$P$4)*$N80),2),"0,00")</f>
        <v>42.93</v>
      </c>
      <c r="P80" s="410">
        <f>IF($R$2="OUTROS",TRUNC(M80*O80,2),TRUNC(M80*O80,2))</f>
        <v>88474.86</v>
      </c>
      <c r="Q80" s="835">
        <f>IF(P80&gt;0,P80/$P$82,0)</f>
        <v>8.3515236287537552E-3</v>
      </c>
      <c r="AC80" s="453"/>
    </row>
    <row r="81" spans="1:29" s="400" customFormat="1" ht="28.5" x14ac:dyDescent="0.25">
      <c r="A81" s="387">
        <v>6</v>
      </c>
      <c r="B81" s="387">
        <v>8</v>
      </c>
      <c r="C81" s="387">
        <f t="shared" si="16"/>
        <v>1</v>
      </c>
      <c r="D81" s="388" t="str">
        <f t="shared" si="2"/>
        <v/>
      </c>
      <c r="E81" s="389"/>
      <c r="F81" s="390"/>
      <c r="G81" s="402" t="s">
        <v>6</v>
      </c>
      <c r="H81" s="403">
        <v>5213405</v>
      </c>
      <c r="I81" s="404" t="s">
        <v>224</v>
      </c>
      <c r="J81" s="404" t="str">
        <f>IFERROR(IF(B81&lt;&gt;"",A81&amp;"."&amp;B81,""),"S/Nº")</f>
        <v>6.8</v>
      </c>
      <c r="K81" s="405" t="s">
        <v>958</v>
      </c>
      <c r="L81" s="406" t="s">
        <v>322</v>
      </c>
      <c r="M81" s="407">
        <f>'SIN. HORIZONTAL '!I105</f>
        <v>470.35</v>
      </c>
      <c r="N81" s="408">
        <v>56.16</v>
      </c>
      <c r="O81" s="409">
        <f>IFERROR(TRUNC(IF(I81="SERVIÇO",(1+$P$3)*$N81,(1+$P$4)*$N81),2),"0,00")</f>
        <v>56.16</v>
      </c>
      <c r="P81" s="410">
        <f>IF($R$2="OUTROS",TRUNC(M81*O81,2),TRUNC(M81*O81,2))</f>
        <v>26414.85</v>
      </c>
      <c r="Q81" s="835">
        <f>IF(P81&gt;0,P81/$P$82,0)</f>
        <v>2.4934116191309727E-3</v>
      </c>
      <c r="AC81" s="453"/>
    </row>
    <row r="82" spans="1:29" ht="30" customHeight="1" x14ac:dyDescent="0.25">
      <c r="E82" s="454"/>
      <c r="F82" s="455"/>
      <c r="G82" s="456"/>
      <c r="H82" s="457"/>
      <c r="I82" s="457"/>
      <c r="J82" s="457"/>
      <c r="K82" s="457"/>
      <c r="L82" s="457"/>
      <c r="M82" s="838"/>
      <c r="N82" s="457"/>
      <c r="O82" s="458" t="s">
        <v>286</v>
      </c>
      <c r="P82" s="459">
        <f>SUM(P8:P81)/2</f>
        <v>10593858.550000001</v>
      </c>
      <c r="Q82" s="839">
        <f>IF(P82&gt;0,P82/$P$82,0)</f>
        <v>1</v>
      </c>
    </row>
    <row r="88" spans="1:29" x14ac:dyDescent="0.25">
      <c r="P88" s="54">
        <v>6849400.9299999988</v>
      </c>
    </row>
    <row r="89" spans="1:29" x14ac:dyDescent="0.25">
      <c r="P89" s="54">
        <f>'ORÇ. MATERIAL'!R149</f>
        <v>3350768.5899999994</v>
      </c>
    </row>
    <row r="90" spans="1:29" x14ac:dyDescent="0.25">
      <c r="P90" s="54">
        <f>P89+P88</f>
        <v>10200169.519999998</v>
      </c>
    </row>
    <row r="91" spans="1:29" x14ac:dyDescent="0.25">
      <c r="P91" s="463">
        <f>P82</f>
        <v>10593858.550000001</v>
      </c>
    </row>
    <row r="92" spans="1:29" x14ac:dyDescent="0.25">
      <c r="P92" s="463">
        <f>P91-P90</f>
        <v>393689.03000000305</v>
      </c>
    </row>
  </sheetData>
  <mergeCells count="17">
    <mergeCell ref="N1:O1"/>
    <mergeCell ref="P1:Q1"/>
    <mergeCell ref="N2:O2"/>
    <mergeCell ref="P2:Q2"/>
    <mergeCell ref="R2:R4"/>
    <mergeCell ref="N3:O3"/>
    <mergeCell ref="P3:Q3"/>
    <mergeCell ref="N4:O4"/>
    <mergeCell ref="P4:Q4"/>
    <mergeCell ref="M6:M7"/>
    <mergeCell ref="N6:Q6"/>
    <mergeCell ref="G6:G7"/>
    <mergeCell ref="H6:H7"/>
    <mergeCell ref="I6:I7"/>
    <mergeCell ref="J6:J7"/>
    <mergeCell ref="K6:K7"/>
    <mergeCell ref="L6:L7"/>
  </mergeCells>
  <conditionalFormatting sqref="G1:H4">
    <cfRule type="expression" dxfId="16" priority="15">
      <formula>$H1="VERIFICAR CÓDIGO"</formula>
    </cfRule>
  </conditionalFormatting>
  <conditionalFormatting sqref="G5:Q1048576">
    <cfRule type="expression" dxfId="15" priority="2">
      <formula>$K5="VERIFICAR CÓDIGO"</formula>
    </cfRule>
  </conditionalFormatting>
  <conditionalFormatting sqref="L1:Q4">
    <cfRule type="expression" dxfId="14" priority="1">
      <formula>$H1="VERIFICAR CÓDIGO"</formula>
    </cfRule>
  </conditionalFormatting>
  <dataValidations disablePrompts="1" count="6">
    <dataValidation type="list" allowBlank="1" showInputMessage="1" showErrorMessage="1" sqref="G69:G71" xr:uid="{17B33AD4-07FC-4999-8693-D458F07B48C1}">
      <formula1>$V$3:$V$11</formula1>
    </dataValidation>
    <dataValidation type="list" allowBlank="1" showInputMessage="1" showErrorMessage="1" sqref="G66:G67" xr:uid="{EC959D4B-9432-4788-B575-EF990FC258B2}">
      <formula1>$V$3:$V$12</formula1>
    </dataValidation>
    <dataValidation type="list" allowBlank="1" showInputMessage="1" showErrorMessage="1" sqref="G23:G24 G9:G10 G42:G62 G68 G12:G15 G39:G40 G80:G81 G74:G78 G34:G36 G64:G65 G27:G28 G30:G32 G18:G21" xr:uid="{C8997DA1-8545-4DD3-A7C2-F211ACB4D50C}">
      <formula1>$V$3:$V$9</formula1>
    </dataValidation>
    <dataValidation type="list" allowBlank="1" showInputMessage="1" showErrorMessage="1" sqref="P2:Q2" xr:uid="{A0AB8934-190E-4FA5-B406-EC29AA6CFF82}">
      <formula1>$T$1:$T$2</formula1>
    </dataValidation>
    <dataValidation type="list" allowBlank="1" showInputMessage="1" showErrorMessage="1" sqref="I9:I10 I74:I78 I23:I24 I12:I15 I39:I40 I80:I81 I64:I71 I42:I62 I27:I28 I30:I32 I34:I36 I18:I21" xr:uid="{33B9D292-CC82-4FBA-8533-366B9E5DA548}">
      <formula1>$V$1:$V$2</formula1>
    </dataValidation>
    <dataValidation type="list" allowBlank="1" showInputMessage="1" showErrorMessage="1" sqref="R2:R4" xr:uid="{BC263C00-CA24-4E99-8BA6-2E4075BF0C85}">
      <formula1>#REF!</formula1>
    </dataValidation>
  </dataValidations>
  <printOptions horizontalCentered="1"/>
  <pageMargins left="0.59055118110236227" right="0.59055118110236227" top="1.7716535433070868" bottom="0.78740157480314965" header="0" footer="0"/>
  <pageSetup paperSize="9" scale="55" firstPageNumber="25" orientation="landscape" r:id="rId1"/>
  <headerFooter scaleWithDoc="0">
    <oddHeader>&amp;L&amp;G</oddHeader>
    <oddFooter>&amp;C&amp;"-,Negrito"&amp;12DIONI CAETANEO DE OLIVEIRA
&amp;"-,Regular"ENGENHEIRO CIVIL - CREA /MT 40957
DEPARTAMENTO DE ENGENHARIA</oddFooter>
  </headerFooter>
  <rowBreaks count="4" manualBreakCount="4">
    <brk id="24" min="6" max="16" man="1"/>
    <brk id="40" min="6" max="16" man="1"/>
    <brk id="62" min="6" max="16" man="1"/>
    <brk id="71" min="6" max="16"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68101-4575-4428-8DAA-598AA817915C}">
  <sheetPr codeName="Plan15">
    <tabColor rgb="FFFFC000"/>
    <pageSetUpPr fitToPage="1"/>
  </sheetPr>
  <dimension ref="B1:IE78"/>
  <sheetViews>
    <sheetView showGridLines="0" view="pageLayout" topLeftCell="H49" zoomScaleNormal="70" zoomScaleSheetLayoutView="70" workbookViewId="0">
      <selection activeCell="K36" sqref="K36"/>
    </sheetView>
  </sheetViews>
  <sheetFormatPr defaultColWidth="9.140625" defaultRowHeight="14.25" x14ac:dyDescent="0.2"/>
  <cols>
    <col min="1" max="2" width="9.140625" style="593"/>
    <col min="3" max="3" width="6" style="593" customWidth="1"/>
    <col min="4" max="4" width="30.7109375" style="593" customWidth="1"/>
    <col min="5" max="5" width="14.140625" style="593" customWidth="1"/>
    <col min="6" max="6" width="23.42578125" style="593" customWidth="1"/>
    <col min="7" max="10" width="17" style="593" customWidth="1"/>
    <col min="11" max="11" width="19.28515625" style="593" customWidth="1"/>
    <col min="12" max="12" width="21.7109375" style="593" customWidth="1"/>
    <col min="13" max="13" width="9.140625" style="593"/>
    <col min="14" max="14" width="15.7109375" style="593" customWidth="1"/>
    <col min="15" max="15" width="15" style="593" bestFit="1" customWidth="1"/>
    <col min="16" max="16" width="13.7109375" style="593" customWidth="1"/>
    <col min="17" max="17" width="13.85546875" style="593" bestFit="1" customWidth="1"/>
    <col min="18" max="16384" width="9.140625" style="593"/>
  </cols>
  <sheetData>
    <row r="1" spans="2:16" ht="18" customHeight="1" x14ac:dyDescent="0.2">
      <c r="B1" s="1" t="s">
        <v>0</v>
      </c>
      <c r="C1" s="590"/>
      <c r="D1" s="2" t="str">
        <f>'ORÇAMENTO - GERAL'!H1</f>
        <v>PAVIMENTAÇÃO ASFÁLTICA E DRENAGEM</v>
      </c>
      <c r="E1" s="590"/>
      <c r="F1" s="590"/>
      <c r="G1" s="591"/>
      <c r="H1" s="591"/>
      <c r="I1" s="591"/>
      <c r="J1" s="591"/>
      <c r="K1" s="592"/>
      <c r="L1" s="488"/>
    </row>
    <row r="2" spans="2:16" ht="18" customHeight="1" x14ac:dyDescent="0.2">
      <c r="B2" s="8" t="s">
        <v>2</v>
      </c>
      <c r="D2" s="9" t="str">
        <f>'ORÇAMENTO - GERAL'!H2</f>
        <v>RUAS DIVERSAS - BAIRRO JARDIM PLANALTO</v>
      </c>
      <c r="G2" s="594"/>
      <c r="H2" s="594"/>
      <c r="I2" s="594"/>
      <c r="J2" s="594"/>
      <c r="K2" s="595"/>
      <c r="L2" s="492"/>
    </row>
    <row r="3" spans="2:16" ht="18" customHeight="1" x14ac:dyDescent="0.2">
      <c r="B3" s="8" t="s">
        <v>5</v>
      </c>
      <c r="D3" s="9" t="str">
        <f>'ORÇAMENTO - GERAL'!H3</f>
        <v>MUNICÍPIO DE ARIPUANÃ</v>
      </c>
      <c r="G3" s="594"/>
      <c r="H3" s="594"/>
      <c r="I3" s="594"/>
      <c r="J3" s="594"/>
      <c r="K3" s="595"/>
      <c r="L3" s="596"/>
    </row>
    <row r="4" spans="2:16" ht="18" customHeight="1" x14ac:dyDescent="0.2">
      <c r="B4" s="14" t="s">
        <v>7</v>
      </c>
      <c r="C4" s="597"/>
      <c r="D4" s="15" t="str">
        <f ca="1">'ORÇAMENTO - GERAL'!H4</f>
        <v>DEZEMBRO/2024</v>
      </c>
      <c r="E4" s="597"/>
      <c r="F4" s="597"/>
      <c r="G4" s="598"/>
      <c r="H4" s="598"/>
      <c r="I4" s="598"/>
      <c r="J4" s="598"/>
      <c r="K4" s="599"/>
      <c r="L4" s="600"/>
    </row>
    <row r="5" spans="2:16" ht="30" customHeight="1" x14ac:dyDescent="0.2">
      <c r="B5" s="1430" t="str">
        <f>CONCATENATE("CRONOGRAMA FÍSICO FINANCEIRO ORIENTATIVO - ",'ORÇAMENTO - GERAL'!R2)</f>
        <v>CRONOGRAMA FÍSICO FINANCEIRO ORIENTATIVO - NÃO DESONERADO</v>
      </c>
      <c r="C5" s="1431"/>
      <c r="D5" s="1431"/>
      <c r="E5" s="1431"/>
      <c r="F5" s="1431"/>
      <c r="G5" s="1431"/>
      <c r="H5" s="1431"/>
      <c r="I5" s="1431"/>
      <c r="J5" s="1431"/>
      <c r="K5" s="1431"/>
      <c r="L5" s="1432"/>
    </row>
    <row r="6" spans="2:16" ht="30" customHeight="1" x14ac:dyDescent="0.2">
      <c r="B6" s="601" t="s">
        <v>527</v>
      </c>
      <c r="C6" s="1433" t="s">
        <v>237</v>
      </c>
      <c r="D6" s="1433"/>
      <c r="E6" s="1433"/>
      <c r="F6" s="602" t="s">
        <v>394</v>
      </c>
      <c r="G6" s="603">
        <v>30</v>
      </c>
      <c r="H6" s="603">
        <v>60</v>
      </c>
      <c r="I6" s="603">
        <v>90</v>
      </c>
      <c r="J6" s="603">
        <v>120</v>
      </c>
      <c r="K6" s="603">
        <v>150</v>
      </c>
      <c r="L6" s="603">
        <v>180</v>
      </c>
    </row>
    <row r="7" spans="2:16" ht="18" customHeight="1" x14ac:dyDescent="0.2">
      <c r="B7" s="1434" t="s">
        <v>355</v>
      </c>
      <c r="C7" s="1435" t="str">
        <f>'ORÇAMENTO - ORIENTATIVO'!K8</f>
        <v>PLACA DE OBRA</v>
      </c>
      <c r="D7" s="1435"/>
      <c r="E7" s="1435"/>
      <c r="F7" s="605">
        <f>'ORÇAMENTO - ORIENTATIVO'!P8</f>
        <v>5114.42</v>
      </c>
      <c r="G7" s="606">
        <f t="shared" ref="G7:L7" si="0">$F7*G8</f>
        <v>5114.42</v>
      </c>
      <c r="H7" s="606">
        <f t="shared" si="0"/>
        <v>0</v>
      </c>
      <c r="I7" s="606">
        <f t="shared" si="0"/>
        <v>0</v>
      </c>
      <c r="J7" s="606">
        <f t="shared" si="0"/>
        <v>0</v>
      </c>
      <c r="K7" s="606">
        <f t="shared" si="0"/>
        <v>0</v>
      </c>
      <c r="L7" s="607">
        <f t="shared" si="0"/>
        <v>0</v>
      </c>
      <c r="N7" s="610">
        <f>SUM(G7:L7)</f>
        <v>5114.42</v>
      </c>
      <c r="O7" s="593" t="b">
        <f>N7=F7</f>
        <v>1</v>
      </c>
      <c r="P7" s="611"/>
    </row>
    <row r="8" spans="2:16" ht="18" customHeight="1" x14ac:dyDescent="0.2">
      <c r="B8" s="1434"/>
      <c r="C8" s="1435"/>
      <c r="D8" s="1435"/>
      <c r="E8" s="1435"/>
      <c r="F8" s="608">
        <f>SUM(G8:L8)</f>
        <v>1</v>
      </c>
      <c r="G8" s="608">
        <v>1</v>
      </c>
      <c r="H8" s="608">
        <v>0</v>
      </c>
      <c r="I8" s="608">
        <v>0</v>
      </c>
      <c r="J8" s="608">
        <v>0</v>
      </c>
      <c r="K8" s="608">
        <v>0</v>
      </c>
      <c r="L8" s="609">
        <v>0</v>
      </c>
      <c r="N8" s="612"/>
      <c r="P8" s="611"/>
    </row>
    <row r="9" spans="2:16" ht="18" customHeight="1" x14ac:dyDescent="0.2">
      <c r="B9" s="1434" t="s">
        <v>189</v>
      </c>
      <c r="C9" s="1435" t="str">
        <f>'ORÇAMENTO - ORIENTATIVO'!K11</f>
        <v>TERRAPLANAGEM</v>
      </c>
      <c r="D9" s="1435"/>
      <c r="E9" s="1435"/>
      <c r="F9" s="605">
        <f>'ORÇAMENTO - ORIENTATIVO'!P11</f>
        <v>150714.26999999999</v>
      </c>
      <c r="G9" s="606">
        <f>$F9*G10</f>
        <v>90428.561999999991</v>
      </c>
      <c r="H9" s="606">
        <f t="shared" ref="H9:L17" si="1">$F9*H10</f>
        <v>60285.707999999999</v>
      </c>
      <c r="I9" s="606">
        <f t="shared" si="1"/>
        <v>0</v>
      </c>
      <c r="J9" s="606">
        <f t="shared" si="1"/>
        <v>0</v>
      </c>
      <c r="K9" s="606">
        <f t="shared" si="1"/>
        <v>0</v>
      </c>
      <c r="L9" s="607">
        <f t="shared" si="1"/>
        <v>0</v>
      </c>
      <c r="N9" s="610">
        <f>SUM(G9:L9)</f>
        <v>150714.26999999999</v>
      </c>
      <c r="O9" s="593" t="b">
        <f>N9=F9</f>
        <v>1</v>
      </c>
      <c r="P9" s="611"/>
    </row>
    <row r="10" spans="2:16" ht="18" customHeight="1" x14ac:dyDescent="0.2">
      <c r="B10" s="1434"/>
      <c r="C10" s="1435"/>
      <c r="D10" s="1435"/>
      <c r="E10" s="1435"/>
      <c r="F10" s="608">
        <f>SUM(G10:L10)</f>
        <v>1</v>
      </c>
      <c r="G10" s="608">
        <v>0.6</v>
      </c>
      <c r="H10" s="608">
        <v>0.4</v>
      </c>
      <c r="I10" s="608">
        <v>0</v>
      </c>
      <c r="J10" s="608">
        <v>0</v>
      </c>
      <c r="K10" s="608">
        <v>0</v>
      </c>
      <c r="L10" s="609">
        <v>0</v>
      </c>
      <c r="N10" s="612"/>
      <c r="P10" s="611"/>
    </row>
    <row r="11" spans="2:16" ht="18" customHeight="1" x14ac:dyDescent="0.2">
      <c r="B11" s="1434" t="s">
        <v>193</v>
      </c>
      <c r="C11" s="1435" t="str">
        <f>'ORÇAMENTO - ORIENTATIVO'!K16</f>
        <v>PAVIMENTAÇÃO</v>
      </c>
      <c r="D11" s="1435"/>
      <c r="E11" s="1435"/>
      <c r="F11" s="605">
        <f>'ORÇAMENTO - ORIENTATIVO'!P16</f>
        <v>3228543.25</v>
      </c>
      <c r="G11" s="606">
        <f>$F11*G12</f>
        <v>0</v>
      </c>
      <c r="H11" s="606">
        <f t="shared" si="1"/>
        <v>322854.32500000001</v>
      </c>
      <c r="I11" s="606">
        <f t="shared" si="1"/>
        <v>1291417.3</v>
      </c>
      <c r="J11" s="606">
        <f t="shared" si="1"/>
        <v>968562.97499999998</v>
      </c>
      <c r="K11" s="606">
        <f t="shared" si="1"/>
        <v>645708.65</v>
      </c>
      <c r="L11" s="607">
        <f t="shared" si="1"/>
        <v>0</v>
      </c>
      <c r="N11" s="610">
        <f>SUM(G11:L11)</f>
        <v>3228543.25</v>
      </c>
      <c r="O11" s="593" t="b">
        <f>N11=F11</f>
        <v>1</v>
      </c>
      <c r="P11" s="611"/>
    </row>
    <row r="12" spans="2:16" ht="18" customHeight="1" x14ac:dyDescent="0.2">
      <c r="B12" s="1434"/>
      <c r="C12" s="1435"/>
      <c r="D12" s="1435"/>
      <c r="E12" s="1435"/>
      <c r="F12" s="608">
        <f>SUM(G12:L12)</f>
        <v>1</v>
      </c>
      <c r="G12" s="608">
        <v>0</v>
      </c>
      <c r="H12" s="608">
        <v>0.1</v>
      </c>
      <c r="I12" s="608">
        <v>0.4</v>
      </c>
      <c r="J12" s="608">
        <v>0.3</v>
      </c>
      <c r="K12" s="608">
        <v>0.2</v>
      </c>
      <c r="L12" s="609">
        <v>0</v>
      </c>
      <c r="N12" s="612"/>
      <c r="P12" s="611"/>
    </row>
    <row r="13" spans="2:16" ht="18" customHeight="1" x14ac:dyDescent="0.2">
      <c r="B13" s="1434" t="s">
        <v>370</v>
      </c>
      <c r="C13" s="1435" t="str">
        <f>'ORÇAMENTO - ORIENTATIVO'!K37</f>
        <v>DRENAGEM</v>
      </c>
      <c r="D13" s="1435"/>
      <c r="E13" s="1435"/>
      <c r="F13" s="605">
        <f>'ORÇAMENTO - ORIENTATIVO'!P37</f>
        <v>4910654.4799999986</v>
      </c>
      <c r="G13" s="606">
        <f>$F13*G14</f>
        <v>2455327.2399999993</v>
      </c>
      <c r="H13" s="606">
        <f t="shared" si="1"/>
        <v>982130.89599999972</v>
      </c>
      <c r="I13" s="606">
        <f t="shared" si="1"/>
        <v>491065.44799999986</v>
      </c>
      <c r="J13" s="606">
        <f t="shared" si="1"/>
        <v>0</v>
      </c>
      <c r="K13" s="606">
        <f t="shared" si="1"/>
        <v>0</v>
      </c>
      <c r="L13" s="607">
        <f t="shared" si="1"/>
        <v>982130.89599999972</v>
      </c>
      <c r="N13" s="612"/>
      <c r="P13" s="611"/>
    </row>
    <row r="14" spans="2:16" ht="18" customHeight="1" x14ac:dyDescent="0.2">
      <c r="B14" s="1434"/>
      <c r="C14" s="1435"/>
      <c r="D14" s="1435"/>
      <c r="E14" s="1435"/>
      <c r="F14" s="608">
        <f>SUM(G14:L14)</f>
        <v>1</v>
      </c>
      <c r="G14" s="608">
        <v>0.5</v>
      </c>
      <c r="H14" s="608">
        <v>0.2</v>
      </c>
      <c r="I14" s="608">
        <v>0.1</v>
      </c>
      <c r="J14" s="608">
        <v>0</v>
      </c>
      <c r="K14" s="608">
        <v>0</v>
      </c>
      <c r="L14" s="609">
        <v>0.2</v>
      </c>
      <c r="N14" s="612"/>
      <c r="P14" s="611"/>
    </row>
    <row r="15" spans="2:16" ht="15" x14ac:dyDescent="0.2">
      <c r="B15" s="1434" t="s">
        <v>395</v>
      </c>
      <c r="C15" s="1435" t="str">
        <f>'ORÇAMENTO - ORIENTATIVO'!K63</f>
        <v>PASSEIO PÚBLICO E ACESSIBILIDADE UNIVERSAL</v>
      </c>
      <c r="D15" s="1435"/>
      <c r="E15" s="1435"/>
      <c r="F15" s="605">
        <f>'ORÇAMENTO - ORIENTATIVO'!P63</f>
        <v>2026900.55</v>
      </c>
      <c r="G15" s="606">
        <f>$F15*G16</f>
        <v>0</v>
      </c>
      <c r="H15" s="606">
        <f t="shared" si="1"/>
        <v>0</v>
      </c>
      <c r="I15" s="606">
        <f t="shared" si="1"/>
        <v>0</v>
      </c>
      <c r="J15" s="606">
        <f t="shared" si="1"/>
        <v>202690.05500000002</v>
      </c>
      <c r="K15" s="606">
        <f t="shared" si="1"/>
        <v>608070.16500000004</v>
      </c>
      <c r="L15" s="607">
        <f t="shared" si="1"/>
        <v>1216140.33</v>
      </c>
      <c r="N15" s="612"/>
      <c r="P15" s="611"/>
    </row>
    <row r="16" spans="2:16" ht="18" customHeight="1" x14ac:dyDescent="0.2">
      <c r="B16" s="1434"/>
      <c r="C16" s="604"/>
      <c r="D16" s="604"/>
      <c r="E16" s="604"/>
      <c r="F16" s="608">
        <f>SUM(G16:L16)</f>
        <v>1</v>
      </c>
      <c r="G16" s="608">
        <v>0</v>
      </c>
      <c r="H16" s="608">
        <v>0</v>
      </c>
      <c r="I16" s="608">
        <v>0</v>
      </c>
      <c r="J16" s="608">
        <v>0.1</v>
      </c>
      <c r="K16" s="608">
        <v>0.3</v>
      </c>
      <c r="L16" s="609">
        <v>0.6</v>
      </c>
      <c r="N16" s="612"/>
      <c r="P16" s="611"/>
    </row>
    <row r="17" spans="2:239" ht="18" customHeight="1" x14ac:dyDescent="0.2">
      <c r="B17" s="1434" t="s">
        <v>379</v>
      </c>
      <c r="C17" s="1435" t="str">
        <f>'ORÇAMENTO - ORIENTATIVO'!K72</f>
        <v>SINALIZAÇÃO VIÁRIA</v>
      </c>
      <c r="D17" s="1435"/>
      <c r="E17" s="1435"/>
      <c r="F17" s="605">
        <f>'ORÇAMENTO - ORIENTATIVO'!P72</f>
        <v>271931.57999999996</v>
      </c>
      <c r="G17" s="606">
        <f>$F17*G18</f>
        <v>0</v>
      </c>
      <c r="H17" s="606">
        <f t="shared" si="1"/>
        <v>0</v>
      </c>
      <c r="I17" s="606">
        <f t="shared" si="1"/>
        <v>0</v>
      </c>
      <c r="J17" s="606">
        <f t="shared" si="1"/>
        <v>0</v>
      </c>
      <c r="K17" s="606">
        <f t="shared" si="1"/>
        <v>81579.473999999987</v>
      </c>
      <c r="L17" s="607">
        <f t="shared" si="1"/>
        <v>190352.10599999997</v>
      </c>
      <c r="N17" s="612"/>
      <c r="P17" s="611"/>
    </row>
    <row r="18" spans="2:239" ht="18" customHeight="1" x14ac:dyDescent="0.2">
      <c r="B18" s="1434"/>
      <c r="C18" s="604"/>
      <c r="D18" s="604"/>
      <c r="E18" s="604"/>
      <c r="F18" s="608">
        <f>SUM(G18:L18)</f>
        <v>1</v>
      </c>
      <c r="G18" s="608">
        <v>0</v>
      </c>
      <c r="H18" s="608">
        <v>0</v>
      </c>
      <c r="I18" s="608">
        <v>0</v>
      </c>
      <c r="J18" s="608">
        <v>0</v>
      </c>
      <c r="K18" s="608">
        <v>0.3</v>
      </c>
      <c r="L18" s="609">
        <v>0.7</v>
      </c>
      <c r="N18" s="612"/>
      <c r="P18" s="611"/>
    </row>
    <row r="19" spans="2:239" ht="18" customHeight="1" x14ac:dyDescent="0.2">
      <c r="B19" s="613"/>
      <c r="C19" s="614"/>
      <c r="D19" s="614"/>
      <c r="E19" s="615" t="s">
        <v>396</v>
      </c>
      <c r="F19" s="616">
        <f>F7+F9+F11+F15+F17+F13</f>
        <v>10593858.549999999</v>
      </c>
      <c r="G19" s="617"/>
      <c r="H19" s="617"/>
      <c r="I19" s="617"/>
      <c r="J19" s="617"/>
      <c r="K19" s="617"/>
      <c r="L19" s="618"/>
      <c r="N19" s="612"/>
      <c r="P19" s="611"/>
    </row>
    <row r="20" spans="2:239" ht="18" customHeight="1" x14ac:dyDescent="0.2">
      <c r="B20" s="619"/>
      <c r="C20" s="620"/>
      <c r="D20" s="620"/>
      <c r="E20" s="621"/>
      <c r="F20" s="621" t="s">
        <v>397</v>
      </c>
      <c r="G20" s="622">
        <f t="shared" ref="G20:L20" si="2">IF($F$19&gt;0,G21/$F$19,0)</f>
        <v>0.24078764219482612</v>
      </c>
      <c r="H20" s="622">
        <f t="shared" si="2"/>
        <v>0.12887381142161841</v>
      </c>
      <c r="I20" s="622">
        <f t="shared" si="2"/>
        <v>0.16825623445765189</v>
      </c>
      <c r="J20" s="622">
        <f t="shared" si="2"/>
        <v>0.11055962513299747</v>
      </c>
      <c r="K20" s="622">
        <f t="shared" si="2"/>
        <v>0.12605022831836848</v>
      </c>
      <c r="L20" s="623">
        <f t="shared" si="2"/>
        <v>0.22547245847453756</v>
      </c>
      <c r="M20" s="624"/>
      <c r="N20" s="612"/>
      <c r="O20" s="625"/>
      <c r="P20" s="626"/>
      <c r="Q20" s="625"/>
      <c r="R20" s="625"/>
      <c r="S20" s="624"/>
      <c r="T20" s="627"/>
      <c r="U20" s="625"/>
      <c r="V20" s="625"/>
      <c r="W20" s="625"/>
      <c r="X20" s="625"/>
      <c r="Y20" s="624"/>
      <c r="Z20" s="627"/>
      <c r="AA20" s="625"/>
      <c r="AB20" s="625"/>
      <c r="AC20" s="625"/>
      <c r="AD20" s="625"/>
      <c r="AE20" s="624"/>
      <c r="AF20" s="627"/>
      <c r="AG20" s="625"/>
      <c r="AH20" s="625"/>
      <c r="AI20" s="625"/>
      <c r="AJ20" s="625"/>
      <c r="AK20" s="624"/>
      <c r="AL20" s="627"/>
      <c r="AM20" s="625"/>
      <c r="AN20" s="625"/>
      <c r="AO20" s="625"/>
      <c r="AP20" s="625"/>
      <c r="AQ20" s="624"/>
      <c r="AR20" s="627"/>
      <c r="AS20" s="625"/>
      <c r="AT20" s="625"/>
      <c r="AU20" s="625"/>
      <c r="AV20" s="625"/>
      <c r="AW20" s="624"/>
      <c r="AX20" s="627"/>
      <c r="AY20" s="625"/>
      <c r="AZ20" s="625"/>
      <c r="BA20" s="625"/>
      <c r="BB20" s="625"/>
      <c r="BC20" s="624"/>
      <c r="BD20" s="627"/>
      <c r="BE20" s="625"/>
      <c r="BF20" s="625"/>
      <c r="BG20" s="625"/>
      <c r="BH20" s="625"/>
      <c r="BI20" s="624"/>
      <c r="BJ20" s="627"/>
      <c r="BK20" s="625"/>
      <c r="BL20" s="625"/>
      <c r="BM20" s="625"/>
      <c r="BN20" s="625"/>
      <c r="BO20" s="624"/>
      <c r="BP20" s="627"/>
      <c r="BQ20" s="625"/>
      <c r="BR20" s="625"/>
      <c r="BS20" s="625"/>
      <c r="BT20" s="625"/>
      <c r="BU20" s="624"/>
      <c r="BV20" s="627"/>
      <c r="BW20" s="625"/>
      <c r="BX20" s="625"/>
      <c r="BY20" s="625"/>
      <c r="BZ20" s="625"/>
      <c r="CA20" s="624"/>
      <c r="CB20" s="627"/>
      <c r="CC20" s="625"/>
      <c r="CD20" s="625"/>
      <c r="CE20" s="625"/>
      <c r="CF20" s="625"/>
      <c r="CG20" s="624"/>
      <c r="CH20" s="627"/>
      <c r="CI20" s="625"/>
      <c r="CJ20" s="625"/>
      <c r="CK20" s="625"/>
      <c r="CL20" s="625"/>
      <c r="CM20" s="624"/>
      <c r="CN20" s="627"/>
      <c r="CO20" s="625"/>
      <c r="CP20" s="625"/>
      <c r="CQ20" s="625"/>
      <c r="CR20" s="625"/>
      <c r="CS20" s="624"/>
      <c r="CT20" s="627"/>
      <c r="CU20" s="625"/>
      <c r="CV20" s="625"/>
      <c r="CW20" s="625"/>
      <c r="CX20" s="625"/>
      <c r="CY20" s="624"/>
      <c r="CZ20" s="627"/>
      <c r="DA20" s="625"/>
      <c r="DB20" s="625"/>
      <c r="DC20" s="625"/>
      <c r="DD20" s="625"/>
      <c r="DE20" s="624"/>
      <c r="DF20" s="627"/>
      <c r="DG20" s="625"/>
      <c r="DH20" s="625"/>
      <c r="DI20" s="625"/>
      <c r="DJ20" s="625"/>
      <c r="DK20" s="624"/>
      <c r="DL20" s="627"/>
      <c r="DM20" s="625"/>
      <c r="DN20" s="625"/>
      <c r="DO20" s="625"/>
      <c r="DP20" s="625"/>
      <c r="DQ20" s="624"/>
      <c r="DR20" s="627"/>
      <c r="DS20" s="625"/>
      <c r="DT20" s="625"/>
      <c r="DU20" s="625"/>
      <c r="DV20" s="625"/>
      <c r="DW20" s="624"/>
      <c r="DX20" s="627"/>
      <c r="DY20" s="625"/>
      <c r="DZ20" s="625"/>
      <c r="EA20" s="625"/>
      <c r="EB20" s="625"/>
      <c r="EC20" s="624"/>
      <c r="ED20" s="627"/>
      <c r="EE20" s="625"/>
      <c r="EF20" s="625"/>
      <c r="EG20" s="625"/>
      <c r="EH20" s="625"/>
      <c r="EI20" s="624"/>
      <c r="EJ20" s="627"/>
      <c r="EK20" s="625"/>
      <c r="EL20" s="625"/>
      <c r="EM20" s="625"/>
      <c r="EN20" s="625"/>
      <c r="EO20" s="624"/>
      <c r="EP20" s="627"/>
      <c r="EQ20" s="625"/>
      <c r="ER20" s="625"/>
      <c r="ES20" s="625"/>
      <c r="ET20" s="625"/>
      <c r="EU20" s="624"/>
      <c r="EV20" s="627"/>
      <c r="EW20" s="625"/>
      <c r="EX20" s="625"/>
      <c r="EY20" s="625"/>
      <c r="EZ20" s="625"/>
      <c r="FA20" s="624"/>
      <c r="FB20" s="627"/>
      <c r="FC20" s="625"/>
      <c r="FD20" s="625"/>
      <c r="FE20" s="625"/>
      <c r="FF20" s="625"/>
      <c r="FG20" s="624"/>
      <c r="FH20" s="627"/>
      <c r="FI20" s="625"/>
      <c r="FJ20" s="625"/>
      <c r="FK20" s="625"/>
      <c r="FL20" s="625"/>
      <c r="FM20" s="624"/>
      <c r="FN20" s="627"/>
      <c r="FO20" s="625"/>
      <c r="FP20" s="625"/>
      <c r="FQ20" s="625"/>
      <c r="FR20" s="625"/>
      <c r="FS20" s="624"/>
      <c r="FT20" s="627"/>
      <c r="FU20" s="625"/>
      <c r="FV20" s="625"/>
      <c r="FW20" s="625"/>
      <c r="FX20" s="625"/>
      <c r="FY20" s="624"/>
      <c r="FZ20" s="627"/>
      <c r="GA20" s="625"/>
      <c r="GB20" s="625"/>
      <c r="GC20" s="625"/>
      <c r="GD20" s="625"/>
      <c r="GE20" s="624"/>
      <c r="GF20" s="627"/>
      <c r="GG20" s="625"/>
      <c r="GH20" s="625"/>
      <c r="GI20" s="625"/>
      <c r="GJ20" s="625"/>
      <c r="GK20" s="624"/>
      <c r="GL20" s="627"/>
      <c r="GM20" s="625"/>
      <c r="GN20" s="625"/>
      <c r="GO20" s="625"/>
      <c r="GP20" s="625"/>
      <c r="GQ20" s="624"/>
      <c r="GR20" s="627"/>
      <c r="GS20" s="625"/>
      <c r="GT20" s="625"/>
      <c r="GU20" s="625"/>
      <c r="GV20" s="625"/>
      <c r="GW20" s="624"/>
      <c r="GX20" s="627"/>
      <c r="GY20" s="625"/>
      <c r="GZ20" s="625"/>
      <c r="HA20" s="625"/>
      <c r="HB20" s="625"/>
      <c r="HC20" s="624"/>
      <c r="HD20" s="627"/>
      <c r="HE20" s="625"/>
      <c r="HF20" s="625"/>
      <c r="HG20" s="625"/>
      <c r="HH20" s="625"/>
      <c r="HI20" s="624"/>
      <c r="HJ20" s="627"/>
      <c r="HK20" s="625"/>
      <c r="HL20" s="625"/>
      <c r="HM20" s="625"/>
      <c r="HN20" s="625"/>
      <c r="HO20" s="624"/>
      <c r="HP20" s="627"/>
      <c r="HQ20" s="625"/>
      <c r="HR20" s="625"/>
      <c r="HS20" s="625"/>
      <c r="HT20" s="625"/>
      <c r="HU20" s="624"/>
      <c r="HV20" s="627"/>
      <c r="HW20" s="625"/>
      <c r="HX20" s="625"/>
      <c r="HY20" s="625"/>
      <c r="HZ20" s="625"/>
      <c r="IA20" s="624"/>
      <c r="IB20" s="627"/>
      <c r="IC20" s="625"/>
      <c r="ID20" s="625"/>
      <c r="IE20" s="625"/>
    </row>
    <row r="21" spans="2:239" ht="18" customHeight="1" x14ac:dyDescent="0.2">
      <c r="B21" s="619"/>
      <c r="C21" s="620"/>
      <c r="D21" s="620"/>
      <c r="E21" s="621"/>
      <c r="F21" s="621" t="s">
        <v>398</v>
      </c>
      <c r="G21" s="628">
        <f>G7+G11+G9+G15+G17+G13</f>
        <v>2550870.2219999991</v>
      </c>
      <c r="H21" s="616">
        <f>H7+H11+H9+H15+H17+H13</f>
        <v>1365270.9289999998</v>
      </c>
      <c r="I21" s="616">
        <f>+I7+I11+I9+I15+I17+I13</f>
        <v>1782482.7479999999</v>
      </c>
      <c r="J21" s="616">
        <f>J7+J11+J9+J15+J17+J13</f>
        <v>1171253.03</v>
      </c>
      <c r="K21" s="616">
        <f>+K7+K11+K9+K15+K17+K13</f>
        <v>1335358.2889999999</v>
      </c>
      <c r="L21" s="629">
        <f>L7+L11+L9+L15+L17+L13</f>
        <v>2388623.3319999995</v>
      </c>
      <c r="M21" s="624"/>
      <c r="N21" s="612"/>
      <c r="O21" s="625"/>
      <c r="P21" s="626"/>
      <c r="Q21" s="625"/>
      <c r="R21" s="625"/>
      <c r="S21" s="624"/>
      <c r="T21" s="627"/>
      <c r="U21" s="625"/>
      <c r="V21" s="625"/>
      <c r="W21" s="625"/>
      <c r="X21" s="625"/>
      <c r="Y21" s="624"/>
      <c r="Z21" s="627"/>
      <c r="AA21" s="625"/>
      <c r="AB21" s="625"/>
      <c r="AC21" s="625"/>
      <c r="AD21" s="625"/>
      <c r="AE21" s="624"/>
      <c r="AF21" s="627"/>
      <c r="AG21" s="625"/>
      <c r="AH21" s="625"/>
      <c r="AI21" s="625"/>
      <c r="AJ21" s="625"/>
      <c r="AK21" s="624"/>
      <c r="AL21" s="627"/>
      <c r="AM21" s="625"/>
      <c r="AN21" s="625"/>
      <c r="AO21" s="625"/>
      <c r="AP21" s="625"/>
      <c r="AQ21" s="624"/>
      <c r="AR21" s="627"/>
      <c r="AS21" s="625"/>
      <c r="AT21" s="625"/>
      <c r="AU21" s="625"/>
      <c r="AV21" s="625"/>
      <c r="AW21" s="624"/>
      <c r="AX21" s="627"/>
      <c r="AY21" s="625"/>
      <c r="AZ21" s="625"/>
      <c r="BA21" s="625"/>
      <c r="BB21" s="625"/>
      <c r="BC21" s="624"/>
      <c r="BD21" s="627"/>
      <c r="BE21" s="625"/>
      <c r="BF21" s="625"/>
      <c r="BG21" s="625"/>
      <c r="BH21" s="625"/>
      <c r="BI21" s="624"/>
      <c r="BJ21" s="627"/>
      <c r="BK21" s="625"/>
      <c r="BL21" s="625"/>
      <c r="BM21" s="625"/>
      <c r="BN21" s="625"/>
      <c r="BO21" s="624"/>
      <c r="BP21" s="627"/>
      <c r="BQ21" s="625"/>
      <c r="BR21" s="625"/>
      <c r="BS21" s="625"/>
      <c r="BT21" s="625"/>
      <c r="BU21" s="624"/>
      <c r="BV21" s="627"/>
      <c r="BW21" s="625"/>
      <c r="BX21" s="625"/>
      <c r="BY21" s="625"/>
      <c r="BZ21" s="625"/>
      <c r="CA21" s="624"/>
      <c r="CB21" s="627"/>
      <c r="CC21" s="625"/>
      <c r="CD21" s="625"/>
      <c r="CE21" s="625"/>
      <c r="CF21" s="625"/>
      <c r="CG21" s="624"/>
      <c r="CH21" s="627"/>
      <c r="CI21" s="625"/>
      <c r="CJ21" s="625"/>
      <c r="CK21" s="625"/>
      <c r="CL21" s="625"/>
      <c r="CM21" s="624"/>
      <c r="CN21" s="627"/>
      <c r="CO21" s="625"/>
      <c r="CP21" s="625"/>
      <c r="CQ21" s="625"/>
      <c r="CR21" s="625"/>
      <c r="CS21" s="624"/>
      <c r="CT21" s="627"/>
      <c r="CU21" s="625"/>
      <c r="CV21" s="625"/>
      <c r="CW21" s="625"/>
      <c r="CX21" s="625"/>
      <c r="CY21" s="624"/>
      <c r="CZ21" s="627"/>
      <c r="DA21" s="625"/>
      <c r="DB21" s="625"/>
      <c r="DC21" s="625"/>
      <c r="DD21" s="625"/>
      <c r="DE21" s="624"/>
      <c r="DF21" s="627"/>
      <c r="DG21" s="625"/>
      <c r="DH21" s="625"/>
      <c r="DI21" s="625"/>
      <c r="DJ21" s="625"/>
      <c r="DK21" s="624"/>
      <c r="DL21" s="627"/>
      <c r="DM21" s="625"/>
      <c r="DN21" s="625"/>
      <c r="DO21" s="625"/>
      <c r="DP21" s="625"/>
      <c r="DQ21" s="624"/>
      <c r="DR21" s="627"/>
      <c r="DS21" s="625"/>
      <c r="DT21" s="625"/>
      <c r="DU21" s="625"/>
      <c r="DV21" s="625"/>
      <c r="DW21" s="624"/>
      <c r="DX21" s="627"/>
      <c r="DY21" s="625"/>
      <c r="DZ21" s="625"/>
      <c r="EA21" s="625"/>
      <c r="EB21" s="625"/>
      <c r="EC21" s="624"/>
      <c r="ED21" s="627"/>
      <c r="EE21" s="625"/>
      <c r="EF21" s="625"/>
      <c r="EG21" s="625"/>
      <c r="EH21" s="625"/>
      <c r="EI21" s="624"/>
      <c r="EJ21" s="627"/>
      <c r="EK21" s="625"/>
      <c r="EL21" s="625"/>
      <c r="EM21" s="625"/>
      <c r="EN21" s="625"/>
      <c r="EO21" s="624"/>
      <c r="EP21" s="627"/>
      <c r="EQ21" s="625"/>
      <c r="ER21" s="625"/>
      <c r="ES21" s="625"/>
      <c r="ET21" s="625"/>
      <c r="EU21" s="624"/>
      <c r="EV21" s="627"/>
      <c r="EW21" s="625"/>
      <c r="EX21" s="625"/>
      <c r="EY21" s="625"/>
      <c r="EZ21" s="625"/>
      <c r="FA21" s="624"/>
      <c r="FB21" s="627"/>
      <c r="FC21" s="625"/>
      <c r="FD21" s="625"/>
      <c r="FE21" s="625"/>
      <c r="FF21" s="625"/>
      <c r="FG21" s="624"/>
      <c r="FH21" s="627"/>
      <c r="FI21" s="625"/>
      <c r="FJ21" s="625"/>
      <c r="FK21" s="625"/>
      <c r="FL21" s="625"/>
      <c r="FM21" s="624"/>
      <c r="FN21" s="627"/>
      <c r="FO21" s="625"/>
      <c r="FP21" s="625"/>
      <c r="FQ21" s="625"/>
      <c r="FR21" s="625"/>
      <c r="FS21" s="624"/>
      <c r="FT21" s="627"/>
      <c r="FU21" s="625"/>
      <c r="FV21" s="625"/>
      <c r="FW21" s="625"/>
      <c r="FX21" s="625"/>
      <c r="FY21" s="624"/>
      <c r="FZ21" s="627"/>
      <c r="GA21" s="625"/>
      <c r="GB21" s="625"/>
      <c r="GC21" s="625"/>
      <c r="GD21" s="625"/>
      <c r="GE21" s="624"/>
      <c r="GF21" s="627"/>
      <c r="GG21" s="625"/>
      <c r="GH21" s="625"/>
      <c r="GI21" s="625"/>
      <c r="GJ21" s="625"/>
      <c r="GK21" s="624"/>
      <c r="GL21" s="627"/>
      <c r="GM21" s="625"/>
      <c r="GN21" s="625"/>
      <c r="GO21" s="625"/>
      <c r="GP21" s="625"/>
      <c r="GQ21" s="624"/>
      <c r="GR21" s="627"/>
      <c r="GS21" s="625"/>
      <c r="GT21" s="625"/>
      <c r="GU21" s="625"/>
      <c r="GV21" s="625"/>
      <c r="GW21" s="624"/>
      <c r="GX21" s="627"/>
      <c r="GY21" s="625"/>
      <c r="GZ21" s="625"/>
      <c r="HA21" s="625"/>
      <c r="HB21" s="625"/>
      <c r="HC21" s="624"/>
      <c r="HD21" s="627"/>
      <c r="HE21" s="625"/>
      <c r="HF21" s="625"/>
      <c r="HG21" s="625"/>
      <c r="HH21" s="625"/>
      <c r="HI21" s="624"/>
      <c r="HJ21" s="627"/>
      <c r="HK21" s="625"/>
      <c r="HL21" s="625"/>
      <c r="HM21" s="625"/>
      <c r="HN21" s="625"/>
      <c r="HO21" s="624"/>
      <c r="HP21" s="627"/>
      <c r="HQ21" s="625"/>
      <c r="HR21" s="625"/>
      <c r="HS21" s="625"/>
      <c r="HT21" s="625"/>
      <c r="HU21" s="624"/>
      <c r="HV21" s="627"/>
      <c r="HW21" s="625"/>
      <c r="HX21" s="625"/>
      <c r="HY21" s="625"/>
      <c r="HZ21" s="625"/>
      <c r="IA21" s="624"/>
      <c r="IB21" s="627"/>
      <c r="IC21" s="625"/>
      <c r="ID21" s="625"/>
      <c r="IE21" s="625"/>
    </row>
    <row r="22" spans="2:239" ht="18" customHeight="1" x14ac:dyDescent="0.2">
      <c r="B22" s="619"/>
      <c r="C22" s="620"/>
      <c r="D22" s="620"/>
      <c r="E22" s="621"/>
      <c r="F22" s="630" t="s">
        <v>399</v>
      </c>
      <c r="G22" s="622">
        <f>G20</f>
        <v>0.24078764219482612</v>
      </c>
      <c r="H22" s="622">
        <f>G22+H20</f>
        <v>0.36966145361644454</v>
      </c>
      <c r="I22" s="622">
        <f t="shared" ref="I22:K23" si="3">H22+I20</f>
        <v>0.53791768807409646</v>
      </c>
      <c r="J22" s="622">
        <f t="shared" si="3"/>
        <v>0.6484773132070939</v>
      </c>
      <c r="K22" s="622">
        <f>J22+K20</f>
        <v>0.77452754152546244</v>
      </c>
      <c r="L22" s="623">
        <f>K22+L20</f>
        <v>1</v>
      </c>
      <c r="M22" s="624"/>
      <c r="N22" s="612"/>
      <c r="O22" s="625"/>
      <c r="P22" s="626"/>
      <c r="Q22" s="625"/>
      <c r="R22" s="625"/>
      <c r="S22" s="624"/>
      <c r="T22" s="627"/>
      <c r="U22" s="625"/>
      <c r="V22" s="625"/>
      <c r="W22" s="625"/>
      <c r="X22" s="625"/>
      <c r="Y22" s="624"/>
      <c r="Z22" s="627"/>
      <c r="AA22" s="625"/>
      <c r="AB22" s="625"/>
      <c r="AC22" s="625"/>
      <c r="AD22" s="625"/>
      <c r="AE22" s="624"/>
      <c r="AF22" s="627"/>
      <c r="AG22" s="625"/>
      <c r="AH22" s="625"/>
      <c r="AI22" s="625"/>
      <c r="AJ22" s="625"/>
      <c r="AK22" s="624"/>
      <c r="AL22" s="627"/>
      <c r="AM22" s="625"/>
      <c r="AN22" s="625"/>
      <c r="AO22" s="625"/>
      <c r="AP22" s="625"/>
      <c r="AQ22" s="624"/>
      <c r="AR22" s="627"/>
      <c r="AS22" s="625"/>
      <c r="AT22" s="625"/>
      <c r="AU22" s="625"/>
      <c r="AV22" s="625"/>
      <c r="AW22" s="624"/>
      <c r="AX22" s="627"/>
      <c r="AY22" s="625"/>
      <c r="AZ22" s="625"/>
      <c r="BA22" s="625"/>
      <c r="BB22" s="625"/>
      <c r="BC22" s="624"/>
      <c r="BD22" s="627"/>
      <c r="BE22" s="625"/>
      <c r="BF22" s="625"/>
      <c r="BG22" s="625"/>
      <c r="BH22" s="625"/>
      <c r="BI22" s="624"/>
      <c r="BJ22" s="627"/>
      <c r="BK22" s="625"/>
      <c r="BL22" s="625"/>
      <c r="BM22" s="625"/>
      <c r="BN22" s="625"/>
      <c r="BO22" s="624"/>
      <c r="BP22" s="627"/>
      <c r="BQ22" s="625"/>
      <c r="BR22" s="625"/>
      <c r="BS22" s="625"/>
      <c r="BT22" s="625"/>
      <c r="BU22" s="624"/>
      <c r="BV22" s="627"/>
      <c r="BW22" s="625"/>
      <c r="BX22" s="625"/>
      <c r="BY22" s="625"/>
      <c r="BZ22" s="625"/>
      <c r="CA22" s="624"/>
      <c r="CB22" s="627"/>
      <c r="CC22" s="625"/>
      <c r="CD22" s="625"/>
      <c r="CE22" s="625"/>
      <c r="CF22" s="625"/>
      <c r="CG22" s="624"/>
      <c r="CH22" s="627"/>
      <c r="CI22" s="625"/>
      <c r="CJ22" s="625"/>
      <c r="CK22" s="625"/>
      <c r="CL22" s="625"/>
      <c r="CM22" s="624"/>
      <c r="CN22" s="627"/>
      <c r="CO22" s="625"/>
      <c r="CP22" s="625"/>
      <c r="CQ22" s="625"/>
      <c r="CR22" s="625"/>
      <c r="CS22" s="624"/>
      <c r="CT22" s="627"/>
      <c r="CU22" s="625"/>
      <c r="CV22" s="625"/>
      <c r="CW22" s="625"/>
      <c r="CX22" s="625"/>
      <c r="CY22" s="624"/>
      <c r="CZ22" s="627"/>
      <c r="DA22" s="625"/>
      <c r="DB22" s="625"/>
      <c r="DC22" s="625"/>
      <c r="DD22" s="625"/>
      <c r="DE22" s="624"/>
      <c r="DF22" s="627"/>
      <c r="DG22" s="625"/>
      <c r="DH22" s="625"/>
      <c r="DI22" s="625"/>
      <c r="DJ22" s="625"/>
      <c r="DK22" s="624"/>
      <c r="DL22" s="627"/>
      <c r="DM22" s="625"/>
      <c r="DN22" s="625"/>
      <c r="DO22" s="625"/>
      <c r="DP22" s="625"/>
      <c r="DQ22" s="624"/>
      <c r="DR22" s="627"/>
      <c r="DS22" s="625"/>
      <c r="DT22" s="625"/>
      <c r="DU22" s="625"/>
      <c r="DV22" s="625"/>
      <c r="DW22" s="624"/>
      <c r="DX22" s="627"/>
      <c r="DY22" s="625"/>
      <c r="DZ22" s="625"/>
      <c r="EA22" s="625"/>
      <c r="EB22" s="625"/>
      <c r="EC22" s="624"/>
      <c r="ED22" s="627"/>
      <c r="EE22" s="625"/>
      <c r="EF22" s="625"/>
      <c r="EG22" s="625"/>
      <c r="EH22" s="625"/>
      <c r="EI22" s="624"/>
      <c r="EJ22" s="627"/>
      <c r="EK22" s="625"/>
      <c r="EL22" s="625"/>
      <c r="EM22" s="625"/>
      <c r="EN22" s="625"/>
      <c r="EO22" s="624"/>
      <c r="EP22" s="627"/>
      <c r="EQ22" s="625"/>
      <c r="ER22" s="625"/>
      <c r="ES22" s="625"/>
      <c r="ET22" s="625"/>
      <c r="EU22" s="624"/>
      <c r="EV22" s="627"/>
      <c r="EW22" s="625"/>
      <c r="EX22" s="625"/>
      <c r="EY22" s="625"/>
      <c r="EZ22" s="625"/>
      <c r="FA22" s="624"/>
      <c r="FB22" s="627"/>
      <c r="FC22" s="625"/>
      <c r="FD22" s="625"/>
      <c r="FE22" s="625"/>
      <c r="FF22" s="625"/>
      <c r="FG22" s="624"/>
      <c r="FH22" s="627"/>
      <c r="FI22" s="625"/>
      <c r="FJ22" s="625"/>
      <c r="FK22" s="625"/>
      <c r="FL22" s="625"/>
      <c r="FM22" s="624"/>
      <c r="FN22" s="627"/>
      <c r="FO22" s="625"/>
      <c r="FP22" s="625"/>
      <c r="FQ22" s="625"/>
      <c r="FR22" s="625"/>
      <c r="FS22" s="624"/>
      <c r="FT22" s="627"/>
      <c r="FU22" s="625"/>
      <c r="FV22" s="625"/>
      <c r="FW22" s="625"/>
      <c r="FX22" s="625"/>
      <c r="FY22" s="624"/>
      <c r="FZ22" s="627"/>
      <c r="GA22" s="625"/>
      <c r="GB22" s="625"/>
      <c r="GC22" s="625"/>
      <c r="GD22" s="625"/>
      <c r="GE22" s="624"/>
      <c r="GF22" s="627"/>
      <c r="GG22" s="625"/>
      <c r="GH22" s="625"/>
      <c r="GI22" s="625"/>
      <c r="GJ22" s="625"/>
      <c r="GK22" s="624"/>
      <c r="GL22" s="627"/>
      <c r="GM22" s="625"/>
      <c r="GN22" s="625"/>
      <c r="GO22" s="625"/>
      <c r="GP22" s="625"/>
      <c r="GQ22" s="624"/>
      <c r="GR22" s="627"/>
      <c r="GS22" s="625"/>
      <c r="GT22" s="625"/>
      <c r="GU22" s="625"/>
      <c r="GV22" s="625"/>
      <c r="GW22" s="624"/>
      <c r="GX22" s="627"/>
      <c r="GY22" s="625"/>
      <c r="GZ22" s="625"/>
      <c r="HA22" s="625"/>
      <c r="HB22" s="625"/>
      <c r="HC22" s="624"/>
      <c r="HD22" s="627"/>
      <c r="HE22" s="625"/>
      <c r="HF22" s="625"/>
      <c r="HG22" s="625"/>
      <c r="HH22" s="625"/>
      <c r="HI22" s="624"/>
      <c r="HJ22" s="627"/>
      <c r="HK22" s="625"/>
      <c r="HL22" s="625"/>
      <c r="HM22" s="625"/>
      <c r="HN22" s="625"/>
      <c r="HO22" s="624"/>
      <c r="HP22" s="627"/>
      <c r="HQ22" s="625"/>
      <c r="HR22" s="625"/>
      <c r="HS22" s="625"/>
      <c r="HT22" s="625"/>
      <c r="HU22" s="624"/>
      <c r="HV22" s="627"/>
      <c r="HW22" s="625"/>
      <c r="HX22" s="625"/>
      <c r="HY22" s="625"/>
      <c r="HZ22" s="625"/>
      <c r="IA22" s="624"/>
      <c r="IB22" s="627"/>
      <c r="IC22" s="625"/>
      <c r="ID22" s="625"/>
      <c r="IE22" s="625"/>
    </row>
    <row r="23" spans="2:239" ht="18" customHeight="1" x14ac:dyDescent="0.2">
      <c r="B23" s="631"/>
      <c r="C23" s="632"/>
      <c r="D23" s="632"/>
      <c r="E23" s="633"/>
      <c r="F23" s="634" t="s">
        <v>400</v>
      </c>
      <c r="G23" s="635">
        <f>G21</f>
        <v>2550870.2219999991</v>
      </c>
      <c r="H23" s="636">
        <f>G23+H21</f>
        <v>3916141.1509999987</v>
      </c>
      <c r="I23" s="635">
        <f t="shared" si="3"/>
        <v>5698623.8989999983</v>
      </c>
      <c r="J23" s="636">
        <f t="shared" si="3"/>
        <v>6869876.9289999986</v>
      </c>
      <c r="K23" s="636">
        <f t="shared" si="3"/>
        <v>8205235.2179999985</v>
      </c>
      <c r="L23" s="637">
        <f>K23+L21</f>
        <v>10593858.549999997</v>
      </c>
    </row>
    <row r="24" spans="2:239" x14ac:dyDescent="0.2">
      <c r="N24" s="612"/>
    </row>
    <row r="25" spans="2:239" x14ac:dyDescent="0.2">
      <c r="Q25" s="611"/>
    </row>
    <row r="78" spans="16:16" x14ac:dyDescent="0.2">
      <c r="P78" s="593">
        <f>SUM(P7:P77)/2</f>
        <v>0</v>
      </c>
    </row>
  </sheetData>
  <mergeCells count="14">
    <mergeCell ref="B5:L5"/>
    <mergeCell ref="C6:E6"/>
    <mergeCell ref="B7:B8"/>
    <mergeCell ref="C7:E8"/>
    <mergeCell ref="B9:B10"/>
    <mergeCell ref="C9:E10"/>
    <mergeCell ref="B17:B18"/>
    <mergeCell ref="C17:E17"/>
    <mergeCell ref="B11:B12"/>
    <mergeCell ref="C11:E12"/>
    <mergeCell ref="B13:B14"/>
    <mergeCell ref="C13:E14"/>
    <mergeCell ref="B15:B16"/>
    <mergeCell ref="C15:E15"/>
  </mergeCells>
  <conditionalFormatting sqref="G7:L7">
    <cfRule type="cellIs" dxfId="13" priority="8" operator="greaterThan">
      <formula>0</formula>
    </cfRule>
  </conditionalFormatting>
  <conditionalFormatting sqref="G9:L9">
    <cfRule type="cellIs" dxfId="12" priority="5" operator="greaterThan">
      <formula>0</formula>
    </cfRule>
  </conditionalFormatting>
  <conditionalFormatting sqref="G11:L11">
    <cfRule type="cellIs" dxfId="11" priority="7" operator="greaterThan">
      <formula>0</formula>
    </cfRule>
  </conditionalFormatting>
  <conditionalFormatting sqref="G13:L13">
    <cfRule type="cellIs" dxfId="10" priority="1" operator="greaterThan">
      <formula>0</formula>
    </cfRule>
  </conditionalFormatting>
  <conditionalFormatting sqref="G15:L15 G17:L17">
    <cfRule type="cellIs" dxfId="9" priority="3" operator="greaterThan">
      <formula>0</formula>
    </cfRule>
  </conditionalFormatting>
  <printOptions horizontalCentered="1"/>
  <pageMargins left="0.59055118110236227" right="0.59055118110236227" top="1.7716535433070868" bottom="0.78740157480314965" header="0" footer="0"/>
  <pageSetup paperSize="9" scale="70" firstPageNumber="25" orientation="landscape" r:id="rId1"/>
  <headerFooter scaleWithDoc="0">
    <oddHeader>&amp;L&amp;G</oddHeader>
    <oddFooter>&amp;C&amp;"-,Negrito"&amp;12DIONI CAETANEO DE OLIVEIRA
&amp;"-,Regular"ENGENHEIRO CIVIL - CREA /MT 40957
DEPARTAMENTO DE ENGENHARIA</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F55A2-1100-416D-9389-3FB9236086CB}">
  <sheetPr codeName="Planilha30">
    <tabColor rgb="FF92D050"/>
  </sheetPr>
  <dimension ref="A1:GQ128"/>
  <sheetViews>
    <sheetView showGridLines="0" view="pageLayout" topLeftCell="A37" zoomScaleNormal="100" zoomScaleSheetLayoutView="100" workbookViewId="0">
      <selection activeCell="Q34" activeCellId="1" sqref="P49 Q34"/>
    </sheetView>
  </sheetViews>
  <sheetFormatPr defaultColWidth="9.140625" defaultRowHeight="14.25" x14ac:dyDescent="0.2"/>
  <cols>
    <col min="1" max="1" width="7.140625" style="996" customWidth="1"/>
    <col min="2" max="2" width="45" style="996" customWidth="1"/>
    <col min="3" max="5" width="20.7109375" style="996" customWidth="1"/>
    <col min="6" max="16384" width="9.140625" style="996"/>
  </cols>
  <sheetData>
    <row r="1" spans="1:5" ht="22.5" customHeight="1" x14ac:dyDescent="0.2">
      <c r="A1" s="1618" t="s">
        <v>939</v>
      </c>
      <c r="B1" s="1551"/>
      <c r="C1" s="1551"/>
      <c r="D1" s="1551"/>
      <c r="E1" s="1619"/>
    </row>
    <row r="2" spans="1:5" ht="27" customHeight="1" x14ac:dyDescent="0.2">
      <c r="A2" s="1620" t="s">
        <v>174</v>
      </c>
      <c r="B2" s="1620" t="s">
        <v>559</v>
      </c>
      <c r="C2" s="1021" t="s">
        <v>940</v>
      </c>
      <c r="D2" s="1021" t="s">
        <v>941</v>
      </c>
      <c r="E2" s="1022" t="s">
        <v>942</v>
      </c>
    </row>
    <row r="3" spans="1:5" ht="73.5" customHeight="1" x14ac:dyDescent="0.2">
      <c r="A3" s="1621"/>
      <c r="B3" s="1621"/>
      <c r="C3" s="1024"/>
      <c r="D3" s="1024"/>
      <c r="E3" s="1024"/>
    </row>
    <row r="4" spans="1:5" ht="15" customHeight="1" x14ac:dyDescent="0.2">
      <c r="A4" s="1622" t="s">
        <v>538</v>
      </c>
      <c r="B4" s="1623"/>
      <c r="C4" s="1623"/>
      <c r="D4" s="1623"/>
      <c r="E4" s="1624"/>
    </row>
    <row r="5" spans="1:5" ht="15" customHeight="1" x14ac:dyDescent="0.2">
      <c r="A5" s="468">
        <v>1</v>
      </c>
      <c r="B5" s="1010" t="s">
        <v>740</v>
      </c>
      <c r="C5" s="1025">
        <v>2</v>
      </c>
      <c r="D5" s="1025">
        <v>2</v>
      </c>
      <c r="E5" s="1026" t="s">
        <v>310</v>
      </c>
    </row>
    <row r="6" spans="1:5" ht="15" customHeight="1" x14ac:dyDescent="0.2">
      <c r="A6" s="468">
        <v>2</v>
      </c>
      <c r="B6" s="1010" t="s">
        <v>741</v>
      </c>
      <c r="C6" s="1025">
        <v>2</v>
      </c>
      <c r="D6" s="1025">
        <v>2</v>
      </c>
      <c r="E6" s="1026" t="s">
        <v>310</v>
      </c>
    </row>
    <row r="7" spans="1:5" ht="15" customHeight="1" x14ac:dyDescent="0.2">
      <c r="A7" s="468">
        <v>3</v>
      </c>
      <c r="B7" s="1010" t="s">
        <v>742</v>
      </c>
      <c r="C7" s="1025">
        <v>2</v>
      </c>
      <c r="D7" s="1025">
        <v>2</v>
      </c>
      <c r="E7" s="1026" t="s">
        <v>310</v>
      </c>
    </row>
    <row r="8" spans="1:5" ht="15" customHeight="1" x14ac:dyDescent="0.2">
      <c r="A8" s="468">
        <v>4</v>
      </c>
      <c r="B8" s="1010" t="s">
        <v>743</v>
      </c>
      <c r="C8" s="1025">
        <v>2</v>
      </c>
      <c r="D8" s="1025">
        <v>2</v>
      </c>
      <c r="E8" s="1026" t="s">
        <v>310</v>
      </c>
    </row>
    <row r="9" spans="1:5" ht="15" customHeight="1" x14ac:dyDescent="0.2">
      <c r="A9" s="468">
        <v>5</v>
      </c>
      <c r="B9" s="1010" t="s">
        <v>744</v>
      </c>
      <c r="C9" s="1025">
        <v>2</v>
      </c>
      <c r="D9" s="1025">
        <v>2</v>
      </c>
      <c r="E9" s="1026" t="s">
        <v>310</v>
      </c>
    </row>
    <row r="10" spans="1:5" ht="15" customHeight="1" x14ac:dyDescent="0.2">
      <c r="A10" s="468">
        <v>6</v>
      </c>
      <c r="B10" s="1010" t="s">
        <v>745</v>
      </c>
      <c r="C10" s="1025">
        <v>2</v>
      </c>
      <c r="D10" s="1025">
        <v>2</v>
      </c>
      <c r="E10" s="1026" t="s">
        <v>310</v>
      </c>
    </row>
    <row r="11" spans="1:5" ht="15" customHeight="1" x14ac:dyDescent="0.2">
      <c r="A11" s="468">
        <v>7</v>
      </c>
      <c r="B11" s="1010" t="s">
        <v>746</v>
      </c>
      <c r="C11" s="1025">
        <v>2</v>
      </c>
      <c r="D11" s="1025">
        <v>2</v>
      </c>
      <c r="E11" s="1026" t="s">
        <v>310</v>
      </c>
    </row>
    <row r="12" spans="1:5" ht="15" customHeight="1" x14ac:dyDescent="0.2">
      <c r="A12" s="468">
        <v>8</v>
      </c>
      <c r="B12" s="1010" t="s">
        <v>747</v>
      </c>
      <c r="C12" s="1025">
        <v>2</v>
      </c>
      <c r="D12" s="1025">
        <v>2</v>
      </c>
      <c r="E12" s="1026" t="s">
        <v>310</v>
      </c>
    </row>
    <row r="13" spans="1:5" ht="15" customHeight="1" x14ac:dyDescent="0.2">
      <c r="A13" s="468">
        <v>9</v>
      </c>
      <c r="B13" s="1010" t="s">
        <v>748</v>
      </c>
      <c r="C13" s="1025">
        <v>2</v>
      </c>
      <c r="D13" s="1025">
        <v>2</v>
      </c>
      <c r="E13" s="1026" t="s">
        <v>310</v>
      </c>
    </row>
    <row r="14" spans="1:5" ht="15" customHeight="1" x14ac:dyDescent="0.2">
      <c r="A14" s="468">
        <v>10</v>
      </c>
      <c r="B14" s="1010" t="s">
        <v>749</v>
      </c>
      <c r="C14" s="1025">
        <v>2</v>
      </c>
      <c r="D14" s="1025">
        <v>2</v>
      </c>
      <c r="E14" s="1026" t="s">
        <v>310</v>
      </c>
    </row>
    <row r="15" spans="1:5" ht="15" customHeight="1" x14ac:dyDescent="0.2">
      <c r="A15" s="468">
        <v>11</v>
      </c>
      <c r="B15" s="1010" t="s">
        <v>750</v>
      </c>
      <c r="C15" s="1025">
        <v>2</v>
      </c>
      <c r="D15" s="1025">
        <v>2</v>
      </c>
      <c r="E15" s="1026" t="s">
        <v>310</v>
      </c>
    </row>
    <row r="16" spans="1:5" ht="15" customHeight="1" x14ac:dyDescent="0.2">
      <c r="A16" s="468">
        <v>12</v>
      </c>
      <c r="B16" s="1010" t="s">
        <v>751</v>
      </c>
      <c r="C16" s="1025">
        <v>2</v>
      </c>
      <c r="D16" s="1025">
        <v>2</v>
      </c>
      <c r="E16" s="1026" t="s">
        <v>310</v>
      </c>
    </row>
    <row r="17" spans="1:5" ht="15" customHeight="1" x14ac:dyDescent="0.2">
      <c r="A17" s="468">
        <v>13</v>
      </c>
      <c r="B17" s="1010" t="s">
        <v>752</v>
      </c>
      <c r="C17" s="1025">
        <v>2</v>
      </c>
      <c r="D17" s="1025">
        <v>2</v>
      </c>
      <c r="E17" s="1026" t="s">
        <v>310</v>
      </c>
    </row>
    <row r="18" spans="1:5" ht="15" customHeight="1" x14ac:dyDescent="0.2">
      <c r="A18" s="468">
        <v>14</v>
      </c>
      <c r="B18" s="1010" t="s">
        <v>753</v>
      </c>
      <c r="C18" s="1025">
        <v>2</v>
      </c>
      <c r="D18" s="1025">
        <v>2</v>
      </c>
      <c r="E18" s="1026" t="s">
        <v>310</v>
      </c>
    </row>
    <row r="19" spans="1:5" ht="15" customHeight="1" x14ac:dyDescent="0.2">
      <c r="A19" s="468">
        <v>15</v>
      </c>
      <c r="B19" s="1010" t="s">
        <v>754</v>
      </c>
      <c r="C19" s="1025">
        <v>2</v>
      </c>
      <c r="D19" s="1025">
        <v>2</v>
      </c>
      <c r="E19" s="1026" t="s">
        <v>310</v>
      </c>
    </row>
    <row r="20" spans="1:5" ht="15" customHeight="1" x14ac:dyDescent="0.2">
      <c r="A20" s="468">
        <v>16</v>
      </c>
      <c r="B20" s="1010" t="s">
        <v>755</v>
      </c>
      <c r="C20" s="1025">
        <v>1</v>
      </c>
      <c r="D20" s="1025">
        <v>5</v>
      </c>
      <c r="E20" s="1026">
        <v>1</v>
      </c>
    </row>
    <row r="21" spans="1:5" ht="15" customHeight="1" x14ac:dyDescent="0.2">
      <c r="A21" s="468">
        <v>17</v>
      </c>
      <c r="B21" s="1010" t="s">
        <v>756</v>
      </c>
      <c r="C21" s="1025">
        <v>2</v>
      </c>
      <c r="D21" s="1025">
        <v>4</v>
      </c>
      <c r="E21" s="1026" t="s">
        <v>310</v>
      </c>
    </row>
    <row r="22" spans="1:5" ht="15" customHeight="1" x14ac:dyDescent="0.2">
      <c r="A22" s="468">
        <v>18</v>
      </c>
      <c r="B22" s="1010" t="s">
        <v>757</v>
      </c>
      <c r="C22" s="1025">
        <v>2</v>
      </c>
      <c r="D22" s="1025">
        <v>2</v>
      </c>
      <c r="E22" s="1026">
        <v>1</v>
      </c>
    </row>
    <row r="23" spans="1:5" ht="15" customHeight="1" x14ac:dyDescent="0.2">
      <c r="A23" s="468">
        <v>19</v>
      </c>
      <c r="B23" s="1010" t="s">
        <v>758</v>
      </c>
      <c r="C23" s="1025">
        <v>2</v>
      </c>
      <c r="D23" s="1025">
        <v>6</v>
      </c>
      <c r="E23" s="1026">
        <v>1</v>
      </c>
    </row>
    <row r="24" spans="1:5" ht="15" customHeight="1" x14ac:dyDescent="0.2">
      <c r="A24" s="468">
        <v>20</v>
      </c>
      <c r="B24" s="1010" t="s">
        <v>759</v>
      </c>
      <c r="C24" s="1025">
        <v>2</v>
      </c>
      <c r="D24" s="1025">
        <v>6</v>
      </c>
      <c r="E24" s="1026">
        <v>1</v>
      </c>
    </row>
    <row r="25" spans="1:5" ht="12" customHeight="1" x14ac:dyDescent="0.2">
      <c r="A25" s="1622" t="s">
        <v>555</v>
      </c>
      <c r="B25" s="1623"/>
      <c r="C25" s="1623"/>
      <c r="D25" s="1623"/>
      <c r="E25" s="1624"/>
    </row>
    <row r="26" spans="1:5" ht="15" customHeight="1" x14ac:dyDescent="0.2">
      <c r="A26" s="468">
        <v>21</v>
      </c>
      <c r="B26" s="1027" t="s">
        <v>761</v>
      </c>
      <c r="C26" s="1028">
        <v>2</v>
      </c>
      <c r="D26" s="1028">
        <v>6</v>
      </c>
      <c r="E26" s="1028">
        <v>1</v>
      </c>
    </row>
    <row r="27" spans="1:5" ht="15" customHeight="1" x14ac:dyDescent="0.2">
      <c r="A27" s="468">
        <v>22</v>
      </c>
      <c r="B27" s="1027" t="s">
        <v>762</v>
      </c>
      <c r="C27" s="1028">
        <v>2</v>
      </c>
      <c r="D27" s="1028">
        <v>6</v>
      </c>
      <c r="E27" s="1028" t="s">
        <v>310</v>
      </c>
    </row>
    <row r="28" spans="1:5" ht="15" customHeight="1" x14ac:dyDescent="0.2">
      <c r="A28" s="468">
        <v>23</v>
      </c>
      <c r="B28" s="1027" t="s">
        <v>763</v>
      </c>
      <c r="C28" s="1028">
        <v>2</v>
      </c>
      <c r="D28" s="1028">
        <v>6</v>
      </c>
      <c r="E28" s="1028">
        <v>1</v>
      </c>
    </row>
    <row r="29" spans="1:5" ht="15" customHeight="1" x14ac:dyDescent="0.2">
      <c r="A29" s="468">
        <v>24</v>
      </c>
      <c r="B29" s="1027" t="s">
        <v>764</v>
      </c>
      <c r="C29" s="1028">
        <v>1</v>
      </c>
      <c r="D29" s="1028">
        <v>0</v>
      </c>
      <c r="E29" s="1028">
        <v>1</v>
      </c>
    </row>
    <row r="30" spans="1:5" ht="15" customHeight="1" x14ac:dyDescent="0.2">
      <c r="A30" s="468">
        <v>25</v>
      </c>
      <c r="B30" s="1027" t="s">
        <v>765</v>
      </c>
      <c r="C30" s="1028">
        <v>2</v>
      </c>
      <c r="D30" s="1028">
        <v>6</v>
      </c>
      <c r="E30" s="1028" t="s">
        <v>310</v>
      </c>
    </row>
    <row r="31" spans="1:5" ht="15" customHeight="1" x14ac:dyDescent="0.2">
      <c r="A31" s="468">
        <v>26</v>
      </c>
      <c r="B31" s="1027" t="s">
        <v>766</v>
      </c>
      <c r="C31" s="1028">
        <v>1</v>
      </c>
      <c r="D31" s="1028">
        <v>7</v>
      </c>
      <c r="E31" s="1028" t="s">
        <v>310</v>
      </c>
    </row>
    <row r="32" spans="1:5" ht="15" customHeight="1" x14ac:dyDescent="0.2">
      <c r="A32" s="468">
        <v>27</v>
      </c>
      <c r="B32" s="1027" t="s">
        <v>767</v>
      </c>
      <c r="C32" s="1028">
        <v>2</v>
      </c>
      <c r="D32" s="1028">
        <v>2</v>
      </c>
      <c r="E32" s="1028" t="s">
        <v>310</v>
      </c>
    </row>
    <row r="33" spans="1:5" ht="15" customHeight="1" x14ac:dyDescent="0.2">
      <c r="A33" s="468">
        <v>28</v>
      </c>
      <c r="B33" s="1027" t="s">
        <v>768</v>
      </c>
      <c r="C33" s="1028">
        <v>2</v>
      </c>
      <c r="D33" s="1028">
        <v>2</v>
      </c>
      <c r="E33" s="1028" t="s">
        <v>310</v>
      </c>
    </row>
    <row r="34" spans="1:5" ht="15" customHeight="1" x14ac:dyDescent="0.2">
      <c r="A34" s="468">
        <v>29</v>
      </c>
      <c r="B34" s="1027" t="s">
        <v>769</v>
      </c>
      <c r="C34" s="1028">
        <v>2</v>
      </c>
      <c r="D34" s="1028">
        <v>2</v>
      </c>
      <c r="E34" s="1028" t="s">
        <v>310</v>
      </c>
    </row>
    <row r="35" spans="1:5" ht="15" customHeight="1" x14ac:dyDescent="0.2">
      <c r="A35" s="468">
        <v>30</v>
      </c>
      <c r="B35" s="1027" t="s">
        <v>770</v>
      </c>
      <c r="C35" s="1028">
        <v>2</v>
      </c>
      <c r="D35" s="1028">
        <v>2</v>
      </c>
      <c r="E35" s="1028" t="s">
        <v>310</v>
      </c>
    </row>
    <row r="36" spans="1:5" ht="15" customHeight="1" x14ac:dyDescent="0.2">
      <c r="A36" s="468">
        <v>31</v>
      </c>
      <c r="B36" s="1027" t="s">
        <v>771</v>
      </c>
      <c r="C36" s="1028">
        <v>2</v>
      </c>
      <c r="D36" s="1028">
        <v>2</v>
      </c>
      <c r="E36" s="1028" t="s">
        <v>310</v>
      </c>
    </row>
    <row r="37" spans="1:5" ht="15" customHeight="1" x14ac:dyDescent="0.2">
      <c r="A37" s="468">
        <v>32</v>
      </c>
      <c r="B37" s="1027" t="s">
        <v>772</v>
      </c>
      <c r="C37" s="1028">
        <v>2</v>
      </c>
      <c r="D37" s="1028">
        <v>2</v>
      </c>
      <c r="E37" s="1028" t="s">
        <v>310</v>
      </c>
    </row>
    <row r="38" spans="1:5" ht="15" customHeight="1" x14ac:dyDescent="0.2">
      <c r="A38" s="468">
        <v>33</v>
      </c>
      <c r="B38" s="1027" t="s">
        <v>773</v>
      </c>
      <c r="C38" s="1028">
        <v>2</v>
      </c>
      <c r="D38" s="1028">
        <v>2</v>
      </c>
      <c r="E38" s="1028" t="s">
        <v>310</v>
      </c>
    </row>
    <row r="39" spans="1:5" ht="15" customHeight="1" x14ac:dyDescent="0.2">
      <c r="A39" s="468">
        <v>34</v>
      </c>
      <c r="B39" s="1027" t="s">
        <v>774</v>
      </c>
      <c r="C39" s="1028">
        <v>2</v>
      </c>
      <c r="D39" s="1028">
        <v>2</v>
      </c>
      <c r="E39" s="1028" t="s">
        <v>310</v>
      </c>
    </row>
    <row r="40" spans="1:5" ht="15" customHeight="1" x14ac:dyDescent="0.2">
      <c r="A40" s="468">
        <v>35</v>
      </c>
      <c r="B40" s="1027" t="s">
        <v>775</v>
      </c>
      <c r="C40" s="1028">
        <v>2</v>
      </c>
      <c r="D40" s="1028">
        <v>2</v>
      </c>
      <c r="E40" s="1028" t="s">
        <v>310</v>
      </c>
    </row>
    <row r="41" spans="1:5" ht="15" customHeight="1" x14ac:dyDescent="0.2">
      <c r="A41" s="468">
        <v>36</v>
      </c>
      <c r="B41" s="1027" t="s">
        <v>776</v>
      </c>
      <c r="C41" s="1028">
        <v>2</v>
      </c>
      <c r="D41" s="1028">
        <v>7</v>
      </c>
      <c r="E41" s="1028" t="s">
        <v>310</v>
      </c>
    </row>
    <row r="42" spans="1:5" ht="15" customHeight="1" x14ac:dyDescent="0.2">
      <c r="A42" s="468">
        <v>37</v>
      </c>
      <c r="B42" s="1027" t="s">
        <v>777</v>
      </c>
      <c r="C42" s="1028">
        <v>2</v>
      </c>
      <c r="D42" s="1028">
        <v>2</v>
      </c>
      <c r="E42" s="1028" t="s">
        <v>310</v>
      </c>
    </row>
    <row r="43" spans="1:5" ht="15" customHeight="1" x14ac:dyDescent="0.2">
      <c r="A43" s="468">
        <v>38</v>
      </c>
      <c r="B43" s="1027" t="s">
        <v>757</v>
      </c>
      <c r="C43" s="1028">
        <v>2</v>
      </c>
      <c r="D43" s="1028">
        <v>2</v>
      </c>
      <c r="E43" s="1028">
        <v>1</v>
      </c>
    </row>
    <row r="44" spans="1:5" ht="15" customHeight="1" x14ac:dyDescent="0.2">
      <c r="A44" s="468">
        <v>39</v>
      </c>
      <c r="B44" s="1027" t="s">
        <v>778</v>
      </c>
      <c r="C44" s="1028">
        <v>2</v>
      </c>
      <c r="D44" s="1028">
        <v>2</v>
      </c>
      <c r="E44" s="1028" t="s">
        <v>310</v>
      </c>
    </row>
    <row r="45" spans="1:5" ht="15" customHeight="1" x14ac:dyDescent="0.2">
      <c r="A45" s="468">
        <v>40</v>
      </c>
      <c r="B45" s="1027" t="s">
        <v>779</v>
      </c>
      <c r="C45" s="1028">
        <v>2</v>
      </c>
      <c r="D45" s="1028">
        <v>2</v>
      </c>
      <c r="E45" s="1028" t="s">
        <v>310</v>
      </c>
    </row>
    <row r="46" spans="1:5" ht="15" customHeight="1" x14ac:dyDescent="0.2">
      <c r="A46" s="468">
        <v>41</v>
      </c>
      <c r="B46" s="1027" t="s">
        <v>780</v>
      </c>
      <c r="C46" s="1028">
        <v>2</v>
      </c>
      <c r="D46" s="1028">
        <v>2</v>
      </c>
      <c r="E46" s="1028">
        <v>1</v>
      </c>
    </row>
    <row r="47" spans="1:5" ht="15" customHeight="1" x14ac:dyDescent="0.2">
      <c r="A47" s="468">
        <v>42</v>
      </c>
      <c r="B47" s="1027" t="s">
        <v>781</v>
      </c>
      <c r="C47" s="1028">
        <v>2</v>
      </c>
      <c r="D47" s="1028">
        <v>2</v>
      </c>
      <c r="E47" s="1028" t="s">
        <v>310</v>
      </c>
    </row>
    <row r="48" spans="1:5" ht="15" customHeight="1" x14ac:dyDescent="0.2">
      <c r="A48" s="468">
        <v>43</v>
      </c>
      <c r="B48" s="1027" t="s">
        <v>782</v>
      </c>
      <c r="C48" s="1028">
        <v>2</v>
      </c>
      <c r="D48" s="1028">
        <v>2</v>
      </c>
      <c r="E48" s="1028" t="s">
        <v>310</v>
      </c>
    </row>
    <row r="49" spans="1:199" ht="15" customHeight="1" x14ac:dyDescent="0.2">
      <c r="A49" s="468">
        <v>44</v>
      </c>
      <c r="B49" s="1027" t="s">
        <v>783</v>
      </c>
      <c r="C49" s="1028">
        <v>2</v>
      </c>
      <c r="D49" s="1028">
        <v>2</v>
      </c>
      <c r="E49" s="1028">
        <v>1</v>
      </c>
    </row>
    <row r="50" spans="1:199" ht="15" customHeight="1" x14ac:dyDescent="0.2">
      <c r="A50" s="468">
        <v>45</v>
      </c>
      <c r="B50" s="1027" t="s">
        <v>784</v>
      </c>
      <c r="C50" s="1028">
        <v>2</v>
      </c>
      <c r="D50" s="1028">
        <v>2</v>
      </c>
      <c r="E50" s="1028" t="s">
        <v>310</v>
      </c>
    </row>
    <row r="51" spans="1:199" ht="15" customHeight="1" x14ac:dyDescent="0.2">
      <c r="A51" s="468">
        <v>46</v>
      </c>
      <c r="B51" s="1027" t="s">
        <v>785</v>
      </c>
      <c r="C51" s="1028">
        <v>2</v>
      </c>
      <c r="D51" s="1028">
        <v>2</v>
      </c>
      <c r="E51" s="1028">
        <v>1</v>
      </c>
    </row>
    <row r="52" spans="1:199" ht="15" x14ac:dyDescent="0.25">
      <c r="A52" s="1625" t="s">
        <v>435</v>
      </c>
      <c r="B52" s="1625"/>
      <c r="C52" s="1029">
        <f>SUM(C5:C51)</f>
        <v>89</v>
      </c>
      <c r="D52" s="1029">
        <f>SUM(D5:D51)</f>
        <v>129</v>
      </c>
      <c r="E52" s="1029">
        <f>SUM(E5:E51)</f>
        <v>11</v>
      </c>
    </row>
    <row r="53" spans="1:199" ht="20.100000000000001" customHeight="1" x14ac:dyDescent="0.2">
      <c r="A53" s="1616" t="s">
        <v>943</v>
      </c>
      <c r="B53" s="1617"/>
      <c r="C53" s="1030">
        <f>SUM(C52:E52)</f>
        <v>229</v>
      </c>
      <c r="D53" s="1030"/>
      <c r="E53" s="1030"/>
      <c r="F53" s="625"/>
      <c r="G53" s="625"/>
      <c r="H53" s="625"/>
      <c r="I53" s="624"/>
      <c r="J53" s="627"/>
      <c r="K53" s="625"/>
      <c r="L53" s="625"/>
      <c r="M53" s="625"/>
      <c r="N53" s="625"/>
      <c r="O53" s="624"/>
      <c r="P53" s="627"/>
      <c r="Q53" s="625"/>
      <c r="R53" s="625"/>
      <c r="S53" s="625"/>
      <c r="T53" s="625"/>
      <c r="U53" s="624"/>
      <c r="V53" s="627"/>
      <c r="W53" s="625"/>
      <c r="X53" s="625"/>
      <c r="Y53" s="625"/>
      <c r="Z53" s="625"/>
      <c r="AA53" s="624"/>
      <c r="AB53" s="627"/>
      <c r="AC53" s="625"/>
      <c r="AD53" s="625"/>
      <c r="AE53" s="625"/>
      <c r="AF53" s="625"/>
      <c r="AG53" s="624"/>
      <c r="AH53" s="627"/>
      <c r="AI53" s="625"/>
      <c r="AJ53" s="625"/>
      <c r="AK53" s="625"/>
      <c r="AL53" s="625"/>
      <c r="AM53" s="624"/>
      <c r="AN53" s="627"/>
      <c r="AO53" s="625"/>
      <c r="AP53" s="625"/>
      <c r="AQ53" s="625"/>
      <c r="AR53" s="625"/>
      <c r="AS53" s="624"/>
      <c r="AT53" s="627"/>
      <c r="AU53" s="625"/>
      <c r="AV53" s="625"/>
      <c r="AW53" s="625"/>
      <c r="AX53" s="625"/>
      <c r="AY53" s="624"/>
      <c r="AZ53" s="627"/>
      <c r="BA53" s="625"/>
      <c r="BB53" s="625"/>
      <c r="BC53" s="625"/>
      <c r="BD53" s="625"/>
      <c r="BE53" s="624"/>
      <c r="BF53" s="627"/>
      <c r="BG53" s="625"/>
      <c r="BH53" s="625"/>
      <c r="BI53" s="625"/>
      <c r="BJ53" s="625"/>
      <c r="BK53" s="624"/>
      <c r="BL53" s="627"/>
      <c r="BM53" s="625"/>
      <c r="BN53" s="625"/>
      <c r="BO53" s="625"/>
      <c r="BP53" s="625"/>
      <c r="BQ53" s="624"/>
      <c r="BR53" s="627"/>
      <c r="BS53" s="625"/>
      <c r="BT53" s="625"/>
      <c r="BU53" s="625"/>
      <c r="BV53" s="625"/>
      <c r="BW53" s="624"/>
      <c r="BX53" s="627"/>
      <c r="BY53" s="625"/>
      <c r="BZ53" s="625"/>
      <c r="CA53" s="625"/>
      <c r="CB53" s="625"/>
      <c r="CC53" s="624"/>
      <c r="CD53" s="627"/>
      <c r="CE53" s="625"/>
      <c r="CF53" s="625"/>
      <c r="CG53" s="625"/>
      <c r="CH53" s="625"/>
      <c r="CI53" s="624"/>
      <c r="CJ53" s="627"/>
      <c r="CK53" s="625"/>
      <c r="CL53" s="625"/>
      <c r="CM53" s="625"/>
      <c r="CN53" s="625"/>
      <c r="CO53" s="624"/>
      <c r="CP53" s="627"/>
      <c r="CQ53" s="625"/>
      <c r="CR53" s="625"/>
      <c r="CS53" s="625"/>
      <c r="CT53" s="625"/>
      <c r="CU53" s="624"/>
      <c r="CV53" s="627"/>
      <c r="CW53" s="625"/>
      <c r="CX53" s="625"/>
      <c r="CY53" s="625"/>
      <c r="CZ53" s="625"/>
      <c r="DA53" s="624"/>
      <c r="DB53" s="627"/>
      <c r="DC53" s="625"/>
      <c r="DD53" s="625"/>
      <c r="DE53" s="625"/>
      <c r="DF53" s="625"/>
      <c r="DG53" s="624"/>
      <c r="DH53" s="627"/>
      <c r="DI53" s="625"/>
      <c r="DJ53" s="625"/>
      <c r="DK53" s="625"/>
      <c r="DL53" s="625"/>
      <c r="DM53" s="624"/>
      <c r="DN53" s="627"/>
      <c r="DO53" s="625"/>
      <c r="DP53" s="625"/>
      <c r="DQ53" s="625"/>
      <c r="DR53" s="625"/>
      <c r="DS53" s="624"/>
      <c r="DT53" s="627"/>
      <c r="DU53" s="625"/>
      <c r="DV53" s="625"/>
      <c r="DW53" s="625"/>
      <c r="DX53" s="625"/>
      <c r="DY53" s="624"/>
      <c r="DZ53" s="627"/>
      <c r="EA53" s="625"/>
      <c r="EB53" s="625"/>
      <c r="EC53" s="625"/>
      <c r="ED53" s="625"/>
      <c r="EE53" s="624"/>
      <c r="EF53" s="627"/>
      <c r="EG53" s="625"/>
      <c r="EH53" s="625"/>
      <c r="EI53" s="625"/>
      <c r="EJ53" s="625"/>
      <c r="EK53" s="624"/>
      <c r="EL53" s="627"/>
      <c r="EM53" s="625"/>
      <c r="EN53" s="625"/>
      <c r="EO53" s="625"/>
      <c r="EP53" s="625"/>
      <c r="EQ53" s="624"/>
      <c r="ER53" s="627"/>
      <c r="ES53" s="625"/>
      <c r="ET53" s="625"/>
      <c r="EU53" s="625"/>
      <c r="EV53" s="625"/>
      <c r="EW53" s="624"/>
      <c r="EX53" s="627"/>
      <c r="EY53" s="625"/>
      <c r="EZ53" s="625"/>
      <c r="FA53" s="625"/>
      <c r="FB53" s="625"/>
      <c r="FC53" s="624"/>
      <c r="FD53" s="627"/>
      <c r="FE53" s="625"/>
      <c r="FF53" s="625"/>
      <c r="FG53" s="625"/>
      <c r="FH53" s="625"/>
      <c r="FI53" s="624"/>
      <c r="FJ53" s="627"/>
      <c r="FK53" s="625"/>
      <c r="FL53" s="625"/>
      <c r="FM53" s="625"/>
      <c r="FN53" s="625"/>
      <c r="FO53" s="624"/>
      <c r="FP53" s="627"/>
      <c r="FQ53" s="625"/>
      <c r="FR53" s="625"/>
      <c r="FS53" s="625"/>
      <c r="FT53" s="625"/>
      <c r="FU53" s="624"/>
      <c r="FV53" s="627"/>
      <c r="FW53" s="625"/>
      <c r="FX53" s="625"/>
      <c r="FY53" s="625"/>
      <c r="FZ53" s="625"/>
      <c r="GA53" s="624"/>
      <c r="GB53" s="627"/>
      <c r="GC53" s="625"/>
      <c r="GD53" s="625"/>
      <c r="GE53" s="625"/>
      <c r="GF53" s="625"/>
      <c r="GG53" s="624"/>
      <c r="GH53" s="627"/>
      <c r="GI53" s="625"/>
      <c r="GJ53" s="625"/>
      <c r="GK53" s="625"/>
      <c r="GL53" s="625"/>
      <c r="GM53" s="624"/>
      <c r="GN53" s="627"/>
      <c r="GO53" s="625"/>
      <c r="GP53" s="625"/>
      <c r="GQ53" s="625"/>
    </row>
    <row r="54" spans="1:199" x14ac:dyDescent="0.2">
      <c r="A54" s="1031" t="s">
        <v>944</v>
      </c>
      <c r="B54" s="1031" t="s">
        <v>945</v>
      </c>
    </row>
    <row r="85"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4.5" customHeight="1" x14ac:dyDescent="0.2"/>
  </sheetData>
  <mergeCells count="7">
    <mergeCell ref="A53:B53"/>
    <mergeCell ref="A1:E1"/>
    <mergeCell ref="A2:A3"/>
    <mergeCell ref="B2:B3"/>
    <mergeCell ref="A4:E4"/>
    <mergeCell ref="A25:E25"/>
    <mergeCell ref="A52:B52"/>
  </mergeCells>
  <printOptions horizontalCentered="1"/>
  <pageMargins left="0.59055118110236227" right="0.59055118110236227" top="1.7716535433070868" bottom="0.78740157480314965" header="0" footer="0"/>
  <pageSetup paperSize="9" scale="69" orientation="landscape" r:id="rId1"/>
  <headerFooter scaleWithDoc="0">
    <oddHeader>&amp;L&amp;G</oddHeader>
    <oddFooter>&amp;C&amp;"-,Negrito"&amp;12DIONI CAETANEO DE OLIVEIRA
&amp;"-,Regular"ENGENHEIRO CIVIL - CREA /MT 40957
DEPARTAMENTO DE ENGENHARIA</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E4AEE-DB5D-48B0-8CA5-793AC2AB8164}">
  <sheetPr codeName="Plan82">
    <tabColor rgb="FF0070C0"/>
    <pageSetUpPr fitToPage="1"/>
  </sheetPr>
  <dimension ref="A1:J53"/>
  <sheetViews>
    <sheetView showGridLines="0" showZeros="0" view="pageLayout" topLeftCell="A16" zoomScale="70" zoomScaleNormal="85" zoomScaleSheetLayoutView="100" zoomScalePageLayoutView="70" workbookViewId="0">
      <selection activeCell="E1" sqref="E1"/>
    </sheetView>
  </sheetViews>
  <sheetFormatPr defaultColWidth="11.42578125" defaultRowHeight="14.25" x14ac:dyDescent="0.25"/>
  <cols>
    <col min="1" max="1" width="15.140625" style="6" customWidth="1"/>
    <col min="2" max="2" width="13.85546875" style="6" customWidth="1"/>
    <col min="3" max="3" width="70.5703125" style="6" customWidth="1"/>
    <col min="4" max="4" width="11" style="53" customWidth="1"/>
    <col min="5" max="5" width="17" style="53" bestFit="1" customWidth="1"/>
    <col min="6" max="7" width="15.7109375" style="53" customWidth="1"/>
    <col min="8" max="8" width="14.28515625" style="6" customWidth="1"/>
    <col min="9" max="9" width="11.42578125" style="6"/>
    <col min="10" max="10" width="25.5703125" style="6" bestFit="1" customWidth="1"/>
    <col min="11" max="234" width="11.42578125" style="6"/>
    <col min="235" max="235" width="0.7109375" style="6" customWidth="1"/>
    <col min="236" max="236" width="15.140625" style="6" customWidth="1"/>
    <col min="237" max="237" width="0.7109375" style="6" customWidth="1"/>
    <col min="238" max="238" width="56.140625" style="6" customWidth="1"/>
    <col min="239" max="239" width="0.7109375" style="6" customWidth="1"/>
    <col min="240" max="240" width="9.140625" style="6" customWidth="1"/>
    <col min="241" max="241" width="6" style="6" customWidth="1"/>
    <col min="242" max="242" width="0.7109375" style="6" customWidth="1"/>
    <col min="243" max="243" width="7.140625" style="6" customWidth="1"/>
    <col min="244" max="244" width="6.5703125" style="6" customWidth="1"/>
    <col min="245" max="245" width="0.7109375" style="6" customWidth="1"/>
    <col min="246" max="246" width="7.85546875" style="6" customWidth="1"/>
    <col min="247" max="247" width="10.5703125" style="6" customWidth="1"/>
    <col min="248" max="248" width="0.7109375" style="6" customWidth="1"/>
    <col min="249" max="490" width="11.42578125" style="6"/>
    <col min="491" max="491" width="0.7109375" style="6" customWidth="1"/>
    <col min="492" max="492" width="15.140625" style="6" customWidth="1"/>
    <col min="493" max="493" width="0.7109375" style="6" customWidth="1"/>
    <col min="494" max="494" width="56.140625" style="6" customWidth="1"/>
    <col min="495" max="495" width="0.7109375" style="6" customWidth="1"/>
    <col min="496" max="496" width="9.140625" style="6" customWidth="1"/>
    <col min="497" max="497" width="6" style="6" customWidth="1"/>
    <col min="498" max="498" width="0.7109375" style="6" customWidth="1"/>
    <col min="499" max="499" width="7.140625" style="6" customWidth="1"/>
    <col min="500" max="500" width="6.5703125" style="6" customWidth="1"/>
    <col min="501" max="501" width="0.7109375" style="6" customWidth="1"/>
    <col min="502" max="502" width="7.85546875" style="6" customWidth="1"/>
    <col min="503" max="503" width="10.5703125" style="6" customWidth="1"/>
    <col min="504" max="504" width="0.7109375" style="6" customWidth="1"/>
    <col min="505" max="746" width="11.42578125" style="6"/>
    <col min="747" max="747" width="0.7109375" style="6" customWidth="1"/>
    <col min="748" max="748" width="15.140625" style="6" customWidth="1"/>
    <col min="749" max="749" width="0.7109375" style="6" customWidth="1"/>
    <col min="750" max="750" width="56.140625" style="6" customWidth="1"/>
    <col min="751" max="751" width="0.7109375" style="6" customWidth="1"/>
    <col min="752" max="752" width="9.140625" style="6" customWidth="1"/>
    <col min="753" max="753" width="6" style="6" customWidth="1"/>
    <col min="754" max="754" width="0.7109375" style="6" customWidth="1"/>
    <col min="755" max="755" width="7.140625" style="6" customWidth="1"/>
    <col min="756" max="756" width="6.5703125" style="6" customWidth="1"/>
    <col min="757" max="757" width="0.7109375" style="6" customWidth="1"/>
    <col min="758" max="758" width="7.85546875" style="6" customWidth="1"/>
    <col min="759" max="759" width="10.5703125" style="6" customWidth="1"/>
    <col min="760" max="760" width="0.7109375" style="6" customWidth="1"/>
    <col min="761" max="1002" width="11.42578125" style="6"/>
    <col min="1003" max="1003" width="0.7109375" style="6" customWidth="1"/>
    <col min="1004" max="1004" width="15.140625" style="6" customWidth="1"/>
    <col min="1005" max="1005" width="0.7109375" style="6" customWidth="1"/>
    <col min="1006" max="1006" width="56.140625" style="6" customWidth="1"/>
    <col min="1007" max="1007" width="0.7109375" style="6" customWidth="1"/>
    <col min="1008" max="1008" width="9.140625" style="6" customWidth="1"/>
    <col min="1009" max="1009" width="6" style="6" customWidth="1"/>
    <col min="1010" max="1010" width="0.7109375" style="6" customWidth="1"/>
    <col min="1011" max="1011" width="7.140625" style="6" customWidth="1"/>
    <col min="1012" max="1012" width="6.5703125" style="6" customWidth="1"/>
    <col min="1013" max="1013" width="0.7109375" style="6" customWidth="1"/>
    <col min="1014" max="1014" width="7.85546875" style="6" customWidth="1"/>
    <col min="1015" max="1015" width="10.5703125" style="6" customWidth="1"/>
    <col min="1016" max="1016" width="0.7109375" style="6" customWidth="1"/>
    <col min="1017" max="1258" width="11.42578125" style="6"/>
    <col min="1259" max="1259" width="0.7109375" style="6" customWidth="1"/>
    <col min="1260" max="1260" width="15.140625" style="6" customWidth="1"/>
    <col min="1261" max="1261" width="0.7109375" style="6" customWidth="1"/>
    <col min="1262" max="1262" width="56.140625" style="6" customWidth="1"/>
    <col min="1263" max="1263" width="0.7109375" style="6" customWidth="1"/>
    <col min="1264" max="1264" width="9.140625" style="6" customWidth="1"/>
    <col min="1265" max="1265" width="6" style="6" customWidth="1"/>
    <col min="1266" max="1266" width="0.7109375" style="6" customWidth="1"/>
    <col min="1267" max="1267" width="7.140625" style="6" customWidth="1"/>
    <col min="1268" max="1268" width="6.5703125" style="6" customWidth="1"/>
    <col min="1269" max="1269" width="0.7109375" style="6" customWidth="1"/>
    <col min="1270" max="1270" width="7.85546875" style="6" customWidth="1"/>
    <col min="1271" max="1271" width="10.5703125" style="6" customWidth="1"/>
    <col min="1272" max="1272" width="0.7109375" style="6" customWidth="1"/>
    <col min="1273" max="1514" width="11.42578125" style="6"/>
    <col min="1515" max="1515" width="0.7109375" style="6" customWidth="1"/>
    <col min="1516" max="1516" width="15.140625" style="6" customWidth="1"/>
    <col min="1517" max="1517" width="0.7109375" style="6" customWidth="1"/>
    <col min="1518" max="1518" width="56.140625" style="6" customWidth="1"/>
    <col min="1519" max="1519" width="0.7109375" style="6" customWidth="1"/>
    <col min="1520" max="1520" width="9.140625" style="6" customWidth="1"/>
    <col min="1521" max="1521" width="6" style="6" customWidth="1"/>
    <col min="1522" max="1522" width="0.7109375" style="6" customWidth="1"/>
    <col min="1523" max="1523" width="7.140625" style="6" customWidth="1"/>
    <col min="1524" max="1524" width="6.5703125" style="6" customWidth="1"/>
    <col min="1525" max="1525" width="0.7109375" style="6" customWidth="1"/>
    <col min="1526" max="1526" width="7.85546875" style="6" customWidth="1"/>
    <col min="1527" max="1527" width="10.5703125" style="6" customWidth="1"/>
    <col min="1528" max="1528" width="0.7109375" style="6" customWidth="1"/>
    <col min="1529" max="1770" width="11.42578125" style="6"/>
    <col min="1771" max="1771" width="0.7109375" style="6" customWidth="1"/>
    <col min="1772" max="1772" width="15.140625" style="6" customWidth="1"/>
    <col min="1773" max="1773" width="0.7109375" style="6" customWidth="1"/>
    <col min="1774" max="1774" width="56.140625" style="6" customWidth="1"/>
    <col min="1775" max="1775" width="0.7109375" style="6" customWidth="1"/>
    <col min="1776" max="1776" width="9.140625" style="6" customWidth="1"/>
    <col min="1777" max="1777" width="6" style="6" customWidth="1"/>
    <col min="1778" max="1778" width="0.7109375" style="6" customWidth="1"/>
    <col min="1779" max="1779" width="7.140625" style="6" customWidth="1"/>
    <col min="1780" max="1780" width="6.5703125" style="6" customWidth="1"/>
    <col min="1781" max="1781" width="0.7109375" style="6" customWidth="1"/>
    <col min="1782" max="1782" width="7.85546875" style="6" customWidth="1"/>
    <col min="1783" max="1783" width="10.5703125" style="6" customWidth="1"/>
    <col min="1784" max="1784" width="0.7109375" style="6" customWidth="1"/>
    <col min="1785" max="2026" width="11.42578125" style="6"/>
    <col min="2027" max="2027" width="0.7109375" style="6" customWidth="1"/>
    <col min="2028" max="2028" width="15.140625" style="6" customWidth="1"/>
    <col min="2029" max="2029" width="0.7109375" style="6" customWidth="1"/>
    <col min="2030" max="2030" width="56.140625" style="6" customWidth="1"/>
    <col min="2031" max="2031" width="0.7109375" style="6" customWidth="1"/>
    <col min="2032" max="2032" width="9.140625" style="6" customWidth="1"/>
    <col min="2033" max="2033" width="6" style="6" customWidth="1"/>
    <col min="2034" max="2034" width="0.7109375" style="6" customWidth="1"/>
    <col min="2035" max="2035" width="7.140625" style="6" customWidth="1"/>
    <col min="2036" max="2036" width="6.5703125" style="6" customWidth="1"/>
    <col min="2037" max="2037" width="0.7109375" style="6" customWidth="1"/>
    <col min="2038" max="2038" width="7.85546875" style="6" customWidth="1"/>
    <col min="2039" max="2039" width="10.5703125" style="6" customWidth="1"/>
    <col min="2040" max="2040" width="0.7109375" style="6" customWidth="1"/>
    <col min="2041" max="2282" width="11.42578125" style="6"/>
    <col min="2283" max="2283" width="0.7109375" style="6" customWidth="1"/>
    <col min="2284" max="2284" width="15.140625" style="6" customWidth="1"/>
    <col min="2285" max="2285" width="0.7109375" style="6" customWidth="1"/>
    <col min="2286" max="2286" width="56.140625" style="6" customWidth="1"/>
    <col min="2287" max="2287" width="0.7109375" style="6" customWidth="1"/>
    <col min="2288" max="2288" width="9.140625" style="6" customWidth="1"/>
    <col min="2289" max="2289" width="6" style="6" customWidth="1"/>
    <col min="2290" max="2290" width="0.7109375" style="6" customWidth="1"/>
    <col min="2291" max="2291" width="7.140625" style="6" customWidth="1"/>
    <col min="2292" max="2292" width="6.5703125" style="6" customWidth="1"/>
    <col min="2293" max="2293" width="0.7109375" style="6" customWidth="1"/>
    <col min="2294" max="2294" width="7.85546875" style="6" customWidth="1"/>
    <col min="2295" max="2295" width="10.5703125" style="6" customWidth="1"/>
    <col min="2296" max="2296" width="0.7109375" style="6" customWidth="1"/>
    <col min="2297" max="2538" width="11.42578125" style="6"/>
    <col min="2539" max="2539" width="0.7109375" style="6" customWidth="1"/>
    <col min="2540" max="2540" width="15.140625" style="6" customWidth="1"/>
    <col min="2541" max="2541" width="0.7109375" style="6" customWidth="1"/>
    <col min="2542" max="2542" width="56.140625" style="6" customWidth="1"/>
    <col min="2543" max="2543" width="0.7109375" style="6" customWidth="1"/>
    <col min="2544" max="2544" width="9.140625" style="6" customWidth="1"/>
    <col min="2545" max="2545" width="6" style="6" customWidth="1"/>
    <col min="2546" max="2546" width="0.7109375" style="6" customWidth="1"/>
    <col min="2547" max="2547" width="7.140625" style="6" customWidth="1"/>
    <col min="2548" max="2548" width="6.5703125" style="6" customWidth="1"/>
    <col min="2549" max="2549" width="0.7109375" style="6" customWidth="1"/>
    <col min="2550" max="2550" width="7.85546875" style="6" customWidth="1"/>
    <col min="2551" max="2551" width="10.5703125" style="6" customWidth="1"/>
    <col min="2552" max="2552" width="0.7109375" style="6" customWidth="1"/>
    <col min="2553" max="2794" width="11.42578125" style="6"/>
    <col min="2795" max="2795" width="0.7109375" style="6" customWidth="1"/>
    <col min="2796" max="2796" width="15.140625" style="6" customWidth="1"/>
    <col min="2797" max="2797" width="0.7109375" style="6" customWidth="1"/>
    <col min="2798" max="2798" width="56.140625" style="6" customWidth="1"/>
    <col min="2799" max="2799" width="0.7109375" style="6" customWidth="1"/>
    <col min="2800" max="2800" width="9.140625" style="6" customWidth="1"/>
    <col min="2801" max="2801" width="6" style="6" customWidth="1"/>
    <col min="2802" max="2802" width="0.7109375" style="6" customWidth="1"/>
    <col min="2803" max="2803" width="7.140625" style="6" customWidth="1"/>
    <col min="2804" max="2804" width="6.5703125" style="6" customWidth="1"/>
    <col min="2805" max="2805" width="0.7109375" style="6" customWidth="1"/>
    <col min="2806" max="2806" width="7.85546875" style="6" customWidth="1"/>
    <col min="2807" max="2807" width="10.5703125" style="6" customWidth="1"/>
    <col min="2808" max="2808" width="0.7109375" style="6" customWidth="1"/>
    <col min="2809" max="3050" width="11.42578125" style="6"/>
    <col min="3051" max="3051" width="0.7109375" style="6" customWidth="1"/>
    <col min="3052" max="3052" width="15.140625" style="6" customWidth="1"/>
    <col min="3053" max="3053" width="0.7109375" style="6" customWidth="1"/>
    <col min="3054" max="3054" width="56.140625" style="6" customWidth="1"/>
    <col min="3055" max="3055" width="0.7109375" style="6" customWidth="1"/>
    <col min="3056" max="3056" width="9.140625" style="6" customWidth="1"/>
    <col min="3057" max="3057" width="6" style="6" customWidth="1"/>
    <col min="3058" max="3058" width="0.7109375" style="6" customWidth="1"/>
    <col min="3059" max="3059" width="7.140625" style="6" customWidth="1"/>
    <col min="3060" max="3060" width="6.5703125" style="6" customWidth="1"/>
    <col min="3061" max="3061" width="0.7109375" style="6" customWidth="1"/>
    <col min="3062" max="3062" width="7.85546875" style="6" customWidth="1"/>
    <col min="3063" max="3063" width="10.5703125" style="6" customWidth="1"/>
    <col min="3064" max="3064" width="0.7109375" style="6" customWidth="1"/>
    <col min="3065" max="3306" width="11.42578125" style="6"/>
    <col min="3307" max="3307" width="0.7109375" style="6" customWidth="1"/>
    <col min="3308" max="3308" width="15.140625" style="6" customWidth="1"/>
    <col min="3309" max="3309" width="0.7109375" style="6" customWidth="1"/>
    <col min="3310" max="3310" width="56.140625" style="6" customWidth="1"/>
    <col min="3311" max="3311" width="0.7109375" style="6" customWidth="1"/>
    <col min="3312" max="3312" width="9.140625" style="6" customWidth="1"/>
    <col min="3313" max="3313" width="6" style="6" customWidth="1"/>
    <col min="3314" max="3314" width="0.7109375" style="6" customWidth="1"/>
    <col min="3315" max="3315" width="7.140625" style="6" customWidth="1"/>
    <col min="3316" max="3316" width="6.5703125" style="6" customWidth="1"/>
    <col min="3317" max="3317" width="0.7109375" style="6" customWidth="1"/>
    <col min="3318" max="3318" width="7.85546875" style="6" customWidth="1"/>
    <col min="3319" max="3319" width="10.5703125" style="6" customWidth="1"/>
    <col min="3320" max="3320" width="0.7109375" style="6" customWidth="1"/>
    <col min="3321" max="3562" width="11.42578125" style="6"/>
    <col min="3563" max="3563" width="0.7109375" style="6" customWidth="1"/>
    <col min="3564" max="3564" width="15.140625" style="6" customWidth="1"/>
    <col min="3565" max="3565" width="0.7109375" style="6" customWidth="1"/>
    <col min="3566" max="3566" width="56.140625" style="6" customWidth="1"/>
    <col min="3567" max="3567" width="0.7109375" style="6" customWidth="1"/>
    <col min="3568" max="3568" width="9.140625" style="6" customWidth="1"/>
    <col min="3569" max="3569" width="6" style="6" customWidth="1"/>
    <col min="3570" max="3570" width="0.7109375" style="6" customWidth="1"/>
    <col min="3571" max="3571" width="7.140625" style="6" customWidth="1"/>
    <col min="3572" max="3572" width="6.5703125" style="6" customWidth="1"/>
    <col min="3573" max="3573" width="0.7109375" style="6" customWidth="1"/>
    <col min="3574" max="3574" width="7.85546875" style="6" customWidth="1"/>
    <col min="3575" max="3575" width="10.5703125" style="6" customWidth="1"/>
    <col min="3576" max="3576" width="0.7109375" style="6" customWidth="1"/>
    <col min="3577" max="3818" width="11.42578125" style="6"/>
    <col min="3819" max="3819" width="0.7109375" style="6" customWidth="1"/>
    <col min="3820" max="3820" width="15.140625" style="6" customWidth="1"/>
    <col min="3821" max="3821" width="0.7109375" style="6" customWidth="1"/>
    <col min="3822" max="3822" width="56.140625" style="6" customWidth="1"/>
    <col min="3823" max="3823" width="0.7109375" style="6" customWidth="1"/>
    <col min="3824" max="3824" width="9.140625" style="6" customWidth="1"/>
    <col min="3825" max="3825" width="6" style="6" customWidth="1"/>
    <col min="3826" max="3826" width="0.7109375" style="6" customWidth="1"/>
    <col min="3827" max="3827" width="7.140625" style="6" customWidth="1"/>
    <col min="3828" max="3828" width="6.5703125" style="6" customWidth="1"/>
    <col min="3829" max="3829" width="0.7109375" style="6" customWidth="1"/>
    <col min="3830" max="3830" width="7.85546875" style="6" customWidth="1"/>
    <col min="3831" max="3831" width="10.5703125" style="6" customWidth="1"/>
    <col min="3832" max="3832" width="0.7109375" style="6" customWidth="1"/>
    <col min="3833" max="4074" width="11.42578125" style="6"/>
    <col min="4075" max="4075" width="0.7109375" style="6" customWidth="1"/>
    <col min="4076" max="4076" width="15.140625" style="6" customWidth="1"/>
    <col min="4077" max="4077" width="0.7109375" style="6" customWidth="1"/>
    <col min="4078" max="4078" width="56.140625" style="6" customWidth="1"/>
    <col min="4079" max="4079" width="0.7109375" style="6" customWidth="1"/>
    <col min="4080" max="4080" width="9.140625" style="6" customWidth="1"/>
    <col min="4081" max="4081" width="6" style="6" customWidth="1"/>
    <col min="4082" max="4082" width="0.7109375" style="6" customWidth="1"/>
    <col min="4083" max="4083" width="7.140625" style="6" customWidth="1"/>
    <col min="4084" max="4084" width="6.5703125" style="6" customWidth="1"/>
    <col min="4085" max="4085" width="0.7109375" style="6" customWidth="1"/>
    <col min="4086" max="4086" width="7.85546875" style="6" customWidth="1"/>
    <col min="4087" max="4087" width="10.5703125" style="6" customWidth="1"/>
    <col min="4088" max="4088" width="0.7109375" style="6" customWidth="1"/>
    <col min="4089" max="4330" width="11.42578125" style="6"/>
    <col min="4331" max="4331" width="0.7109375" style="6" customWidth="1"/>
    <col min="4332" max="4332" width="15.140625" style="6" customWidth="1"/>
    <col min="4333" max="4333" width="0.7109375" style="6" customWidth="1"/>
    <col min="4334" max="4334" width="56.140625" style="6" customWidth="1"/>
    <col min="4335" max="4335" width="0.7109375" style="6" customWidth="1"/>
    <col min="4336" max="4336" width="9.140625" style="6" customWidth="1"/>
    <col min="4337" max="4337" width="6" style="6" customWidth="1"/>
    <col min="4338" max="4338" width="0.7109375" style="6" customWidth="1"/>
    <col min="4339" max="4339" width="7.140625" style="6" customWidth="1"/>
    <col min="4340" max="4340" width="6.5703125" style="6" customWidth="1"/>
    <col min="4341" max="4341" width="0.7109375" style="6" customWidth="1"/>
    <col min="4342" max="4342" width="7.85546875" style="6" customWidth="1"/>
    <col min="4343" max="4343" width="10.5703125" style="6" customWidth="1"/>
    <col min="4344" max="4344" width="0.7109375" style="6" customWidth="1"/>
    <col min="4345" max="4586" width="11.42578125" style="6"/>
    <col min="4587" max="4587" width="0.7109375" style="6" customWidth="1"/>
    <col min="4588" max="4588" width="15.140625" style="6" customWidth="1"/>
    <col min="4589" max="4589" width="0.7109375" style="6" customWidth="1"/>
    <col min="4590" max="4590" width="56.140625" style="6" customWidth="1"/>
    <col min="4591" max="4591" width="0.7109375" style="6" customWidth="1"/>
    <col min="4592" max="4592" width="9.140625" style="6" customWidth="1"/>
    <col min="4593" max="4593" width="6" style="6" customWidth="1"/>
    <col min="4594" max="4594" width="0.7109375" style="6" customWidth="1"/>
    <col min="4595" max="4595" width="7.140625" style="6" customWidth="1"/>
    <col min="4596" max="4596" width="6.5703125" style="6" customWidth="1"/>
    <col min="4597" max="4597" width="0.7109375" style="6" customWidth="1"/>
    <col min="4598" max="4598" width="7.85546875" style="6" customWidth="1"/>
    <col min="4599" max="4599" width="10.5703125" style="6" customWidth="1"/>
    <col min="4600" max="4600" width="0.7109375" style="6" customWidth="1"/>
    <col min="4601" max="4842" width="11.42578125" style="6"/>
    <col min="4843" max="4843" width="0.7109375" style="6" customWidth="1"/>
    <col min="4844" max="4844" width="15.140625" style="6" customWidth="1"/>
    <col min="4845" max="4845" width="0.7109375" style="6" customWidth="1"/>
    <col min="4846" max="4846" width="56.140625" style="6" customWidth="1"/>
    <col min="4847" max="4847" width="0.7109375" style="6" customWidth="1"/>
    <col min="4848" max="4848" width="9.140625" style="6" customWidth="1"/>
    <col min="4849" max="4849" width="6" style="6" customWidth="1"/>
    <col min="4850" max="4850" width="0.7109375" style="6" customWidth="1"/>
    <col min="4851" max="4851" width="7.140625" style="6" customWidth="1"/>
    <col min="4852" max="4852" width="6.5703125" style="6" customWidth="1"/>
    <col min="4853" max="4853" width="0.7109375" style="6" customWidth="1"/>
    <col min="4854" max="4854" width="7.85546875" style="6" customWidth="1"/>
    <col min="4855" max="4855" width="10.5703125" style="6" customWidth="1"/>
    <col min="4856" max="4856" width="0.7109375" style="6" customWidth="1"/>
    <col min="4857" max="5098" width="11.42578125" style="6"/>
    <col min="5099" max="5099" width="0.7109375" style="6" customWidth="1"/>
    <col min="5100" max="5100" width="15.140625" style="6" customWidth="1"/>
    <col min="5101" max="5101" width="0.7109375" style="6" customWidth="1"/>
    <col min="5102" max="5102" width="56.140625" style="6" customWidth="1"/>
    <col min="5103" max="5103" width="0.7109375" style="6" customWidth="1"/>
    <col min="5104" max="5104" width="9.140625" style="6" customWidth="1"/>
    <col min="5105" max="5105" width="6" style="6" customWidth="1"/>
    <col min="5106" max="5106" width="0.7109375" style="6" customWidth="1"/>
    <col min="5107" max="5107" width="7.140625" style="6" customWidth="1"/>
    <col min="5108" max="5108" width="6.5703125" style="6" customWidth="1"/>
    <col min="5109" max="5109" width="0.7109375" style="6" customWidth="1"/>
    <col min="5110" max="5110" width="7.85546875" style="6" customWidth="1"/>
    <col min="5111" max="5111" width="10.5703125" style="6" customWidth="1"/>
    <col min="5112" max="5112" width="0.7109375" style="6" customWidth="1"/>
    <col min="5113" max="5354" width="11.42578125" style="6"/>
    <col min="5355" max="5355" width="0.7109375" style="6" customWidth="1"/>
    <col min="5356" max="5356" width="15.140625" style="6" customWidth="1"/>
    <col min="5357" max="5357" width="0.7109375" style="6" customWidth="1"/>
    <col min="5358" max="5358" width="56.140625" style="6" customWidth="1"/>
    <col min="5359" max="5359" width="0.7109375" style="6" customWidth="1"/>
    <col min="5360" max="5360" width="9.140625" style="6" customWidth="1"/>
    <col min="5361" max="5361" width="6" style="6" customWidth="1"/>
    <col min="5362" max="5362" width="0.7109375" style="6" customWidth="1"/>
    <col min="5363" max="5363" width="7.140625" style="6" customWidth="1"/>
    <col min="5364" max="5364" width="6.5703125" style="6" customWidth="1"/>
    <col min="5365" max="5365" width="0.7109375" style="6" customWidth="1"/>
    <col min="5366" max="5366" width="7.85546875" style="6" customWidth="1"/>
    <col min="5367" max="5367" width="10.5703125" style="6" customWidth="1"/>
    <col min="5368" max="5368" width="0.7109375" style="6" customWidth="1"/>
    <col min="5369" max="5610" width="11.42578125" style="6"/>
    <col min="5611" max="5611" width="0.7109375" style="6" customWidth="1"/>
    <col min="5612" max="5612" width="15.140625" style="6" customWidth="1"/>
    <col min="5613" max="5613" width="0.7109375" style="6" customWidth="1"/>
    <col min="5614" max="5614" width="56.140625" style="6" customWidth="1"/>
    <col min="5615" max="5615" width="0.7109375" style="6" customWidth="1"/>
    <col min="5616" max="5616" width="9.140625" style="6" customWidth="1"/>
    <col min="5617" max="5617" width="6" style="6" customWidth="1"/>
    <col min="5618" max="5618" width="0.7109375" style="6" customWidth="1"/>
    <col min="5619" max="5619" width="7.140625" style="6" customWidth="1"/>
    <col min="5620" max="5620" width="6.5703125" style="6" customWidth="1"/>
    <col min="5621" max="5621" width="0.7109375" style="6" customWidth="1"/>
    <col min="5622" max="5622" width="7.85546875" style="6" customWidth="1"/>
    <col min="5623" max="5623" width="10.5703125" style="6" customWidth="1"/>
    <col min="5624" max="5624" width="0.7109375" style="6" customWidth="1"/>
    <col min="5625" max="5866" width="11.42578125" style="6"/>
    <col min="5867" max="5867" width="0.7109375" style="6" customWidth="1"/>
    <col min="5868" max="5868" width="15.140625" style="6" customWidth="1"/>
    <col min="5869" max="5869" width="0.7109375" style="6" customWidth="1"/>
    <col min="5870" max="5870" width="56.140625" style="6" customWidth="1"/>
    <col min="5871" max="5871" width="0.7109375" style="6" customWidth="1"/>
    <col min="5872" max="5872" width="9.140625" style="6" customWidth="1"/>
    <col min="5873" max="5873" width="6" style="6" customWidth="1"/>
    <col min="5874" max="5874" width="0.7109375" style="6" customWidth="1"/>
    <col min="5875" max="5875" width="7.140625" style="6" customWidth="1"/>
    <col min="5876" max="5876" width="6.5703125" style="6" customWidth="1"/>
    <col min="5877" max="5877" width="0.7109375" style="6" customWidth="1"/>
    <col min="5878" max="5878" width="7.85546875" style="6" customWidth="1"/>
    <col min="5879" max="5879" width="10.5703125" style="6" customWidth="1"/>
    <col min="5880" max="5880" width="0.7109375" style="6" customWidth="1"/>
    <col min="5881" max="6122" width="11.42578125" style="6"/>
    <col min="6123" max="6123" width="0.7109375" style="6" customWidth="1"/>
    <col min="6124" max="6124" width="15.140625" style="6" customWidth="1"/>
    <col min="6125" max="6125" width="0.7109375" style="6" customWidth="1"/>
    <col min="6126" max="6126" width="56.140625" style="6" customWidth="1"/>
    <col min="6127" max="6127" width="0.7109375" style="6" customWidth="1"/>
    <col min="6128" max="6128" width="9.140625" style="6" customWidth="1"/>
    <col min="6129" max="6129" width="6" style="6" customWidth="1"/>
    <col min="6130" max="6130" width="0.7109375" style="6" customWidth="1"/>
    <col min="6131" max="6131" width="7.140625" style="6" customWidth="1"/>
    <col min="6132" max="6132" width="6.5703125" style="6" customWidth="1"/>
    <col min="6133" max="6133" width="0.7109375" style="6" customWidth="1"/>
    <col min="6134" max="6134" width="7.85546875" style="6" customWidth="1"/>
    <col min="6135" max="6135" width="10.5703125" style="6" customWidth="1"/>
    <col min="6136" max="6136" width="0.7109375" style="6" customWidth="1"/>
    <col min="6137" max="6378" width="11.42578125" style="6"/>
    <col min="6379" max="6379" width="0.7109375" style="6" customWidth="1"/>
    <col min="6380" max="6380" width="15.140625" style="6" customWidth="1"/>
    <col min="6381" max="6381" width="0.7109375" style="6" customWidth="1"/>
    <col min="6382" max="6382" width="56.140625" style="6" customWidth="1"/>
    <col min="6383" max="6383" width="0.7109375" style="6" customWidth="1"/>
    <col min="6384" max="6384" width="9.140625" style="6" customWidth="1"/>
    <col min="6385" max="6385" width="6" style="6" customWidth="1"/>
    <col min="6386" max="6386" width="0.7109375" style="6" customWidth="1"/>
    <col min="6387" max="6387" width="7.140625" style="6" customWidth="1"/>
    <col min="6388" max="6388" width="6.5703125" style="6" customWidth="1"/>
    <col min="6389" max="6389" width="0.7109375" style="6" customWidth="1"/>
    <col min="6390" max="6390" width="7.85546875" style="6" customWidth="1"/>
    <col min="6391" max="6391" width="10.5703125" style="6" customWidth="1"/>
    <col min="6392" max="6392" width="0.7109375" style="6" customWidth="1"/>
    <col min="6393" max="6634" width="11.42578125" style="6"/>
    <col min="6635" max="6635" width="0.7109375" style="6" customWidth="1"/>
    <col min="6636" max="6636" width="15.140625" style="6" customWidth="1"/>
    <col min="6637" max="6637" width="0.7109375" style="6" customWidth="1"/>
    <col min="6638" max="6638" width="56.140625" style="6" customWidth="1"/>
    <col min="6639" max="6639" width="0.7109375" style="6" customWidth="1"/>
    <col min="6640" max="6640" width="9.140625" style="6" customWidth="1"/>
    <col min="6641" max="6641" width="6" style="6" customWidth="1"/>
    <col min="6642" max="6642" width="0.7109375" style="6" customWidth="1"/>
    <col min="6643" max="6643" width="7.140625" style="6" customWidth="1"/>
    <col min="6644" max="6644" width="6.5703125" style="6" customWidth="1"/>
    <col min="6645" max="6645" width="0.7109375" style="6" customWidth="1"/>
    <col min="6646" max="6646" width="7.85546875" style="6" customWidth="1"/>
    <col min="6647" max="6647" width="10.5703125" style="6" customWidth="1"/>
    <col min="6648" max="6648" width="0.7109375" style="6" customWidth="1"/>
    <col min="6649" max="6890" width="11.42578125" style="6"/>
    <col min="6891" max="6891" width="0.7109375" style="6" customWidth="1"/>
    <col min="6892" max="6892" width="15.140625" style="6" customWidth="1"/>
    <col min="6893" max="6893" width="0.7109375" style="6" customWidth="1"/>
    <col min="6894" max="6894" width="56.140625" style="6" customWidth="1"/>
    <col min="6895" max="6895" width="0.7109375" style="6" customWidth="1"/>
    <col min="6896" max="6896" width="9.140625" style="6" customWidth="1"/>
    <col min="6897" max="6897" width="6" style="6" customWidth="1"/>
    <col min="6898" max="6898" width="0.7109375" style="6" customWidth="1"/>
    <col min="6899" max="6899" width="7.140625" style="6" customWidth="1"/>
    <col min="6900" max="6900" width="6.5703125" style="6" customWidth="1"/>
    <col min="6901" max="6901" width="0.7109375" style="6" customWidth="1"/>
    <col min="6902" max="6902" width="7.85546875" style="6" customWidth="1"/>
    <col min="6903" max="6903" width="10.5703125" style="6" customWidth="1"/>
    <col min="6904" max="6904" width="0.7109375" style="6" customWidth="1"/>
    <col min="6905" max="7146" width="11.42578125" style="6"/>
    <col min="7147" max="7147" width="0.7109375" style="6" customWidth="1"/>
    <col min="7148" max="7148" width="15.140625" style="6" customWidth="1"/>
    <col min="7149" max="7149" width="0.7109375" style="6" customWidth="1"/>
    <col min="7150" max="7150" width="56.140625" style="6" customWidth="1"/>
    <col min="7151" max="7151" width="0.7109375" style="6" customWidth="1"/>
    <col min="7152" max="7152" width="9.140625" style="6" customWidth="1"/>
    <col min="7153" max="7153" width="6" style="6" customWidth="1"/>
    <col min="7154" max="7154" width="0.7109375" style="6" customWidth="1"/>
    <col min="7155" max="7155" width="7.140625" style="6" customWidth="1"/>
    <col min="7156" max="7156" width="6.5703125" style="6" customWidth="1"/>
    <col min="7157" max="7157" width="0.7109375" style="6" customWidth="1"/>
    <col min="7158" max="7158" width="7.85546875" style="6" customWidth="1"/>
    <col min="7159" max="7159" width="10.5703125" style="6" customWidth="1"/>
    <col min="7160" max="7160" width="0.7109375" style="6" customWidth="1"/>
    <col min="7161" max="7402" width="11.42578125" style="6"/>
    <col min="7403" max="7403" width="0.7109375" style="6" customWidth="1"/>
    <col min="7404" max="7404" width="15.140625" style="6" customWidth="1"/>
    <col min="7405" max="7405" width="0.7109375" style="6" customWidth="1"/>
    <col min="7406" max="7406" width="56.140625" style="6" customWidth="1"/>
    <col min="7407" max="7407" width="0.7109375" style="6" customWidth="1"/>
    <col min="7408" max="7408" width="9.140625" style="6" customWidth="1"/>
    <col min="7409" max="7409" width="6" style="6" customWidth="1"/>
    <col min="7410" max="7410" width="0.7109375" style="6" customWidth="1"/>
    <col min="7411" max="7411" width="7.140625" style="6" customWidth="1"/>
    <col min="7412" max="7412" width="6.5703125" style="6" customWidth="1"/>
    <col min="7413" max="7413" width="0.7109375" style="6" customWidth="1"/>
    <col min="7414" max="7414" width="7.85546875" style="6" customWidth="1"/>
    <col min="7415" max="7415" width="10.5703125" style="6" customWidth="1"/>
    <col min="7416" max="7416" width="0.7109375" style="6" customWidth="1"/>
    <col min="7417" max="7658" width="11.42578125" style="6"/>
    <col min="7659" max="7659" width="0.7109375" style="6" customWidth="1"/>
    <col min="7660" max="7660" width="15.140625" style="6" customWidth="1"/>
    <col min="7661" max="7661" width="0.7109375" style="6" customWidth="1"/>
    <col min="7662" max="7662" width="56.140625" style="6" customWidth="1"/>
    <col min="7663" max="7663" width="0.7109375" style="6" customWidth="1"/>
    <col min="7664" max="7664" width="9.140625" style="6" customWidth="1"/>
    <col min="7665" max="7665" width="6" style="6" customWidth="1"/>
    <col min="7666" max="7666" width="0.7109375" style="6" customWidth="1"/>
    <col min="7667" max="7667" width="7.140625" style="6" customWidth="1"/>
    <col min="7668" max="7668" width="6.5703125" style="6" customWidth="1"/>
    <col min="7669" max="7669" width="0.7109375" style="6" customWidth="1"/>
    <col min="7670" max="7670" width="7.85546875" style="6" customWidth="1"/>
    <col min="7671" max="7671" width="10.5703125" style="6" customWidth="1"/>
    <col min="7672" max="7672" width="0.7109375" style="6" customWidth="1"/>
    <col min="7673" max="7914" width="11.42578125" style="6"/>
    <col min="7915" max="7915" width="0.7109375" style="6" customWidth="1"/>
    <col min="7916" max="7916" width="15.140625" style="6" customWidth="1"/>
    <col min="7917" max="7917" width="0.7109375" style="6" customWidth="1"/>
    <col min="7918" max="7918" width="56.140625" style="6" customWidth="1"/>
    <col min="7919" max="7919" width="0.7109375" style="6" customWidth="1"/>
    <col min="7920" max="7920" width="9.140625" style="6" customWidth="1"/>
    <col min="7921" max="7921" width="6" style="6" customWidth="1"/>
    <col min="7922" max="7922" width="0.7109375" style="6" customWidth="1"/>
    <col min="7923" max="7923" width="7.140625" style="6" customWidth="1"/>
    <col min="7924" max="7924" width="6.5703125" style="6" customWidth="1"/>
    <col min="7925" max="7925" width="0.7109375" style="6" customWidth="1"/>
    <col min="7926" max="7926" width="7.85546875" style="6" customWidth="1"/>
    <col min="7927" max="7927" width="10.5703125" style="6" customWidth="1"/>
    <col min="7928" max="7928" width="0.7109375" style="6" customWidth="1"/>
    <col min="7929" max="8170" width="11.42578125" style="6"/>
    <col min="8171" max="8171" width="0.7109375" style="6" customWidth="1"/>
    <col min="8172" max="8172" width="15.140625" style="6" customWidth="1"/>
    <col min="8173" max="8173" width="0.7109375" style="6" customWidth="1"/>
    <col min="8174" max="8174" width="56.140625" style="6" customWidth="1"/>
    <col min="8175" max="8175" width="0.7109375" style="6" customWidth="1"/>
    <col min="8176" max="8176" width="9.140625" style="6" customWidth="1"/>
    <col min="8177" max="8177" width="6" style="6" customWidth="1"/>
    <col min="8178" max="8178" width="0.7109375" style="6" customWidth="1"/>
    <col min="8179" max="8179" width="7.140625" style="6" customWidth="1"/>
    <col min="8180" max="8180" width="6.5703125" style="6" customWidth="1"/>
    <col min="8181" max="8181" width="0.7109375" style="6" customWidth="1"/>
    <col min="8182" max="8182" width="7.85546875" style="6" customWidth="1"/>
    <col min="8183" max="8183" width="10.5703125" style="6" customWidth="1"/>
    <col min="8184" max="8184" width="0.7109375" style="6" customWidth="1"/>
    <col min="8185" max="8426" width="11.42578125" style="6"/>
    <col min="8427" max="8427" width="0.7109375" style="6" customWidth="1"/>
    <col min="8428" max="8428" width="15.140625" style="6" customWidth="1"/>
    <col min="8429" max="8429" width="0.7109375" style="6" customWidth="1"/>
    <col min="8430" max="8430" width="56.140625" style="6" customWidth="1"/>
    <col min="8431" max="8431" width="0.7109375" style="6" customWidth="1"/>
    <col min="8432" max="8432" width="9.140625" style="6" customWidth="1"/>
    <col min="8433" max="8433" width="6" style="6" customWidth="1"/>
    <col min="8434" max="8434" width="0.7109375" style="6" customWidth="1"/>
    <col min="8435" max="8435" width="7.140625" style="6" customWidth="1"/>
    <col min="8436" max="8436" width="6.5703125" style="6" customWidth="1"/>
    <col min="8437" max="8437" width="0.7109375" style="6" customWidth="1"/>
    <col min="8438" max="8438" width="7.85546875" style="6" customWidth="1"/>
    <col min="8439" max="8439" width="10.5703125" style="6" customWidth="1"/>
    <col min="8440" max="8440" width="0.7109375" style="6" customWidth="1"/>
    <col min="8441" max="8682" width="11.42578125" style="6"/>
    <col min="8683" max="8683" width="0.7109375" style="6" customWidth="1"/>
    <col min="8684" max="8684" width="15.140625" style="6" customWidth="1"/>
    <col min="8685" max="8685" width="0.7109375" style="6" customWidth="1"/>
    <col min="8686" max="8686" width="56.140625" style="6" customWidth="1"/>
    <col min="8687" max="8687" width="0.7109375" style="6" customWidth="1"/>
    <col min="8688" max="8688" width="9.140625" style="6" customWidth="1"/>
    <col min="8689" max="8689" width="6" style="6" customWidth="1"/>
    <col min="8690" max="8690" width="0.7109375" style="6" customWidth="1"/>
    <col min="8691" max="8691" width="7.140625" style="6" customWidth="1"/>
    <col min="8692" max="8692" width="6.5703125" style="6" customWidth="1"/>
    <col min="8693" max="8693" width="0.7109375" style="6" customWidth="1"/>
    <col min="8694" max="8694" width="7.85546875" style="6" customWidth="1"/>
    <col min="8695" max="8695" width="10.5703125" style="6" customWidth="1"/>
    <col min="8696" max="8696" width="0.7109375" style="6" customWidth="1"/>
    <col min="8697" max="8938" width="11.42578125" style="6"/>
    <col min="8939" max="8939" width="0.7109375" style="6" customWidth="1"/>
    <col min="8940" max="8940" width="15.140625" style="6" customWidth="1"/>
    <col min="8941" max="8941" width="0.7109375" style="6" customWidth="1"/>
    <col min="8942" max="8942" width="56.140625" style="6" customWidth="1"/>
    <col min="8943" max="8943" width="0.7109375" style="6" customWidth="1"/>
    <col min="8944" max="8944" width="9.140625" style="6" customWidth="1"/>
    <col min="8945" max="8945" width="6" style="6" customWidth="1"/>
    <col min="8946" max="8946" width="0.7109375" style="6" customWidth="1"/>
    <col min="8947" max="8947" width="7.140625" style="6" customWidth="1"/>
    <col min="8948" max="8948" width="6.5703125" style="6" customWidth="1"/>
    <col min="8949" max="8949" width="0.7109375" style="6" customWidth="1"/>
    <col min="8950" max="8950" width="7.85546875" style="6" customWidth="1"/>
    <col min="8951" max="8951" width="10.5703125" style="6" customWidth="1"/>
    <col min="8952" max="8952" width="0.7109375" style="6" customWidth="1"/>
    <col min="8953" max="9194" width="11.42578125" style="6"/>
    <col min="9195" max="9195" width="0.7109375" style="6" customWidth="1"/>
    <col min="9196" max="9196" width="15.140625" style="6" customWidth="1"/>
    <col min="9197" max="9197" width="0.7109375" style="6" customWidth="1"/>
    <col min="9198" max="9198" width="56.140625" style="6" customWidth="1"/>
    <col min="9199" max="9199" width="0.7109375" style="6" customWidth="1"/>
    <col min="9200" max="9200" width="9.140625" style="6" customWidth="1"/>
    <col min="9201" max="9201" width="6" style="6" customWidth="1"/>
    <col min="9202" max="9202" width="0.7109375" style="6" customWidth="1"/>
    <col min="9203" max="9203" width="7.140625" style="6" customWidth="1"/>
    <col min="9204" max="9204" width="6.5703125" style="6" customWidth="1"/>
    <col min="9205" max="9205" width="0.7109375" style="6" customWidth="1"/>
    <col min="9206" max="9206" width="7.85546875" style="6" customWidth="1"/>
    <col min="9207" max="9207" width="10.5703125" style="6" customWidth="1"/>
    <col min="9208" max="9208" width="0.7109375" style="6" customWidth="1"/>
    <col min="9209" max="9450" width="11.42578125" style="6"/>
    <col min="9451" max="9451" width="0.7109375" style="6" customWidth="1"/>
    <col min="9452" max="9452" width="15.140625" style="6" customWidth="1"/>
    <col min="9453" max="9453" width="0.7109375" style="6" customWidth="1"/>
    <col min="9454" max="9454" width="56.140625" style="6" customWidth="1"/>
    <col min="9455" max="9455" width="0.7109375" style="6" customWidth="1"/>
    <col min="9456" max="9456" width="9.140625" style="6" customWidth="1"/>
    <col min="9457" max="9457" width="6" style="6" customWidth="1"/>
    <col min="9458" max="9458" width="0.7109375" style="6" customWidth="1"/>
    <col min="9459" max="9459" width="7.140625" style="6" customWidth="1"/>
    <col min="9460" max="9460" width="6.5703125" style="6" customWidth="1"/>
    <col min="9461" max="9461" width="0.7109375" style="6" customWidth="1"/>
    <col min="9462" max="9462" width="7.85546875" style="6" customWidth="1"/>
    <col min="9463" max="9463" width="10.5703125" style="6" customWidth="1"/>
    <col min="9464" max="9464" width="0.7109375" style="6" customWidth="1"/>
    <col min="9465" max="9706" width="11.42578125" style="6"/>
    <col min="9707" max="9707" width="0.7109375" style="6" customWidth="1"/>
    <col min="9708" max="9708" width="15.140625" style="6" customWidth="1"/>
    <col min="9709" max="9709" width="0.7109375" style="6" customWidth="1"/>
    <col min="9710" max="9710" width="56.140625" style="6" customWidth="1"/>
    <col min="9711" max="9711" width="0.7109375" style="6" customWidth="1"/>
    <col min="9712" max="9712" width="9.140625" style="6" customWidth="1"/>
    <col min="9713" max="9713" width="6" style="6" customWidth="1"/>
    <col min="9714" max="9714" width="0.7109375" style="6" customWidth="1"/>
    <col min="9715" max="9715" width="7.140625" style="6" customWidth="1"/>
    <col min="9716" max="9716" width="6.5703125" style="6" customWidth="1"/>
    <col min="9717" max="9717" width="0.7109375" style="6" customWidth="1"/>
    <col min="9718" max="9718" width="7.85546875" style="6" customWidth="1"/>
    <col min="9719" max="9719" width="10.5703125" style="6" customWidth="1"/>
    <col min="9720" max="9720" width="0.7109375" style="6" customWidth="1"/>
    <col min="9721" max="9962" width="11.42578125" style="6"/>
    <col min="9963" max="9963" width="0.7109375" style="6" customWidth="1"/>
    <col min="9964" max="9964" width="15.140625" style="6" customWidth="1"/>
    <col min="9965" max="9965" width="0.7109375" style="6" customWidth="1"/>
    <col min="9966" max="9966" width="56.140625" style="6" customWidth="1"/>
    <col min="9967" max="9967" width="0.7109375" style="6" customWidth="1"/>
    <col min="9968" max="9968" width="9.140625" style="6" customWidth="1"/>
    <col min="9969" max="9969" width="6" style="6" customWidth="1"/>
    <col min="9970" max="9970" width="0.7109375" style="6" customWidth="1"/>
    <col min="9971" max="9971" width="7.140625" style="6" customWidth="1"/>
    <col min="9972" max="9972" width="6.5703125" style="6" customWidth="1"/>
    <col min="9973" max="9973" width="0.7109375" style="6" customWidth="1"/>
    <col min="9974" max="9974" width="7.85546875" style="6" customWidth="1"/>
    <col min="9975" max="9975" width="10.5703125" style="6" customWidth="1"/>
    <col min="9976" max="9976" width="0.7109375" style="6" customWidth="1"/>
    <col min="9977" max="10218" width="11.42578125" style="6"/>
    <col min="10219" max="10219" width="0.7109375" style="6" customWidth="1"/>
    <col min="10220" max="10220" width="15.140625" style="6" customWidth="1"/>
    <col min="10221" max="10221" width="0.7109375" style="6" customWidth="1"/>
    <col min="10222" max="10222" width="56.140625" style="6" customWidth="1"/>
    <col min="10223" max="10223" width="0.7109375" style="6" customWidth="1"/>
    <col min="10224" max="10224" width="9.140625" style="6" customWidth="1"/>
    <col min="10225" max="10225" width="6" style="6" customWidth="1"/>
    <col min="10226" max="10226" width="0.7109375" style="6" customWidth="1"/>
    <col min="10227" max="10227" width="7.140625" style="6" customWidth="1"/>
    <col min="10228" max="10228" width="6.5703125" style="6" customWidth="1"/>
    <col min="10229" max="10229" width="0.7109375" style="6" customWidth="1"/>
    <col min="10230" max="10230" width="7.85546875" style="6" customWidth="1"/>
    <col min="10231" max="10231" width="10.5703125" style="6" customWidth="1"/>
    <col min="10232" max="10232" width="0.7109375" style="6" customWidth="1"/>
    <col min="10233" max="10474" width="11.42578125" style="6"/>
    <col min="10475" max="10475" width="0.7109375" style="6" customWidth="1"/>
    <col min="10476" max="10476" width="15.140625" style="6" customWidth="1"/>
    <col min="10477" max="10477" width="0.7109375" style="6" customWidth="1"/>
    <col min="10478" max="10478" width="56.140625" style="6" customWidth="1"/>
    <col min="10479" max="10479" width="0.7109375" style="6" customWidth="1"/>
    <col min="10480" max="10480" width="9.140625" style="6" customWidth="1"/>
    <col min="10481" max="10481" width="6" style="6" customWidth="1"/>
    <col min="10482" max="10482" width="0.7109375" style="6" customWidth="1"/>
    <col min="10483" max="10483" width="7.140625" style="6" customWidth="1"/>
    <col min="10484" max="10484" width="6.5703125" style="6" customWidth="1"/>
    <col min="10485" max="10485" width="0.7109375" style="6" customWidth="1"/>
    <col min="10486" max="10486" width="7.85546875" style="6" customWidth="1"/>
    <col min="10487" max="10487" width="10.5703125" style="6" customWidth="1"/>
    <col min="10488" max="10488" width="0.7109375" style="6" customWidth="1"/>
    <col min="10489" max="10730" width="11.42578125" style="6"/>
    <col min="10731" max="10731" width="0.7109375" style="6" customWidth="1"/>
    <col min="10732" max="10732" width="15.140625" style="6" customWidth="1"/>
    <col min="10733" max="10733" width="0.7109375" style="6" customWidth="1"/>
    <col min="10734" max="10734" width="56.140625" style="6" customWidth="1"/>
    <col min="10735" max="10735" width="0.7109375" style="6" customWidth="1"/>
    <col min="10736" max="10736" width="9.140625" style="6" customWidth="1"/>
    <col min="10737" max="10737" width="6" style="6" customWidth="1"/>
    <col min="10738" max="10738" width="0.7109375" style="6" customWidth="1"/>
    <col min="10739" max="10739" width="7.140625" style="6" customWidth="1"/>
    <col min="10740" max="10740" width="6.5703125" style="6" customWidth="1"/>
    <col min="10741" max="10741" width="0.7109375" style="6" customWidth="1"/>
    <col min="10742" max="10742" width="7.85546875" style="6" customWidth="1"/>
    <col min="10743" max="10743" width="10.5703125" style="6" customWidth="1"/>
    <col min="10744" max="10744" width="0.7109375" style="6" customWidth="1"/>
    <col min="10745" max="10986" width="11.42578125" style="6"/>
    <col min="10987" max="10987" width="0.7109375" style="6" customWidth="1"/>
    <col min="10988" max="10988" width="15.140625" style="6" customWidth="1"/>
    <col min="10989" max="10989" width="0.7109375" style="6" customWidth="1"/>
    <col min="10990" max="10990" width="56.140625" style="6" customWidth="1"/>
    <col min="10991" max="10991" width="0.7109375" style="6" customWidth="1"/>
    <col min="10992" max="10992" width="9.140625" style="6" customWidth="1"/>
    <col min="10993" max="10993" width="6" style="6" customWidth="1"/>
    <col min="10994" max="10994" width="0.7109375" style="6" customWidth="1"/>
    <col min="10995" max="10995" width="7.140625" style="6" customWidth="1"/>
    <col min="10996" max="10996" width="6.5703125" style="6" customWidth="1"/>
    <col min="10997" max="10997" width="0.7109375" style="6" customWidth="1"/>
    <col min="10998" max="10998" width="7.85546875" style="6" customWidth="1"/>
    <col min="10999" max="10999" width="10.5703125" style="6" customWidth="1"/>
    <col min="11000" max="11000" width="0.7109375" style="6" customWidth="1"/>
    <col min="11001" max="11242" width="11.42578125" style="6"/>
    <col min="11243" max="11243" width="0.7109375" style="6" customWidth="1"/>
    <col min="11244" max="11244" width="15.140625" style="6" customWidth="1"/>
    <col min="11245" max="11245" width="0.7109375" style="6" customWidth="1"/>
    <col min="11246" max="11246" width="56.140625" style="6" customWidth="1"/>
    <col min="11247" max="11247" width="0.7109375" style="6" customWidth="1"/>
    <col min="11248" max="11248" width="9.140625" style="6" customWidth="1"/>
    <col min="11249" max="11249" width="6" style="6" customWidth="1"/>
    <col min="11250" max="11250" width="0.7109375" style="6" customWidth="1"/>
    <col min="11251" max="11251" width="7.140625" style="6" customWidth="1"/>
    <col min="11252" max="11252" width="6.5703125" style="6" customWidth="1"/>
    <col min="11253" max="11253" width="0.7109375" style="6" customWidth="1"/>
    <col min="11254" max="11254" width="7.85546875" style="6" customWidth="1"/>
    <col min="11255" max="11255" width="10.5703125" style="6" customWidth="1"/>
    <col min="11256" max="11256" width="0.7109375" style="6" customWidth="1"/>
    <col min="11257" max="11498" width="11.42578125" style="6"/>
    <col min="11499" max="11499" width="0.7109375" style="6" customWidth="1"/>
    <col min="11500" max="11500" width="15.140625" style="6" customWidth="1"/>
    <col min="11501" max="11501" width="0.7109375" style="6" customWidth="1"/>
    <col min="11502" max="11502" width="56.140625" style="6" customWidth="1"/>
    <col min="11503" max="11503" width="0.7109375" style="6" customWidth="1"/>
    <col min="11504" max="11504" width="9.140625" style="6" customWidth="1"/>
    <col min="11505" max="11505" width="6" style="6" customWidth="1"/>
    <col min="11506" max="11506" width="0.7109375" style="6" customWidth="1"/>
    <col min="11507" max="11507" width="7.140625" style="6" customWidth="1"/>
    <col min="11508" max="11508" width="6.5703125" style="6" customWidth="1"/>
    <col min="11509" max="11509" width="0.7109375" style="6" customWidth="1"/>
    <col min="11510" max="11510" width="7.85546875" style="6" customWidth="1"/>
    <col min="11511" max="11511" width="10.5703125" style="6" customWidth="1"/>
    <col min="11512" max="11512" width="0.7109375" style="6" customWidth="1"/>
    <col min="11513" max="11754" width="11.42578125" style="6"/>
    <col min="11755" max="11755" width="0.7109375" style="6" customWidth="1"/>
    <col min="11756" max="11756" width="15.140625" style="6" customWidth="1"/>
    <col min="11757" max="11757" width="0.7109375" style="6" customWidth="1"/>
    <col min="11758" max="11758" width="56.140625" style="6" customWidth="1"/>
    <col min="11759" max="11759" width="0.7109375" style="6" customWidth="1"/>
    <col min="11760" max="11760" width="9.140625" style="6" customWidth="1"/>
    <col min="11761" max="11761" width="6" style="6" customWidth="1"/>
    <col min="11762" max="11762" width="0.7109375" style="6" customWidth="1"/>
    <col min="11763" max="11763" width="7.140625" style="6" customWidth="1"/>
    <col min="11764" max="11764" width="6.5703125" style="6" customWidth="1"/>
    <col min="11765" max="11765" width="0.7109375" style="6" customWidth="1"/>
    <col min="11766" max="11766" width="7.85546875" style="6" customWidth="1"/>
    <col min="11767" max="11767" width="10.5703125" style="6" customWidth="1"/>
    <col min="11768" max="11768" width="0.7109375" style="6" customWidth="1"/>
    <col min="11769" max="12010" width="11.42578125" style="6"/>
    <col min="12011" max="12011" width="0.7109375" style="6" customWidth="1"/>
    <col min="12012" max="12012" width="15.140625" style="6" customWidth="1"/>
    <col min="12013" max="12013" width="0.7109375" style="6" customWidth="1"/>
    <col min="12014" max="12014" width="56.140625" style="6" customWidth="1"/>
    <col min="12015" max="12015" width="0.7109375" style="6" customWidth="1"/>
    <col min="12016" max="12016" width="9.140625" style="6" customWidth="1"/>
    <col min="12017" max="12017" width="6" style="6" customWidth="1"/>
    <col min="12018" max="12018" width="0.7109375" style="6" customWidth="1"/>
    <col min="12019" max="12019" width="7.140625" style="6" customWidth="1"/>
    <col min="12020" max="12020" width="6.5703125" style="6" customWidth="1"/>
    <col min="12021" max="12021" width="0.7109375" style="6" customWidth="1"/>
    <col min="12022" max="12022" width="7.85546875" style="6" customWidth="1"/>
    <col min="12023" max="12023" width="10.5703125" style="6" customWidth="1"/>
    <col min="12024" max="12024" width="0.7109375" style="6" customWidth="1"/>
    <col min="12025" max="12266" width="11.42578125" style="6"/>
    <col min="12267" max="12267" width="0.7109375" style="6" customWidth="1"/>
    <col min="12268" max="12268" width="15.140625" style="6" customWidth="1"/>
    <col min="12269" max="12269" width="0.7109375" style="6" customWidth="1"/>
    <col min="12270" max="12270" width="56.140625" style="6" customWidth="1"/>
    <col min="12271" max="12271" width="0.7109375" style="6" customWidth="1"/>
    <col min="12272" max="12272" width="9.140625" style="6" customWidth="1"/>
    <col min="12273" max="12273" width="6" style="6" customWidth="1"/>
    <col min="12274" max="12274" width="0.7109375" style="6" customWidth="1"/>
    <col min="12275" max="12275" width="7.140625" style="6" customWidth="1"/>
    <col min="12276" max="12276" width="6.5703125" style="6" customWidth="1"/>
    <col min="12277" max="12277" width="0.7109375" style="6" customWidth="1"/>
    <col min="12278" max="12278" width="7.85546875" style="6" customWidth="1"/>
    <col min="12279" max="12279" width="10.5703125" style="6" customWidth="1"/>
    <col min="12280" max="12280" width="0.7109375" style="6" customWidth="1"/>
    <col min="12281" max="12522" width="11.42578125" style="6"/>
    <col min="12523" max="12523" width="0.7109375" style="6" customWidth="1"/>
    <col min="12524" max="12524" width="15.140625" style="6" customWidth="1"/>
    <col min="12525" max="12525" width="0.7109375" style="6" customWidth="1"/>
    <col min="12526" max="12526" width="56.140625" style="6" customWidth="1"/>
    <col min="12527" max="12527" width="0.7109375" style="6" customWidth="1"/>
    <col min="12528" max="12528" width="9.140625" style="6" customWidth="1"/>
    <col min="12529" max="12529" width="6" style="6" customWidth="1"/>
    <col min="12530" max="12530" width="0.7109375" style="6" customWidth="1"/>
    <col min="12531" max="12531" width="7.140625" style="6" customWidth="1"/>
    <col min="12532" max="12532" width="6.5703125" style="6" customWidth="1"/>
    <col min="12533" max="12533" width="0.7109375" style="6" customWidth="1"/>
    <col min="12534" max="12534" width="7.85546875" style="6" customWidth="1"/>
    <col min="12535" max="12535" width="10.5703125" style="6" customWidth="1"/>
    <col min="12536" max="12536" width="0.7109375" style="6" customWidth="1"/>
    <col min="12537" max="12778" width="11.42578125" style="6"/>
    <col min="12779" max="12779" width="0.7109375" style="6" customWidth="1"/>
    <col min="12780" max="12780" width="15.140625" style="6" customWidth="1"/>
    <col min="12781" max="12781" width="0.7109375" style="6" customWidth="1"/>
    <col min="12782" max="12782" width="56.140625" style="6" customWidth="1"/>
    <col min="12783" max="12783" width="0.7109375" style="6" customWidth="1"/>
    <col min="12784" max="12784" width="9.140625" style="6" customWidth="1"/>
    <col min="12785" max="12785" width="6" style="6" customWidth="1"/>
    <col min="12786" max="12786" width="0.7109375" style="6" customWidth="1"/>
    <col min="12787" max="12787" width="7.140625" style="6" customWidth="1"/>
    <col min="12788" max="12788" width="6.5703125" style="6" customWidth="1"/>
    <col min="12789" max="12789" width="0.7109375" style="6" customWidth="1"/>
    <col min="12790" max="12790" width="7.85546875" style="6" customWidth="1"/>
    <col min="12791" max="12791" width="10.5703125" style="6" customWidth="1"/>
    <col min="12792" max="12792" width="0.7109375" style="6" customWidth="1"/>
    <col min="12793" max="13034" width="11.42578125" style="6"/>
    <col min="13035" max="13035" width="0.7109375" style="6" customWidth="1"/>
    <col min="13036" max="13036" width="15.140625" style="6" customWidth="1"/>
    <col min="13037" max="13037" width="0.7109375" style="6" customWidth="1"/>
    <col min="13038" max="13038" width="56.140625" style="6" customWidth="1"/>
    <col min="13039" max="13039" width="0.7109375" style="6" customWidth="1"/>
    <col min="13040" max="13040" width="9.140625" style="6" customWidth="1"/>
    <col min="13041" max="13041" width="6" style="6" customWidth="1"/>
    <col min="13042" max="13042" width="0.7109375" style="6" customWidth="1"/>
    <col min="13043" max="13043" width="7.140625" style="6" customWidth="1"/>
    <col min="13044" max="13044" width="6.5703125" style="6" customWidth="1"/>
    <col min="13045" max="13045" width="0.7109375" style="6" customWidth="1"/>
    <col min="13046" max="13046" width="7.85546875" style="6" customWidth="1"/>
    <col min="13047" max="13047" width="10.5703125" style="6" customWidth="1"/>
    <col min="13048" max="13048" width="0.7109375" style="6" customWidth="1"/>
    <col min="13049" max="13290" width="11.42578125" style="6"/>
    <col min="13291" max="13291" width="0.7109375" style="6" customWidth="1"/>
    <col min="13292" max="13292" width="15.140625" style="6" customWidth="1"/>
    <col min="13293" max="13293" width="0.7109375" style="6" customWidth="1"/>
    <col min="13294" max="13294" width="56.140625" style="6" customWidth="1"/>
    <col min="13295" max="13295" width="0.7109375" style="6" customWidth="1"/>
    <col min="13296" max="13296" width="9.140625" style="6" customWidth="1"/>
    <col min="13297" max="13297" width="6" style="6" customWidth="1"/>
    <col min="13298" max="13298" width="0.7109375" style="6" customWidth="1"/>
    <col min="13299" max="13299" width="7.140625" style="6" customWidth="1"/>
    <col min="13300" max="13300" width="6.5703125" style="6" customWidth="1"/>
    <col min="13301" max="13301" width="0.7109375" style="6" customWidth="1"/>
    <col min="13302" max="13302" width="7.85546875" style="6" customWidth="1"/>
    <col min="13303" max="13303" width="10.5703125" style="6" customWidth="1"/>
    <col min="13304" max="13304" width="0.7109375" style="6" customWidth="1"/>
    <col min="13305" max="13546" width="11.42578125" style="6"/>
    <col min="13547" max="13547" width="0.7109375" style="6" customWidth="1"/>
    <col min="13548" max="13548" width="15.140625" style="6" customWidth="1"/>
    <col min="13549" max="13549" width="0.7109375" style="6" customWidth="1"/>
    <col min="13550" max="13550" width="56.140625" style="6" customWidth="1"/>
    <col min="13551" max="13551" width="0.7109375" style="6" customWidth="1"/>
    <col min="13552" max="13552" width="9.140625" style="6" customWidth="1"/>
    <col min="13553" max="13553" width="6" style="6" customWidth="1"/>
    <col min="13554" max="13554" width="0.7109375" style="6" customWidth="1"/>
    <col min="13555" max="13555" width="7.140625" style="6" customWidth="1"/>
    <col min="13556" max="13556" width="6.5703125" style="6" customWidth="1"/>
    <col min="13557" max="13557" width="0.7109375" style="6" customWidth="1"/>
    <col min="13558" max="13558" width="7.85546875" style="6" customWidth="1"/>
    <col min="13559" max="13559" width="10.5703125" style="6" customWidth="1"/>
    <col min="13560" max="13560" width="0.7109375" style="6" customWidth="1"/>
    <col min="13561" max="16384" width="11.42578125" style="6"/>
  </cols>
  <sheetData>
    <row r="1" spans="1:10" ht="15" customHeight="1" x14ac:dyDescent="0.25">
      <c r="A1" s="1" t="s">
        <v>0</v>
      </c>
      <c r="B1" s="2" t="s">
        <v>220</v>
      </c>
      <c r="C1" s="55"/>
      <c r="D1" s="4"/>
      <c r="E1" s="4"/>
      <c r="F1" s="4"/>
      <c r="G1" s="5"/>
      <c r="J1" s="7" t="s">
        <v>1</v>
      </c>
    </row>
    <row r="2" spans="1:10" ht="15" customHeight="1" x14ac:dyDescent="0.25">
      <c r="A2" s="8" t="s">
        <v>2</v>
      </c>
      <c r="B2" s="9" t="s">
        <v>226</v>
      </c>
      <c r="C2" s="56"/>
      <c r="D2" s="11"/>
      <c r="E2" s="11"/>
      <c r="F2" s="11"/>
      <c r="G2" s="12"/>
      <c r="J2" s="13" t="s">
        <v>4</v>
      </c>
    </row>
    <row r="3" spans="1:10" ht="15" customHeight="1" x14ac:dyDescent="0.25">
      <c r="A3" s="8" t="s">
        <v>5</v>
      </c>
      <c r="B3" s="9" t="s">
        <v>231</v>
      </c>
      <c r="C3" s="56"/>
      <c r="D3" s="11"/>
      <c r="E3" s="11"/>
      <c r="F3" s="11"/>
      <c r="G3" s="12"/>
      <c r="J3" s="7" t="s">
        <v>6</v>
      </c>
    </row>
    <row r="4" spans="1:10" ht="15" customHeight="1" x14ac:dyDescent="0.25">
      <c r="A4" s="14" t="s">
        <v>7</v>
      </c>
      <c r="B4" s="15">
        <v>0</v>
      </c>
      <c r="C4" s="57"/>
      <c r="D4" s="17"/>
      <c r="E4" s="17"/>
      <c r="F4" s="17"/>
      <c r="G4" s="58"/>
      <c r="J4" s="7" t="s">
        <v>8</v>
      </c>
    </row>
    <row r="5" spans="1:10" ht="30" customHeight="1" x14ac:dyDescent="0.25">
      <c r="A5" s="1192" t="s">
        <v>2879</v>
      </c>
      <c r="B5" s="1193"/>
      <c r="C5" s="1193"/>
      <c r="D5" s="1193"/>
      <c r="E5" s="1193"/>
      <c r="F5" s="1193"/>
      <c r="G5" s="1194"/>
      <c r="J5" s="7" t="s">
        <v>9</v>
      </c>
    </row>
    <row r="6" spans="1:10" ht="37.5" customHeight="1" x14ac:dyDescent="0.25">
      <c r="A6" s="59" t="s">
        <v>10</v>
      </c>
      <c r="B6" s="60" t="s">
        <v>11</v>
      </c>
      <c r="C6" s="1209" t="s">
        <v>32</v>
      </c>
      <c r="D6" s="22"/>
      <c r="E6" s="23"/>
      <c r="F6" s="60" t="s">
        <v>12</v>
      </c>
      <c r="G6" s="61"/>
      <c r="J6" s="7" t="s">
        <v>13</v>
      </c>
    </row>
    <row r="7" spans="1:10" ht="24.95" customHeight="1" x14ac:dyDescent="0.25">
      <c r="A7" s="48">
        <v>103689</v>
      </c>
      <c r="B7" s="25"/>
      <c r="C7" s="1210"/>
      <c r="D7" s="26"/>
      <c r="E7" s="62"/>
      <c r="F7" s="63"/>
      <c r="G7" s="64" t="s">
        <v>33</v>
      </c>
      <c r="J7" s="7" t="s">
        <v>17</v>
      </c>
    </row>
    <row r="8" spans="1:10" ht="21" customHeight="1" x14ac:dyDescent="0.25">
      <c r="A8" s="25"/>
      <c r="B8" s="33"/>
      <c r="C8" s="33"/>
      <c r="D8" s="65"/>
      <c r="E8" s="65"/>
      <c r="F8" s="33"/>
      <c r="G8" s="66"/>
      <c r="J8" s="35" t="s">
        <v>20</v>
      </c>
    </row>
    <row r="9" spans="1:10" ht="21" customHeight="1" x14ac:dyDescent="0.25">
      <c r="A9" s="1211" t="s">
        <v>34</v>
      </c>
      <c r="B9" s="1211" t="s">
        <v>21</v>
      </c>
      <c r="C9" s="1211" t="s">
        <v>22</v>
      </c>
      <c r="D9" s="1212" t="s">
        <v>35</v>
      </c>
      <c r="E9" s="1212" t="s">
        <v>36</v>
      </c>
      <c r="F9" s="67" t="s">
        <v>28</v>
      </c>
      <c r="G9" s="68" t="s">
        <v>28</v>
      </c>
    </row>
    <row r="10" spans="1:10" ht="30" customHeight="1" x14ac:dyDescent="0.25">
      <c r="A10" s="1211"/>
      <c r="B10" s="1211"/>
      <c r="C10" s="1211"/>
      <c r="D10" s="1212"/>
      <c r="E10" s="1212"/>
      <c r="F10" s="69" t="s">
        <v>29</v>
      </c>
      <c r="G10" s="70" t="s">
        <v>30</v>
      </c>
    </row>
    <row r="11" spans="1:10" ht="42.75" customHeight="1" x14ac:dyDescent="0.25">
      <c r="A11" s="48">
        <v>4509</v>
      </c>
      <c r="B11" s="71" t="s">
        <v>4</v>
      </c>
      <c r="C11" s="72" t="s">
        <v>333</v>
      </c>
      <c r="D11" s="46" t="s">
        <v>334</v>
      </c>
      <c r="E11" s="73">
        <v>3.2082999999999999</v>
      </c>
      <c r="F11" s="47">
        <v>5.68</v>
      </c>
      <c r="G11" s="47">
        <f t="shared" ref="G11:G17" si="0">TRUNC(E11*F11,2)</f>
        <v>18.22</v>
      </c>
    </row>
    <row r="12" spans="1:10" ht="28.5" customHeight="1" x14ac:dyDescent="0.25">
      <c r="A12" s="48">
        <v>4813</v>
      </c>
      <c r="B12" s="71" t="s">
        <v>4</v>
      </c>
      <c r="C12" s="72" t="s">
        <v>325</v>
      </c>
      <c r="D12" s="46" t="s">
        <v>326</v>
      </c>
      <c r="E12" s="73">
        <v>1</v>
      </c>
      <c r="F12" s="47">
        <v>250</v>
      </c>
      <c r="G12" s="47">
        <f t="shared" si="0"/>
        <v>250</v>
      </c>
    </row>
    <row r="13" spans="1:10" ht="42.75" customHeight="1" x14ac:dyDescent="0.25">
      <c r="A13" s="48">
        <v>5065</v>
      </c>
      <c r="B13" s="71" t="s">
        <v>4</v>
      </c>
      <c r="C13" s="72" t="s">
        <v>344</v>
      </c>
      <c r="D13" s="46" t="s">
        <v>342</v>
      </c>
      <c r="E13" s="73">
        <v>1.1299999999999999E-2</v>
      </c>
      <c r="F13" s="47">
        <v>36.57</v>
      </c>
      <c r="G13" s="47">
        <f t="shared" si="0"/>
        <v>0.41</v>
      </c>
    </row>
    <row r="14" spans="1:10" ht="42.75" customHeight="1" x14ac:dyDescent="0.25">
      <c r="A14" s="48">
        <v>5069</v>
      </c>
      <c r="B14" s="71" t="s">
        <v>4</v>
      </c>
      <c r="C14" s="72" t="s">
        <v>346</v>
      </c>
      <c r="D14" s="46" t="s">
        <v>342</v>
      </c>
      <c r="E14" s="73">
        <v>1.32E-2</v>
      </c>
      <c r="F14" s="47">
        <v>19.59</v>
      </c>
      <c r="G14" s="47">
        <f t="shared" si="0"/>
        <v>0.25</v>
      </c>
    </row>
    <row r="15" spans="1:10" x14ac:dyDescent="0.25">
      <c r="A15" s="48">
        <v>102234</v>
      </c>
      <c r="B15" s="71" t="s">
        <v>1</v>
      </c>
      <c r="C15" s="72" t="s">
        <v>2891</v>
      </c>
      <c r="D15" s="46" t="s">
        <v>33</v>
      </c>
      <c r="E15" s="73">
        <v>0.5</v>
      </c>
      <c r="F15" s="47">
        <v>23.12</v>
      </c>
      <c r="G15" s="47">
        <f t="shared" si="0"/>
        <v>11.56</v>
      </c>
    </row>
    <row r="16" spans="1:10" x14ac:dyDescent="0.25">
      <c r="A16" s="48">
        <v>88262</v>
      </c>
      <c r="B16" s="71" t="s">
        <v>1</v>
      </c>
      <c r="C16" s="72" t="s">
        <v>2892</v>
      </c>
      <c r="D16" s="46" t="s">
        <v>2890</v>
      </c>
      <c r="E16" s="73">
        <v>0.37290000000000001</v>
      </c>
      <c r="F16" s="47">
        <v>25.26</v>
      </c>
      <c r="G16" s="47">
        <f t="shared" si="0"/>
        <v>9.41</v>
      </c>
    </row>
    <row r="17" spans="1:10" x14ac:dyDescent="0.25">
      <c r="A17" s="48">
        <v>88316</v>
      </c>
      <c r="B17" s="71" t="s">
        <v>1</v>
      </c>
      <c r="C17" s="72" t="s">
        <v>2893</v>
      </c>
      <c r="D17" s="46" t="s">
        <v>2890</v>
      </c>
      <c r="E17" s="73">
        <v>1.1186</v>
      </c>
      <c r="F17" s="47">
        <v>20.32</v>
      </c>
      <c r="G17" s="47">
        <f t="shared" si="0"/>
        <v>22.72</v>
      </c>
    </row>
    <row r="18" spans="1:10" ht="21.75" customHeight="1" x14ac:dyDescent="0.25">
      <c r="A18" s="1205" t="s">
        <v>31</v>
      </c>
      <c r="B18" s="1205"/>
      <c r="C18" s="1205"/>
      <c r="D18" s="1205"/>
      <c r="E18" s="1205"/>
      <c r="F18" s="1205"/>
      <c r="G18" s="52">
        <f>SUM(G11:G17)</f>
        <v>312.57000000000005</v>
      </c>
    </row>
    <row r="19" spans="1:10" ht="21.75" customHeight="1" x14ac:dyDescent="0.25">
      <c r="A19" s="1206" t="s">
        <v>37</v>
      </c>
      <c r="B19" s="1207"/>
      <c r="C19" s="1207"/>
      <c r="D19" s="1207"/>
      <c r="E19" s="1207"/>
      <c r="F19" s="1207"/>
      <c r="G19" s="1208"/>
    </row>
    <row r="20" spans="1:10" ht="15" x14ac:dyDescent="0.25">
      <c r="A20" s="74"/>
      <c r="B20" s="75"/>
      <c r="C20" s="75"/>
      <c r="D20" s="75"/>
      <c r="E20" s="75"/>
      <c r="F20" s="75"/>
      <c r="G20" s="76"/>
    </row>
    <row r="21" spans="1:10" ht="15" x14ac:dyDescent="0.25">
      <c r="A21" s="77"/>
      <c r="B21"/>
      <c r="C21"/>
      <c r="D21"/>
      <c r="E21" s="78"/>
      <c r="F21"/>
      <c r="G21" s="79"/>
    </row>
    <row r="22" spans="1:10" s="53" customFormat="1" ht="15" x14ac:dyDescent="0.25">
      <c r="A22" s="77"/>
      <c r="B22"/>
      <c r="C22"/>
      <c r="D22"/>
      <c r="E22" s="78"/>
      <c r="F22"/>
      <c r="G22" s="79"/>
      <c r="J22" s="6"/>
    </row>
    <row r="23" spans="1:10" s="53" customFormat="1" ht="15" x14ac:dyDescent="0.25">
      <c r="A23" s="77"/>
      <c r="B23"/>
      <c r="C23"/>
      <c r="D23"/>
      <c r="E23" s="78"/>
      <c r="F23"/>
      <c r="G23" s="79"/>
    </row>
    <row r="24" spans="1:10" s="53" customFormat="1" ht="15" x14ac:dyDescent="0.25">
      <c r="A24" s="77"/>
      <c r="B24"/>
      <c r="C24"/>
      <c r="D24"/>
      <c r="E24" s="78"/>
      <c r="F24"/>
      <c r="G24" s="79"/>
    </row>
    <row r="25" spans="1:10" ht="15" x14ac:dyDescent="0.25">
      <c r="A25" s="77"/>
      <c r="B25"/>
      <c r="C25"/>
      <c r="D25"/>
      <c r="E25"/>
      <c r="F25"/>
      <c r="G25" s="79"/>
      <c r="J25" s="53"/>
    </row>
    <row r="26" spans="1:10" s="53" customFormat="1" ht="15" x14ac:dyDescent="0.25">
      <c r="A26" s="77"/>
      <c r="B26"/>
      <c r="C26"/>
      <c r="D26"/>
      <c r="E26"/>
      <c r="F26"/>
      <c r="G26" s="79"/>
      <c r="J26" s="6"/>
    </row>
    <row r="27" spans="1:10" s="53" customFormat="1" ht="15" x14ac:dyDescent="0.25">
      <c r="A27" s="77"/>
      <c r="B27"/>
      <c r="C27"/>
      <c r="D27"/>
      <c r="E27"/>
      <c r="F27"/>
      <c r="G27" s="79"/>
    </row>
    <row r="28" spans="1:10" ht="15" x14ac:dyDescent="0.25">
      <c r="A28" s="77"/>
      <c r="B28"/>
      <c r="C28"/>
      <c r="D28"/>
      <c r="E28"/>
      <c r="F28"/>
      <c r="G28" s="79"/>
      <c r="J28" s="53"/>
    </row>
    <row r="29" spans="1:10" ht="15" x14ac:dyDescent="0.25">
      <c r="A29" s="77"/>
      <c r="B29"/>
      <c r="C29"/>
      <c r="D29"/>
      <c r="E29"/>
      <c r="F29"/>
      <c r="G29" s="79"/>
    </row>
    <row r="30" spans="1:10" ht="15" x14ac:dyDescent="0.25">
      <c r="A30" s="77"/>
      <c r="B30"/>
      <c r="C30"/>
      <c r="D30"/>
      <c r="E30"/>
      <c r="F30"/>
      <c r="G30" s="79"/>
    </row>
    <row r="31" spans="1:10" ht="15" x14ac:dyDescent="0.25">
      <c r="A31" s="77"/>
      <c r="B31"/>
      <c r="C31"/>
      <c r="D31" s="78"/>
      <c r="E31"/>
      <c r="F31"/>
      <c r="G31" s="79"/>
    </row>
    <row r="32" spans="1:10" ht="15" x14ac:dyDescent="0.25">
      <c r="A32" s="77"/>
      <c r="B32"/>
      <c r="C32"/>
      <c r="D32"/>
      <c r="E32"/>
      <c r="F32"/>
      <c r="G32" s="79"/>
    </row>
    <row r="33" spans="1:10" ht="15" x14ac:dyDescent="0.25">
      <c r="A33" s="77"/>
      <c r="B33"/>
      <c r="C33"/>
      <c r="D33"/>
      <c r="E33"/>
      <c r="F33"/>
      <c r="G33" s="79"/>
    </row>
    <row r="34" spans="1:10" ht="15" x14ac:dyDescent="0.25">
      <c r="A34" s="77"/>
      <c r="B34"/>
      <c r="C34"/>
      <c r="D34"/>
      <c r="E34"/>
      <c r="F34"/>
      <c r="G34" s="79"/>
      <c r="J34" s="80"/>
    </row>
    <row r="35" spans="1:10" ht="15" x14ac:dyDescent="0.25">
      <c r="A35" s="77" t="s">
        <v>38</v>
      </c>
      <c r="B35"/>
      <c r="C35"/>
      <c r="D35" s="81" t="s">
        <v>39</v>
      </c>
      <c r="E35"/>
      <c r="F35"/>
      <c r="G35" s="79"/>
      <c r="J35" s="80"/>
    </row>
    <row r="36" spans="1:10" ht="15" x14ac:dyDescent="0.25">
      <c r="A36" s="77"/>
      <c r="B36"/>
      <c r="C36"/>
      <c r="D36"/>
      <c r="E36"/>
      <c r="F36"/>
      <c r="G36" s="79"/>
      <c r="J36" s="80"/>
    </row>
    <row r="37" spans="1:10" ht="15" x14ac:dyDescent="0.25">
      <c r="A37" s="77"/>
      <c r="B37" s="82"/>
      <c r="C37"/>
      <c r="D37"/>
      <c r="E37"/>
      <c r="F37"/>
      <c r="G37" s="79"/>
      <c r="J37" s="80"/>
    </row>
    <row r="38" spans="1:10" s="84" customFormat="1" ht="15" x14ac:dyDescent="0.25">
      <c r="A38" s="83" t="s">
        <v>40</v>
      </c>
      <c r="C38"/>
      <c r="D38"/>
      <c r="E38"/>
      <c r="F38"/>
      <c r="G38" s="79"/>
      <c r="J38" s="6"/>
    </row>
    <row r="39" spans="1:10" s="84" customFormat="1" ht="15" x14ac:dyDescent="0.25">
      <c r="A39" s="83"/>
      <c r="B39" s="80"/>
      <c r="D39" s="80"/>
      <c r="E39" s="80"/>
      <c r="F39" s="80"/>
      <c r="G39" s="85"/>
    </row>
    <row r="40" spans="1:10" s="84" customFormat="1" ht="15" x14ac:dyDescent="0.25">
      <c r="A40" s="83"/>
      <c r="B40" s="80" t="s">
        <v>41</v>
      </c>
      <c r="F40" s="80"/>
      <c r="G40" s="85"/>
    </row>
    <row r="41" spans="1:10" s="84" customFormat="1" ht="15" x14ac:dyDescent="0.25">
      <c r="A41" s="83"/>
      <c r="B41" s="80"/>
      <c r="F41" s="80"/>
      <c r="G41" s="85"/>
    </row>
    <row r="42" spans="1:10" s="84" customFormat="1" ht="15" x14ac:dyDescent="0.25">
      <c r="A42" s="77" t="s">
        <v>42</v>
      </c>
      <c r="F42" s="80"/>
      <c r="G42" s="85"/>
    </row>
    <row r="43" spans="1:10" s="84" customFormat="1" ht="15" x14ac:dyDescent="0.25">
      <c r="A43" s="86"/>
      <c r="B43" s="87"/>
      <c r="C43" s="88"/>
      <c r="D43" s="88"/>
      <c r="E43" s="88"/>
      <c r="F43" s="87"/>
      <c r="G43" s="89"/>
    </row>
    <row r="44" spans="1:10" s="84" customFormat="1" ht="15" x14ac:dyDescent="0.25">
      <c r="A44" s="83"/>
      <c r="B44" s="80"/>
      <c r="F44" s="80"/>
      <c r="G44" s="85"/>
    </row>
    <row r="45" spans="1:10" s="84" customFormat="1" ht="15" x14ac:dyDescent="0.25">
      <c r="A45" s="83"/>
      <c r="B45" s="80"/>
      <c r="F45" s="80"/>
      <c r="G45" s="85"/>
    </row>
    <row r="46" spans="1:10" s="84" customFormat="1" ht="15" x14ac:dyDescent="0.25">
      <c r="A46" s="83"/>
      <c r="B46" s="80"/>
      <c r="C46" s="80"/>
      <c r="F46" s="80"/>
      <c r="G46" s="85"/>
    </row>
    <row r="47" spans="1:10" s="84" customFormat="1" ht="15" x14ac:dyDescent="0.25">
      <c r="A47" s="83"/>
      <c r="B47" s="80"/>
      <c r="C47" s="80"/>
      <c r="D47" s="80"/>
      <c r="E47" s="80"/>
      <c r="F47" s="80"/>
      <c r="G47" s="85"/>
    </row>
    <row r="48" spans="1:10" s="84" customFormat="1" ht="15" x14ac:dyDescent="0.25">
      <c r="A48" s="83"/>
      <c r="B48" s="80"/>
      <c r="C48" s="80"/>
      <c r="D48" s="80"/>
      <c r="E48" s="80"/>
      <c r="F48" s="80"/>
      <c r="G48" s="85"/>
    </row>
    <row r="49" spans="1:7" s="84" customFormat="1" ht="15" x14ac:dyDescent="0.25">
      <c r="A49" s="83"/>
      <c r="B49" s="80"/>
      <c r="C49" s="80"/>
      <c r="D49" s="80"/>
      <c r="E49" s="80"/>
      <c r="F49" s="80"/>
      <c r="G49" s="85"/>
    </row>
    <row r="50" spans="1:7" s="84" customFormat="1" ht="15" x14ac:dyDescent="0.25">
      <c r="A50" s="83"/>
      <c r="B50" s="80"/>
      <c r="C50" s="80"/>
      <c r="D50" s="80"/>
      <c r="E50" s="80"/>
      <c r="F50" s="80"/>
      <c r="G50" s="85"/>
    </row>
    <row r="51" spans="1:7" s="84" customFormat="1" ht="15" x14ac:dyDescent="0.25">
      <c r="A51" s="83"/>
      <c r="B51" s="80"/>
      <c r="C51" s="80"/>
      <c r="D51" s="80"/>
      <c r="E51" s="80"/>
      <c r="F51" s="80"/>
      <c r="G51" s="85"/>
    </row>
    <row r="52" spans="1:7" s="84" customFormat="1" ht="15" x14ac:dyDescent="0.25">
      <c r="A52" s="83"/>
      <c r="B52" s="80"/>
      <c r="C52" s="80"/>
      <c r="D52" s="80"/>
      <c r="E52" s="80"/>
      <c r="F52" s="80"/>
      <c r="G52" s="85"/>
    </row>
    <row r="53" spans="1:7" s="84" customFormat="1" ht="15" x14ac:dyDescent="0.25">
      <c r="A53" s="86"/>
      <c r="B53" s="87"/>
      <c r="C53" s="87"/>
      <c r="D53" s="87"/>
      <c r="E53" s="87"/>
      <c r="F53" s="87"/>
      <c r="G53" s="89"/>
    </row>
  </sheetData>
  <mergeCells count="9">
    <mergeCell ref="A18:F18"/>
    <mergeCell ref="A19:G19"/>
    <mergeCell ref="A5:G5"/>
    <mergeCell ref="C6:C7"/>
    <mergeCell ref="A9:A10"/>
    <mergeCell ref="B9:B10"/>
    <mergeCell ref="C9:C10"/>
    <mergeCell ref="D9:D10"/>
    <mergeCell ref="E9:E10"/>
  </mergeCells>
  <dataValidations disablePrompts="1" count="1">
    <dataValidation type="list" allowBlank="1" showInputMessage="1" showErrorMessage="1" sqref="B11" xr:uid="{421ED004-BF41-4705-B5C4-6D09E5777265}">
      <formula1>$J$1:$J$8</formula1>
    </dataValidation>
  </dataValidations>
  <printOptions horizontalCentered="1"/>
  <pageMargins left="0.59055118110236227" right="0.59055118110236227" top="1.7716535433070868" bottom="0.78740157480314965" header="0" footer="0"/>
  <pageSetup paperSize="9" scale="43" orientation="landscape" r:id="rId1"/>
  <headerFooter scaleWithDoc="0">
    <oddHeader>&amp;L&amp;G</oddHeader>
    <oddFooter>&amp;C&amp;"-,Negrito"&amp;12DIONI CAETANEO DE OLIVEIRA
&amp;"-,Regular"ENGENHEIRO CIVIL - CREA /MT 40957
DEPARTAMENTO DE ENGENHARIA</oddFooter>
  </headerFooter>
  <rowBreaks count="1" manualBreakCount="1">
    <brk id="18" max="6" man="1"/>
  </rowBreaks>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C350D-8087-4F3F-9ABD-A7ABC86BD8ED}">
  <sheetPr codeName="Plan13">
    <tabColor rgb="FFC00000"/>
    <pageSetUpPr fitToPage="1"/>
  </sheetPr>
  <dimension ref="B1:IE82"/>
  <sheetViews>
    <sheetView showGridLines="0" view="pageLayout" topLeftCell="A4" zoomScale="60" zoomScaleNormal="70" zoomScaleSheetLayoutView="70" zoomScalePageLayoutView="60" workbookViewId="0">
      <selection activeCell="L79" sqref="L79"/>
    </sheetView>
  </sheetViews>
  <sheetFormatPr defaultColWidth="9.140625" defaultRowHeight="14.25" x14ac:dyDescent="0.2"/>
  <cols>
    <col min="1" max="2" width="9.140625" style="593"/>
    <col min="3" max="3" width="6" style="593" customWidth="1"/>
    <col min="4" max="4" width="30.7109375" style="593" customWidth="1"/>
    <col min="5" max="5" width="14.140625" style="593" customWidth="1"/>
    <col min="6" max="6" width="23.42578125" style="593" customWidth="1"/>
    <col min="7" max="7" width="17.28515625" style="593" bestFit="1" customWidth="1"/>
    <col min="8" max="10" width="17" style="593" customWidth="1"/>
    <col min="11" max="11" width="17.85546875" style="593" bestFit="1" customWidth="1"/>
    <col min="12" max="12" width="22.7109375" style="593" customWidth="1"/>
    <col min="13" max="13" width="9.140625" style="593"/>
    <col min="14" max="14" width="15.7109375" style="593" customWidth="1"/>
    <col min="15" max="15" width="15" style="593" bestFit="1" customWidth="1"/>
    <col min="16" max="16" width="13.7109375" style="593" customWidth="1"/>
    <col min="17" max="17" width="13.85546875" style="593" bestFit="1" customWidth="1"/>
    <col min="18" max="16384" width="9.140625" style="593"/>
  </cols>
  <sheetData>
    <row r="1" spans="2:16" ht="18" customHeight="1" x14ac:dyDescent="0.2">
      <c r="B1" s="1" t="s">
        <v>0</v>
      </c>
      <c r="C1" s="590"/>
      <c r="D1" s="2" t="str">
        <f>'ORÇAMENTO - GERAL'!H1</f>
        <v>PAVIMENTAÇÃO ASFÁLTICA E DRENAGEM</v>
      </c>
      <c r="E1" s="590"/>
      <c r="F1" s="590"/>
      <c r="G1" s="591"/>
      <c r="H1" s="591"/>
      <c r="I1" s="591"/>
      <c r="J1" s="591"/>
      <c r="K1" s="592"/>
      <c r="L1" s="488"/>
    </row>
    <row r="2" spans="2:16" ht="18" customHeight="1" x14ac:dyDescent="0.2">
      <c r="B2" s="8" t="s">
        <v>2</v>
      </c>
      <c r="D2" s="9" t="str">
        <f>'ORÇAMENTO - GERAL'!H2</f>
        <v>RUAS DIVERSAS - BAIRRO JARDIM PLANALTO</v>
      </c>
      <c r="G2" s="594"/>
      <c r="H2" s="594"/>
      <c r="I2" s="594"/>
      <c r="J2" s="594"/>
      <c r="K2" s="595"/>
      <c r="L2" s="492"/>
    </row>
    <row r="3" spans="2:16" ht="18" customHeight="1" x14ac:dyDescent="0.2">
      <c r="B3" s="8" t="s">
        <v>5</v>
      </c>
      <c r="D3" s="9" t="str">
        <f>'ORÇAMENTO - GERAL'!H3</f>
        <v>MUNICÍPIO DE ARIPUANÃ</v>
      </c>
      <c r="G3" s="594"/>
      <c r="H3" s="594"/>
      <c r="I3" s="594"/>
      <c r="J3" s="594"/>
      <c r="K3" s="595"/>
      <c r="L3" s="596"/>
    </row>
    <row r="4" spans="2:16" ht="18" customHeight="1" x14ac:dyDescent="0.2">
      <c r="B4" s="14" t="s">
        <v>7</v>
      </c>
      <c r="C4" s="597"/>
      <c r="D4" s="15" t="str">
        <f ca="1">'ORÇAMENTO - GERAL'!H4</f>
        <v>DEZEMBRO/2024</v>
      </c>
      <c r="E4" s="597"/>
      <c r="F4" s="597"/>
      <c r="G4" s="598"/>
      <c r="H4" s="598"/>
      <c r="I4" s="598"/>
      <c r="J4" s="598"/>
      <c r="K4" s="599"/>
      <c r="L4" s="600"/>
    </row>
    <row r="5" spans="2:16" ht="30" customHeight="1" x14ac:dyDescent="0.2">
      <c r="B5" s="1430" t="str">
        <f>CONCATENATE("CRONOGRAMA FÍSICO FINANCEIRO - ",'ORÇAMENTO - GERAL'!R2)</f>
        <v>CRONOGRAMA FÍSICO FINANCEIRO - NÃO DESONERADO</v>
      </c>
      <c r="C5" s="1431"/>
      <c r="D5" s="1431"/>
      <c r="E5" s="1431"/>
      <c r="F5" s="1431"/>
      <c r="G5" s="1431"/>
      <c r="H5" s="1431"/>
      <c r="I5" s="1431"/>
      <c r="J5" s="1431"/>
      <c r="K5" s="1431"/>
      <c r="L5" s="1432"/>
    </row>
    <row r="6" spans="2:16" ht="30" customHeight="1" x14ac:dyDescent="0.2">
      <c r="B6" s="601" t="s">
        <v>527</v>
      </c>
      <c r="C6" s="1433" t="s">
        <v>237</v>
      </c>
      <c r="D6" s="1433"/>
      <c r="E6" s="1433"/>
      <c r="F6" s="602" t="s">
        <v>394</v>
      </c>
      <c r="G6" s="603">
        <v>30</v>
      </c>
      <c r="H6" s="603">
        <v>60</v>
      </c>
      <c r="I6" s="603">
        <v>90</v>
      </c>
      <c r="J6" s="603">
        <v>120</v>
      </c>
      <c r="K6" s="603">
        <v>150</v>
      </c>
      <c r="L6" s="603">
        <v>180</v>
      </c>
    </row>
    <row r="7" spans="2:16" ht="18" customHeight="1" x14ac:dyDescent="0.2">
      <c r="B7" s="1434" t="s">
        <v>355</v>
      </c>
      <c r="C7" s="1435" t="str">
        <f>'ORÇAMENTO - GERAL'!L8</f>
        <v>ADMINISTRAÇÃO LOCAL</v>
      </c>
      <c r="D7" s="1435"/>
      <c r="E7" s="1435"/>
      <c r="F7" s="605">
        <f>'ORÇAMENTO - GERAL'!R8</f>
        <v>189613.08</v>
      </c>
      <c r="G7" s="606">
        <f t="shared" ref="G7:L7" si="0">$F7*G8</f>
        <v>8168.8666445537192</v>
      </c>
      <c r="H7" s="606">
        <f t="shared" si="0"/>
        <v>12110.169501713777</v>
      </c>
      <c r="I7" s="606">
        <f t="shared" si="0"/>
        <v>40685.675207638626</v>
      </c>
      <c r="J7" s="606">
        <f t="shared" si="0"/>
        <v>37033.979261303255</v>
      </c>
      <c r="K7" s="606">
        <f t="shared" si="0"/>
        <v>42529.627073694071</v>
      </c>
      <c r="L7" s="607">
        <f t="shared" si="0"/>
        <v>49084.762311096529</v>
      </c>
      <c r="N7" s="610">
        <f>SUM(G7:L7)</f>
        <v>189613.08</v>
      </c>
      <c r="O7" s="593" t="b">
        <f>N7=F7</f>
        <v>1</v>
      </c>
      <c r="P7" s="611"/>
    </row>
    <row r="8" spans="2:16" ht="18" customHeight="1" x14ac:dyDescent="0.2">
      <c r="B8" s="1434"/>
      <c r="C8" s="1435"/>
      <c r="D8" s="1435"/>
      <c r="E8" s="1435"/>
      <c r="F8" s="608">
        <f>SUM(G8:L8)</f>
        <v>1</v>
      </c>
      <c r="G8" s="608">
        <f t="shared" ref="G8:L8" si="1">(G9+G11+G13+G15+G19+G21)/($F$9+$F$11+$F$13+$F$15+$F$19+$F21)</f>
        <v>4.3081767589839899E-2</v>
      </c>
      <c r="H8" s="608">
        <f>(H9+H11+H13+H15+H19+H21)/($F$9+$F$11+$F$13+$F$15+$F$19+$F21)</f>
        <v>6.3867795943791314E-2</v>
      </c>
      <c r="I8" s="608">
        <f t="shared" si="1"/>
        <v>0.21457209179682449</v>
      </c>
      <c r="J8" s="608">
        <f t="shared" si="1"/>
        <v>0.19531342068439192</v>
      </c>
      <c r="K8" s="608">
        <f t="shared" si="1"/>
        <v>0.22429690543339137</v>
      </c>
      <c r="L8" s="609">
        <f t="shared" si="1"/>
        <v>0.25886801855176095</v>
      </c>
      <c r="N8" s="612"/>
      <c r="P8" s="611"/>
    </row>
    <row r="9" spans="2:16" ht="18" customHeight="1" x14ac:dyDescent="0.2">
      <c r="B9" s="1434" t="s">
        <v>189</v>
      </c>
      <c r="C9" s="1435" t="str">
        <f>'ORÇAMENTO - GERAL'!L10</f>
        <v>SERVIÇOS PRELIMINARES</v>
      </c>
      <c r="D9" s="1435"/>
      <c r="E9" s="1435"/>
      <c r="F9" s="605">
        <f>'ORÇAMENTO - GERAL'!R10</f>
        <v>53413.07</v>
      </c>
      <c r="G9" s="606">
        <f t="shared" ref="G9:L9" si="2">$F9*G10</f>
        <v>53413.07</v>
      </c>
      <c r="H9" s="606">
        <f t="shared" si="2"/>
        <v>0</v>
      </c>
      <c r="I9" s="606">
        <f t="shared" si="2"/>
        <v>0</v>
      </c>
      <c r="J9" s="606">
        <f t="shared" si="2"/>
        <v>0</v>
      </c>
      <c r="K9" s="606">
        <f t="shared" si="2"/>
        <v>0</v>
      </c>
      <c r="L9" s="607">
        <f t="shared" si="2"/>
        <v>0</v>
      </c>
      <c r="N9" s="610">
        <f>SUM(G9:L9)</f>
        <v>53413.07</v>
      </c>
      <c r="O9" s="593" t="b">
        <f>N9=F9</f>
        <v>1</v>
      </c>
      <c r="P9" s="611"/>
    </row>
    <row r="10" spans="2:16" ht="18" customHeight="1" x14ac:dyDescent="0.2">
      <c r="B10" s="1434"/>
      <c r="C10" s="1435"/>
      <c r="D10" s="1435"/>
      <c r="E10" s="1435"/>
      <c r="F10" s="608">
        <f>SUM(G10:L10)</f>
        <v>1</v>
      </c>
      <c r="G10" s="608">
        <v>1</v>
      </c>
      <c r="H10" s="608">
        <v>0</v>
      </c>
      <c r="I10" s="608">
        <v>0</v>
      </c>
      <c r="J10" s="608">
        <v>0</v>
      </c>
      <c r="K10" s="608">
        <v>0</v>
      </c>
      <c r="L10" s="609">
        <v>0</v>
      </c>
      <c r="N10" s="612"/>
      <c r="P10" s="611"/>
    </row>
    <row r="11" spans="2:16" ht="18" customHeight="1" x14ac:dyDescent="0.2">
      <c r="B11" s="1434" t="s">
        <v>193</v>
      </c>
      <c r="C11" s="1435" t="str">
        <f>'ORÇAMENTO - GERAL'!L14</f>
        <v>MOBILIZAÇÃO E DESMOBILIZAÇÃO</v>
      </c>
      <c r="D11" s="1435"/>
      <c r="E11" s="1435"/>
      <c r="F11" s="605">
        <f>'ORÇAMENTO - GERAL'!R14</f>
        <v>287429.82</v>
      </c>
      <c r="G11" s="606">
        <f t="shared" ref="G11:L11" si="3">$F11*G12</f>
        <v>143714.91</v>
      </c>
      <c r="H11" s="606">
        <f t="shared" si="3"/>
        <v>0</v>
      </c>
      <c r="I11" s="606">
        <f t="shared" si="3"/>
        <v>0</v>
      </c>
      <c r="J11" s="606">
        <f t="shared" si="3"/>
        <v>0</v>
      </c>
      <c r="K11" s="606">
        <f t="shared" si="3"/>
        <v>0</v>
      </c>
      <c r="L11" s="607">
        <f t="shared" si="3"/>
        <v>143714.91</v>
      </c>
      <c r="N11" s="610">
        <f>SUM(G11:L11)</f>
        <v>287429.82</v>
      </c>
      <c r="O11" s="593" t="b">
        <f>N11=F11</f>
        <v>1</v>
      </c>
      <c r="P11" s="611"/>
    </row>
    <row r="12" spans="2:16" ht="18" customHeight="1" x14ac:dyDescent="0.2">
      <c r="B12" s="1434"/>
      <c r="C12" s="1435"/>
      <c r="D12" s="1435"/>
      <c r="E12" s="1435"/>
      <c r="F12" s="608">
        <f>SUM(G12:L12)</f>
        <v>1</v>
      </c>
      <c r="G12" s="608">
        <v>0.5</v>
      </c>
      <c r="H12" s="608">
        <v>0</v>
      </c>
      <c r="I12" s="608">
        <v>0</v>
      </c>
      <c r="J12" s="608">
        <v>0</v>
      </c>
      <c r="K12" s="608">
        <v>0</v>
      </c>
      <c r="L12" s="609">
        <v>0.5</v>
      </c>
      <c r="N12" s="612"/>
      <c r="P12" s="611"/>
    </row>
    <row r="13" spans="2:16" ht="18" customHeight="1" x14ac:dyDescent="0.2">
      <c r="B13" s="1434" t="s">
        <v>370</v>
      </c>
      <c r="C13" s="1435" t="str">
        <f>'ORÇAMENTO - GERAL'!L17</f>
        <v>TERRAPLANAGEM</v>
      </c>
      <c r="D13" s="1435"/>
      <c r="E13" s="1435"/>
      <c r="F13" s="605">
        <f>'ORÇAMENTO - GERAL'!R17</f>
        <v>181619.87</v>
      </c>
      <c r="G13" s="606">
        <f>$F13*G14</f>
        <v>108971.92199999999</v>
      </c>
      <c r="H13" s="606">
        <f t="shared" ref="H13:L21" si="4">$F13*H14</f>
        <v>72647.948000000004</v>
      </c>
      <c r="I13" s="606">
        <f t="shared" si="4"/>
        <v>0</v>
      </c>
      <c r="J13" s="606">
        <f t="shared" si="4"/>
        <v>0</v>
      </c>
      <c r="K13" s="606">
        <f t="shared" si="4"/>
        <v>0</v>
      </c>
      <c r="L13" s="607">
        <f t="shared" si="4"/>
        <v>0</v>
      </c>
      <c r="N13" s="610">
        <f>SUM(G13:L13)</f>
        <v>181619.87</v>
      </c>
      <c r="O13" s="593" t="b">
        <f>N13=F13</f>
        <v>1</v>
      </c>
      <c r="P13" s="611"/>
    </row>
    <row r="14" spans="2:16" ht="18" customHeight="1" x14ac:dyDescent="0.2">
      <c r="B14" s="1434"/>
      <c r="C14" s="1435"/>
      <c r="D14" s="1435"/>
      <c r="E14" s="1435"/>
      <c r="F14" s="608">
        <f>SUM(G14:L14)</f>
        <v>1</v>
      </c>
      <c r="G14" s="608">
        <v>0.6</v>
      </c>
      <c r="H14" s="608">
        <v>0.4</v>
      </c>
      <c r="I14" s="608">
        <v>0</v>
      </c>
      <c r="J14" s="608">
        <v>0</v>
      </c>
      <c r="K14" s="608">
        <v>0</v>
      </c>
      <c r="L14" s="609">
        <v>0</v>
      </c>
      <c r="N14" s="612"/>
      <c r="P14" s="611"/>
    </row>
    <row r="15" spans="2:16" ht="18" customHeight="1" x14ac:dyDescent="0.2">
      <c r="B15" s="1434" t="s">
        <v>395</v>
      </c>
      <c r="C15" s="1435" t="str">
        <f>'ORÇAMENTO - GERAL'!L22</f>
        <v>PAVIMENTAÇÃO</v>
      </c>
      <c r="D15" s="1435"/>
      <c r="E15" s="1435"/>
      <c r="F15" s="605">
        <f>'ORÇAMENTO - GERAL'!R22</f>
        <v>3811385.8800000004</v>
      </c>
      <c r="G15" s="606">
        <f>$F15*G16</f>
        <v>0</v>
      </c>
      <c r="H15" s="606">
        <f t="shared" si="4"/>
        <v>381138.58800000005</v>
      </c>
      <c r="I15" s="606">
        <f t="shared" si="4"/>
        <v>1524554.3520000002</v>
      </c>
      <c r="J15" s="606">
        <f t="shared" si="4"/>
        <v>1143415.764</v>
      </c>
      <c r="K15" s="606">
        <f t="shared" si="4"/>
        <v>762277.17600000009</v>
      </c>
      <c r="L15" s="607">
        <f t="shared" si="4"/>
        <v>0</v>
      </c>
      <c r="N15" s="610">
        <f>SUM(G15:L15)</f>
        <v>3811385.88</v>
      </c>
      <c r="O15" s="593" t="b">
        <f>N15=F15</f>
        <v>1</v>
      </c>
      <c r="P15" s="611"/>
    </row>
    <row r="16" spans="2:16" ht="18" customHeight="1" x14ac:dyDescent="0.2">
      <c r="B16" s="1434"/>
      <c r="C16" s="1435"/>
      <c r="D16" s="1435"/>
      <c r="E16" s="1435"/>
      <c r="F16" s="608">
        <f>SUM(G16:L16)</f>
        <v>1</v>
      </c>
      <c r="G16" s="608">
        <v>0</v>
      </c>
      <c r="H16" s="608">
        <v>0.1</v>
      </c>
      <c r="I16" s="608">
        <v>0.4</v>
      </c>
      <c r="J16" s="608">
        <v>0.3</v>
      </c>
      <c r="K16" s="608">
        <v>0.2</v>
      </c>
      <c r="L16" s="609">
        <v>0</v>
      </c>
      <c r="N16" s="612"/>
      <c r="P16" s="611"/>
    </row>
    <row r="17" spans="2:239" ht="18" customHeight="1" x14ac:dyDescent="0.2">
      <c r="B17" s="1434" t="s">
        <v>379</v>
      </c>
      <c r="C17" s="1435" t="str">
        <f>'ORÇAMENTO - GERAL'!L43</f>
        <v>DRENAGEM</v>
      </c>
      <c r="D17" s="1435"/>
      <c r="E17" s="1435"/>
      <c r="F17" s="605">
        <f>'ORÇAMENTO - GERAL'!R43</f>
        <v>5926633.7599999979</v>
      </c>
      <c r="G17" s="606">
        <f>$F17*G18</f>
        <v>2963316.879999999</v>
      </c>
      <c r="H17" s="606">
        <f t="shared" si="4"/>
        <v>1185326.7519999996</v>
      </c>
      <c r="I17" s="606">
        <f t="shared" si="4"/>
        <v>592663.37599999981</v>
      </c>
      <c r="J17" s="606">
        <f t="shared" si="4"/>
        <v>0</v>
      </c>
      <c r="K17" s="606">
        <f t="shared" si="4"/>
        <v>0</v>
      </c>
      <c r="L17" s="607">
        <f t="shared" si="4"/>
        <v>1185326.7519999996</v>
      </c>
      <c r="N17" s="612"/>
      <c r="P17" s="611"/>
    </row>
    <row r="18" spans="2:239" ht="18" customHeight="1" x14ac:dyDescent="0.2">
      <c r="B18" s="1434"/>
      <c r="C18" s="1435"/>
      <c r="D18" s="1435"/>
      <c r="E18" s="1435"/>
      <c r="F18" s="608">
        <f>SUM(G18:L18)</f>
        <v>1</v>
      </c>
      <c r="G18" s="608">
        <v>0.5</v>
      </c>
      <c r="H18" s="608">
        <v>0.2</v>
      </c>
      <c r="I18" s="608">
        <v>0.1</v>
      </c>
      <c r="J18" s="608">
        <v>0</v>
      </c>
      <c r="K18" s="608">
        <v>0</v>
      </c>
      <c r="L18" s="609">
        <v>0.2</v>
      </c>
      <c r="N18" s="612"/>
      <c r="P18" s="611"/>
    </row>
    <row r="19" spans="2:239" ht="39.75" customHeight="1" x14ac:dyDescent="0.2">
      <c r="B19" s="1434" t="s">
        <v>532</v>
      </c>
      <c r="C19" s="1435" t="str">
        <f>'ORÇAMENTO - GERAL'!L69</f>
        <v>PASSEIO PÚBLICO E ACESSIBILIDADE UNIVERSAL</v>
      </c>
      <c r="D19" s="1435"/>
      <c r="E19" s="1435"/>
      <c r="F19" s="605">
        <f>'ORÇAMENTO - GERAL'!R69</f>
        <v>2443039.67</v>
      </c>
      <c r="G19" s="606">
        <f>$F19*G20</f>
        <v>0</v>
      </c>
      <c r="H19" s="606">
        <f t="shared" si="4"/>
        <v>0</v>
      </c>
      <c r="I19" s="606">
        <f t="shared" si="4"/>
        <v>0</v>
      </c>
      <c r="J19" s="606">
        <f t="shared" si="4"/>
        <v>244303.967</v>
      </c>
      <c r="K19" s="606">
        <f t="shared" si="4"/>
        <v>732911.90099999995</v>
      </c>
      <c r="L19" s="607">
        <f t="shared" si="4"/>
        <v>1465823.8019999999</v>
      </c>
      <c r="N19" s="612"/>
      <c r="P19" s="611"/>
    </row>
    <row r="20" spans="2:239" ht="18" customHeight="1" x14ac:dyDescent="0.2">
      <c r="B20" s="1434"/>
      <c r="C20" s="604"/>
      <c r="D20" s="604"/>
      <c r="E20" s="604"/>
      <c r="F20" s="608">
        <f>SUM(G20:L20)</f>
        <v>1</v>
      </c>
      <c r="G20" s="608">
        <v>0</v>
      </c>
      <c r="H20" s="608">
        <v>0</v>
      </c>
      <c r="I20" s="608">
        <v>0</v>
      </c>
      <c r="J20" s="608">
        <v>0.1</v>
      </c>
      <c r="K20" s="608">
        <v>0.3</v>
      </c>
      <c r="L20" s="609">
        <v>0.6</v>
      </c>
      <c r="N20" s="612"/>
      <c r="P20" s="611"/>
    </row>
    <row r="21" spans="2:239" ht="18" customHeight="1" x14ac:dyDescent="0.2">
      <c r="B21" s="1434" t="s">
        <v>533</v>
      </c>
      <c r="C21" s="1435" t="str">
        <f>'ORÇAMENTO - GERAL'!L79</f>
        <v>SINALIZAÇÃO VIÁRIA</v>
      </c>
      <c r="D21" s="1435"/>
      <c r="E21" s="1435"/>
      <c r="F21" s="605">
        <f>'ORÇAMENTO - GERAL'!R79</f>
        <v>328203.22000000003</v>
      </c>
      <c r="G21" s="606">
        <f>$F21*G22</f>
        <v>0</v>
      </c>
      <c r="H21" s="606">
        <f t="shared" si="4"/>
        <v>0</v>
      </c>
      <c r="I21" s="606">
        <f t="shared" si="4"/>
        <v>0</v>
      </c>
      <c r="J21" s="606">
        <f t="shared" si="4"/>
        <v>0</v>
      </c>
      <c r="K21" s="606">
        <f t="shared" si="4"/>
        <v>98460.966</v>
      </c>
      <c r="L21" s="607">
        <f t="shared" si="4"/>
        <v>229742.25400000002</v>
      </c>
      <c r="N21" s="612"/>
      <c r="P21" s="611"/>
    </row>
    <row r="22" spans="2:239" ht="18" customHeight="1" x14ac:dyDescent="0.2">
      <c r="B22" s="1434"/>
      <c r="C22" s="604"/>
      <c r="D22" s="604"/>
      <c r="E22" s="604"/>
      <c r="F22" s="608">
        <f>SUM(G22:L22)</f>
        <v>1</v>
      </c>
      <c r="G22" s="608">
        <v>0</v>
      </c>
      <c r="H22" s="608">
        <v>0</v>
      </c>
      <c r="I22" s="608">
        <v>0</v>
      </c>
      <c r="J22" s="608">
        <v>0</v>
      </c>
      <c r="K22" s="608">
        <v>0.3</v>
      </c>
      <c r="L22" s="609">
        <v>0.7</v>
      </c>
      <c r="N22" s="612"/>
      <c r="P22" s="611"/>
    </row>
    <row r="23" spans="2:239" ht="18" customHeight="1" x14ac:dyDescent="0.2">
      <c r="B23" s="613"/>
      <c r="C23" s="614"/>
      <c r="D23" s="614"/>
      <c r="E23" s="615" t="s">
        <v>396</v>
      </c>
      <c r="F23" s="616">
        <f>F7+F9+F11+F13+F15+F19+F21+F17</f>
        <v>13221338.369999997</v>
      </c>
      <c r="G23" s="617"/>
      <c r="H23" s="617"/>
      <c r="I23" s="617"/>
      <c r="J23" s="617"/>
      <c r="K23" s="617"/>
      <c r="L23" s="618"/>
      <c r="N23" s="612"/>
      <c r="P23" s="611"/>
    </row>
    <row r="24" spans="2:239" ht="18" customHeight="1" x14ac:dyDescent="0.2">
      <c r="B24" s="619"/>
      <c r="C24" s="620"/>
      <c r="D24" s="620"/>
      <c r="E24" s="621"/>
      <c r="F24" s="621" t="s">
        <v>397</v>
      </c>
      <c r="G24" s="622">
        <f t="shared" ref="G24:L24" si="5">IF($F$23&gt;0,G25/$F$23,0)</f>
        <v>0.24790120008437189</v>
      </c>
      <c r="H24" s="622">
        <f t="shared" si="5"/>
        <v>0.12489079481154779</v>
      </c>
      <c r="I24" s="622">
        <f t="shared" si="5"/>
        <v>0.16321368857059509</v>
      </c>
      <c r="J24" s="622">
        <f t="shared" si="5"/>
        <v>0.1077616857226916</v>
      </c>
      <c r="K24" s="622">
        <f t="shared" si="5"/>
        <v>0.12375295331570085</v>
      </c>
      <c r="L24" s="623">
        <f t="shared" si="5"/>
        <v>0.23247967749509282</v>
      </c>
      <c r="M24" s="624"/>
      <c r="N24" s="612"/>
      <c r="O24" s="625"/>
      <c r="P24" s="626"/>
      <c r="Q24" s="625"/>
      <c r="R24" s="625"/>
      <c r="S24" s="624"/>
      <c r="T24" s="627"/>
      <c r="U24" s="625"/>
      <c r="V24" s="625"/>
      <c r="W24" s="625"/>
      <c r="X24" s="625"/>
      <c r="Y24" s="624"/>
      <c r="Z24" s="627"/>
      <c r="AA24" s="625"/>
      <c r="AB24" s="625"/>
      <c r="AC24" s="625"/>
      <c r="AD24" s="625"/>
      <c r="AE24" s="624"/>
      <c r="AF24" s="627"/>
      <c r="AG24" s="625"/>
      <c r="AH24" s="625"/>
      <c r="AI24" s="625"/>
      <c r="AJ24" s="625"/>
      <c r="AK24" s="624"/>
      <c r="AL24" s="627"/>
      <c r="AM24" s="625"/>
      <c r="AN24" s="625"/>
      <c r="AO24" s="625"/>
      <c r="AP24" s="625"/>
      <c r="AQ24" s="624"/>
      <c r="AR24" s="627"/>
      <c r="AS24" s="625"/>
      <c r="AT24" s="625"/>
      <c r="AU24" s="625"/>
      <c r="AV24" s="625"/>
      <c r="AW24" s="624"/>
      <c r="AX24" s="627"/>
      <c r="AY24" s="625"/>
      <c r="AZ24" s="625"/>
      <c r="BA24" s="625"/>
      <c r="BB24" s="625"/>
      <c r="BC24" s="624"/>
      <c r="BD24" s="627"/>
      <c r="BE24" s="625"/>
      <c r="BF24" s="625"/>
      <c r="BG24" s="625"/>
      <c r="BH24" s="625"/>
      <c r="BI24" s="624"/>
      <c r="BJ24" s="627"/>
      <c r="BK24" s="625"/>
      <c r="BL24" s="625"/>
      <c r="BM24" s="625"/>
      <c r="BN24" s="625"/>
      <c r="BO24" s="624"/>
      <c r="BP24" s="627"/>
      <c r="BQ24" s="625"/>
      <c r="BR24" s="625"/>
      <c r="BS24" s="625"/>
      <c r="BT24" s="625"/>
      <c r="BU24" s="624"/>
      <c r="BV24" s="627"/>
      <c r="BW24" s="625"/>
      <c r="BX24" s="625"/>
      <c r="BY24" s="625"/>
      <c r="BZ24" s="625"/>
      <c r="CA24" s="624"/>
      <c r="CB24" s="627"/>
      <c r="CC24" s="625"/>
      <c r="CD24" s="625"/>
      <c r="CE24" s="625"/>
      <c r="CF24" s="625"/>
      <c r="CG24" s="624"/>
      <c r="CH24" s="627"/>
      <c r="CI24" s="625"/>
      <c r="CJ24" s="625"/>
      <c r="CK24" s="625"/>
      <c r="CL24" s="625"/>
      <c r="CM24" s="624"/>
      <c r="CN24" s="627"/>
      <c r="CO24" s="625"/>
      <c r="CP24" s="625"/>
      <c r="CQ24" s="625"/>
      <c r="CR24" s="625"/>
      <c r="CS24" s="624"/>
      <c r="CT24" s="627"/>
      <c r="CU24" s="625"/>
      <c r="CV24" s="625"/>
      <c r="CW24" s="625"/>
      <c r="CX24" s="625"/>
      <c r="CY24" s="624"/>
      <c r="CZ24" s="627"/>
      <c r="DA24" s="625"/>
      <c r="DB24" s="625"/>
      <c r="DC24" s="625"/>
      <c r="DD24" s="625"/>
      <c r="DE24" s="624"/>
      <c r="DF24" s="627"/>
      <c r="DG24" s="625"/>
      <c r="DH24" s="625"/>
      <c r="DI24" s="625"/>
      <c r="DJ24" s="625"/>
      <c r="DK24" s="624"/>
      <c r="DL24" s="627"/>
      <c r="DM24" s="625"/>
      <c r="DN24" s="625"/>
      <c r="DO24" s="625"/>
      <c r="DP24" s="625"/>
      <c r="DQ24" s="624"/>
      <c r="DR24" s="627"/>
      <c r="DS24" s="625"/>
      <c r="DT24" s="625"/>
      <c r="DU24" s="625"/>
      <c r="DV24" s="625"/>
      <c r="DW24" s="624"/>
      <c r="DX24" s="627"/>
      <c r="DY24" s="625"/>
      <c r="DZ24" s="625"/>
      <c r="EA24" s="625"/>
      <c r="EB24" s="625"/>
      <c r="EC24" s="624"/>
      <c r="ED24" s="627"/>
      <c r="EE24" s="625"/>
      <c r="EF24" s="625"/>
      <c r="EG24" s="625"/>
      <c r="EH24" s="625"/>
      <c r="EI24" s="624"/>
      <c r="EJ24" s="627"/>
      <c r="EK24" s="625"/>
      <c r="EL24" s="625"/>
      <c r="EM24" s="625"/>
      <c r="EN24" s="625"/>
      <c r="EO24" s="624"/>
      <c r="EP24" s="627"/>
      <c r="EQ24" s="625"/>
      <c r="ER24" s="625"/>
      <c r="ES24" s="625"/>
      <c r="ET24" s="625"/>
      <c r="EU24" s="624"/>
      <c r="EV24" s="627"/>
      <c r="EW24" s="625"/>
      <c r="EX24" s="625"/>
      <c r="EY24" s="625"/>
      <c r="EZ24" s="625"/>
      <c r="FA24" s="624"/>
      <c r="FB24" s="627"/>
      <c r="FC24" s="625"/>
      <c r="FD24" s="625"/>
      <c r="FE24" s="625"/>
      <c r="FF24" s="625"/>
      <c r="FG24" s="624"/>
      <c r="FH24" s="627"/>
      <c r="FI24" s="625"/>
      <c r="FJ24" s="625"/>
      <c r="FK24" s="625"/>
      <c r="FL24" s="625"/>
      <c r="FM24" s="624"/>
      <c r="FN24" s="627"/>
      <c r="FO24" s="625"/>
      <c r="FP24" s="625"/>
      <c r="FQ24" s="625"/>
      <c r="FR24" s="625"/>
      <c r="FS24" s="624"/>
      <c r="FT24" s="627"/>
      <c r="FU24" s="625"/>
      <c r="FV24" s="625"/>
      <c r="FW24" s="625"/>
      <c r="FX24" s="625"/>
      <c r="FY24" s="624"/>
      <c r="FZ24" s="627"/>
      <c r="GA24" s="625"/>
      <c r="GB24" s="625"/>
      <c r="GC24" s="625"/>
      <c r="GD24" s="625"/>
      <c r="GE24" s="624"/>
      <c r="GF24" s="627"/>
      <c r="GG24" s="625"/>
      <c r="GH24" s="625"/>
      <c r="GI24" s="625"/>
      <c r="GJ24" s="625"/>
      <c r="GK24" s="624"/>
      <c r="GL24" s="627"/>
      <c r="GM24" s="625"/>
      <c r="GN24" s="625"/>
      <c r="GO24" s="625"/>
      <c r="GP24" s="625"/>
      <c r="GQ24" s="624"/>
      <c r="GR24" s="627"/>
      <c r="GS24" s="625"/>
      <c r="GT24" s="625"/>
      <c r="GU24" s="625"/>
      <c r="GV24" s="625"/>
      <c r="GW24" s="624"/>
      <c r="GX24" s="627"/>
      <c r="GY24" s="625"/>
      <c r="GZ24" s="625"/>
      <c r="HA24" s="625"/>
      <c r="HB24" s="625"/>
      <c r="HC24" s="624"/>
      <c r="HD24" s="627"/>
      <c r="HE24" s="625"/>
      <c r="HF24" s="625"/>
      <c r="HG24" s="625"/>
      <c r="HH24" s="625"/>
      <c r="HI24" s="624"/>
      <c r="HJ24" s="627"/>
      <c r="HK24" s="625"/>
      <c r="HL24" s="625"/>
      <c r="HM24" s="625"/>
      <c r="HN24" s="625"/>
      <c r="HO24" s="624"/>
      <c r="HP24" s="627"/>
      <c r="HQ24" s="625"/>
      <c r="HR24" s="625"/>
      <c r="HS24" s="625"/>
      <c r="HT24" s="625"/>
      <c r="HU24" s="624"/>
      <c r="HV24" s="627"/>
      <c r="HW24" s="625"/>
      <c r="HX24" s="625"/>
      <c r="HY24" s="625"/>
      <c r="HZ24" s="625"/>
      <c r="IA24" s="624"/>
      <c r="IB24" s="627"/>
      <c r="IC24" s="625"/>
      <c r="ID24" s="625"/>
      <c r="IE24" s="625"/>
    </row>
    <row r="25" spans="2:239" ht="18" customHeight="1" x14ac:dyDescent="0.2">
      <c r="B25" s="619"/>
      <c r="C25" s="620"/>
      <c r="D25" s="620"/>
      <c r="E25" s="621"/>
      <c r="F25" s="621" t="s">
        <v>398</v>
      </c>
      <c r="G25" s="628">
        <f t="shared" ref="G25:L25" si="6">G7+G9+G11+G15+G13+G19+G21+G17</f>
        <v>3277585.6486445526</v>
      </c>
      <c r="H25" s="616">
        <f t="shared" si="6"/>
        <v>1651223.4575017134</v>
      </c>
      <c r="I25" s="616">
        <f t="shared" si="6"/>
        <v>2157903.4032076388</v>
      </c>
      <c r="J25" s="616">
        <f t="shared" si="6"/>
        <v>1424753.7102613032</v>
      </c>
      <c r="K25" s="616">
        <f t="shared" si="6"/>
        <v>1636179.6700736941</v>
      </c>
      <c r="L25" s="629">
        <f t="shared" si="6"/>
        <v>3073692.4803110957</v>
      </c>
      <c r="M25" s="624"/>
      <c r="N25" s="612"/>
      <c r="O25" s="625"/>
      <c r="P25" s="626"/>
      <c r="Q25" s="625"/>
      <c r="R25" s="625"/>
      <c r="S25" s="624"/>
      <c r="T25" s="627"/>
      <c r="U25" s="625"/>
      <c r="V25" s="625"/>
      <c r="W25" s="625"/>
      <c r="X25" s="625"/>
      <c r="Y25" s="624"/>
      <c r="Z25" s="627"/>
      <c r="AA25" s="625"/>
      <c r="AB25" s="625"/>
      <c r="AC25" s="625"/>
      <c r="AD25" s="625"/>
      <c r="AE25" s="624"/>
      <c r="AF25" s="627"/>
      <c r="AG25" s="625"/>
      <c r="AH25" s="625"/>
      <c r="AI25" s="625"/>
      <c r="AJ25" s="625"/>
      <c r="AK25" s="624"/>
      <c r="AL25" s="627"/>
      <c r="AM25" s="625"/>
      <c r="AN25" s="625"/>
      <c r="AO25" s="625"/>
      <c r="AP25" s="625"/>
      <c r="AQ25" s="624"/>
      <c r="AR25" s="627"/>
      <c r="AS25" s="625"/>
      <c r="AT25" s="625"/>
      <c r="AU25" s="625"/>
      <c r="AV25" s="625"/>
      <c r="AW25" s="624"/>
      <c r="AX25" s="627"/>
      <c r="AY25" s="625"/>
      <c r="AZ25" s="625"/>
      <c r="BA25" s="625"/>
      <c r="BB25" s="625"/>
      <c r="BC25" s="624"/>
      <c r="BD25" s="627"/>
      <c r="BE25" s="625"/>
      <c r="BF25" s="625"/>
      <c r="BG25" s="625"/>
      <c r="BH25" s="625"/>
      <c r="BI25" s="624"/>
      <c r="BJ25" s="627"/>
      <c r="BK25" s="625"/>
      <c r="BL25" s="625"/>
      <c r="BM25" s="625"/>
      <c r="BN25" s="625"/>
      <c r="BO25" s="624"/>
      <c r="BP25" s="627"/>
      <c r="BQ25" s="625"/>
      <c r="BR25" s="625"/>
      <c r="BS25" s="625"/>
      <c r="BT25" s="625"/>
      <c r="BU25" s="624"/>
      <c r="BV25" s="627"/>
      <c r="BW25" s="625"/>
      <c r="BX25" s="625"/>
      <c r="BY25" s="625"/>
      <c r="BZ25" s="625"/>
      <c r="CA25" s="624"/>
      <c r="CB25" s="627"/>
      <c r="CC25" s="625"/>
      <c r="CD25" s="625"/>
      <c r="CE25" s="625"/>
      <c r="CF25" s="625"/>
      <c r="CG25" s="624"/>
      <c r="CH25" s="627"/>
      <c r="CI25" s="625"/>
      <c r="CJ25" s="625"/>
      <c r="CK25" s="625"/>
      <c r="CL25" s="625"/>
      <c r="CM25" s="624"/>
      <c r="CN25" s="627"/>
      <c r="CO25" s="625"/>
      <c r="CP25" s="625"/>
      <c r="CQ25" s="625"/>
      <c r="CR25" s="625"/>
      <c r="CS25" s="624"/>
      <c r="CT25" s="627"/>
      <c r="CU25" s="625"/>
      <c r="CV25" s="625"/>
      <c r="CW25" s="625"/>
      <c r="CX25" s="625"/>
      <c r="CY25" s="624"/>
      <c r="CZ25" s="627"/>
      <c r="DA25" s="625"/>
      <c r="DB25" s="625"/>
      <c r="DC25" s="625"/>
      <c r="DD25" s="625"/>
      <c r="DE25" s="624"/>
      <c r="DF25" s="627"/>
      <c r="DG25" s="625"/>
      <c r="DH25" s="625"/>
      <c r="DI25" s="625"/>
      <c r="DJ25" s="625"/>
      <c r="DK25" s="624"/>
      <c r="DL25" s="627"/>
      <c r="DM25" s="625"/>
      <c r="DN25" s="625"/>
      <c r="DO25" s="625"/>
      <c r="DP25" s="625"/>
      <c r="DQ25" s="624"/>
      <c r="DR25" s="627"/>
      <c r="DS25" s="625"/>
      <c r="DT25" s="625"/>
      <c r="DU25" s="625"/>
      <c r="DV25" s="625"/>
      <c r="DW25" s="624"/>
      <c r="DX25" s="627"/>
      <c r="DY25" s="625"/>
      <c r="DZ25" s="625"/>
      <c r="EA25" s="625"/>
      <c r="EB25" s="625"/>
      <c r="EC25" s="624"/>
      <c r="ED25" s="627"/>
      <c r="EE25" s="625"/>
      <c r="EF25" s="625"/>
      <c r="EG25" s="625"/>
      <c r="EH25" s="625"/>
      <c r="EI25" s="624"/>
      <c r="EJ25" s="627"/>
      <c r="EK25" s="625"/>
      <c r="EL25" s="625"/>
      <c r="EM25" s="625"/>
      <c r="EN25" s="625"/>
      <c r="EO25" s="624"/>
      <c r="EP25" s="627"/>
      <c r="EQ25" s="625"/>
      <c r="ER25" s="625"/>
      <c r="ES25" s="625"/>
      <c r="ET25" s="625"/>
      <c r="EU25" s="624"/>
      <c r="EV25" s="627"/>
      <c r="EW25" s="625"/>
      <c r="EX25" s="625"/>
      <c r="EY25" s="625"/>
      <c r="EZ25" s="625"/>
      <c r="FA25" s="624"/>
      <c r="FB25" s="627"/>
      <c r="FC25" s="625"/>
      <c r="FD25" s="625"/>
      <c r="FE25" s="625"/>
      <c r="FF25" s="625"/>
      <c r="FG25" s="624"/>
      <c r="FH25" s="627"/>
      <c r="FI25" s="625"/>
      <c r="FJ25" s="625"/>
      <c r="FK25" s="625"/>
      <c r="FL25" s="625"/>
      <c r="FM25" s="624"/>
      <c r="FN25" s="627"/>
      <c r="FO25" s="625"/>
      <c r="FP25" s="625"/>
      <c r="FQ25" s="625"/>
      <c r="FR25" s="625"/>
      <c r="FS25" s="624"/>
      <c r="FT25" s="627"/>
      <c r="FU25" s="625"/>
      <c r="FV25" s="625"/>
      <c r="FW25" s="625"/>
      <c r="FX25" s="625"/>
      <c r="FY25" s="624"/>
      <c r="FZ25" s="627"/>
      <c r="GA25" s="625"/>
      <c r="GB25" s="625"/>
      <c r="GC25" s="625"/>
      <c r="GD25" s="625"/>
      <c r="GE25" s="624"/>
      <c r="GF25" s="627"/>
      <c r="GG25" s="625"/>
      <c r="GH25" s="625"/>
      <c r="GI25" s="625"/>
      <c r="GJ25" s="625"/>
      <c r="GK25" s="624"/>
      <c r="GL25" s="627"/>
      <c r="GM25" s="625"/>
      <c r="GN25" s="625"/>
      <c r="GO25" s="625"/>
      <c r="GP25" s="625"/>
      <c r="GQ25" s="624"/>
      <c r="GR25" s="627"/>
      <c r="GS25" s="625"/>
      <c r="GT25" s="625"/>
      <c r="GU25" s="625"/>
      <c r="GV25" s="625"/>
      <c r="GW25" s="624"/>
      <c r="GX25" s="627"/>
      <c r="GY25" s="625"/>
      <c r="GZ25" s="625"/>
      <c r="HA25" s="625"/>
      <c r="HB25" s="625"/>
      <c r="HC25" s="624"/>
      <c r="HD25" s="627"/>
      <c r="HE25" s="625"/>
      <c r="HF25" s="625"/>
      <c r="HG25" s="625"/>
      <c r="HH25" s="625"/>
      <c r="HI25" s="624"/>
      <c r="HJ25" s="627"/>
      <c r="HK25" s="625"/>
      <c r="HL25" s="625"/>
      <c r="HM25" s="625"/>
      <c r="HN25" s="625"/>
      <c r="HO25" s="624"/>
      <c r="HP25" s="627"/>
      <c r="HQ25" s="625"/>
      <c r="HR25" s="625"/>
      <c r="HS25" s="625"/>
      <c r="HT25" s="625"/>
      <c r="HU25" s="624"/>
      <c r="HV25" s="627"/>
      <c r="HW25" s="625"/>
      <c r="HX25" s="625"/>
      <c r="HY25" s="625"/>
      <c r="HZ25" s="625"/>
      <c r="IA25" s="624"/>
      <c r="IB25" s="627"/>
      <c r="IC25" s="625"/>
      <c r="ID25" s="625"/>
      <c r="IE25" s="625"/>
    </row>
    <row r="26" spans="2:239" ht="18" customHeight="1" x14ac:dyDescent="0.2">
      <c r="B26" s="619"/>
      <c r="C26" s="620"/>
      <c r="D26" s="620"/>
      <c r="E26" s="621"/>
      <c r="F26" s="630" t="s">
        <v>399</v>
      </c>
      <c r="G26" s="622">
        <f>G24</f>
        <v>0.24790120008437189</v>
      </c>
      <c r="H26" s="622">
        <f>G26+H24</f>
        <v>0.37279199489591969</v>
      </c>
      <c r="I26" s="622">
        <f t="shared" ref="I26:K27" si="7">H26+I24</f>
        <v>0.53600568346651478</v>
      </c>
      <c r="J26" s="622">
        <f t="shared" si="7"/>
        <v>0.64376736918920641</v>
      </c>
      <c r="K26" s="622">
        <f>J26+K24</f>
        <v>0.7675203225049072</v>
      </c>
      <c r="L26" s="623">
        <f>K26+L24</f>
        <v>1</v>
      </c>
      <c r="M26" s="624"/>
      <c r="N26" s="612"/>
      <c r="O26" s="625"/>
      <c r="P26" s="626"/>
      <c r="Q26" s="625"/>
      <c r="R26" s="625"/>
      <c r="S26" s="624"/>
      <c r="T26" s="627"/>
      <c r="U26" s="625"/>
      <c r="V26" s="625"/>
      <c r="W26" s="625"/>
      <c r="X26" s="625"/>
      <c r="Y26" s="624"/>
      <c r="Z26" s="627"/>
      <c r="AA26" s="625"/>
      <c r="AB26" s="625"/>
      <c r="AC26" s="625"/>
      <c r="AD26" s="625"/>
      <c r="AE26" s="624"/>
      <c r="AF26" s="627"/>
      <c r="AG26" s="625"/>
      <c r="AH26" s="625"/>
      <c r="AI26" s="625"/>
      <c r="AJ26" s="625"/>
      <c r="AK26" s="624"/>
      <c r="AL26" s="627"/>
      <c r="AM26" s="625"/>
      <c r="AN26" s="625"/>
      <c r="AO26" s="625"/>
      <c r="AP26" s="625"/>
      <c r="AQ26" s="624"/>
      <c r="AR26" s="627"/>
      <c r="AS26" s="625"/>
      <c r="AT26" s="625"/>
      <c r="AU26" s="625"/>
      <c r="AV26" s="625"/>
      <c r="AW26" s="624"/>
      <c r="AX26" s="627"/>
      <c r="AY26" s="625"/>
      <c r="AZ26" s="625"/>
      <c r="BA26" s="625"/>
      <c r="BB26" s="625"/>
      <c r="BC26" s="624"/>
      <c r="BD26" s="627"/>
      <c r="BE26" s="625"/>
      <c r="BF26" s="625"/>
      <c r="BG26" s="625"/>
      <c r="BH26" s="625"/>
      <c r="BI26" s="624"/>
      <c r="BJ26" s="627"/>
      <c r="BK26" s="625"/>
      <c r="BL26" s="625"/>
      <c r="BM26" s="625"/>
      <c r="BN26" s="625"/>
      <c r="BO26" s="624"/>
      <c r="BP26" s="627"/>
      <c r="BQ26" s="625"/>
      <c r="BR26" s="625"/>
      <c r="BS26" s="625"/>
      <c r="BT26" s="625"/>
      <c r="BU26" s="624"/>
      <c r="BV26" s="627"/>
      <c r="BW26" s="625"/>
      <c r="BX26" s="625"/>
      <c r="BY26" s="625"/>
      <c r="BZ26" s="625"/>
      <c r="CA26" s="624"/>
      <c r="CB26" s="627"/>
      <c r="CC26" s="625"/>
      <c r="CD26" s="625"/>
      <c r="CE26" s="625"/>
      <c r="CF26" s="625"/>
      <c r="CG26" s="624"/>
      <c r="CH26" s="627"/>
      <c r="CI26" s="625"/>
      <c r="CJ26" s="625"/>
      <c r="CK26" s="625"/>
      <c r="CL26" s="625"/>
      <c r="CM26" s="624"/>
      <c r="CN26" s="627"/>
      <c r="CO26" s="625"/>
      <c r="CP26" s="625"/>
      <c r="CQ26" s="625"/>
      <c r="CR26" s="625"/>
      <c r="CS26" s="624"/>
      <c r="CT26" s="627"/>
      <c r="CU26" s="625"/>
      <c r="CV26" s="625"/>
      <c r="CW26" s="625"/>
      <c r="CX26" s="625"/>
      <c r="CY26" s="624"/>
      <c r="CZ26" s="627"/>
      <c r="DA26" s="625"/>
      <c r="DB26" s="625"/>
      <c r="DC26" s="625"/>
      <c r="DD26" s="625"/>
      <c r="DE26" s="624"/>
      <c r="DF26" s="627"/>
      <c r="DG26" s="625"/>
      <c r="DH26" s="625"/>
      <c r="DI26" s="625"/>
      <c r="DJ26" s="625"/>
      <c r="DK26" s="624"/>
      <c r="DL26" s="627"/>
      <c r="DM26" s="625"/>
      <c r="DN26" s="625"/>
      <c r="DO26" s="625"/>
      <c r="DP26" s="625"/>
      <c r="DQ26" s="624"/>
      <c r="DR26" s="627"/>
      <c r="DS26" s="625"/>
      <c r="DT26" s="625"/>
      <c r="DU26" s="625"/>
      <c r="DV26" s="625"/>
      <c r="DW26" s="624"/>
      <c r="DX26" s="627"/>
      <c r="DY26" s="625"/>
      <c r="DZ26" s="625"/>
      <c r="EA26" s="625"/>
      <c r="EB26" s="625"/>
      <c r="EC26" s="624"/>
      <c r="ED26" s="627"/>
      <c r="EE26" s="625"/>
      <c r="EF26" s="625"/>
      <c r="EG26" s="625"/>
      <c r="EH26" s="625"/>
      <c r="EI26" s="624"/>
      <c r="EJ26" s="627"/>
      <c r="EK26" s="625"/>
      <c r="EL26" s="625"/>
      <c r="EM26" s="625"/>
      <c r="EN26" s="625"/>
      <c r="EO26" s="624"/>
      <c r="EP26" s="627"/>
      <c r="EQ26" s="625"/>
      <c r="ER26" s="625"/>
      <c r="ES26" s="625"/>
      <c r="ET26" s="625"/>
      <c r="EU26" s="624"/>
      <c r="EV26" s="627"/>
      <c r="EW26" s="625"/>
      <c r="EX26" s="625"/>
      <c r="EY26" s="625"/>
      <c r="EZ26" s="625"/>
      <c r="FA26" s="624"/>
      <c r="FB26" s="627"/>
      <c r="FC26" s="625"/>
      <c r="FD26" s="625"/>
      <c r="FE26" s="625"/>
      <c r="FF26" s="625"/>
      <c r="FG26" s="624"/>
      <c r="FH26" s="627"/>
      <c r="FI26" s="625"/>
      <c r="FJ26" s="625"/>
      <c r="FK26" s="625"/>
      <c r="FL26" s="625"/>
      <c r="FM26" s="624"/>
      <c r="FN26" s="627"/>
      <c r="FO26" s="625"/>
      <c r="FP26" s="625"/>
      <c r="FQ26" s="625"/>
      <c r="FR26" s="625"/>
      <c r="FS26" s="624"/>
      <c r="FT26" s="627"/>
      <c r="FU26" s="625"/>
      <c r="FV26" s="625"/>
      <c r="FW26" s="625"/>
      <c r="FX26" s="625"/>
      <c r="FY26" s="624"/>
      <c r="FZ26" s="627"/>
      <c r="GA26" s="625"/>
      <c r="GB26" s="625"/>
      <c r="GC26" s="625"/>
      <c r="GD26" s="625"/>
      <c r="GE26" s="624"/>
      <c r="GF26" s="627"/>
      <c r="GG26" s="625"/>
      <c r="GH26" s="625"/>
      <c r="GI26" s="625"/>
      <c r="GJ26" s="625"/>
      <c r="GK26" s="624"/>
      <c r="GL26" s="627"/>
      <c r="GM26" s="625"/>
      <c r="GN26" s="625"/>
      <c r="GO26" s="625"/>
      <c r="GP26" s="625"/>
      <c r="GQ26" s="624"/>
      <c r="GR26" s="627"/>
      <c r="GS26" s="625"/>
      <c r="GT26" s="625"/>
      <c r="GU26" s="625"/>
      <c r="GV26" s="625"/>
      <c r="GW26" s="624"/>
      <c r="GX26" s="627"/>
      <c r="GY26" s="625"/>
      <c r="GZ26" s="625"/>
      <c r="HA26" s="625"/>
      <c r="HB26" s="625"/>
      <c r="HC26" s="624"/>
      <c r="HD26" s="627"/>
      <c r="HE26" s="625"/>
      <c r="HF26" s="625"/>
      <c r="HG26" s="625"/>
      <c r="HH26" s="625"/>
      <c r="HI26" s="624"/>
      <c r="HJ26" s="627"/>
      <c r="HK26" s="625"/>
      <c r="HL26" s="625"/>
      <c r="HM26" s="625"/>
      <c r="HN26" s="625"/>
      <c r="HO26" s="624"/>
      <c r="HP26" s="627"/>
      <c r="HQ26" s="625"/>
      <c r="HR26" s="625"/>
      <c r="HS26" s="625"/>
      <c r="HT26" s="625"/>
      <c r="HU26" s="624"/>
      <c r="HV26" s="627"/>
      <c r="HW26" s="625"/>
      <c r="HX26" s="625"/>
      <c r="HY26" s="625"/>
      <c r="HZ26" s="625"/>
      <c r="IA26" s="624"/>
      <c r="IB26" s="627"/>
      <c r="IC26" s="625"/>
      <c r="ID26" s="625"/>
      <c r="IE26" s="625"/>
    </row>
    <row r="27" spans="2:239" ht="18" customHeight="1" x14ac:dyDescent="0.2">
      <c r="B27" s="631"/>
      <c r="C27" s="632"/>
      <c r="D27" s="632"/>
      <c r="E27" s="633"/>
      <c r="F27" s="634" t="s">
        <v>400</v>
      </c>
      <c r="G27" s="635">
        <f>G25</f>
        <v>3277585.6486445526</v>
      </c>
      <c r="H27" s="636">
        <f>G27+H25</f>
        <v>4928809.1061462658</v>
      </c>
      <c r="I27" s="635">
        <f t="shared" si="7"/>
        <v>7086712.5093539041</v>
      </c>
      <c r="J27" s="636">
        <f t="shared" si="7"/>
        <v>8511466.219615208</v>
      </c>
      <c r="K27" s="636">
        <f t="shared" si="7"/>
        <v>10147645.889688902</v>
      </c>
      <c r="L27" s="637">
        <f>K27+L25</f>
        <v>13221338.369999997</v>
      </c>
    </row>
    <row r="28" spans="2:239" x14ac:dyDescent="0.2">
      <c r="N28" s="612"/>
    </row>
    <row r="29" spans="2:239" x14ac:dyDescent="0.2">
      <c r="Q29" s="611"/>
    </row>
    <row r="82" spans="16:16" x14ac:dyDescent="0.2">
      <c r="P82" s="593">
        <f>SUM(P8:P81)/2</f>
        <v>0</v>
      </c>
    </row>
  </sheetData>
  <mergeCells count="18">
    <mergeCell ref="B5:L5"/>
    <mergeCell ref="C6:E6"/>
    <mergeCell ref="B7:B8"/>
    <mergeCell ref="C7:E8"/>
    <mergeCell ref="B9:B10"/>
    <mergeCell ref="C9:E10"/>
    <mergeCell ref="B11:B12"/>
    <mergeCell ref="C11:E12"/>
    <mergeCell ref="B13:B14"/>
    <mergeCell ref="C13:E14"/>
    <mergeCell ref="B15:B16"/>
    <mergeCell ref="C15:E16"/>
    <mergeCell ref="B17:B18"/>
    <mergeCell ref="C17:E18"/>
    <mergeCell ref="B19:B20"/>
    <mergeCell ref="C19:E19"/>
    <mergeCell ref="B21:B22"/>
    <mergeCell ref="C21:E21"/>
  </mergeCells>
  <conditionalFormatting sqref="G7:L7">
    <cfRule type="cellIs" dxfId="8" priority="10" operator="greaterThan">
      <formula>0</formula>
    </cfRule>
  </conditionalFormatting>
  <conditionalFormatting sqref="G9:L9">
    <cfRule type="cellIs" dxfId="7" priority="9" operator="greaterThan">
      <formula>0</formula>
    </cfRule>
  </conditionalFormatting>
  <conditionalFormatting sqref="G11:L11">
    <cfRule type="cellIs" dxfId="6" priority="8" operator="greaterThan">
      <formula>0</formula>
    </cfRule>
  </conditionalFormatting>
  <conditionalFormatting sqref="G13:L13">
    <cfRule type="cellIs" dxfId="5" priority="5" operator="greaterThan">
      <formula>0</formula>
    </cfRule>
  </conditionalFormatting>
  <conditionalFormatting sqref="G15:L15">
    <cfRule type="cellIs" dxfId="4" priority="7" operator="greaterThan">
      <formula>0</formula>
    </cfRule>
  </conditionalFormatting>
  <conditionalFormatting sqref="G17:L17">
    <cfRule type="cellIs" dxfId="3" priority="1" operator="greaterThan">
      <formula>0</formula>
    </cfRule>
  </conditionalFormatting>
  <conditionalFormatting sqref="G19:L19 G21:L21">
    <cfRule type="cellIs" dxfId="2" priority="3" operator="greaterThan">
      <formula>0</formula>
    </cfRule>
  </conditionalFormatting>
  <printOptions horizontalCentered="1"/>
  <pageMargins left="0.59055118110236227" right="0.59055118110236227" top="1.7716535433070868" bottom="0.78740157480314965" header="0" footer="0"/>
  <pageSetup paperSize="9" scale="32" firstPageNumber="25" orientation="landscape" r:id="rId1"/>
  <headerFooter scaleWithDoc="0">
    <oddHeader>&amp;L&amp;G</oddHeader>
    <oddFooter>&amp;C&amp;"-,Negrito"&amp;12DIONI CAETANEO DE OLIVEIRA
&amp;"-,Regular"ENGENHEIRO CIVIL - CREA /MT 40957
DEPARTAMENTO DE ENGENHARIA</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90C38-B580-4AFC-9A23-A867BAACEA6F}">
  <sheetPr>
    <tabColor rgb="FF0070C0"/>
    <pageSetUpPr fitToPage="1"/>
  </sheetPr>
  <dimension ref="A1:X51"/>
  <sheetViews>
    <sheetView showGridLines="0" view="pageLayout" topLeftCell="C1" zoomScale="80" zoomScaleNormal="85" zoomScaleSheetLayoutView="70" zoomScalePageLayoutView="80" workbookViewId="0">
      <selection activeCell="F6" sqref="F6"/>
    </sheetView>
  </sheetViews>
  <sheetFormatPr defaultColWidth="11.42578125" defaultRowHeight="14.25" x14ac:dyDescent="0.25"/>
  <cols>
    <col min="1" max="1" width="24.85546875" style="78" customWidth="1"/>
    <col min="2" max="2" width="23.85546875" style="78" customWidth="1"/>
    <col min="3" max="3" width="68.7109375" style="78" customWidth="1"/>
    <col min="4" max="4" width="16" style="78" bestFit="1" customWidth="1"/>
    <col min="5" max="5" width="15.28515625" style="78" customWidth="1"/>
    <col min="6" max="6" width="16.5703125" style="78" customWidth="1"/>
    <col min="7" max="7" width="15.28515625" style="78" customWidth="1"/>
    <col min="8" max="8" width="16.5703125" style="78" customWidth="1"/>
    <col min="9" max="9" width="10.7109375" style="78" bestFit="1" customWidth="1"/>
    <col min="10" max="10" width="8.28515625" style="78" customWidth="1"/>
    <col min="11" max="11" width="14.85546875" style="78" customWidth="1"/>
    <col min="12" max="12" width="22" style="78" customWidth="1"/>
    <col min="13" max="13" width="14.28515625" style="82" customWidth="1"/>
    <col min="14" max="14" width="54.140625" style="82" customWidth="1"/>
    <col min="15" max="15" width="25.5703125" style="82" bestFit="1" customWidth="1"/>
    <col min="16" max="239" width="11.42578125" style="82"/>
    <col min="240" max="240" width="0.7109375" style="82" customWidth="1"/>
    <col min="241" max="241" width="15.140625" style="82" customWidth="1"/>
    <col min="242" max="242" width="0.7109375" style="82" customWidth="1"/>
    <col min="243" max="243" width="56.140625" style="82" customWidth="1"/>
    <col min="244" max="244" width="0.7109375" style="82" customWidth="1"/>
    <col min="245" max="245" width="9.140625" style="82" customWidth="1"/>
    <col min="246" max="246" width="6" style="82" customWidth="1"/>
    <col min="247" max="247" width="0.7109375" style="82" customWidth="1"/>
    <col min="248" max="248" width="7.140625" style="82" customWidth="1"/>
    <col min="249" max="249" width="6.5703125" style="82" customWidth="1"/>
    <col min="250" max="250" width="0.7109375" style="82" customWidth="1"/>
    <col min="251" max="251" width="7.85546875" style="82" customWidth="1"/>
    <col min="252" max="252" width="10.5703125" style="82" customWidth="1"/>
    <col min="253" max="253" width="0.7109375" style="82" customWidth="1"/>
    <col min="254" max="495" width="11.42578125" style="82"/>
    <col min="496" max="496" width="0.7109375" style="82" customWidth="1"/>
    <col min="497" max="497" width="15.140625" style="82" customWidth="1"/>
    <col min="498" max="498" width="0.7109375" style="82" customWidth="1"/>
    <col min="499" max="499" width="56.140625" style="82" customWidth="1"/>
    <col min="500" max="500" width="0.7109375" style="82" customWidth="1"/>
    <col min="501" max="501" width="9.140625" style="82" customWidth="1"/>
    <col min="502" max="502" width="6" style="82" customWidth="1"/>
    <col min="503" max="503" width="0.7109375" style="82" customWidth="1"/>
    <col min="504" max="504" width="7.140625" style="82" customWidth="1"/>
    <col min="505" max="505" width="6.5703125" style="82" customWidth="1"/>
    <col min="506" max="506" width="0.7109375" style="82" customWidth="1"/>
    <col min="507" max="507" width="7.85546875" style="82" customWidth="1"/>
    <col min="508" max="508" width="10.5703125" style="82" customWidth="1"/>
    <col min="509" max="509" width="0.7109375" style="82" customWidth="1"/>
    <col min="510" max="751" width="11.42578125" style="82"/>
    <col min="752" max="752" width="0.7109375" style="82" customWidth="1"/>
    <col min="753" max="753" width="15.140625" style="82" customWidth="1"/>
    <col min="754" max="754" width="0.7109375" style="82" customWidth="1"/>
    <col min="755" max="755" width="56.140625" style="82" customWidth="1"/>
    <col min="756" max="756" width="0.7109375" style="82" customWidth="1"/>
    <col min="757" max="757" width="9.140625" style="82" customWidth="1"/>
    <col min="758" max="758" width="6" style="82" customWidth="1"/>
    <col min="759" max="759" width="0.7109375" style="82" customWidth="1"/>
    <col min="760" max="760" width="7.140625" style="82" customWidth="1"/>
    <col min="761" max="761" width="6.5703125" style="82" customWidth="1"/>
    <col min="762" max="762" width="0.7109375" style="82" customWidth="1"/>
    <col min="763" max="763" width="7.85546875" style="82" customWidth="1"/>
    <col min="764" max="764" width="10.5703125" style="82" customWidth="1"/>
    <col min="765" max="765" width="0.7109375" style="82" customWidth="1"/>
    <col min="766" max="1007" width="11.42578125" style="82"/>
    <col min="1008" max="1008" width="0.7109375" style="82" customWidth="1"/>
    <col min="1009" max="1009" width="15.140625" style="82" customWidth="1"/>
    <col min="1010" max="1010" width="0.7109375" style="82" customWidth="1"/>
    <col min="1011" max="1011" width="56.140625" style="82" customWidth="1"/>
    <col min="1012" max="1012" width="0.7109375" style="82" customWidth="1"/>
    <col min="1013" max="1013" width="9.140625" style="82" customWidth="1"/>
    <col min="1014" max="1014" width="6" style="82" customWidth="1"/>
    <col min="1015" max="1015" width="0.7109375" style="82" customWidth="1"/>
    <col min="1016" max="1016" width="7.140625" style="82" customWidth="1"/>
    <col min="1017" max="1017" width="6.5703125" style="82" customWidth="1"/>
    <col min="1018" max="1018" width="0.7109375" style="82" customWidth="1"/>
    <col min="1019" max="1019" width="7.85546875" style="82" customWidth="1"/>
    <col min="1020" max="1020" width="10.5703125" style="82" customWidth="1"/>
    <col min="1021" max="1021" width="0.7109375" style="82" customWidth="1"/>
    <col min="1022" max="1263" width="11.42578125" style="82"/>
    <col min="1264" max="1264" width="0.7109375" style="82" customWidth="1"/>
    <col min="1265" max="1265" width="15.140625" style="82" customWidth="1"/>
    <col min="1266" max="1266" width="0.7109375" style="82" customWidth="1"/>
    <col min="1267" max="1267" width="56.140625" style="82" customWidth="1"/>
    <col min="1268" max="1268" width="0.7109375" style="82" customWidth="1"/>
    <col min="1269" max="1269" width="9.140625" style="82" customWidth="1"/>
    <col min="1270" max="1270" width="6" style="82" customWidth="1"/>
    <col min="1271" max="1271" width="0.7109375" style="82" customWidth="1"/>
    <col min="1272" max="1272" width="7.140625" style="82" customWidth="1"/>
    <col min="1273" max="1273" width="6.5703125" style="82" customWidth="1"/>
    <col min="1274" max="1274" width="0.7109375" style="82" customWidth="1"/>
    <col min="1275" max="1275" width="7.85546875" style="82" customWidth="1"/>
    <col min="1276" max="1276" width="10.5703125" style="82" customWidth="1"/>
    <col min="1277" max="1277" width="0.7109375" style="82" customWidth="1"/>
    <col min="1278" max="1519" width="11.42578125" style="82"/>
    <col min="1520" max="1520" width="0.7109375" style="82" customWidth="1"/>
    <col min="1521" max="1521" width="15.140625" style="82" customWidth="1"/>
    <col min="1522" max="1522" width="0.7109375" style="82" customWidth="1"/>
    <col min="1523" max="1523" width="56.140625" style="82" customWidth="1"/>
    <col min="1524" max="1524" width="0.7109375" style="82" customWidth="1"/>
    <col min="1525" max="1525" width="9.140625" style="82" customWidth="1"/>
    <col min="1526" max="1526" width="6" style="82" customWidth="1"/>
    <col min="1527" max="1527" width="0.7109375" style="82" customWidth="1"/>
    <col min="1528" max="1528" width="7.140625" style="82" customWidth="1"/>
    <col min="1529" max="1529" width="6.5703125" style="82" customWidth="1"/>
    <col min="1530" max="1530" width="0.7109375" style="82" customWidth="1"/>
    <col min="1531" max="1531" width="7.85546875" style="82" customWidth="1"/>
    <col min="1532" max="1532" width="10.5703125" style="82" customWidth="1"/>
    <col min="1533" max="1533" width="0.7109375" style="82" customWidth="1"/>
    <col min="1534" max="1775" width="11.42578125" style="82"/>
    <col min="1776" max="1776" width="0.7109375" style="82" customWidth="1"/>
    <col min="1777" max="1777" width="15.140625" style="82" customWidth="1"/>
    <col min="1778" max="1778" width="0.7109375" style="82" customWidth="1"/>
    <col min="1779" max="1779" width="56.140625" style="82" customWidth="1"/>
    <col min="1780" max="1780" width="0.7109375" style="82" customWidth="1"/>
    <col min="1781" max="1781" width="9.140625" style="82" customWidth="1"/>
    <col min="1782" max="1782" width="6" style="82" customWidth="1"/>
    <col min="1783" max="1783" width="0.7109375" style="82" customWidth="1"/>
    <col min="1784" max="1784" width="7.140625" style="82" customWidth="1"/>
    <col min="1785" max="1785" width="6.5703125" style="82" customWidth="1"/>
    <col min="1786" max="1786" width="0.7109375" style="82" customWidth="1"/>
    <col min="1787" max="1787" width="7.85546875" style="82" customWidth="1"/>
    <col min="1788" max="1788" width="10.5703125" style="82" customWidth="1"/>
    <col min="1789" max="1789" width="0.7109375" style="82" customWidth="1"/>
    <col min="1790" max="2031" width="11.42578125" style="82"/>
    <col min="2032" max="2032" width="0.7109375" style="82" customWidth="1"/>
    <col min="2033" max="2033" width="15.140625" style="82" customWidth="1"/>
    <col min="2034" max="2034" width="0.7109375" style="82" customWidth="1"/>
    <col min="2035" max="2035" width="56.140625" style="82" customWidth="1"/>
    <col min="2036" max="2036" width="0.7109375" style="82" customWidth="1"/>
    <col min="2037" max="2037" width="9.140625" style="82" customWidth="1"/>
    <col min="2038" max="2038" width="6" style="82" customWidth="1"/>
    <col min="2039" max="2039" width="0.7109375" style="82" customWidth="1"/>
    <col min="2040" max="2040" width="7.140625" style="82" customWidth="1"/>
    <col min="2041" max="2041" width="6.5703125" style="82" customWidth="1"/>
    <col min="2042" max="2042" width="0.7109375" style="82" customWidth="1"/>
    <col min="2043" max="2043" width="7.85546875" style="82" customWidth="1"/>
    <col min="2044" max="2044" width="10.5703125" style="82" customWidth="1"/>
    <col min="2045" max="2045" width="0.7109375" style="82" customWidth="1"/>
    <col min="2046" max="2287" width="11.42578125" style="82"/>
    <col min="2288" max="2288" width="0.7109375" style="82" customWidth="1"/>
    <col min="2289" max="2289" width="15.140625" style="82" customWidth="1"/>
    <col min="2290" max="2290" width="0.7109375" style="82" customWidth="1"/>
    <col min="2291" max="2291" width="56.140625" style="82" customWidth="1"/>
    <col min="2292" max="2292" width="0.7109375" style="82" customWidth="1"/>
    <col min="2293" max="2293" width="9.140625" style="82" customWidth="1"/>
    <col min="2294" max="2294" width="6" style="82" customWidth="1"/>
    <col min="2295" max="2295" width="0.7109375" style="82" customWidth="1"/>
    <col min="2296" max="2296" width="7.140625" style="82" customWidth="1"/>
    <col min="2297" max="2297" width="6.5703125" style="82" customWidth="1"/>
    <col min="2298" max="2298" width="0.7109375" style="82" customWidth="1"/>
    <col min="2299" max="2299" width="7.85546875" style="82" customWidth="1"/>
    <col min="2300" max="2300" width="10.5703125" style="82" customWidth="1"/>
    <col min="2301" max="2301" width="0.7109375" style="82" customWidth="1"/>
    <col min="2302" max="2543" width="11.42578125" style="82"/>
    <col min="2544" max="2544" width="0.7109375" style="82" customWidth="1"/>
    <col min="2545" max="2545" width="15.140625" style="82" customWidth="1"/>
    <col min="2546" max="2546" width="0.7109375" style="82" customWidth="1"/>
    <col min="2547" max="2547" width="56.140625" style="82" customWidth="1"/>
    <col min="2548" max="2548" width="0.7109375" style="82" customWidth="1"/>
    <col min="2549" max="2549" width="9.140625" style="82" customWidth="1"/>
    <col min="2550" max="2550" width="6" style="82" customWidth="1"/>
    <col min="2551" max="2551" width="0.7109375" style="82" customWidth="1"/>
    <col min="2552" max="2552" width="7.140625" style="82" customWidth="1"/>
    <col min="2553" max="2553" width="6.5703125" style="82" customWidth="1"/>
    <col min="2554" max="2554" width="0.7109375" style="82" customWidth="1"/>
    <col min="2555" max="2555" width="7.85546875" style="82" customWidth="1"/>
    <col min="2556" max="2556" width="10.5703125" style="82" customWidth="1"/>
    <col min="2557" max="2557" width="0.7109375" style="82" customWidth="1"/>
    <col min="2558" max="2799" width="11.42578125" style="82"/>
    <col min="2800" max="2800" width="0.7109375" style="82" customWidth="1"/>
    <col min="2801" max="2801" width="15.140625" style="82" customWidth="1"/>
    <col min="2802" max="2802" width="0.7109375" style="82" customWidth="1"/>
    <col min="2803" max="2803" width="56.140625" style="82" customWidth="1"/>
    <col min="2804" max="2804" width="0.7109375" style="82" customWidth="1"/>
    <col min="2805" max="2805" width="9.140625" style="82" customWidth="1"/>
    <col min="2806" max="2806" width="6" style="82" customWidth="1"/>
    <col min="2807" max="2807" width="0.7109375" style="82" customWidth="1"/>
    <col min="2808" max="2808" width="7.140625" style="82" customWidth="1"/>
    <col min="2809" max="2809" width="6.5703125" style="82" customWidth="1"/>
    <col min="2810" max="2810" width="0.7109375" style="82" customWidth="1"/>
    <col min="2811" max="2811" width="7.85546875" style="82" customWidth="1"/>
    <col min="2812" max="2812" width="10.5703125" style="82" customWidth="1"/>
    <col min="2813" max="2813" width="0.7109375" style="82" customWidth="1"/>
    <col min="2814" max="3055" width="11.42578125" style="82"/>
    <col min="3056" max="3056" width="0.7109375" style="82" customWidth="1"/>
    <col min="3057" max="3057" width="15.140625" style="82" customWidth="1"/>
    <col min="3058" max="3058" width="0.7109375" style="82" customWidth="1"/>
    <col min="3059" max="3059" width="56.140625" style="82" customWidth="1"/>
    <col min="3060" max="3060" width="0.7109375" style="82" customWidth="1"/>
    <col min="3061" max="3061" width="9.140625" style="82" customWidth="1"/>
    <col min="3062" max="3062" width="6" style="82" customWidth="1"/>
    <col min="3063" max="3063" width="0.7109375" style="82" customWidth="1"/>
    <col min="3064" max="3064" width="7.140625" style="82" customWidth="1"/>
    <col min="3065" max="3065" width="6.5703125" style="82" customWidth="1"/>
    <col min="3066" max="3066" width="0.7109375" style="82" customWidth="1"/>
    <col min="3067" max="3067" width="7.85546875" style="82" customWidth="1"/>
    <col min="3068" max="3068" width="10.5703125" style="82" customWidth="1"/>
    <col min="3069" max="3069" width="0.7109375" style="82" customWidth="1"/>
    <col min="3070" max="3311" width="11.42578125" style="82"/>
    <col min="3312" max="3312" width="0.7109375" style="82" customWidth="1"/>
    <col min="3313" max="3313" width="15.140625" style="82" customWidth="1"/>
    <col min="3314" max="3314" width="0.7109375" style="82" customWidth="1"/>
    <col min="3315" max="3315" width="56.140625" style="82" customWidth="1"/>
    <col min="3316" max="3316" width="0.7109375" style="82" customWidth="1"/>
    <col min="3317" max="3317" width="9.140625" style="82" customWidth="1"/>
    <col min="3318" max="3318" width="6" style="82" customWidth="1"/>
    <col min="3319" max="3319" width="0.7109375" style="82" customWidth="1"/>
    <col min="3320" max="3320" width="7.140625" style="82" customWidth="1"/>
    <col min="3321" max="3321" width="6.5703125" style="82" customWidth="1"/>
    <col min="3322" max="3322" width="0.7109375" style="82" customWidth="1"/>
    <col min="3323" max="3323" width="7.85546875" style="82" customWidth="1"/>
    <col min="3324" max="3324" width="10.5703125" style="82" customWidth="1"/>
    <col min="3325" max="3325" width="0.7109375" style="82" customWidth="1"/>
    <col min="3326" max="3567" width="11.42578125" style="82"/>
    <col min="3568" max="3568" width="0.7109375" style="82" customWidth="1"/>
    <col min="3569" max="3569" width="15.140625" style="82" customWidth="1"/>
    <col min="3570" max="3570" width="0.7109375" style="82" customWidth="1"/>
    <col min="3571" max="3571" width="56.140625" style="82" customWidth="1"/>
    <col min="3572" max="3572" width="0.7109375" style="82" customWidth="1"/>
    <col min="3573" max="3573" width="9.140625" style="82" customWidth="1"/>
    <col min="3574" max="3574" width="6" style="82" customWidth="1"/>
    <col min="3575" max="3575" width="0.7109375" style="82" customWidth="1"/>
    <col min="3576" max="3576" width="7.140625" style="82" customWidth="1"/>
    <col min="3577" max="3577" width="6.5703125" style="82" customWidth="1"/>
    <col min="3578" max="3578" width="0.7109375" style="82" customWidth="1"/>
    <col min="3579" max="3579" width="7.85546875" style="82" customWidth="1"/>
    <col min="3580" max="3580" width="10.5703125" style="82" customWidth="1"/>
    <col min="3581" max="3581" width="0.7109375" style="82" customWidth="1"/>
    <col min="3582" max="3823" width="11.42578125" style="82"/>
    <col min="3824" max="3824" width="0.7109375" style="82" customWidth="1"/>
    <col min="3825" max="3825" width="15.140625" style="82" customWidth="1"/>
    <col min="3826" max="3826" width="0.7109375" style="82" customWidth="1"/>
    <col min="3827" max="3827" width="56.140625" style="82" customWidth="1"/>
    <col min="3828" max="3828" width="0.7109375" style="82" customWidth="1"/>
    <col min="3829" max="3829" width="9.140625" style="82" customWidth="1"/>
    <col min="3830" max="3830" width="6" style="82" customWidth="1"/>
    <col min="3831" max="3831" width="0.7109375" style="82" customWidth="1"/>
    <col min="3832" max="3832" width="7.140625" style="82" customWidth="1"/>
    <col min="3833" max="3833" width="6.5703125" style="82" customWidth="1"/>
    <col min="3834" max="3834" width="0.7109375" style="82" customWidth="1"/>
    <col min="3835" max="3835" width="7.85546875" style="82" customWidth="1"/>
    <col min="3836" max="3836" width="10.5703125" style="82" customWidth="1"/>
    <col min="3837" max="3837" width="0.7109375" style="82" customWidth="1"/>
    <col min="3838" max="4079" width="11.42578125" style="82"/>
    <col min="4080" max="4080" width="0.7109375" style="82" customWidth="1"/>
    <col min="4081" max="4081" width="15.140625" style="82" customWidth="1"/>
    <col min="4082" max="4082" width="0.7109375" style="82" customWidth="1"/>
    <col min="4083" max="4083" width="56.140625" style="82" customWidth="1"/>
    <col min="4084" max="4084" width="0.7109375" style="82" customWidth="1"/>
    <col min="4085" max="4085" width="9.140625" style="82" customWidth="1"/>
    <col min="4086" max="4086" width="6" style="82" customWidth="1"/>
    <col min="4087" max="4087" width="0.7109375" style="82" customWidth="1"/>
    <col min="4088" max="4088" width="7.140625" style="82" customWidth="1"/>
    <col min="4089" max="4089" width="6.5703125" style="82" customWidth="1"/>
    <col min="4090" max="4090" width="0.7109375" style="82" customWidth="1"/>
    <col min="4091" max="4091" width="7.85546875" style="82" customWidth="1"/>
    <col min="4092" max="4092" width="10.5703125" style="82" customWidth="1"/>
    <col min="4093" max="4093" width="0.7109375" style="82" customWidth="1"/>
    <col min="4094" max="4335" width="11.42578125" style="82"/>
    <col min="4336" max="4336" width="0.7109375" style="82" customWidth="1"/>
    <col min="4337" max="4337" width="15.140625" style="82" customWidth="1"/>
    <col min="4338" max="4338" width="0.7109375" style="82" customWidth="1"/>
    <col min="4339" max="4339" width="56.140625" style="82" customWidth="1"/>
    <col min="4340" max="4340" width="0.7109375" style="82" customWidth="1"/>
    <col min="4341" max="4341" width="9.140625" style="82" customWidth="1"/>
    <col min="4342" max="4342" width="6" style="82" customWidth="1"/>
    <col min="4343" max="4343" width="0.7109375" style="82" customWidth="1"/>
    <col min="4344" max="4344" width="7.140625" style="82" customWidth="1"/>
    <col min="4345" max="4345" width="6.5703125" style="82" customWidth="1"/>
    <col min="4346" max="4346" width="0.7109375" style="82" customWidth="1"/>
    <col min="4347" max="4347" width="7.85546875" style="82" customWidth="1"/>
    <col min="4348" max="4348" width="10.5703125" style="82" customWidth="1"/>
    <col min="4349" max="4349" width="0.7109375" style="82" customWidth="1"/>
    <col min="4350" max="4591" width="11.42578125" style="82"/>
    <col min="4592" max="4592" width="0.7109375" style="82" customWidth="1"/>
    <col min="4593" max="4593" width="15.140625" style="82" customWidth="1"/>
    <col min="4594" max="4594" width="0.7109375" style="82" customWidth="1"/>
    <col min="4595" max="4595" width="56.140625" style="82" customWidth="1"/>
    <col min="4596" max="4596" width="0.7109375" style="82" customWidth="1"/>
    <col min="4597" max="4597" width="9.140625" style="82" customWidth="1"/>
    <col min="4598" max="4598" width="6" style="82" customWidth="1"/>
    <col min="4599" max="4599" width="0.7109375" style="82" customWidth="1"/>
    <col min="4600" max="4600" width="7.140625" style="82" customWidth="1"/>
    <col min="4601" max="4601" width="6.5703125" style="82" customWidth="1"/>
    <col min="4602" max="4602" width="0.7109375" style="82" customWidth="1"/>
    <col min="4603" max="4603" width="7.85546875" style="82" customWidth="1"/>
    <col min="4604" max="4604" width="10.5703125" style="82" customWidth="1"/>
    <col min="4605" max="4605" width="0.7109375" style="82" customWidth="1"/>
    <col min="4606" max="4847" width="11.42578125" style="82"/>
    <col min="4848" max="4848" width="0.7109375" style="82" customWidth="1"/>
    <col min="4849" max="4849" width="15.140625" style="82" customWidth="1"/>
    <col min="4850" max="4850" width="0.7109375" style="82" customWidth="1"/>
    <col min="4851" max="4851" width="56.140625" style="82" customWidth="1"/>
    <col min="4852" max="4852" width="0.7109375" style="82" customWidth="1"/>
    <col min="4853" max="4853" width="9.140625" style="82" customWidth="1"/>
    <col min="4854" max="4854" width="6" style="82" customWidth="1"/>
    <col min="4855" max="4855" width="0.7109375" style="82" customWidth="1"/>
    <col min="4856" max="4856" width="7.140625" style="82" customWidth="1"/>
    <col min="4857" max="4857" width="6.5703125" style="82" customWidth="1"/>
    <col min="4858" max="4858" width="0.7109375" style="82" customWidth="1"/>
    <col min="4859" max="4859" width="7.85546875" style="82" customWidth="1"/>
    <col min="4860" max="4860" width="10.5703125" style="82" customWidth="1"/>
    <col min="4861" max="4861" width="0.7109375" style="82" customWidth="1"/>
    <col min="4862" max="5103" width="11.42578125" style="82"/>
    <col min="5104" max="5104" width="0.7109375" style="82" customWidth="1"/>
    <col min="5105" max="5105" width="15.140625" style="82" customWidth="1"/>
    <col min="5106" max="5106" width="0.7109375" style="82" customWidth="1"/>
    <col min="5107" max="5107" width="56.140625" style="82" customWidth="1"/>
    <col min="5108" max="5108" width="0.7109375" style="82" customWidth="1"/>
    <col min="5109" max="5109" width="9.140625" style="82" customWidth="1"/>
    <col min="5110" max="5110" width="6" style="82" customWidth="1"/>
    <col min="5111" max="5111" width="0.7109375" style="82" customWidth="1"/>
    <col min="5112" max="5112" width="7.140625" style="82" customWidth="1"/>
    <col min="5113" max="5113" width="6.5703125" style="82" customWidth="1"/>
    <col min="5114" max="5114" width="0.7109375" style="82" customWidth="1"/>
    <col min="5115" max="5115" width="7.85546875" style="82" customWidth="1"/>
    <col min="5116" max="5116" width="10.5703125" style="82" customWidth="1"/>
    <col min="5117" max="5117" width="0.7109375" style="82" customWidth="1"/>
    <col min="5118" max="5359" width="11.42578125" style="82"/>
    <col min="5360" max="5360" width="0.7109375" style="82" customWidth="1"/>
    <col min="5361" max="5361" width="15.140625" style="82" customWidth="1"/>
    <col min="5362" max="5362" width="0.7109375" style="82" customWidth="1"/>
    <col min="5363" max="5363" width="56.140625" style="82" customWidth="1"/>
    <col min="5364" max="5364" width="0.7109375" style="82" customWidth="1"/>
    <col min="5365" max="5365" width="9.140625" style="82" customWidth="1"/>
    <col min="5366" max="5366" width="6" style="82" customWidth="1"/>
    <col min="5367" max="5367" width="0.7109375" style="82" customWidth="1"/>
    <col min="5368" max="5368" width="7.140625" style="82" customWidth="1"/>
    <col min="5369" max="5369" width="6.5703125" style="82" customWidth="1"/>
    <col min="5370" max="5370" width="0.7109375" style="82" customWidth="1"/>
    <col min="5371" max="5371" width="7.85546875" style="82" customWidth="1"/>
    <col min="5372" max="5372" width="10.5703125" style="82" customWidth="1"/>
    <col min="5373" max="5373" width="0.7109375" style="82" customWidth="1"/>
    <col min="5374" max="5615" width="11.42578125" style="82"/>
    <col min="5616" max="5616" width="0.7109375" style="82" customWidth="1"/>
    <col min="5617" max="5617" width="15.140625" style="82" customWidth="1"/>
    <col min="5618" max="5618" width="0.7109375" style="82" customWidth="1"/>
    <col min="5619" max="5619" width="56.140625" style="82" customWidth="1"/>
    <col min="5620" max="5620" width="0.7109375" style="82" customWidth="1"/>
    <col min="5621" max="5621" width="9.140625" style="82" customWidth="1"/>
    <col min="5622" max="5622" width="6" style="82" customWidth="1"/>
    <col min="5623" max="5623" width="0.7109375" style="82" customWidth="1"/>
    <col min="5624" max="5624" width="7.140625" style="82" customWidth="1"/>
    <col min="5625" max="5625" width="6.5703125" style="82" customWidth="1"/>
    <col min="5626" max="5626" width="0.7109375" style="82" customWidth="1"/>
    <col min="5627" max="5627" width="7.85546875" style="82" customWidth="1"/>
    <col min="5628" max="5628" width="10.5703125" style="82" customWidth="1"/>
    <col min="5629" max="5629" width="0.7109375" style="82" customWidth="1"/>
    <col min="5630" max="5871" width="11.42578125" style="82"/>
    <col min="5872" max="5872" width="0.7109375" style="82" customWidth="1"/>
    <col min="5873" max="5873" width="15.140625" style="82" customWidth="1"/>
    <col min="5874" max="5874" width="0.7109375" style="82" customWidth="1"/>
    <col min="5875" max="5875" width="56.140625" style="82" customWidth="1"/>
    <col min="5876" max="5876" width="0.7109375" style="82" customWidth="1"/>
    <col min="5877" max="5877" width="9.140625" style="82" customWidth="1"/>
    <col min="5878" max="5878" width="6" style="82" customWidth="1"/>
    <col min="5879" max="5879" width="0.7109375" style="82" customWidth="1"/>
    <col min="5880" max="5880" width="7.140625" style="82" customWidth="1"/>
    <col min="5881" max="5881" width="6.5703125" style="82" customWidth="1"/>
    <col min="5882" max="5882" width="0.7109375" style="82" customWidth="1"/>
    <col min="5883" max="5883" width="7.85546875" style="82" customWidth="1"/>
    <col min="5884" max="5884" width="10.5703125" style="82" customWidth="1"/>
    <col min="5885" max="5885" width="0.7109375" style="82" customWidth="1"/>
    <col min="5886" max="6127" width="11.42578125" style="82"/>
    <col min="6128" max="6128" width="0.7109375" style="82" customWidth="1"/>
    <col min="6129" max="6129" width="15.140625" style="82" customWidth="1"/>
    <col min="6130" max="6130" width="0.7109375" style="82" customWidth="1"/>
    <col min="6131" max="6131" width="56.140625" style="82" customWidth="1"/>
    <col min="6132" max="6132" width="0.7109375" style="82" customWidth="1"/>
    <col min="6133" max="6133" width="9.140625" style="82" customWidth="1"/>
    <col min="6134" max="6134" width="6" style="82" customWidth="1"/>
    <col min="6135" max="6135" width="0.7109375" style="82" customWidth="1"/>
    <col min="6136" max="6136" width="7.140625" style="82" customWidth="1"/>
    <col min="6137" max="6137" width="6.5703125" style="82" customWidth="1"/>
    <col min="6138" max="6138" width="0.7109375" style="82" customWidth="1"/>
    <col min="6139" max="6139" width="7.85546875" style="82" customWidth="1"/>
    <col min="6140" max="6140" width="10.5703125" style="82" customWidth="1"/>
    <col min="6141" max="6141" width="0.7109375" style="82" customWidth="1"/>
    <col min="6142" max="6383" width="11.42578125" style="82"/>
    <col min="6384" max="6384" width="0.7109375" style="82" customWidth="1"/>
    <col min="6385" max="6385" width="15.140625" style="82" customWidth="1"/>
    <col min="6386" max="6386" width="0.7109375" style="82" customWidth="1"/>
    <col min="6387" max="6387" width="56.140625" style="82" customWidth="1"/>
    <col min="6388" max="6388" width="0.7109375" style="82" customWidth="1"/>
    <col min="6389" max="6389" width="9.140625" style="82" customWidth="1"/>
    <col min="6390" max="6390" width="6" style="82" customWidth="1"/>
    <col min="6391" max="6391" width="0.7109375" style="82" customWidth="1"/>
    <col min="6392" max="6392" width="7.140625" style="82" customWidth="1"/>
    <col min="6393" max="6393" width="6.5703125" style="82" customWidth="1"/>
    <col min="6394" max="6394" width="0.7109375" style="82" customWidth="1"/>
    <col min="6395" max="6395" width="7.85546875" style="82" customWidth="1"/>
    <col min="6396" max="6396" width="10.5703125" style="82" customWidth="1"/>
    <col min="6397" max="6397" width="0.7109375" style="82" customWidth="1"/>
    <col min="6398" max="6639" width="11.42578125" style="82"/>
    <col min="6640" max="6640" width="0.7109375" style="82" customWidth="1"/>
    <col min="6641" max="6641" width="15.140625" style="82" customWidth="1"/>
    <col min="6642" max="6642" width="0.7109375" style="82" customWidth="1"/>
    <col min="6643" max="6643" width="56.140625" style="82" customWidth="1"/>
    <col min="6644" max="6644" width="0.7109375" style="82" customWidth="1"/>
    <col min="6645" max="6645" width="9.140625" style="82" customWidth="1"/>
    <col min="6646" max="6646" width="6" style="82" customWidth="1"/>
    <col min="6647" max="6647" width="0.7109375" style="82" customWidth="1"/>
    <col min="6648" max="6648" width="7.140625" style="82" customWidth="1"/>
    <col min="6649" max="6649" width="6.5703125" style="82" customWidth="1"/>
    <col min="6650" max="6650" width="0.7109375" style="82" customWidth="1"/>
    <col min="6651" max="6651" width="7.85546875" style="82" customWidth="1"/>
    <col min="6652" max="6652" width="10.5703125" style="82" customWidth="1"/>
    <col min="6653" max="6653" width="0.7109375" style="82" customWidth="1"/>
    <col min="6654" max="6895" width="11.42578125" style="82"/>
    <col min="6896" max="6896" width="0.7109375" style="82" customWidth="1"/>
    <col min="6897" max="6897" width="15.140625" style="82" customWidth="1"/>
    <col min="6898" max="6898" width="0.7109375" style="82" customWidth="1"/>
    <col min="6899" max="6899" width="56.140625" style="82" customWidth="1"/>
    <col min="6900" max="6900" width="0.7109375" style="82" customWidth="1"/>
    <col min="6901" max="6901" width="9.140625" style="82" customWidth="1"/>
    <col min="6902" max="6902" width="6" style="82" customWidth="1"/>
    <col min="6903" max="6903" width="0.7109375" style="82" customWidth="1"/>
    <col min="6904" max="6904" width="7.140625" style="82" customWidth="1"/>
    <col min="6905" max="6905" width="6.5703125" style="82" customWidth="1"/>
    <col min="6906" max="6906" width="0.7109375" style="82" customWidth="1"/>
    <col min="6907" max="6907" width="7.85546875" style="82" customWidth="1"/>
    <col min="6908" max="6908" width="10.5703125" style="82" customWidth="1"/>
    <col min="6909" max="6909" width="0.7109375" style="82" customWidth="1"/>
    <col min="6910" max="7151" width="11.42578125" style="82"/>
    <col min="7152" max="7152" width="0.7109375" style="82" customWidth="1"/>
    <col min="7153" max="7153" width="15.140625" style="82" customWidth="1"/>
    <col min="7154" max="7154" width="0.7109375" style="82" customWidth="1"/>
    <col min="7155" max="7155" width="56.140625" style="82" customWidth="1"/>
    <col min="7156" max="7156" width="0.7109375" style="82" customWidth="1"/>
    <col min="7157" max="7157" width="9.140625" style="82" customWidth="1"/>
    <col min="7158" max="7158" width="6" style="82" customWidth="1"/>
    <col min="7159" max="7159" width="0.7109375" style="82" customWidth="1"/>
    <col min="7160" max="7160" width="7.140625" style="82" customWidth="1"/>
    <col min="7161" max="7161" width="6.5703125" style="82" customWidth="1"/>
    <col min="7162" max="7162" width="0.7109375" style="82" customWidth="1"/>
    <col min="7163" max="7163" width="7.85546875" style="82" customWidth="1"/>
    <col min="7164" max="7164" width="10.5703125" style="82" customWidth="1"/>
    <col min="7165" max="7165" width="0.7109375" style="82" customWidth="1"/>
    <col min="7166" max="7407" width="11.42578125" style="82"/>
    <col min="7408" max="7408" width="0.7109375" style="82" customWidth="1"/>
    <col min="7409" max="7409" width="15.140625" style="82" customWidth="1"/>
    <col min="7410" max="7410" width="0.7109375" style="82" customWidth="1"/>
    <col min="7411" max="7411" width="56.140625" style="82" customWidth="1"/>
    <col min="7412" max="7412" width="0.7109375" style="82" customWidth="1"/>
    <col min="7413" max="7413" width="9.140625" style="82" customWidth="1"/>
    <col min="7414" max="7414" width="6" style="82" customWidth="1"/>
    <col min="7415" max="7415" width="0.7109375" style="82" customWidth="1"/>
    <col min="7416" max="7416" width="7.140625" style="82" customWidth="1"/>
    <col min="7417" max="7417" width="6.5703125" style="82" customWidth="1"/>
    <col min="7418" max="7418" width="0.7109375" style="82" customWidth="1"/>
    <col min="7419" max="7419" width="7.85546875" style="82" customWidth="1"/>
    <col min="7420" max="7420" width="10.5703125" style="82" customWidth="1"/>
    <col min="7421" max="7421" width="0.7109375" style="82" customWidth="1"/>
    <col min="7422" max="7663" width="11.42578125" style="82"/>
    <col min="7664" max="7664" width="0.7109375" style="82" customWidth="1"/>
    <col min="7665" max="7665" width="15.140625" style="82" customWidth="1"/>
    <col min="7666" max="7666" width="0.7109375" style="82" customWidth="1"/>
    <col min="7667" max="7667" width="56.140625" style="82" customWidth="1"/>
    <col min="7668" max="7668" width="0.7109375" style="82" customWidth="1"/>
    <col min="7669" max="7669" width="9.140625" style="82" customWidth="1"/>
    <col min="7670" max="7670" width="6" style="82" customWidth="1"/>
    <col min="7671" max="7671" width="0.7109375" style="82" customWidth="1"/>
    <col min="7672" max="7672" width="7.140625" style="82" customWidth="1"/>
    <col min="7673" max="7673" width="6.5703125" style="82" customWidth="1"/>
    <col min="7674" max="7674" width="0.7109375" style="82" customWidth="1"/>
    <col min="7675" max="7675" width="7.85546875" style="82" customWidth="1"/>
    <col min="7676" max="7676" width="10.5703125" style="82" customWidth="1"/>
    <col min="7677" max="7677" width="0.7109375" style="82" customWidth="1"/>
    <col min="7678" max="7919" width="11.42578125" style="82"/>
    <col min="7920" max="7920" width="0.7109375" style="82" customWidth="1"/>
    <col min="7921" max="7921" width="15.140625" style="82" customWidth="1"/>
    <col min="7922" max="7922" width="0.7109375" style="82" customWidth="1"/>
    <col min="7923" max="7923" width="56.140625" style="82" customWidth="1"/>
    <col min="7924" max="7924" width="0.7109375" style="82" customWidth="1"/>
    <col min="7925" max="7925" width="9.140625" style="82" customWidth="1"/>
    <col min="7926" max="7926" width="6" style="82" customWidth="1"/>
    <col min="7927" max="7927" width="0.7109375" style="82" customWidth="1"/>
    <col min="7928" max="7928" width="7.140625" style="82" customWidth="1"/>
    <col min="7929" max="7929" width="6.5703125" style="82" customWidth="1"/>
    <col min="7930" max="7930" width="0.7109375" style="82" customWidth="1"/>
    <col min="7931" max="7931" width="7.85546875" style="82" customWidth="1"/>
    <col min="7932" max="7932" width="10.5703125" style="82" customWidth="1"/>
    <col min="7933" max="7933" width="0.7109375" style="82" customWidth="1"/>
    <col min="7934" max="8175" width="11.42578125" style="82"/>
    <col min="8176" max="8176" width="0.7109375" style="82" customWidth="1"/>
    <col min="8177" max="8177" width="15.140625" style="82" customWidth="1"/>
    <col min="8178" max="8178" width="0.7109375" style="82" customWidth="1"/>
    <col min="8179" max="8179" width="56.140625" style="82" customWidth="1"/>
    <col min="8180" max="8180" width="0.7109375" style="82" customWidth="1"/>
    <col min="8181" max="8181" width="9.140625" style="82" customWidth="1"/>
    <col min="8182" max="8182" width="6" style="82" customWidth="1"/>
    <col min="8183" max="8183" width="0.7109375" style="82" customWidth="1"/>
    <col min="8184" max="8184" width="7.140625" style="82" customWidth="1"/>
    <col min="8185" max="8185" width="6.5703125" style="82" customWidth="1"/>
    <col min="8186" max="8186" width="0.7109375" style="82" customWidth="1"/>
    <col min="8187" max="8187" width="7.85546875" style="82" customWidth="1"/>
    <col min="8188" max="8188" width="10.5703125" style="82" customWidth="1"/>
    <col min="8189" max="8189" width="0.7109375" style="82" customWidth="1"/>
    <col min="8190" max="8431" width="11.42578125" style="82"/>
    <col min="8432" max="8432" width="0.7109375" style="82" customWidth="1"/>
    <col min="8433" max="8433" width="15.140625" style="82" customWidth="1"/>
    <col min="8434" max="8434" width="0.7109375" style="82" customWidth="1"/>
    <col min="8435" max="8435" width="56.140625" style="82" customWidth="1"/>
    <col min="8436" max="8436" width="0.7109375" style="82" customWidth="1"/>
    <col min="8437" max="8437" width="9.140625" style="82" customWidth="1"/>
    <col min="8438" max="8438" width="6" style="82" customWidth="1"/>
    <col min="8439" max="8439" width="0.7109375" style="82" customWidth="1"/>
    <col min="8440" max="8440" width="7.140625" style="82" customWidth="1"/>
    <col min="8441" max="8441" width="6.5703125" style="82" customWidth="1"/>
    <col min="8442" max="8442" width="0.7109375" style="82" customWidth="1"/>
    <col min="8443" max="8443" width="7.85546875" style="82" customWidth="1"/>
    <col min="8444" max="8444" width="10.5703125" style="82" customWidth="1"/>
    <col min="8445" max="8445" width="0.7109375" style="82" customWidth="1"/>
    <col min="8446" max="8687" width="11.42578125" style="82"/>
    <col min="8688" max="8688" width="0.7109375" style="82" customWidth="1"/>
    <col min="8689" max="8689" width="15.140625" style="82" customWidth="1"/>
    <col min="8690" max="8690" width="0.7109375" style="82" customWidth="1"/>
    <col min="8691" max="8691" width="56.140625" style="82" customWidth="1"/>
    <col min="8692" max="8692" width="0.7109375" style="82" customWidth="1"/>
    <col min="8693" max="8693" width="9.140625" style="82" customWidth="1"/>
    <col min="8694" max="8694" width="6" style="82" customWidth="1"/>
    <col min="8695" max="8695" width="0.7109375" style="82" customWidth="1"/>
    <col min="8696" max="8696" width="7.140625" style="82" customWidth="1"/>
    <col min="8697" max="8697" width="6.5703125" style="82" customWidth="1"/>
    <col min="8698" max="8698" width="0.7109375" style="82" customWidth="1"/>
    <col min="8699" max="8699" width="7.85546875" style="82" customWidth="1"/>
    <col min="8700" max="8700" width="10.5703125" style="82" customWidth="1"/>
    <col min="8701" max="8701" width="0.7109375" style="82" customWidth="1"/>
    <col min="8702" max="8943" width="11.42578125" style="82"/>
    <col min="8944" max="8944" width="0.7109375" style="82" customWidth="1"/>
    <col min="8945" max="8945" width="15.140625" style="82" customWidth="1"/>
    <col min="8946" max="8946" width="0.7109375" style="82" customWidth="1"/>
    <col min="8947" max="8947" width="56.140625" style="82" customWidth="1"/>
    <col min="8948" max="8948" width="0.7109375" style="82" customWidth="1"/>
    <col min="8949" max="8949" width="9.140625" style="82" customWidth="1"/>
    <col min="8950" max="8950" width="6" style="82" customWidth="1"/>
    <col min="8951" max="8951" width="0.7109375" style="82" customWidth="1"/>
    <col min="8952" max="8952" width="7.140625" style="82" customWidth="1"/>
    <col min="8953" max="8953" width="6.5703125" style="82" customWidth="1"/>
    <col min="8954" max="8954" width="0.7109375" style="82" customWidth="1"/>
    <col min="8955" max="8955" width="7.85546875" style="82" customWidth="1"/>
    <col min="8956" max="8956" width="10.5703125" style="82" customWidth="1"/>
    <col min="8957" max="8957" width="0.7109375" style="82" customWidth="1"/>
    <col min="8958" max="9199" width="11.42578125" style="82"/>
    <col min="9200" max="9200" width="0.7109375" style="82" customWidth="1"/>
    <col min="9201" max="9201" width="15.140625" style="82" customWidth="1"/>
    <col min="9202" max="9202" width="0.7109375" style="82" customWidth="1"/>
    <col min="9203" max="9203" width="56.140625" style="82" customWidth="1"/>
    <col min="9204" max="9204" width="0.7109375" style="82" customWidth="1"/>
    <col min="9205" max="9205" width="9.140625" style="82" customWidth="1"/>
    <col min="9206" max="9206" width="6" style="82" customWidth="1"/>
    <col min="9207" max="9207" width="0.7109375" style="82" customWidth="1"/>
    <col min="9208" max="9208" width="7.140625" style="82" customWidth="1"/>
    <col min="9209" max="9209" width="6.5703125" style="82" customWidth="1"/>
    <col min="9210" max="9210" width="0.7109375" style="82" customWidth="1"/>
    <col min="9211" max="9211" width="7.85546875" style="82" customWidth="1"/>
    <col min="9212" max="9212" width="10.5703125" style="82" customWidth="1"/>
    <col min="9213" max="9213" width="0.7109375" style="82" customWidth="1"/>
    <col min="9214" max="9455" width="11.42578125" style="82"/>
    <col min="9456" max="9456" width="0.7109375" style="82" customWidth="1"/>
    <col min="9457" max="9457" width="15.140625" style="82" customWidth="1"/>
    <col min="9458" max="9458" width="0.7109375" style="82" customWidth="1"/>
    <col min="9459" max="9459" width="56.140625" style="82" customWidth="1"/>
    <col min="9460" max="9460" width="0.7109375" style="82" customWidth="1"/>
    <col min="9461" max="9461" width="9.140625" style="82" customWidth="1"/>
    <col min="9462" max="9462" width="6" style="82" customWidth="1"/>
    <col min="9463" max="9463" width="0.7109375" style="82" customWidth="1"/>
    <col min="9464" max="9464" width="7.140625" style="82" customWidth="1"/>
    <col min="9465" max="9465" width="6.5703125" style="82" customWidth="1"/>
    <col min="9466" max="9466" width="0.7109375" style="82" customWidth="1"/>
    <col min="9467" max="9467" width="7.85546875" style="82" customWidth="1"/>
    <col min="9468" max="9468" width="10.5703125" style="82" customWidth="1"/>
    <col min="9469" max="9469" width="0.7109375" style="82" customWidth="1"/>
    <col min="9470" max="9711" width="11.42578125" style="82"/>
    <col min="9712" max="9712" width="0.7109375" style="82" customWidth="1"/>
    <col min="9713" max="9713" width="15.140625" style="82" customWidth="1"/>
    <col min="9714" max="9714" width="0.7109375" style="82" customWidth="1"/>
    <col min="9715" max="9715" width="56.140625" style="82" customWidth="1"/>
    <col min="9716" max="9716" width="0.7109375" style="82" customWidth="1"/>
    <col min="9717" max="9717" width="9.140625" style="82" customWidth="1"/>
    <col min="9718" max="9718" width="6" style="82" customWidth="1"/>
    <col min="9719" max="9719" width="0.7109375" style="82" customWidth="1"/>
    <col min="9720" max="9720" width="7.140625" style="82" customWidth="1"/>
    <col min="9721" max="9721" width="6.5703125" style="82" customWidth="1"/>
    <col min="9722" max="9722" width="0.7109375" style="82" customWidth="1"/>
    <col min="9723" max="9723" width="7.85546875" style="82" customWidth="1"/>
    <col min="9724" max="9724" width="10.5703125" style="82" customWidth="1"/>
    <col min="9725" max="9725" width="0.7109375" style="82" customWidth="1"/>
    <col min="9726" max="9967" width="11.42578125" style="82"/>
    <col min="9968" max="9968" width="0.7109375" style="82" customWidth="1"/>
    <col min="9969" max="9969" width="15.140625" style="82" customWidth="1"/>
    <col min="9970" max="9970" width="0.7109375" style="82" customWidth="1"/>
    <col min="9971" max="9971" width="56.140625" style="82" customWidth="1"/>
    <col min="9972" max="9972" width="0.7109375" style="82" customWidth="1"/>
    <col min="9973" max="9973" width="9.140625" style="82" customWidth="1"/>
    <col min="9974" max="9974" width="6" style="82" customWidth="1"/>
    <col min="9975" max="9975" width="0.7109375" style="82" customWidth="1"/>
    <col min="9976" max="9976" width="7.140625" style="82" customWidth="1"/>
    <col min="9977" max="9977" width="6.5703125" style="82" customWidth="1"/>
    <col min="9978" max="9978" width="0.7109375" style="82" customWidth="1"/>
    <col min="9979" max="9979" width="7.85546875" style="82" customWidth="1"/>
    <col min="9980" max="9980" width="10.5703125" style="82" customWidth="1"/>
    <col min="9981" max="9981" width="0.7109375" style="82" customWidth="1"/>
    <col min="9982" max="10223" width="11.42578125" style="82"/>
    <col min="10224" max="10224" width="0.7109375" style="82" customWidth="1"/>
    <col min="10225" max="10225" width="15.140625" style="82" customWidth="1"/>
    <col min="10226" max="10226" width="0.7109375" style="82" customWidth="1"/>
    <col min="10227" max="10227" width="56.140625" style="82" customWidth="1"/>
    <col min="10228" max="10228" width="0.7109375" style="82" customWidth="1"/>
    <col min="10229" max="10229" width="9.140625" style="82" customWidth="1"/>
    <col min="10230" max="10230" width="6" style="82" customWidth="1"/>
    <col min="10231" max="10231" width="0.7109375" style="82" customWidth="1"/>
    <col min="10232" max="10232" width="7.140625" style="82" customWidth="1"/>
    <col min="10233" max="10233" width="6.5703125" style="82" customWidth="1"/>
    <col min="10234" max="10234" width="0.7109375" style="82" customWidth="1"/>
    <col min="10235" max="10235" width="7.85546875" style="82" customWidth="1"/>
    <col min="10236" max="10236" width="10.5703125" style="82" customWidth="1"/>
    <col min="10237" max="10237" width="0.7109375" style="82" customWidth="1"/>
    <col min="10238" max="10479" width="11.42578125" style="82"/>
    <col min="10480" max="10480" width="0.7109375" style="82" customWidth="1"/>
    <col min="10481" max="10481" width="15.140625" style="82" customWidth="1"/>
    <col min="10482" max="10482" width="0.7109375" style="82" customWidth="1"/>
    <col min="10483" max="10483" width="56.140625" style="82" customWidth="1"/>
    <col min="10484" max="10484" width="0.7109375" style="82" customWidth="1"/>
    <col min="10485" max="10485" width="9.140625" style="82" customWidth="1"/>
    <col min="10486" max="10486" width="6" style="82" customWidth="1"/>
    <col min="10487" max="10487" width="0.7109375" style="82" customWidth="1"/>
    <col min="10488" max="10488" width="7.140625" style="82" customWidth="1"/>
    <col min="10489" max="10489" width="6.5703125" style="82" customWidth="1"/>
    <col min="10490" max="10490" width="0.7109375" style="82" customWidth="1"/>
    <col min="10491" max="10491" width="7.85546875" style="82" customWidth="1"/>
    <col min="10492" max="10492" width="10.5703125" style="82" customWidth="1"/>
    <col min="10493" max="10493" width="0.7109375" style="82" customWidth="1"/>
    <col min="10494" max="10735" width="11.42578125" style="82"/>
    <col min="10736" max="10736" width="0.7109375" style="82" customWidth="1"/>
    <col min="10737" max="10737" width="15.140625" style="82" customWidth="1"/>
    <col min="10738" max="10738" width="0.7109375" style="82" customWidth="1"/>
    <col min="10739" max="10739" width="56.140625" style="82" customWidth="1"/>
    <col min="10740" max="10740" width="0.7109375" style="82" customWidth="1"/>
    <col min="10741" max="10741" width="9.140625" style="82" customWidth="1"/>
    <col min="10742" max="10742" width="6" style="82" customWidth="1"/>
    <col min="10743" max="10743" width="0.7109375" style="82" customWidth="1"/>
    <col min="10744" max="10744" width="7.140625" style="82" customWidth="1"/>
    <col min="10745" max="10745" width="6.5703125" style="82" customWidth="1"/>
    <col min="10746" max="10746" width="0.7109375" style="82" customWidth="1"/>
    <col min="10747" max="10747" width="7.85546875" style="82" customWidth="1"/>
    <col min="10748" max="10748" width="10.5703125" style="82" customWidth="1"/>
    <col min="10749" max="10749" width="0.7109375" style="82" customWidth="1"/>
    <col min="10750" max="10991" width="11.42578125" style="82"/>
    <col min="10992" max="10992" width="0.7109375" style="82" customWidth="1"/>
    <col min="10993" max="10993" width="15.140625" style="82" customWidth="1"/>
    <col min="10994" max="10994" width="0.7109375" style="82" customWidth="1"/>
    <col min="10995" max="10995" width="56.140625" style="82" customWidth="1"/>
    <col min="10996" max="10996" width="0.7109375" style="82" customWidth="1"/>
    <col min="10997" max="10997" width="9.140625" style="82" customWidth="1"/>
    <col min="10998" max="10998" width="6" style="82" customWidth="1"/>
    <col min="10999" max="10999" width="0.7109375" style="82" customWidth="1"/>
    <col min="11000" max="11000" width="7.140625" style="82" customWidth="1"/>
    <col min="11001" max="11001" width="6.5703125" style="82" customWidth="1"/>
    <col min="11002" max="11002" width="0.7109375" style="82" customWidth="1"/>
    <col min="11003" max="11003" width="7.85546875" style="82" customWidth="1"/>
    <col min="11004" max="11004" width="10.5703125" style="82" customWidth="1"/>
    <col min="11005" max="11005" width="0.7109375" style="82" customWidth="1"/>
    <col min="11006" max="11247" width="11.42578125" style="82"/>
    <col min="11248" max="11248" width="0.7109375" style="82" customWidth="1"/>
    <col min="11249" max="11249" width="15.140625" style="82" customWidth="1"/>
    <col min="11250" max="11250" width="0.7109375" style="82" customWidth="1"/>
    <col min="11251" max="11251" width="56.140625" style="82" customWidth="1"/>
    <col min="11252" max="11252" width="0.7109375" style="82" customWidth="1"/>
    <col min="11253" max="11253" width="9.140625" style="82" customWidth="1"/>
    <col min="11254" max="11254" width="6" style="82" customWidth="1"/>
    <col min="11255" max="11255" width="0.7109375" style="82" customWidth="1"/>
    <col min="11256" max="11256" width="7.140625" style="82" customWidth="1"/>
    <col min="11257" max="11257" width="6.5703125" style="82" customWidth="1"/>
    <col min="11258" max="11258" width="0.7109375" style="82" customWidth="1"/>
    <col min="11259" max="11259" width="7.85546875" style="82" customWidth="1"/>
    <col min="11260" max="11260" width="10.5703125" style="82" customWidth="1"/>
    <col min="11261" max="11261" width="0.7109375" style="82" customWidth="1"/>
    <col min="11262" max="11503" width="11.42578125" style="82"/>
    <col min="11504" max="11504" width="0.7109375" style="82" customWidth="1"/>
    <col min="11505" max="11505" width="15.140625" style="82" customWidth="1"/>
    <col min="11506" max="11506" width="0.7109375" style="82" customWidth="1"/>
    <col min="11507" max="11507" width="56.140625" style="82" customWidth="1"/>
    <col min="11508" max="11508" width="0.7109375" style="82" customWidth="1"/>
    <col min="11509" max="11509" width="9.140625" style="82" customWidth="1"/>
    <col min="11510" max="11510" width="6" style="82" customWidth="1"/>
    <col min="11511" max="11511" width="0.7109375" style="82" customWidth="1"/>
    <col min="11512" max="11512" width="7.140625" style="82" customWidth="1"/>
    <col min="11513" max="11513" width="6.5703125" style="82" customWidth="1"/>
    <col min="11514" max="11514" width="0.7109375" style="82" customWidth="1"/>
    <col min="11515" max="11515" width="7.85546875" style="82" customWidth="1"/>
    <col min="11516" max="11516" width="10.5703125" style="82" customWidth="1"/>
    <col min="11517" max="11517" width="0.7109375" style="82" customWidth="1"/>
    <col min="11518" max="11759" width="11.42578125" style="82"/>
    <col min="11760" max="11760" width="0.7109375" style="82" customWidth="1"/>
    <col min="11761" max="11761" width="15.140625" style="82" customWidth="1"/>
    <col min="11762" max="11762" width="0.7109375" style="82" customWidth="1"/>
    <col min="11763" max="11763" width="56.140625" style="82" customWidth="1"/>
    <col min="11764" max="11764" width="0.7109375" style="82" customWidth="1"/>
    <col min="11765" max="11765" width="9.140625" style="82" customWidth="1"/>
    <col min="11766" max="11766" width="6" style="82" customWidth="1"/>
    <col min="11767" max="11767" width="0.7109375" style="82" customWidth="1"/>
    <col min="11768" max="11768" width="7.140625" style="82" customWidth="1"/>
    <col min="11769" max="11769" width="6.5703125" style="82" customWidth="1"/>
    <col min="11770" max="11770" width="0.7109375" style="82" customWidth="1"/>
    <col min="11771" max="11771" width="7.85546875" style="82" customWidth="1"/>
    <col min="11772" max="11772" width="10.5703125" style="82" customWidth="1"/>
    <col min="11773" max="11773" width="0.7109375" style="82" customWidth="1"/>
    <col min="11774" max="12015" width="11.42578125" style="82"/>
    <col min="12016" max="12016" width="0.7109375" style="82" customWidth="1"/>
    <col min="12017" max="12017" width="15.140625" style="82" customWidth="1"/>
    <col min="12018" max="12018" width="0.7109375" style="82" customWidth="1"/>
    <col min="12019" max="12019" width="56.140625" style="82" customWidth="1"/>
    <col min="12020" max="12020" width="0.7109375" style="82" customWidth="1"/>
    <col min="12021" max="12021" width="9.140625" style="82" customWidth="1"/>
    <col min="12022" max="12022" width="6" style="82" customWidth="1"/>
    <col min="12023" max="12023" width="0.7109375" style="82" customWidth="1"/>
    <col min="12024" max="12024" width="7.140625" style="82" customWidth="1"/>
    <col min="12025" max="12025" width="6.5703125" style="82" customWidth="1"/>
    <col min="12026" max="12026" width="0.7109375" style="82" customWidth="1"/>
    <col min="12027" max="12027" width="7.85546875" style="82" customWidth="1"/>
    <col min="12028" max="12028" width="10.5703125" style="82" customWidth="1"/>
    <col min="12029" max="12029" width="0.7109375" style="82" customWidth="1"/>
    <col min="12030" max="12271" width="11.42578125" style="82"/>
    <col min="12272" max="12272" width="0.7109375" style="82" customWidth="1"/>
    <col min="12273" max="12273" width="15.140625" style="82" customWidth="1"/>
    <col min="12274" max="12274" width="0.7109375" style="82" customWidth="1"/>
    <col min="12275" max="12275" width="56.140625" style="82" customWidth="1"/>
    <col min="12276" max="12276" width="0.7109375" style="82" customWidth="1"/>
    <col min="12277" max="12277" width="9.140625" style="82" customWidth="1"/>
    <col min="12278" max="12278" width="6" style="82" customWidth="1"/>
    <col min="12279" max="12279" width="0.7109375" style="82" customWidth="1"/>
    <col min="12280" max="12280" width="7.140625" style="82" customWidth="1"/>
    <col min="12281" max="12281" width="6.5703125" style="82" customWidth="1"/>
    <col min="12282" max="12282" width="0.7109375" style="82" customWidth="1"/>
    <col min="12283" max="12283" width="7.85546875" style="82" customWidth="1"/>
    <col min="12284" max="12284" width="10.5703125" style="82" customWidth="1"/>
    <col min="12285" max="12285" width="0.7109375" style="82" customWidth="1"/>
    <col min="12286" max="12527" width="11.42578125" style="82"/>
    <col min="12528" max="12528" width="0.7109375" style="82" customWidth="1"/>
    <col min="12529" max="12529" width="15.140625" style="82" customWidth="1"/>
    <col min="12530" max="12530" width="0.7109375" style="82" customWidth="1"/>
    <col min="12531" max="12531" width="56.140625" style="82" customWidth="1"/>
    <col min="12532" max="12532" width="0.7109375" style="82" customWidth="1"/>
    <col min="12533" max="12533" width="9.140625" style="82" customWidth="1"/>
    <col min="12534" max="12534" width="6" style="82" customWidth="1"/>
    <col min="12535" max="12535" width="0.7109375" style="82" customWidth="1"/>
    <col min="12536" max="12536" width="7.140625" style="82" customWidth="1"/>
    <col min="12537" max="12537" width="6.5703125" style="82" customWidth="1"/>
    <col min="12538" max="12538" width="0.7109375" style="82" customWidth="1"/>
    <col min="12539" max="12539" width="7.85546875" style="82" customWidth="1"/>
    <col min="12540" max="12540" width="10.5703125" style="82" customWidth="1"/>
    <col min="12541" max="12541" width="0.7109375" style="82" customWidth="1"/>
    <col min="12542" max="12783" width="11.42578125" style="82"/>
    <col min="12784" max="12784" width="0.7109375" style="82" customWidth="1"/>
    <col min="12785" max="12785" width="15.140625" style="82" customWidth="1"/>
    <col min="12786" max="12786" width="0.7109375" style="82" customWidth="1"/>
    <col min="12787" max="12787" width="56.140625" style="82" customWidth="1"/>
    <col min="12788" max="12788" width="0.7109375" style="82" customWidth="1"/>
    <col min="12789" max="12789" width="9.140625" style="82" customWidth="1"/>
    <col min="12790" max="12790" width="6" style="82" customWidth="1"/>
    <col min="12791" max="12791" width="0.7109375" style="82" customWidth="1"/>
    <col min="12792" max="12792" width="7.140625" style="82" customWidth="1"/>
    <col min="12793" max="12793" width="6.5703125" style="82" customWidth="1"/>
    <col min="12794" max="12794" width="0.7109375" style="82" customWidth="1"/>
    <col min="12795" max="12795" width="7.85546875" style="82" customWidth="1"/>
    <col min="12796" max="12796" width="10.5703125" style="82" customWidth="1"/>
    <col min="12797" max="12797" width="0.7109375" style="82" customWidth="1"/>
    <col min="12798" max="13039" width="11.42578125" style="82"/>
    <col min="13040" max="13040" width="0.7109375" style="82" customWidth="1"/>
    <col min="13041" max="13041" width="15.140625" style="82" customWidth="1"/>
    <col min="13042" max="13042" width="0.7109375" style="82" customWidth="1"/>
    <col min="13043" max="13043" width="56.140625" style="82" customWidth="1"/>
    <col min="13044" max="13044" width="0.7109375" style="82" customWidth="1"/>
    <col min="13045" max="13045" width="9.140625" style="82" customWidth="1"/>
    <col min="13046" max="13046" width="6" style="82" customWidth="1"/>
    <col min="13047" max="13047" width="0.7109375" style="82" customWidth="1"/>
    <col min="13048" max="13048" width="7.140625" style="82" customWidth="1"/>
    <col min="13049" max="13049" width="6.5703125" style="82" customWidth="1"/>
    <col min="13050" max="13050" width="0.7109375" style="82" customWidth="1"/>
    <col min="13051" max="13051" width="7.85546875" style="82" customWidth="1"/>
    <col min="13052" max="13052" width="10.5703125" style="82" customWidth="1"/>
    <col min="13053" max="13053" width="0.7109375" style="82" customWidth="1"/>
    <col min="13054" max="13295" width="11.42578125" style="82"/>
    <col min="13296" max="13296" width="0.7109375" style="82" customWidth="1"/>
    <col min="13297" max="13297" width="15.140625" style="82" customWidth="1"/>
    <col min="13298" max="13298" width="0.7109375" style="82" customWidth="1"/>
    <col min="13299" max="13299" width="56.140625" style="82" customWidth="1"/>
    <col min="13300" max="13300" width="0.7109375" style="82" customWidth="1"/>
    <col min="13301" max="13301" width="9.140625" style="82" customWidth="1"/>
    <col min="13302" max="13302" width="6" style="82" customWidth="1"/>
    <col min="13303" max="13303" width="0.7109375" style="82" customWidth="1"/>
    <col min="13304" max="13304" width="7.140625" style="82" customWidth="1"/>
    <col min="13305" max="13305" width="6.5703125" style="82" customWidth="1"/>
    <col min="13306" max="13306" width="0.7109375" style="82" customWidth="1"/>
    <col min="13307" max="13307" width="7.85546875" style="82" customWidth="1"/>
    <col min="13308" max="13308" width="10.5703125" style="82" customWidth="1"/>
    <col min="13309" max="13309" width="0.7109375" style="82" customWidth="1"/>
    <col min="13310" max="13551" width="11.42578125" style="82"/>
    <col min="13552" max="13552" width="0.7109375" style="82" customWidth="1"/>
    <col min="13553" max="13553" width="15.140625" style="82" customWidth="1"/>
    <col min="13554" max="13554" width="0.7109375" style="82" customWidth="1"/>
    <col min="13555" max="13555" width="56.140625" style="82" customWidth="1"/>
    <col min="13556" max="13556" width="0.7109375" style="82" customWidth="1"/>
    <col min="13557" max="13557" width="9.140625" style="82" customWidth="1"/>
    <col min="13558" max="13558" width="6" style="82" customWidth="1"/>
    <col min="13559" max="13559" width="0.7109375" style="82" customWidth="1"/>
    <col min="13560" max="13560" width="7.140625" style="82" customWidth="1"/>
    <col min="13561" max="13561" width="6.5703125" style="82" customWidth="1"/>
    <col min="13562" max="13562" width="0.7109375" style="82" customWidth="1"/>
    <col min="13563" max="13563" width="7.85546875" style="82" customWidth="1"/>
    <col min="13564" max="13564" width="10.5703125" style="82" customWidth="1"/>
    <col min="13565" max="13565" width="0.7109375" style="82" customWidth="1"/>
    <col min="13566" max="16384" width="11.42578125" style="82"/>
  </cols>
  <sheetData>
    <row r="1" spans="1:15" ht="20.100000000000001" customHeight="1" x14ac:dyDescent="0.25">
      <c r="A1" s="1" t="s">
        <v>0</v>
      </c>
      <c r="B1" s="2" t="s">
        <v>220</v>
      </c>
      <c r="C1" s="104"/>
      <c r="D1" s="104"/>
      <c r="E1" s="104"/>
      <c r="F1" s="104"/>
      <c r="G1" s="104"/>
      <c r="H1" s="104"/>
      <c r="I1" s="104"/>
      <c r="J1" s="104"/>
      <c r="K1" s="104"/>
    </row>
    <row r="2" spans="1:15" ht="20.100000000000001" customHeight="1" x14ac:dyDescent="0.25">
      <c r="A2" s="8" t="s">
        <v>2</v>
      </c>
      <c r="B2" s="9" t="s">
        <v>226</v>
      </c>
    </row>
    <row r="3" spans="1:15" ht="20.100000000000001" customHeight="1" x14ac:dyDescent="0.25">
      <c r="A3" s="8" t="s">
        <v>5</v>
      </c>
      <c r="B3" s="9" t="s">
        <v>231</v>
      </c>
    </row>
    <row r="4" spans="1:15" ht="20.100000000000001" customHeight="1" x14ac:dyDescent="0.25">
      <c r="A4" s="8" t="s">
        <v>7</v>
      </c>
      <c r="B4" s="105">
        <v>0</v>
      </c>
    </row>
    <row r="5" spans="1:15" ht="30" customHeight="1" x14ac:dyDescent="0.25">
      <c r="A5" s="1508" t="s">
        <v>2879</v>
      </c>
      <c r="B5" s="1509"/>
      <c r="C5" s="1509"/>
      <c r="D5" s="1509"/>
      <c r="E5" s="1509"/>
      <c r="F5" s="1509"/>
      <c r="G5" s="1509"/>
      <c r="H5" s="1509"/>
      <c r="I5" s="1509"/>
      <c r="J5" s="1509"/>
      <c r="K5" s="1509"/>
      <c r="L5" s="1509"/>
      <c r="M5" s="106"/>
      <c r="N5" s="107"/>
    </row>
    <row r="6" spans="1:15" ht="30" customHeight="1" x14ac:dyDescent="0.25">
      <c r="A6" s="108" t="s">
        <v>10</v>
      </c>
      <c r="B6" s="108" t="s">
        <v>12</v>
      </c>
      <c r="C6" s="109" t="s">
        <v>11</v>
      </c>
      <c r="D6" s="110" t="s">
        <v>66</v>
      </c>
      <c r="E6" s="111" t="s">
        <v>67</v>
      </c>
      <c r="F6" s="112"/>
      <c r="G6" s="1510" t="s">
        <v>68</v>
      </c>
      <c r="H6" s="1511"/>
      <c r="I6" s="1514" t="s">
        <v>69</v>
      </c>
      <c r="J6" s="1515"/>
      <c r="K6" s="1516"/>
      <c r="L6" s="1517">
        <f>DMT!G15</f>
        <v>905.7</v>
      </c>
      <c r="M6" s="1518"/>
      <c r="N6" s="1519"/>
      <c r="O6" s="113"/>
    </row>
    <row r="7" spans="1:15" ht="30" customHeight="1" x14ac:dyDescent="0.25">
      <c r="A7" s="114" t="s">
        <v>70</v>
      </c>
      <c r="B7" s="115" t="s">
        <v>16</v>
      </c>
      <c r="C7" s="116" t="s">
        <v>71</v>
      </c>
      <c r="D7" s="117" t="s">
        <v>72</v>
      </c>
      <c r="E7" s="118" t="s">
        <v>73</v>
      </c>
      <c r="F7" s="119"/>
      <c r="G7" s="1512"/>
      <c r="H7" s="1513"/>
      <c r="I7" s="120" t="s">
        <v>74</v>
      </c>
      <c r="J7" s="120"/>
      <c r="K7" s="120"/>
      <c r="L7" s="1520">
        <f>DMT!F15</f>
        <v>95.58</v>
      </c>
      <c r="M7" s="1521"/>
      <c r="N7" s="1522"/>
      <c r="O7" s="113"/>
    </row>
    <row r="8" spans="1:15" ht="36" customHeight="1" x14ac:dyDescent="0.25">
      <c r="A8" s="1501" t="s">
        <v>10</v>
      </c>
      <c r="B8" s="1523" t="s">
        <v>21</v>
      </c>
      <c r="C8" s="1524" t="s">
        <v>75</v>
      </c>
      <c r="D8" s="1498" t="s">
        <v>76</v>
      </c>
      <c r="E8" s="1506" t="s">
        <v>69</v>
      </c>
      <c r="F8" s="1507"/>
      <c r="G8" s="1506" t="s">
        <v>77</v>
      </c>
      <c r="H8" s="1507"/>
      <c r="I8" s="1498" t="s">
        <v>78</v>
      </c>
      <c r="J8" s="1498" t="s">
        <v>79</v>
      </c>
      <c r="K8" s="1498" t="s">
        <v>80</v>
      </c>
      <c r="L8" s="1498" t="s">
        <v>81</v>
      </c>
      <c r="M8" s="1498" t="s">
        <v>34</v>
      </c>
      <c r="N8" s="1498" t="s">
        <v>82</v>
      </c>
      <c r="O8" s="82" t="s">
        <v>17</v>
      </c>
    </row>
    <row r="9" spans="1:15" ht="36" customHeight="1" x14ac:dyDescent="0.25">
      <c r="A9" s="1501"/>
      <c r="B9" s="1500"/>
      <c r="C9" s="1497"/>
      <c r="D9" s="1498"/>
      <c r="E9" s="121" t="s">
        <v>83</v>
      </c>
      <c r="F9" s="121" t="s">
        <v>84</v>
      </c>
      <c r="G9" s="121" t="s">
        <v>83</v>
      </c>
      <c r="H9" s="121" t="s">
        <v>84</v>
      </c>
      <c r="I9" s="1498"/>
      <c r="J9" s="1498"/>
      <c r="K9" s="1498"/>
      <c r="L9" s="1498"/>
      <c r="M9" s="1498"/>
      <c r="N9" s="1498"/>
      <c r="O9" s="82" t="s">
        <v>58</v>
      </c>
    </row>
    <row r="10" spans="1:15" ht="30" customHeight="1" x14ac:dyDescent="0.25">
      <c r="A10" s="122" t="s">
        <v>85</v>
      </c>
      <c r="B10" s="123" t="s">
        <v>8</v>
      </c>
      <c r="C10" s="124" t="s">
        <v>417</v>
      </c>
      <c r="D10" s="125">
        <v>2</v>
      </c>
      <c r="E10" s="122">
        <f>$L$6</f>
        <v>905.7</v>
      </c>
      <c r="F10" s="125">
        <v>60</v>
      </c>
      <c r="G10" s="122">
        <f>$L$7</f>
        <v>95.58</v>
      </c>
      <c r="H10" s="125">
        <v>50</v>
      </c>
      <c r="I10" s="125">
        <v>1</v>
      </c>
      <c r="J10" s="125">
        <v>0.5</v>
      </c>
      <c r="K10" s="122">
        <v>427.20089999999999</v>
      </c>
      <c r="L10" s="122">
        <f>TRUNC(((((E10*D10*J10)/F10)*K10)*I10)+((((G10*D10*J10)/H10)*K10)*I10),2)</f>
        <v>7265.23</v>
      </c>
      <c r="M10" s="122" t="s">
        <v>86</v>
      </c>
      <c r="N10" s="124" t="s">
        <v>87</v>
      </c>
    </row>
    <row r="11" spans="1:15" ht="42" customHeight="1" x14ac:dyDescent="0.25">
      <c r="A11" s="122" t="s">
        <v>88</v>
      </c>
      <c r="B11" s="123" t="s">
        <v>8</v>
      </c>
      <c r="C11" s="124" t="s">
        <v>416</v>
      </c>
      <c r="D11" s="125">
        <v>2</v>
      </c>
      <c r="E11" s="122">
        <f t="shared" ref="E11:E16" si="0">$L$6</f>
        <v>905.7</v>
      </c>
      <c r="F11" s="125">
        <v>60</v>
      </c>
      <c r="G11" s="122">
        <f t="shared" ref="G11:G16" si="1">$L$7</f>
        <v>95.58</v>
      </c>
      <c r="H11" s="125">
        <v>50</v>
      </c>
      <c r="I11" s="125">
        <v>1</v>
      </c>
      <c r="J11" s="125">
        <v>0.5</v>
      </c>
      <c r="K11" s="122">
        <v>427.20089999999999</v>
      </c>
      <c r="L11" s="122">
        <f t="shared" ref="L11:L16" si="2">TRUNC(((((E11*D11*J11)/F11)*K11)*I11)+((((G11*D11*J11)/H11)*K11)*I11),2)</f>
        <v>7265.23</v>
      </c>
      <c r="M11" s="122" t="s">
        <v>86</v>
      </c>
      <c r="N11" s="124" t="s">
        <v>87</v>
      </c>
    </row>
    <row r="12" spans="1:15" ht="30" customHeight="1" x14ac:dyDescent="0.25">
      <c r="A12" s="1152" t="s">
        <v>89</v>
      </c>
      <c r="B12" s="1153" t="s">
        <v>8</v>
      </c>
      <c r="C12" s="1154" t="s">
        <v>2913</v>
      </c>
      <c r="D12" s="1155">
        <v>2</v>
      </c>
      <c r="E12" s="1156">
        <f t="shared" si="0"/>
        <v>905.7</v>
      </c>
      <c r="F12" s="1155">
        <v>60</v>
      </c>
      <c r="G12" s="1156">
        <f t="shared" si="1"/>
        <v>95.58</v>
      </c>
      <c r="H12" s="1155">
        <v>50</v>
      </c>
      <c r="I12" s="1155">
        <v>1</v>
      </c>
      <c r="J12" s="1155">
        <v>0.5</v>
      </c>
      <c r="K12" s="1156">
        <v>399.55160000000001</v>
      </c>
      <c r="L12" s="1156">
        <f t="shared" si="2"/>
        <v>6795.01</v>
      </c>
      <c r="M12" s="1156" t="s">
        <v>90</v>
      </c>
      <c r="N12" s="1154" t="s">
        <v>91</v>
      </c>
    </row>
    <row r="13" spans="1:15" ht="30" customHeight="1" x14ac:dyDescent="0.25">
      <c r="A13" s="122" t="s">
        <v>92</v>
      </c>
      <c r="B13" s="123" t="s">
        <v>8</v>
      </c>
      <c r="C13" s="124" t="s">
        <v>405</v>
      </c>
      <c r="D13" s="125">
        <v>2</v>
      </c>
      <c r="E13" s="122">
        <f t="shared" si="0"/>
        <v>905.7</v>
      </c>
      <c r="F13" s="125">
        <v>60</v>
      </c>
      <c r="G13" s="122">
        <f t="shared" si="1"/>
        <v>95.58</v>
      </c>
      <c r="H13" s="125">
        <v>50</v>
      </c>
      <c r="I13" s="125">
        <v>1</v>
      </c>
      <c r="J13" s="125">
        <v>0.5</v>
      </c>
      <c r="K13" s="122">
        <v>399.55160000000001</v>
      </c>
      <c r="L13" s="122">
        <f t="shared" si="2"/>
        <v>6795.01</v>
      </c>
      <c r="M13" s="122" t="s">
        <v>90</v>
      </c>
      <c r="N13" s="124" t="s">
        <v>91</v>
      </c>
    </row>
    <row r="14" spans="1:15" ht="30" customHeight="1" x14ac:dyDescent="0.25">
      <c r="A14" s="122" t="s">
        <v>93</v>
      </c>
      <c r="B14" s="123" t="s">
        <v>8</v>
      </c>
      <c r="C14" s="124" t="s">
        <v>415</v>
      </c>
      <c r="D14" s="125">
        <v>2</v>
      </c>
      <c r="E14" s="122">
        <f t="shared" si="0"/>
        <v>905.7</v>
      </c>
      <c r="F14" s="125">
        <v>60</v>
      </c>
      <c r="G14" s="122">
        <f t="shared" si="1"/>
        <v>95.58</v>
      </c>
      <c r="H14" s="125">
        <v>50</v>
      </c>
      <c r="I14" s="125">
        <v>1</v>
      </c>
      <c r="J14" s="125">
        <v>1</v>
      </c>
      <c r="K14" s="122">
        <v>399.55160000000001</v>
      </c>
      <c r="L14" s="122">
        <f t="shared" si="2"/>
        <v>13590.02</v>
      </c>
      <c r="M14" s="122" t="s">
        <v>90</v>
      </c>
      <c r="N14" s="124" t="s">
        <v>91</v>
      </c>
    </row>
    <row r="15" spans="1:15" ht="30" customHeight="1" x14ac:dyDescent="0.25">
      <c r="A15" s="122" t="s">
        <v>94</v>
      </c>
      <c r="B15" s="123" t="s">
        <v>8</v>
      </c>
      <c r="C15" s="124" t="s">
        <v>2914</v>
      </c>
      <c r="D15" s="125">
        <v>2</v>
      </c>
      <c r="E15" s="122">
        <f t="shared" si="0"/>
        <v>905.7</v>
      </c>
      <c r="F15" s="125">
        <v>60</v>
      </c>
      <c r="G15" s="122">
        <f t="shared" si="1"/>
        <v>95.58</v>
      </c>
      <c r="H15" s="125">
        <v>50</v>
      </c>
      <c r="I15" s="125">
        <v>2</v>
      </c>
      <c r="J15" s="125">
        <v>1</v>
      </c>
      <c r="K15" s="122">
        <v>399.55160000000001</v>
      </c>
      <c r="L15" s="122">
        <f t="shared" si="2"/>
        <v>27180.05</v>
      </c>
      <c r="M15" s="122" t="s">
        <v>90</v>
      </c>
      <c r="N15" s="124" t="s">
        <v>91</v>
      </c>
    </row>
    <row r="16" spans="1:15" ht="30" customHeight="1" x14ac:dyDescent="0.25">
      <c r="A16" s="122" t="s">
        <v>95</v>
      </c>
      <c r="B16" s="123" t="s">
        <v>8</v>
      </c>
      <c r="C16" s="124" t="s">
        <v>418</v>
      </c>
      <c r="D16" s="125">
        <v>2</v>
      </c>
      <c r="E16" s="122">
        <f t="shared" si="0"/>
        <v>905.7</v>
      </c>
      <c r="F16" s="125">
        <v>60</v>
      </c>
      <c r="G16" s="122">
        <f t="shared" si="1"/>
        <v>95.58</v>
      </c>
      <c r="H16" s="125">
        <v>50</v>
      </c>
      <c r="I16" s="125">
        <v>2</v>
      </c>
      <c r="J16" s="125">
        <v>1</v>
      </c>
      <c r="K16" s="122">
        <v>427.20089999999999</v>
      </c>
      <c r="L16" s="122">
        <f t="shared" si="2"/>
        <v>29060.93</v>
      </c>
      <c r="M16" s="122" t="s">
        <v>86</v>
      </c>
      <c r="N16" s="124" t="s">
        <v>87</v>
      </c>
    </row>
    <row r="17" spans="1:16" ht="24.95" customHeight="1" x14ac:dyDescent="0.25">
      <c r="A17" s="126"/>
      <c r="B17" s="127"/>
      <c r="C17" s="128" t="s">
        <v>96</v>
      </c>
      <c r="D17" s="127"/>
      <c r="E17" s="127"/>
      <c r="F17" s="127"/>
      <c r="G17" s="127"/>
      <c r="H17" s="127"/>
      <c r="I17" s="127"/>
      <c r="J17" s="127"/>
      <c r="K17" s="129"/>
      <c r="L17" s="130"/>
      <c r="M17" s="131"/>
      <c r="N17" s="132"/>
    </row>
    <row r="18" spans="1:16" ht="21" customHeight="1" x14ac:dyDescent="0.25">
      <c r="A18" s="1500" t="s">
        <v>10</v>
      </c>
      <c r="B18" s="1502" t="s">
        <v>21</v>
      </c>
      <c r="C18" s="1503" t="s">
        <v>75</v>
      </c>
      <c r="D18" s="1497" t="s">
        <v>76</v>
      </c>
      <c r="E18" s="1504" t="s">
        <v>69</v>
      </c>
      <c r="F18" s="1505"/>
      <c r="G18" s="1504" t="s">
        <v>77</v>
      </c>
      <c r="H18" s="1505"/>
      <c r="I18" s="1497" t="s">
        <v>78</v>
      </c>
      <c r="J18" s="1497" t="s">
        <v>79</v>
      </c>
      <c r="K18" s="1497" t="s">
        <v>80</v>
      </c>
      <c r="L18" s="1497" t="s">
        <v>81</v>
      </c>
      <c r="M18" s="1498" t="s">
        <v>34</v>
      </c>
      <c r="N18" s="1498" t="s">
        <v>82</v>
      </c>
    </row>
    <row r="19" spans="1:16" ht="30" x14ac:dyDescent="0.25">
      <c r="A19" s="1501"/>
      <c r="B19" s="1500"/>
      <c r="C19" s="1497"/>
      <c r="D19" s="1498"/>
      <c r="E19" s="121" t="s">
        <v>83</v>
      </c>
      <c r="F19" s="121" t="s">
        <v>84</v>
      </c>
      <c r="G19" s="121" t="s">
        <v>83</v>
      </c>
      <c r="H19" s="121" t="s">
        <v>84</v>
      </c>
      <c r="I19" s="1498"/>
      <c r="J19" s="1498"/>
      <c r="K19" s="1498"/>
      <c r="L19" s="1498"/>
      <c r="M19" s="1498"/>
      <c r="N19" s="1498"/>
    </row>
    <row r="20" spans="1:16" ht="71.25" x14ac:dyDescent="0.25">
      <c r="A20" s="133">
        <v>83362</v>
      </c>
      <c r="B20" s="123" t="s">
        <v>1</v>
      </c>
      <c r="C20" s="124" t="s">
        <v>2901</v>
      </c>
      <c r="D20" s="125">
        <v>1</v>
      </c>
      <c r="E20" s="122">
        <f>$L$6</f>
        <v>905.7</v>
      </c>
      <c r="F20" s="125">
        <v>60</v>
      </c>
      <c r="G20" s="122">
        <f>$L$7</f>
        <v>95.58</v>
      </c>
      <c r="H20" s="125">
        <v>50</v>
      </c>
      <c r="I20" s="125">
        <v>1</v>
      </c>
      <c r="J20" s="125">
        <v>1</v>
      </c>
      <c r="K20" s="122">
        <v>274.87</v>
      </c>
      <c r="L20" s="122">
        <f>TRUNC(((((E20*D20*J20)/F20)*K20)*I20)+((((G20*D20*J20)/H20)*K20)*I20),2)</f>
        <v>4674.6000000000004</v>
      </c>
      <c r="M20" s="133">
        <f>A20</f>
        <v>83362</v>
      </c>
      <c r="N20" s="134" t="s">
        <v>97</v>
      </c>
    </row>
    <row r="21" spans="1:16" ht="42.75" x14ac:dyDescent="0.25">
      <c r="A21" s="133">
        <v>96035</v>
      </c>
      <c r="B21" s="123" t="s">
        <v>1</v>
      </c>
      <c r="C21" s="124" t="s">
        <v>2915</v>
      </c>
      <c r="D21" s="125">
        <v>1</v>
      </c>
      <c r="E21" s="122">
        <f>$L$6</f>
        <v>905.7</v>
      </c>
      <c r="F21" s="125">
        <v>60</v>
      </c>
      <c r="G21" s="122">
        <f>$L$7</f>
        <v>95.58</v>
      </c>
      <c r="H21" s="125">
        <v>50</v>
      </c>
      <c r="I21" s="125">
        <v>1</v>
      </c>
      <c r="J21" s="125">
        <v>1</v>
      </c>
      <c r="K21" s="122">
        <v>278.72000000000003</v>
      </c>
      <c r="L21" s="122">
        <f>TRUNC(((((E21*D21*J21)/F21)*K21)*I21)+((((G21*D21*J21)/H21)*K21)*I21),2)</f>
        <v>4740.07</v>
      </c>
      <c r="M21" s="133">
        <f>A21</f>
        <v>96035</v>
      </c>
      <c r="N21" s="134" t="s">
        <v>97</v>
      </c>
    </row>
    <row r="22" spans="1:16" ht="57" x14ac:dyDescent="0.2">
      <c r="A22" s="135">
        <v>89883</v>
      </c>
      <c r="B22" s="123" t="s">
        <v>1</v>
      </c>
      <c r="C22" s="124" t="s">
        <v>2916</v>
      </c>
      <c r="D22" s="125">
        <v>1</v>
      </c>
      <c r="E22" s="122">
        <f>$L$6</f>
        <v>905.7</v>
      </c>
      <c r="F22" s="125">
        <v>60</v>
      </c>
      <c r="G22" s="122">
        <f>$L$7</f>
        <v>95.58</v>
      </c>
      <c r="H22" s="125">
        <v>50</v>
      </c>
      <c r="I22" s="125">
        <v>1</v>
      </c>
      <c r="J22" s="125">
        <v>1</v>
      </c>
      <c r="K22" s="122">
        <v>361.03</v>
      </c>
      <c r="L22" s="122">
        <f>TRUNC(((((E22*D22*J22)/F22)*K22)*I22)+((((G22*D22*J22)/H22)*K22)*I22),2)</f>
        <v>6139.89</v>
      </c>
      <c r="M22" s="133">
        <f>A22</f>
        <v>89883</v>
      </c>
      <c r="N22" s="134" t="s">
        <v>97</v>
      </c>
      <c r="O22" s="136"/>
    </row>
    <row r="23" spans="1:16" ht="57" x14ac:dyDescent="0.2">
      <c r="A23" s="133">
        <v>89876</v>
      </c>
      <c r="B23" s="123" t="s">
        <v>1</v>
      </c>
      <c r="C23" s="124" t="s">
        <v>2917</v>
      </c>
      <c r="D23" s="125">
        <v>1</v>
      </c>
      <c r="E23" s="122">
        <f>$L$6</f>
        <v>905.7</v>
      </c>
      <c r="F23" s="125">
        <v>60</v>
      </c>
      <c r="G23" s="122">
        <f>$L$7</f>
        <v>95.58</v>
      </c>
      <c r="H23" s="125">
        <v>50</v>
      </c>
      <c r="I23" s="125">
        <v>1</v>
      </c>
      <c r="J23" s="125">
        <v>1</v>
      </c>
      <c r="K23" s="122">
        <v>327.04000000000002</v>
      </c>
      <c r="L23" s="122">
        <f>TRUNC(((((E23*D23*J23)/F23)*K23)*I23)+((((G23*D23*J23)/H23)*K23)*I23),2)</f>
        <v>5561.83</v>
      </c>
      <c r="M23" s="133">
        <f>A23</f>
        <v>89876</v>
      </c>
      <c r="N23" s="134" t="s">
        <v>97</v>
      </c>
      <c r="O23" s="136"/>
    </row>
    <row r="24" spans="1:16" ht="30" customHeight="1" x14ac:dyDescent="0.2">
      <c r="A24" s="1499" t="s">
        <v>98</v>
      </c>
      <c r="B24" s="1499"/>
      <c r="C24" s="1499"/>
      <c r="D24" s="1499"/>
      <c r="E24" s="1499"/>
      <c r="F24" s="1499"/>
      <c r="G24" s="1499"/>
      <c r="H24" s="1499"/>
      <c r="I24" s="1499"/>
      <c r="J24" s="1499"/>
      <c r="K24" s="1499"/>
      <c r="L24" s="137">
        <f>SUM(L10:L23)*2</f>
        <v>238135.74000000005</v>
      </c>
      <c r="M24" s="138"/>
      <c r="N24" s="107"/>
      <c r="O24" s="136"/>
    </row>
    <row r="25" spans="1:16" ht="30" customHeight="1" x14ac:dyDescent="0.2">
      <c r="A25" s="1499" t="s">
        <v>99</v>
      </c>
      <c r="B25" s="1499"/>
      <c r="C25" s="1499"/>
      <c r="D25" s="1499"/>
      <c r="E25" s="1499"/>
      <c r="F25" s="1499"/>
      <c r="G25" s="1499"/>
      <c r="H25" s="1499"/>
      <c r="I25" s="1499"/>
      <c r="J25" s="1499"/>
      <c r="K25" s="1499"/>
      <c r="L25" s="137">
        <f>SUM(L10:L23)</f>
        <v>119067.87000000002</v>
      </c>
      <c r="M25" s="139"/>
      <c r="N25" s="140"/>
      <c r="O25" s="136"/>
    </row>
    <row r="26" spans="1:16" ht="30" customHeight="1" x14ac:dyDescent="0.2">
      <c r="A26" s="1499" t="s">
        <v>100</v>
      </c>
      <c r="B26" s="1499"/>
      <c r="C26" s="1499"/>
      <c r="D26" s="1499"/>
      <c r="E26" s="1499"/>
      <c r="F26" s="1499"/>
      <c r="G26" s="1499"/>
      <c r="H26" s="1499"/>
      <c r="I26" s="1499"/>
      <c r="J26" s="1499"/>
      <c r="K26" s="1499"/>
      <c r="L26" s="137">
        <f>L25</f>
        <v>119067.87000000002</v>
      </c>
      <c r="M26" s="141"/>
      <c r="N26" s="142"/>
      <c r="O26" s="136"/>
    </row>
    <row r="27" spans="1:16" s="136" customFormat="1" ht="25.5" customHeight="1" x14ac:dyDescent="0.2">
      <c r="A27" s="143" t="s">
        <v>101</v>
      </c>
      <c r="B27" s="144"/>
      <c r="C27" s="145"/>
      <c r="D27" s="145"/>
      <c r="E27" s="145"/>
      <c r="F27" s="145"/>
      <c r="G27" s="145"/>
      <c r="H27" s="145"/>
      <c r="I27" s="145"/>
      <c r="J27" s="145"/>
      <c r="K27" s="145"/>
      <c r="L27" s="145"/>
      <c r="M27" s="144"/>
      <c r="N27" s="146"/>
      <c r="P27" s="78"/>
    </row>
    <row r="28" spans="1:16" s="136" customFormat="1" ht="14.25" customHeight="1" x14ac:dyDescent="0.2">
      <c r="A28" s="147"/>
      <c r="B28" s="148" t="s">
        <v>102</v>
      </c>
      <c r="C28" s="149"/>
      <c r="D28" s="149"/>
      <c r="E28" s="149"/>
      <c r="F28" s="149"/>
      <c r="G28" s="149"/>
      <c r="H28" s="149"/>
      <c r="I28" s="149"/>
      <c r="J28" s="149"/>
      <c r="K28" s="149"/>
      <c r="L28" s="149"/>
      <c r="N28" s="150"/>
      <c r="P28" s="82"/>
    </row>
    <row r="29" spans="1:16" s="136" customFormat="1" ht="15" customHeight="1" x14ac:dyDescent="0.2">
      <c r="A29" s="147"/>
      <c r="B29" s="148" t="s">
        <v>103</v>
      </c>
      <c r="C29" s="149"/>
      <c r="D29" s="149"/>
      <c r="E29" s="149"/>
      <c r="F29" s="149"/>
      <c r="G29" s="149"/>
      <c r="H29" s="149"/>
      <c r="I29" s="149"/>
      <c r="J29" s="149"/>
      <c r="K29" s="149"/>
      <c r="L29" s="149"/>
      <c r="N29" s="150"/>
      <c r="P29" s="82"/>
    </row>
    <row r="30" spans="1:16" s="136" customFormat="1" ht="15" customHeight="1" x14ac:dyDescent="0.2">
      <c r="A30" s="151"/>
      <c r="B30" s="148" t="s">
        <v>104</v>
      </c>
      <c r="C30" s="149"/>
      <c r="D30" s="149"/>
      <c r="E30" s="149"/>
      <c r="F30" s="149"/>
      <c r="G30" s="149"/>
      <c r="H30" s="149"/>
      <c r="I30" s="149"/>
      <c r="J30" s="149"/>
      <c r="K30" s="149"/>
      <c r="L30" s="149"/>
      <c r="N30" s="150"/>
      <c r="P30" s="82"/>
    </row>
    <row r="31" spans="1:16" s="136" customFormat="1" ht="15" customHeight="1" x14ac:dyDescent="0.2">
      <c r="A31" s="151"/>
      <c r="B31" s="148" t="s">
        <v>105</v>
      </c>
      <c r="C31" s="149"/>
      <c r="D31" s="149"/>
      <c r="E31" s="149"/>
      <c r="F31" s="149"/>
      <c r="G31" s="149"/>
      <c r="H31" s="149"/>
      <c r="I31" s="149"/>
      <c r="J31" s="149"/>
      <c r="K31" s="152"/>
      <c r="L31" s="149"/>
      <c r="N31" s="150"/>
      <c r="P31" s="82"/>
    </row>
    <row r="32" spans="1:16" s="136" customFormat="1" ht="15" customHeight="1" x14ac:dyDescent="0.2">
      <c r="A32" s="151"/>
      <c r="B32" s="148" t="s">
        <v>106</v>
      </c>
      <c r="C32" s="149"/>
      <c r="D32" s="149"/>
      <c r="E32" s="149"/>
      <c r="F32" s="149"/>
      <c r="G32" s="149"/>
      <c r="H32" s="149"/>
      <c r="I32" s="149"/>
      <c r="J32" s="149"/>
      <c r="K32" s="152"/>
      <c r="L32" s="149"/>
      <c r="N32" s="150"/>
      <c r="O32" s="82"/>
      <c r="P32" s="82"/>
    </row>
    <row r="33" spans="1:16" s="136" customFormat="1" ht="15" customHeight="1" x14ac:dyDescent="0.2">
      <c r="A33" s="151"/>
      <c r="B33" s="148" t="s">
        <v>107</v>
      </c>
      <c r="C33" s="149"/>
      <c r="D33" s="149"/>
      <c r="E33" s="149"/>
      <c r="F33" s="149"/>
      <c r="G33" s="149"/>
      <c r="H33" s="149"/>
      <c r="I33" s="149"/>
      <c r="J33" s="149"/>
      <c r="K33" s="152"/>
      <c r="L33" s="149"/>
      <c r="N33" s="150"/>
      <c r="O33" s="82"/>
      <c r="P33" s="82"/>
    </row>
    <row r="34" spans="1:16" s="136" customFormat="1" x14ac:dyDescent="0.2">
      <c r="A34" s="151"/>
      <c r="B34" s="148" t="s">
        <v>108</v>
      </c>
      <c r="C34" s="148"/>
      <c r="D34" s="148"/>
      <c r="E34" s="149"/>
      <c r="F34" s="149"/>
      <c r="G34" s="149"/>
      <c r="H34" s="149"/>
      <c r="I34" s="149"/>
      <c r="J34" s="149"/>
      <c r="K34" s="152"/>
      <c r="L34" s="149"/>
      <c r="N34" s="150"/>
      <c r="O34" s="82"/>
      <c r="P34" s="82"/>
    </row>
    <row r="35" spans="1:16" s="136" customFormat="1" x14ac:dyDescent="0.2">
      <c r="A35" s="151"/>
      <c r="B35" s="148" t="s">
        <v>109</v>
      </c>
      <c r="C35" s="148"/>
      <c r="D35" s="148"/>
      <c r="E35" s="149"/>
      <c r="F35" s="149"/>
      <c r="G35" s="149"/>
      <c r="H35" s="149"/>
      <c r="I35" s="149"/>
      <c r="J35" s="149"/>
      <c r="K35" s="152"/>
      <c r="L35" s="149"/>
      <c r="N35" s="150"/>
      <c r="O35" s="82"/>
      <c r="P35" s="82"/>
    </row>
    <row r="36" spans="1:16" s="136" customFormat="1" x14ac:dyDescent="0.2">
      <c r="A36" s="153"/>
      <c r="B36" s="154"/>
      <c r="C36" s="155"/>
      <c r="D36" s="155"/>
      <c r="E36" s="155"/>
      <c r="F36" s="155"/>
      <c r="G36" s="155"/>
      <c r="H36" s="155"/>
      <c r="I36" s="155"/>
      <c r="J36" s="155"/>
      <c r="K36" s="156"/>
      <c r="L36" s="155"/>
      <c r="M36" s="154"/>
      <c r="N36" s="157"/>
      <c r="O36" s="82"/>
      <c r="P36" s="82"/>
    </row>
    <row r="49" spans="8:24" ht="15" x14ac:dyDescent="0.25">
      <c r="H49" s="1496"/>
      <c r="I49" s="1496"/>
      <c r="J49" s="1496"/>
      <c r="K49" s="1496"/>
      <c r="L49" s="1496"/>
      <c r="M49" s="1496"/>
      <c r="N49" s="1496"/>
      <c r="O49" s="1496"/>
      <c r="P49" s="1496"/>
      <c r="Q49" s="1496"/>
      <c r="R49" s="1496"/>
      <c r="S49" s="1496"/>
      <c r="T49" s="1496"/>
      <c r="U49" s="1496"/>
      <c r="V49" s="1496"/>
      <c r="W49" s="1496"/>
      <c r="X49" s="1496"/>
    </row>
    <row r="50" spans="8:24" ht="15" x14ac:dyDescent="0.25">
      <c r="H50" s="1496" t="s">
        <v>99</v>
      </c>
      <c r="I50" s="1496"/>
      <c r="J50" s="1496"/>
      <c r="K50" s="1496"/>
      <c r="L50" s="1496"/>
      <c r="M50" s="1496"/>
      <c r="N50" s="1496"/>
      <c r="O50" s="1496"/>
      <c r="P50" s="1496"/>
      <c r="Q50" s="1496"/>
      <c r="R50" s="1496"/>
      <c r="S50" s="1496"/>
      <c r="T50" s="1496"/>
      <c r="U50" s="1496"/>
      <c r="V50" s="1496"/>
      <c r="W50" s="1496"/>
      <c r="X50" s="1496"/>
    </row>
    <row r="51" spans="8:24" ht="15" x14ac:dyDescent="0.25">
      <c r="H51" s="1496" t="s">
        <v>100</v>
      </c>
      <c r="I51" s="1496"/>
      <c r="J51" s="1496"/>
      <c r="K51" s="1496"/>
      <c r="L51" s="1496"/>
      <c r="M51" s="1496"/>
      <c r="N51" s="1496"/>
      <c r="O51" s="1496"/>
      <c r="P51" s="1496"/>
      <c r="Q51" s="1496"/>
      <c r="R51" s="1496"/>
      <c r="S51" s="1496"/>
      <c r="T51" s="1496"/>
      <c r="U51" s="1496"/>
      <c r="V51" s="1496"/>
      <c r="W51" s="1496"/>
      <c r="X51" s="1496"/>
    </row>
  </sheetData>
  <mergeCells count="35">
    <mergeCell ref="A8:A9"/>
    <mergeCell ref="B8:B9"/>
    <mergeCell ref="C8:C9"/>
    <mergeCell ref="D8:D9"/>
    <mergeCell ref="E8:F8"/>
    <mergeCell ref="A5:L5"/>
    <mergeCell ref="G6:H7"/>
    <mergeCell ref="I6:K6"/>
    <mergeCell ref="L6:N6"/>
    <mergeCell ref="L7:N7"/>
    <mergeCell ref="N8:N9"/>
    <mergeCell ref="A18:A19"/>
    <mergeCell ref="B18:B19"/>
    <mergeCell ref="C18:C19"/>
    <mergeCell ref="D18:D19"/>
    <mergeCell ref="E18:F18"/>
    <mergeCell ref="G18:H18"/>
    <mergeCell ref="I18:I19"/>
    <mergeCell ref="J18:J19"/>
    <mergeCell ref="K18:K19"/>
    <mergeCell ref="G8:H8"/>
    <mergeCell ref="I8:I9"/>
    <mergeCell ref="J8:J9"/>
    <mergeCell ref="K8:K9"/>
    <mergeCell ref="L8:L9"/>
    <mergeCell ref="M8:M9"/>
    <mergeCell ref="H49:X49"/>
    <mergeCell ref="H50:X50"/>
    <mergeCell ref="H51:X51"/>
    <mergeCell ref="L18:L19"/>
    <mergeCell ref="M18:M19"/>
    <mergeCell ref="N18:N19"/>
    <mergeCell ref="A24:K24"/>
    <mergeCell ref="A25:K25"/>
    <mergeCell ref="A26:K26"/>
  </mergeCells>
  <dataValidations disablePrompts="1" count="1">
    <dataValidation type="list" allowBlank="1" showInputMessage="1" showErrorMessage="1" sqref="B10:B16 B20:B23" xr:uid="{35623E26-C75A-4F06-9CBB-2499B18A79F8}">
      <formula1>$O$6:$O$9</formula1>
    </dataValidation>
  </dataValidations>
  <printOptions horizontalCentered="1"/>
  <pageMargins left="0.59055118110236227" right="0.59055118110236227" top="1.7716535433070868" bottom="0.78740157480314965" header="0" footer="0"/>
  <pageSetup paperSize="9" scale="30" orientation="landscape" r:id="rId1"/>
  <headerFooter scaleWithDoc="0">
    <oddHeader>&amp;L&amp;G</oddHeader>
    <oddFooter>&amp;C&amp;"-,Negrito"&amp;12DIONI CAETANEO DE OLIVEIRA
&amp;"-,Regular"ENGENHEIRO CIVIL - CREA /MT 40957
DEPARTAMENTO DE ENGENHARIA</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A1FE8-02C9-4272-8631-A4D39131D0C0}">
  <sheetPr codeName="Planilha31">
    <tabColor rgb="FF92D050"/>
  </sheetPr>
  <dimension ref="A1:EY105"/>
  <sheetViews>
    <sheetView showGridLines="0" view="pageLayout" topLeftCell="A16" zoomScaleNormal="100" zoomScaleSheetLayoutView="100" workbookViewId="0">
      <selection activeCell="B9" sqref="B9"/>
    </sheetView>
  </sheetViews>
  <sheetFormatPr defaultColWidth="9.140625" defaultRowHeight="14.25" x14ac:dyDescent="0.2"/>
  <cols>
    <col min="1" max="1" width="4.85546875" style="1049" bestFit="1" customWidth="1"/>
    <col min="2" max="2" width="39.28515625" style="1032" customWidth="1"/>
    <col min="3" max="8" width="12.5703125" style="1032" customWidth="1"/>
    <col min="9" max="9" width="7" style="1032" bestFit="1" customWidth="1"/>
    <col min="10" max="12" width="12.5703125" style="1032" customWidth="1"/>
    <col min="13" max="16384" width="9.140625" style="1032"/>
  </cols>
  <sheetData>
    <row r="1" spans="1:12" s="82" customFormat="1" ht="30" customHeight="1" x14ac:dyDescent="0.25">
      <c r="A1" s="1644" t="s">
        <v>939</v>
      </c>
      <c r="B1" s="1645"/>
      <c r="C1" s="1645"/>
      <c r="D1" s="1645"/>
      <c r="E1" s="1645"/>
      <c r="F1" s="1645"/>
      <c r="G1" s="1645"/>
      <c r="H1" s="1645"/>
      <c r="I1" s="1645"/>
      <c r="J1" s="1645"/>
      <c r="K1" s="1645"/>
      <c r="L1" s="1646"/>
    </row>
    <row r="2" spans="1:12" ht="33.75" customHeight="1" x14ac:dyDescent="0.2">
      <c r="A2" s="1620" t="s">
        <v>174</v>
      </c>
      <c r="B2" s="1620" t="s">
        <v>559</v>
      </c>
      <c r="C2" s="1633" t="s">
        <v>946</v>
      </c>
      <c r="D2" s="1634"/>
      <c r="E2" s="1635"/>
      <c r="F2" s="1633" t="s">
        <v>947</v>
      </c>
      <c r="G2" s="1634"/>
      <c r="H2" s="1635"/>
      <c r="I2" s="1633" t="s">
        <v>948</v>
      </c>
      <c r="J2" s="1634"/>
      <c r="K2" s="1634"/>
      <c r="L2" s="1635"/>
    </row>
    <row r="3" spans="1:12" ht="25.5" x14ac:dyDescent="0.2">
      <c r="A3" s="1621"/>
      <c r="B3" s="1621"/>
      <c r="C3" s="1033" t="s">
        <v>949</v>
      </c>
      <c r="D3" s="1033" t="s">
        <v>950</v>
      </c>
      <c r="E3" s="1033" t="s">
        <v>951</v>
      </c>
      <c r="F3" s="1033" t="s">
        <v>949</v>
      </c>
      <c r="G3" s="1033" t="s">
        <v>950</v>
      </c>
      <c r="H3" s="1033" t="s">
        <v>952</v>
      </c>
      <c r="I3" s="1633" t="s">
        <v>949</v>
      </c>
      <c r="J3" s="1635"/>
      <c r="K3" s="1033" t="s">
        <v>950</v>
      </c>
      <c r="L3" s="1033" t="s">
        <v>952</v>
      </c>
    </row>
    <row r="4" spans="1:12" x14ac:dyDescent="0.2">
      <c r="A4" s="1622" t="s">
        <v>538</v>
      </c>
      <c r="B4" s="1623"/>
      <c r="C4" s="1623"/>
      <c r="D4" s="1623"/>
      <c r="E4" s="1623"/>
      <c r="F4" s="1623"/>
      <c r="G4" s="1623"/>
      <c r="H4" s="1623"/>
      <c r="I4" s="1623"/>
      <c r="J4" s="1623"/>
      <c r="K4" s="1623"/>
      <c r="L4" s="1624"/>
    </row>
    <row r="5" spans="1:12" ht="15" customHeight="1" x14ac:dyDescent="0.2">
      <c r="A5" s="1023">
        <v>1</v>
      </c>
      <c r="B5" s="1034" t="s">
        <v>740</v>
      </c>
      <c r="C5" s="1035">
        <v>30</v>
      </c>
      <c r="D5" s="1035">
        <v>0.1</v>
      </c>
      <c r="E5" s="1035">
        <f>TRUNC(C5*D5,2)</f>
        <v>3</v>
      </c>
      <c r="F5" s="1035">
        <v>137.56</v>
      </c>
      <c r="G5" s="1035">
        <v>0.1</v>
      </c>
      <c r="H5" s="1035">
        <f t="shared" ref="H5:H24" si="0">TRUNC((F5/6)*G5*2,2)</f>
        <v>4.58</v>
      </c>
      <c r="I5" s="1642">
        <f>5.197+4.965</f>
        <v>10.161999999999999</v>
      </c>
      <c r="J5" s="1643"/>
      <c r="K5" s="1035">
        <v>0.4</v>
      </c>
      <c r="L5" s="1035">
        <f t="shared" ref="L5:L24" si="1">I5*K5</f>
        <v>4.0648</v>
      </c>
    </row>
    <row r="6" spans="1:12" ht="15" customHeight="1" x14ac:dyDescent="0.2">
      <c r="A6" s="1023">
        <v>2</v>
      </c>
      <c r="B6" s="1034" t="s">
        <v>741</v>
      </c>
      <c r="C6" s="1036">
        <v>30</v>
      </c>
      <c r="D6" s="1036">
        <v>0.1</v>
      </c>
      <c r="E6" s="1036">
        <f t="shared" ref="E6:E24" si="2">TRUNC(C6*D6,2)</f>
        <v>3</v>
      </c>
      <c r="F6" s="1036">
        <v>109.94</v>
      </c>
      <c r="G6" s="1036">
        <v>0.1</v>
      </c>
      <c r="H6" s="1036">
        <f t="shared" si="0"/>
        <v>3.66</v>
      </c>
      <c r="I6" s="1638">
        <f>4.941+4.937</f>
        <v>9.8780000000000001</v>
      </c>
      <c r="J6" s="1639"/>
      <c r="K6" s="1036">
        <v>0.4</v>
      </c>
      <c r="L6" s="1035">
        <f t="shared" si="1"/>
        <v>3.9512</v>
      </c>
    </row>
    <row r="7" spans="1:12" ht="15" customHeight="1" x14ac:dyDescent="0.2">
      <c r="A7" s="1023">
        <v>3</v>
      </c>
      <c r="B7" s="1034" t="s">
        <v>742</v>
      </c>
      <c r="C7" s="1036">
        <v>30</v>
      </c>
      <c r="D7" s="1036">
        <v>0.1</v>
      </c>
      <c r="E7" s="1036">
        <f t="shared" si="2"/>
        <v>3</v>
      </c>
      <c r="F7" s="1036">
        <v>34.64</v>
      </c>
      <c r="G7" s="1036">
        <v>0.1</v>
      </c>
      <c r="H7" s="1036">
        <f t="shared" si="0"/>
        <v>1.1499999999999999</v>
      </c>
      <c r="I7" s="1638">
        <f>4.981+4.978</f>
        <v>9.9589999999999996</v>
      </c>
      <c r="J7" s="1639"/>
      <c r="K7" s="1036">
        <v>0.4</v>
      </c>
      <c r="L7" s="1035">
        <f t="shared" si="1"/>
        <v>3.9836</v>
      </c>
    </row>
    <row r="8" spans="1:12" ht="15" customHeight="1" x14ac:dyDescent="0.2">
      <c r="A8" s="1023">
        <v>4</v>
      </c>
      <c r="B8" s="1034" t="s">
        <v>743</v>
      </c>
      <c r="C8" s="1036">
        <v>30</v>
      </c>
      <c r="D8" s="1036">
        <v>0.1</v>
      </c>
      <c r="E8" s="1036">
        <f t="shared" si="2"/>
        <v>3</v>
      </c>
      <c r="F8" s="1036">
        <v>42.11</v>
      </c>
      <c r="G8" s="1036">
        <v>0.1</v>
      </c>
      <c r="H8" s="1036">
        <f t="shared" si="0"/>
        <v>1.4</v>
      </c>
      <c r="I8" s="1638">
        <f>4.888+3.85</f>
        <v>8.7379999999999995</v>
      </c>
      <c r="J8" s="1639"/>
      <c r="K8" s="1036">
        <v>0.4</v>
      </c>
      <c r="L8" s="1035">
        <f t="shared" si="1"/>
        <v>3.4952000000000001</v>
      </c>
    </row>
    <row r="9" spans="1:12" ht="15" customHeight="1" x14ac:dyDescent="0.2">
      <c r="A9" s="1023">
        <v>5</v>
      </c>
      <c r="B9" s="1034" t="s">
        <v>744</v>
      </c>
      <c r="C9" s="1036">
        <v>30</v>
      </c>
      <c r="D9" s="1036">
        <v>0.1</v>
      </c>
      <c r="E9" s="1036">
        <f t="shared" si="2"/>
        <v>3</v>
      </c>
      <c r="F9" s="1036">
        <v>131.57</v>
      </c>
      <c r="G9" s="1036">
        <v>0.1</v>
      </c>
      <c r="H9" s="1036">
        <f t="shared" si="0"/>
        <v>4.38</v>
      </c>
      <c r="I9" s="1638">
        <f>5.158+4.929</f>
        <v>10.087</v>
      </c>
      <c r="J9" s="1639"/>
      <c r="K9" s="1036">
        <v>0.4</v>
      </c>
      <c r="L9" s="1035">
        <f t="shared" si="1"/>
        <v>4.0347999999999997</v>
      </c>
    </row>
    <row r="10" spans="1:12" ht="15" customHeight="1" x14ac:dyDescent="0.2">
      <c r="A10" s="1023">
        <v>6</v>
      </c>
      <c r="B10" s="1034" t="s">
        <v>745</v>
      </c>
      <c r="C10" s="1036">
        <v>30</v>
      </c>
      <c r="D10" s="1036">
        <v>0.1</v>
      </c>
      <c r="E10" s="1036">
        <f t="shared" si="2"/>
        <v>3</v>
      </c>
      <c r="F10" s="1036">
        <v>109.84</v>
      </c>
      <c r="G10" s="1036">
        <v>0.1</v>
      </c>
      <c r="H10" s="1036">
        <f t="shared" si="0"/>
        <v>3.66</v>
      </c>
      <c r="I10" s="1638">
        <f>4.936+4.933</f>
        <v>9.8689999999999998</v>
      </c>
      <c r="J10" s="1639"/>
      <c r="K10" s="1036">
        <v>0.4</v>
      </c>
      <c r="L10" s="1035">
        <f t="shared" si="1"/>
        <v>3.9476</v>
      </c>
    </row>
    <row r="11" spans="1:12" ht="15" customHeight="1" x14ac:dyDescent="0.2">
      <c r="A11" s="1023">
        <v>7</v>
      </c>
      <c r="B11" s="1034" t="s">
        <v>746</v>
      </c>
      <c r="C11" s="1036">
        <v>30</v>
      </c>
      <c r="D11" s="1036">
        <v>0.1</v>
      </c>
      <c r="E11" s="1036">
        <f t="shared" si="2"/>
        <v>3</v>
      </c>
      <c r="F11" s="1036">
        <v>34.549999999999997</v>
      </c>
      <c r="G11" s="1036">
        <v>0.1</v>
      </c>
      <c r="H11" s="1036">
        <f t="shared" si="0"/>
        <v>1.1499999999999999</v>
      </c>
      <c r="I11" s="1638">
        <f>4.945+4.942</f>
        <v>9.8870000000000005</v>
      </c>
      <c r="J11" s="1639"/>
      <c r="K11" s="1036">
        <v>0.4</v>
      </c>
      <c r="L11" s="1035">
        <f t="shared" si="1"/>
        <v>3.9548000000000005</v>
      </c>
    </row>
    <row r="12" spans="1:12" ht="15" customHeight="1" x14ac:dyDescent="0.2">
      <c r="A12" s="1023">
        <v>8</v>
      </c>
      <c r="B12" s="1034" t="s">
        <v>747</v>
      </c>
      <c r="C12" s="1036">
        <v>30</v>
      </c>
      <c r="D12" s="1036">
        <v>0.1</v>
      </c>
      <c r="E12" s="1036">
        <f t="shared" si="2"/>
        <v>3</v>
      </c>
      <c r="F12" s="1036">
        <v>49.64</v>
      </c>
      <c r="G12" s="1036">
        <v>0.1</v>
      </c>
      <c r="H12" s="1036">
        <f>TRUNC((F12/6)*G12*2,2)</f>
        <v>1.65</v>
      </c>
      <c r="I12" s="1638">
        <f>4.942+3.698</f>
        <v>8.64</v>
      </c>
      <c r="J12" s="1639"/>
      <c r="K12" s="1036">
        <v>0.4</v>
      </c>
      <c r="L12" s="1035">
        <f t="shared" si="1"/>
        <v>3.4560000000000004</v>
      </c>
    </row>
    <row r="13" spans="1:12" ht="15" customHeight="1" x14ac:dyDescent="0.2">
      <c r="A13" s="1023">
        <v>9</v>
      </c>
      <c r="B13" s="1034" t="s">
        <v>748</v>
      </c>
      <c r="C13" s="1036">
        <v>30</v>
      </c>
      <c r="D13" s="1036">
        <v>0.1</v>
      </c>
      <c r="E13" s="1036">
        <f t="shared" si="2"/>
        <v>3</v>
      </c>
      <c r="F13" s="1036">
        <v>125.68</v>
      </c>
      <c r="G13" s="1036">
        <v>0.1</v>
      </c>
      <c r="H13" s="1036">
        <f t="shared" si="0"/>
        <v>4.18</v>
      </c>
      <c r="I13" s="1638">
        <f>5.177+4.947</f>
        <v>10.123999999999999</v>
      </c>
      <c r="J13" s="1639"/>
      <c r="K13" s="1036">
        <v>0.4</v>
      </c>
      <c r="L13" s="1035">
        <f t="shared" si="1"/>
        <v>4.0495999999999999</v>
      </c>
    </row>
    <row r="14" spans="1:12" ht="15" customHeight="1" x14ac:dyDescent="0.2">
      <c r="A14" s="1023">
        <v>10</v>
      </c>
      <c r="B14" s="1034" t="s">
        <v>749</v>
      </c>
      <c r="C14" s="1036">
        <v>30</v>
      </c>
      <c r="D14" s="1036">
        <v>0.1</v>
      </c>
      <c r="E14" s="1036">
        <f t="shared" si="2"/>
        <v>3</v>
      </c>
      <c r="F14" s="1036">
        <v>109.75</v>
      </c>
      <c r="G14" s="1036">
        <v>0.1</v>
      </c>
      <c r="H14" s="1036">
        <f t="shared" si="0"/>
        <v>3.65</v>
      </c>
      <c r="I14" s="1638">
        <f>4.945+4.942</f>
        <v>9.8870000000000005</v>
      </c>
      <c r="J14" s="1639"/>
      <c r="K14" s="1036">
        <v>0.4</v>
      </c>
      <c r="L14" s="1035">
        <f t="shared" si="1"/>
        <v>3.9548000000000005</v>
      </c>
    </row>
    <row r="15" spans="1:12" ht="15" customHeight="1" x14ac:dyDescent="0.2">
      <c r="A15" s="1023">
        <v>11</v>
      </c>
      <c r="B15" s="1034" t="s">
        <v>750</v>
      </c>
      <c r="C15" s="1036">
        <v>30</v>
      </c>
      <c r="D15" s="1036">
        <v>0.1</v>
      </c>
      <c r="E15" s="1036">
        <f t="shared" si="2"/>
        <v>3</v>
      </c>
      <c r="F15" s="1036">
        <v>34.46</v>
      </c>
      <c r="G15" s="1036">
        <v>0.1</v>
      </c>
      <c r="H15" s="1036">
        <f t="shared" si="0"/>
        <v>1.1399999999999999</v>
      </c>
      <c r="I15" s="1638">
        <f>4.942+4.937</f>
        <v>9.8790000000000013</v>
      </c>
      <c r="J15" s="1639"/>
      <c r="K15" s="1036">
        <v>0.4</v>
      </c>
      <c r="L15" s="1035">
        <f t="shared" si="1"/>
        <v>3.9516000000000009</v>
      </c>
    </row>
    <row r="16" spans="1:12" ht="15" customHeight="1" x14ac:dyDescent="0.2">
      <c r="A16" s="1023">
        <v>12</v>
      </c>
      <c r="B16" s="1034" t="s">
        <v>751</v>
      </c>
      <c r="C16" s="1036">
        <v>30</v>
      </c>
      <c r="D16" s="1036">
        <v>0.1</v>
      </c>
      <c r="E16" s="1036">
        <f t="shared" si="2"/>
        <v>3</v>
      </c>
      <c r="F16" s="1036">
        <v>56.29</v>
      </c>
      <c r="G16" s="1036">
        <v>0.1</v>
      </c>
      <c r="H16" s="1036">
        <f t="shared" si="0"/>
        <v>1.87</v>
      </c>
      <c r="I16" s="1638">
        <f>4.939+3.85</f>
        <v>8.7889999999999997</v>
      </c>
      <c r="J16" s="1639"/>
      <c r="K16" s="1036">
        <v>0.4</v>
      </c>
      <c r="L16" s="1035">
        <f t="shared" si="1"/>
        <v>3.5156000000000001</v>
      </c>
    </row>
    <row r="17" spans="1:12" ht="15" customHeight="1" x14ac:dyDescent="0.2">
      <c r="A17" s="1023">
        <v>13</v>
      </c>
      <c r="B17" s="1034" t="s">
        <v>752</v>
      </c>
      <c r="C17" s="1036">
        <v>30</v>
      </c>
      <c r="D17" s="1036">
        <v>0.1</v>
      </c>
      <c r="E17" s="1036">
        <f t="shared" si="2"/>
        <v>3</v>
      </c>
      <c r="F17" s="1036">
        <f>135.63+134.19</f>
        <v>269.82</v>
      </c>
      <c r="G17" s="1036">
        <v>0.1</v>
      </c>
      <c r="H17" s="1036">
        <f t="shared" si="0"/>
        <v>8.99</v>
      </c>
      <c r="I17" s="1638">
        <f>5.163+4.932</f>
        <v>10.095000000000001</v>
      </c>
      <c r="J17" s="1639"/>
      <c r="K17" s="1036">
        <v>0.4</v>
      </c>
      <c r="L17" s="1035">
        <f t="shared" si="1"/>
        <v>4.0380000000000003</v>
      </c>
    </row>
    <row r="18" spans="1:12" ht="15" customHeight="1" x14ac:dyDescent="0.2">
      <c r="A18" s="1023">
        <v>14</v>
      </c>
      <c r="B18" s="1034" t="s">
        <v>753</v>
      </c>
      <c r="C18" s="1036">
        <v>30</v>
      </c>
      <c r="D18" s="1036">
        <v>0.1</v>
      </c>
      <c r="E18" s="1036">
        <f t="shared" si="2"/>
        <v>3</v>
      </c>
      <c r="F18" s="1036">
        <f>34.38</f>
        <v>34.380000000000003</v>
      </c>
      <c r="G18" s="1036">
        <v>0.1</v>
      </c>
      <c r="H18" s="1036">
        <f t="shared" si="0"/>
        <v>1.1399999999999999</v>
      </c>
      <c r="I18" s="1638">
        <f>4.938+4.935</f>
        <v>9.8729999999999993</v>
      </c>
      <c r="J18" s="1639"/>
      <c r="K18" s="1036">
        <v>0.4</v>
      </c>
      <c r="L18" s="1035">
        <f t="shared" si="1"/>
        <v>3.9491999999999998</v>
      </c>
    </row>
    <row r="19" spans="1:12" ht="15" customHeight="1" x14ac:dyDescent="0.2">
      <c r="A19" s="1023">
        <v>15</v>
      </c>
      <c r="B19" s="1034" t="s">
        <v>754</v>
      </c>
      <c r="C19" s="1036">
        <v>30</v>
      </c>
      <c r="D19" s="1036">
        <v>0.1</v>
      </c>
      <c r="E19" s="1036">
        <f t="shared" si="2"/>
        <v>3</v>
      </c>
      <c r="F19" s="1036">
        <v>63.04</v>
      </c>
      <c r="G19" s="1036">
        <v>0.1</v>
      </c>
      <c r="H19" s="1036">
        <f t="shared" si="0"/>
        <v>2.1</v>
      </c>
      <c r="I19" s="1638">
        <f>4.956+3.85</f>
        <v>8.8060000000000009</v>
      </c>
      <c r="J19" s="1639"/>
      <c r="K19" s="1036">
        <v>0.4</v>
      </c>
      <c r="L19" s="1035">
        <f t="shared" si="1"/>
        <v>3.5224000000000006</v>
      </c>
    </row>
    <row r="20" spans="1:12" ht="15" customHeight="1" x14ac:dyDescent="0.2">
      <c r="A20" s="1023">
        <v>16</v>
      </c>
      <c r="B20" s="1034" t="s">
        <v>755</v>
      </c>
      <c r="C20" s="1036">
        <v>15</v>
      </c>
      <c r="D20" s="1036">
        <v>0.1</v>
      </c>
      <c r="E20" s="1036">
        <f t="shared" si="2"/>
        <v>1.5</v>
      </c>
      <c r="F20" s="1036">
        <v>375.44</v>
      </c>
      <c r="G20" s="1036">
        <v>0.1</v>
      </c>
      <c r="H20" s="1036">
        <f t="shared" si="0"/>
        <v>12.51</v>
      </c>
      <c r="I20" s="1638">
        <v>3.85</v>
      </c>
      <c r="J20" s="1639"/>
      <c r="K20" s="1036">
        <v>0.4</v>
      </c>
      <c r="L20" s="1035">
        <f t="shared" si="1"/>
        <v>1.54</v>
      </c>
    </row>
    <row r="21" spans="1:12" ht="15" customHeight="1" x14ac:dyDescent="0.2">
      <c r="A21" s="1023">
        <v>17</v>
      </c>
      <c r="B21" s="1034" t="s">
        <v>756</v>
      </c>
      <c r="C21" s="1036">
        <v>30</v>
      </c>
      <c r="D21" s="1036">
        <v>0.1</v>
      </c>
      <c r="E21" s="1036">
        <f t="shared" si="2"/>
        <v>3</v>
      </c>
      <c r="F21" s="1036">
        <v>250.38</v>
      </c>
      <c r="G21" s="1036">
        <v>0.1</v>
      </c>
      <c r="H21" s="1036">
        <f t="shared" si="0"/>
        <v>8.34</v>
      </c>
      <c r="I21" s="1638">
        <f>4.939+3.845</f>
        <v>8.7840000000000007</v>
      </c>
      <c r="J21" s="1639"/>
      <c r="K21" s="1036">
        <v>0.4</v>
      </c>
      <c r="L21" s="1035">
        <f t="shared" si="1"/>
        <v>3.5136000000000003</v>
      </c>
    </row>
    <row r="22" spans="1:12" ht="15" customHeight="1" x14ac:dyDescent="0.2">
      <c r="A22" s="1023">
        <v>18</v>
      </c>
      <c r="B22" s="1034" t="s">
        <v>757</v>
      </c>
      <c r="C22" s="1036">
        <v>30</v>
      </c>
      <c r="D22" s="1036">
        <v>0.1</v>
      </c>
      <c r="E22" s="1036">
        <f t="shared" si="2"/>
        <v>3</v>
      </c>
      <c r="F22" s="1036">
        <v>38.58</v>
      </c>
      <c r="G22" s="1036">
        <v>0.1</v>
      </c>
      <c r="H22" s="1036">
        <f t="shared" si="0"/>
        <v>1.28</v>
      </c>
      <c r="I22" s="1638">
        <f>3.347+4.444</f>
        <v>7.7910000000000004</v>
      </c>
      <c r="J22" s="1639"/>
      <c r="K22" s="1036">
        <v>0.4</v>
      </c>
      <c r="L22" s="1035">
        <f t="shared" si="1"/>
        <v>3.1164000000000005</v>
      </c>
    </row>
    <row r="23" spans="1:12" ht="15" customHeight="1" x14ac:dyDescent="0.2">
      <c r="A23" s="1023">
        <v>19</v>
      </c>
      <c r="B23" s="1034" t="s">
        <v>758</v>
      </c>
      <c r="C23" s="1036">
        <v>30</v>
      </c>
      <c r="D23" s="1036">
        <v>0.1</v>
      </c>
      <c r="E23" s="1036">
        <f t="shared" si="2"/>
        <v>3</v>
      </c>
      <c r="F23" s="1036">
        <v>330.11</v>
      </c>
      <c r="G23" s="1036">
        <v>0.1</v>
      </c>
      <c r="H23" s="1036">
        <f t="shared" si="0"/>
        <v>11</v>
      </c>
      <c r="I23" s="1638">
        <f>3.85+3.845</f>
        <v>7.6950000000000003</v>
      </c>
      <c r="J23" s="1639"/>
      <c r="K23" s="1036">
        <v>0.4</v>
      </c>
      <c r="L23" s="1035">
        <f t="shared" si="1"/>
        <v>3.0780000000000003</v>
      </c>
    </row>
    <row r="24" spans="1:12" ht="15" customHeight="1" x14ac:dyDescent="0.2">
      <c r="A24" s="1023">
        <v>20</v>
      </c>
      <c r="B24" s="1034" t="s">
        <v>759</v>
      </c>
      <c r="C24" s="1036">
        <v>30</v>
      </c>
      <c r="D24" s="1036">
        <v>0.1</v>
      </c>
      <c r="E24" s="1036">
        <f t="shared" si="2"/>
        <v>3</v>
      </c>
      <c r="F24" s="1036">
        <v>330.35</v>
      </c>
      <c r="G24" s="1036">
        <v>0.1</v>
      </c>
      <c r="H24" s="1036">
        <f t="shared" si="0"/>
        <v>11.01</v>
      </c>
      <c r="I24" s="1638">
        <f>3.85+3.845</f>
        <v>7.6950000000000003</v>
      </c>
      <c r="J24" s="1639"/>
      <c r="K24" s="1036">
        <v>0.4</v>
      </c>
      <c r="L24" s="1035">
        <f t="shared" si="1"/>
        <v>3.0780000000000003</v>
      </c>
    </row>
    <row r="25" spans="1:12" x14ac:dyDescent="0.2">
      <c r="A25" s="1622" t="s">
        <v>555</v>
      </c>
      <c r="B25" s="1623"/>
      <c r="C25" s="1623"/>
      <c r="D25" s="1623"/>
      <c r="E25" s="1623"/>
      <c r="F25" s="1623"/>
      <c r="G25" s="1623"/>
      <c r="H25" s="1623"/>
      <c r="I25" s="1623"/>
      <c r="J25" s="1623"/>
      <c r="K25" s="1623"/>
      <c r="L25" s="1624"/>
    </row>
    <row r="26" spans="1:12" s="1039" customFormat="1" ht="20.100000000000001" customHeight="1" x14ac:dyDescent="0.2">
      <c r="A26" s="1037">
        <v>21</v>
      </c>
      <c r="B26" s="1034" t="s">
        <v>761</v>
      </c>
      <c r="C26" s="1038">
        <v>30</v>
      </c>
      <c r="D26" s="1035">
        <v>0.1</v>
      </c>
      <c r="E26" s="1035">
        <f>TRUNC(C26*D26,2)</f>
        <v>3</v>
      </c>
      <c r="F26" s="1038">
        <f>270.33+8.7+183.67</f>
        <v>462.69999999999993</v>
      </c>
      <c r="G26" s="1035">
        <v>0.1</v>
      </c>
      <c r="H26" s="1035">
        <f t="shared" ref="H26:H51" si="3">TRUNC((F26/6)*G26*2,2)</f>
        <v>15.42</v>
      </c>
      <c r="I26" s="1640">
        <f>5.004+3.871</f>
        <v>8.875</v>
      </c>
      <c r="J26" s="1641"/>
      <c r="K26" s="1035">
        <v>0.4</v>
      </c>
      <c r="L26" s="1035">
        <f>TRUNC(I26*K26,2)</f>
        <v>3.55</v>
      </c>
    </row>
    <row r="27" spans="1:12" s="1039" customFormat="1" ht="20.100000000000001" customHeight="1" x14ac:dyDescent="0.2">
      <c r="A27" s="1037">
        <v>22</v>
      </c>
      <c r="B27" s="1034" t="s">
        <v>762</v>
      </c>
      <c r="C27" s="1038">
        <v>30</v>
      </c>
      <c r="D27" s="1036">
        <v>0.1</v>
      </c>
      <c r="E27" s="1036">
        <f t="shared" ref="E27:E51" si="4">TRUNC(C27*D27,2)</f>
        <v>3</v>
      </c>
      <c r="F27" s="1038">
        <f>171.28+139.53</f>
        <v>310.81</v>
      </c>
      <c r="G27" s="1036">
        <v>0.1</v>
      </c>
      <c r="H27" s="1036">
        <f t="shared" si="3"/>
        <v>10.36</v>
      </c>
      <c r="I27" s="1636">
        <f>4.937+4.937</f>
        <v>9.8740000000000006</v>
      </c>
      <c r="J27" s="1637"/>
      <c r="K27" s="1036">
        <v>0.4</v>
      </c>
      <c r="L27" s="1035">
        <f t="shared" ref="L27:L51" si="5">TRUNC(I27*K27,2)</f>
        <v>3.94</v>
      </c>
    </row>
    <row r="28" spans="1:12" s="1039" customFormat="1" ht="20.100000000000001" customHeight="1" x14ac:dyDescent="0.2">
      <c r="A28" s="1037">
        <v>23</v>
      </c>
      <c r="B28" s="1034" t="s">
        <v>763</v>
      </c>
      <c r="C28" s="1038">
        <v>30</v>
      </c>
      <c r="D28" s="1036">
        <v>0.1</v>
      </c>
      <c r="E28" s="1036">
        <f t="shared" si="4"/>
        <v>3</v>
      </c>
      <c r="F28" s="1038">
        <f>455.44</f>
        <v>455.44</v>
      </c>
      <c r="G28" s="1036">
        <v>0.1</v>
      </c>
      <c r="H28" s="1036">
        <f t="shared" si="3"/>
        <v>15.18</v>
      </c>
      <c r="I28" s="1636">
        <f>5.021+3.871</f>
        <v>8.8919999999999995</v>
      </c>
      <c r="J28" s="1637"/>
      <c r="K28" s="1036">
        <v>0.4</v>
      </c>
      <c r="L28" s="1035">
        <f t="shared" si="5"/>
        <v>3.55</v>
      </c>
    </row>
    <row r="29" spans="1:12" s="1039" customFormat="1" ht="20.100000000000001" customHeight="1" x14ac:dyDescent="0.2">
      <c r="A29" s="1037">
        <v>24</v>
      </c>
      <c r="B29" s="1034" t="s">
        <v>764</v>
      </c>
      <c r="C29" s="1038">
        <v>15</v>
      </c>
      <c r="D29" s="1036">
        <v>0.1</v>
      </c>
      <c r="E29" s="1036">
        <f t="shared" si="4"/>
        <v>1.5</v>
      </c>
      <c r="F29" s="1038">
        <v>42.45</v>
      </c>
      <c r="G29" s="1036">
        <v>0.1</v>
      </c>
      <c r="H29" s="1036">
        <f t="shared" si="3"/>
        <v>1.41</v>
      </c>
      <c r="I29" s="1636">
        <v>3.851</v>
      </c>
      <c r="J29" s="1637"/>
      <c r="K29" s="1036">
        <v>0.4</v>
      </c>
      <c r="L29" s="1035">
        <f t="shared" si="5"/>
        <v>1.54</v>
      </c>
    </row>
    <row r="30" spans="1:12" s="1039" customFormat="1" ht="20.100000000000001" customHeight="1" x14ac:dyDescent="0.2">
      <c r="A30" s="1037">
        <v>25</v>
      </c>
      <c r="B30" s="1034" t="s">
        <v>765</v>
      </c>
      <c r="C30" s="1038">
        <v>30</v>
      </c>
      <c r="D30" s="1036">
        <v>0.1</v>
      </c>
      <c r="E30" s="1036">
        <f t="shared" si="4"/>
        <v>3</v>
      </c>
      <c r="F30" s="1038">
        <f>323.47</f>
        <v>323.47000000000003</v>
      </c>
      <c r="G30" s="1036">
        <v>0.1</v>
      </c>
      <c r="H30" s="1036">
        <f t="shared" si="3"/>
        <v>10.78</v>
      </c>
      <c r="I30" s="1636">
        <f>4.933+4.937</f>
        <v>9.870000000000001</v>
      </c>
      <c r="J30" s="1637"/>
      <c r="K30" s="1036">
        <v>0.4</v>
      </c>
      <c r="L30" s="1035">
        <f t="shared" si="5"/>
        <v>3.94</v>
      </c>
    </row>
    <row r="31" spans="1:12" s="1039" customFormat="1" ht="20.100000000000001" customHeight="1" x14ac:dyDescent="0.2">
      <c r="A31" s="1037">
        <v>26</v>
      </c>
      <c r="B31" s="1034" t="s">
        <v>766</v>
      </c>
      <c r="C31" s="1038">
        <v>15</v>
      </c>
      <c r="D31" s="1036">
        <v>0.1</v>
      </c>
      <c r="E31" s="1036">
        <f t="shared" si="4"/>
        <v>1.5</v>
      </c>
      <c r="F31" s="1038">
        <f>210.11+108.27+70.77+142.5</f>
        <v>531.65</v>
      </c>
      <c r="G31" s="1036">
        <v>0.1</v>
      </c>
      <c r="H31" s="1036">
        <f t="shared" si="3"/>
        <v>17.72</v>
      </c>
      <c r="I31" s="1636">
        <v>3.85</v>
      </c>
      <c r="J31" s="1637"/>
      <c r="K31" s="1036">
        <v>0.4</v>
      </c>
      <c r="L31" s="1035">
        <f t="shared" si="5"/>
        <v>1.54</v>
      </c>
    </row>
    <row r="32" spans="1:12" s="1039" customFormat="1" ht="20.100000000000001" customHeight="1" x14ac:dyDescent="0.2">
      <c r="A32" s="1037">
        <v>27</v>
      </c>
      <c r="B32" s="1034" t="s">
        <v>767</v>
      </c>
      <c r="C32" s="1038">
        <v>30</v>
      </c>
      <c r="D32" s="1036">
        <v>0.1</v>
      </c>
      <c r="E32" s="1036">
        <f t="shared" si="4"/>
        <v>3</v>
      </c>
      <c r="F32" s="1038">
        <v>74.58</v>
      </c>
      <c r="G32" s="1036">
        <v>0.1</v>
      </c>
      <c r="H32" s="1036">
        <f t="shared" si="3"/>
        <v>2.48</v>
      </c>
      <c r="I32" s="1636">
        <f>4.415+4.405</f>
        <v>8.82</v>
      </c>
      <c r="J32" s="1637"/>
      <c r="K32" s="1036">
        <v>0.4</v>
      </c>
      <c r="L32" s="1035">
        <f t="shared" si="5"/>
        <v>3.52</v>
      </c>
    </row>
    <row r="33" spans="1:12" s="1039" customFormat="1" ht="20.100000000000001" customHeight="1" x14ac:dyDescent="0.2">
      <c r="A33" s="1037">
        <v>28</v>
      </c>
      <c r="B33" s="1034" t="s">
        <v>768</v>
      </c>
      <c r="C33" s="1038">
        <v>30</v>
      </c>
      <c r="D33" s="1036">
        <v>0.1</v>
      </c>
      <c r="E33" s="1036">
        <f t="shared" si="4"/>
        <v>3</v>
      </c>
      <c r="F33" s="1038">
        <v>37.119999999999997</v>
      </c>
      <c r="G33" s="1036">
        <v>0.1</v>
      </c>
      <c r="H33" s="1036">
        <f t="shared" si="3"/>
        <v>1.23</v>
      </c>
      <c r="I33" s="1636">
        <f>4.437+4.443</f>
        <v>8.879999999999999</v>
      </c>
      <c r="J33" s="1637"/>
      <c r="K33" s="1036">
        <v>0.4</v>
      </c>
      <c r="L33" s="1035">
        <f t="shared" si="5"/>
        <v>3.55</v>
      </c>
    </row>
    <row r="34" spans="1:12" s="1039" customFormat="1" ht="20.100000000000001" customHeight="1" x14ac:dyDescent="0.2">
      <c r="A34" s="1037">
        <v>29</v>
      </c>
      <c r="B34" s="1034" t="s">
        <v>769</v>
      </c>
      <c r="C34" s="1038">
        <v>30</v>
      </c>
      <c r="D34" s="1036">
        <v>0.1</v>
      </c>
      <c r="E34" s="1036">
        <f t="shared" si="4"/>
        <v>3</v>
      </c>
      <c r="F34" s="1038">
        <v>73.14</v>
      </c>
      <c r="G34" s="1036">
        <v>0.1</v>
      </c>
      <c r="H34" s="1036">
        <f t="shared" si="3"/>
        <v>2.4300000000000002</v>
      </c>
      <c r="I34" s="1636">
        <f>4.437+4.427</f>
        <v>8.8640000000000008</v>
      </c>
      <c r="J34" s="1637"/>
      <c r="K34" s="1036">
        <v>0.4</v>
      </c>
      <c r="L34" s="1035">
        <f t="shared" si="5"/>
        <v>3.54</v>
      </c>
    </row>
    <row r="35" spans="1:12" s="1039" customFormat="1" ht="20.100000000000001" customHeight="1" x14ac:dyDescent="0.2">
      <c r="A35" s="1037">
        <v>30</v>
      </c>
      <c r="B35" s="1034" t="s">
        <v>770</v>
      </c>
      <c r="C35" s="1038">
        <v>30</v>
      </c>
      <c r="D35" s="1036">
        <v>0.1</v>
      </c>
      <c r="E35" s="1036">
        <f t="shared" si="4"/>
        <v>3</v>
      </c>
      <c r="F35" s="1038">
        <v>73.84</v>
      </c>
      <c r="G35" s="1036">
        <v>0.1</v>
      </c>
      <c r="H35" s="1036">
        <f t="shared" si="3"/>
        <v>2.46</v>
      </c>
      <c r="I35" s="1636">
        <f>4.418+4.434</f>
        <v>8.8520000000000003</v>
      </c>
      <c r="J35" s="1637"/>
      <c r="K35" s="1036">
        <v>0.4</v>
      </c>
      <c r="L35" s="1035">
        <f t="shared" si="5"/>
        <v>3.54</v>
      </c>
    </row>
    <row r="36" spans="1:12" s="1039" customFormat="1" ht="20.100000000000001" customHeight="1" x14ac:dyDescent="0.2">
      <c r="A36" s="1037">
        <v>31</v>
      </c>
      <c r="B36" s="1034" t="s">
        <v>771</v>
      </c>
      <c r="C36" s="1038">
        <v>30</v>
      </c>
      <c r="D36" s="1036">
        <v>0.1</v>
      </c>
      <c r="E36" s="1036">
        <f t="shared" si="4"/>
        <v>3</v>
      </c>
      <c r="F36" s="1038">
        <v>38.06</v>
      </c>
      <c r="G36" s="1036">
        <v>0.1</v>
      </c>
      <c r="H36" s="1036">
        <f t="shared" si="3"/>
        <v>1.26</v>
      </c>
      <c r="I36" s="1636">
        <f>4.442+4.439</f>
        <v>8.8810000000000002</v>
      </c>
      <c r="J36" s="1637"/>
      <c r="K36" s="1036">
        <v>0.4</v>
      </c>
      <c r="L36" s="1035">
        <f t="shared" si="5"/>
        <v>3.55</v>
      </c>
    </row>
    <row r="37" spans="1:12" s="1039" customFormat="1" ht="20.100000000000001" customHeight="1" x14ac:dyDescent="0.2">
      <c r="A37" s="1037">
        <v>32</v>
      </c>
      <c r="B37" s="1034" t="s">
        <v>772</v>
      </c>
      <c r="C37" s="1038">
        <v>30</v>
      </c>
      <c r="D37" s="1036">
        <v>0.1</v>
      </c>
      <c r="E37" s="1036">
        <f t="shared" si="4"/>
        <v>3</v>
      </c>
      <c r="F37" s="1038">
        <v>73.8</v>
      </c>
      <c r="G37" s="1036">
        <v>0.1</v>
      </c>
      <c r="H37" s="1036">
        <f t="shared" si="3"/>
        <v>2.46</v>
      </c>
      <c r="I37" s="1636">
        <f>4.474+4.463</f>
        <v>8.9370000000000012</v>
      </c>
      <c r="J37" s="1637"/>
      <c r="K37" s="1036">
        <v>0.4</v>
      </c>
      <c r="L37" s="1035">
        <f t="shared" si="5"/>
        <v>3.57</v>
      </c>
    </row>
    <row r="38" spans="1:12" s="1039" customFormat="1" ht="20.100000000000001" customHeight="1" x14ac:dyDescent="0.2">
      <c r="A38" s="1037">
        <v>33</v>
      </c>
      <c r="B38" s="1034" t="s">
        <v>773</v>
      </c>
      <c r="C38" s="1038">
        <v>30</v>
      </c>
      <c r="D38" s="1036">
        <v>0.1</v>
      </c>
      <c r="E38" s="1036">
        <f t="shared" si="4"/>
        <v>3</v>
      </c>
      <c r="F38" s="1038">
        <v>74.09</v>
      </c>
      <c r="G38" s="1036">
        <v>0.1</v>
      </c>
      <c r="H38" s="1036">
        <f t="shared" si="3"/>
        <v>2.46</v>
      </c>
      <c r="I38" s="1636">
        <f>4.436+4.519</f>
        <v>8.9550000000000001</v>
      </c>
      <c r="J38" s="1637"/>
      <c r="K38" s="1036">
        <v>0.4</v>
      </c>
      <c r="L38" s="1035">
        <f t="shared" si="5"/>
        <v>3.58</v>
      </c>
    </row>
    <row r="39" spans="1:12" s="1039" customFormat="1" ht="20.100000000000001" customHeight="1" x14ac:dyDescent="0.2">
      <c r="A39" s="1037">
        <v>34</v>
      </c>
      <c r="B39" s="1034" t="s">
        <v>774</v>
      </c>
      <c r="C39" s="1038">
        <v>30</v>
      </c>
      <c r="D39" s="1036">
        <v>0.1</v>
      </c>
      <c r="E39" s="1036">
        <f t="shared" si="4"/>
        <v>3</v>
      </c>
      <c r="F39" s="1038">
        <v>37.78</v>
      </c>
      <c r="G39" s="1036">
        <v>0.1</v>
      </c>
      <c r="H39" s="1036">
        <f t="shared" si="3"/>
        <v>1.25</v>
      </c>
      <c r="I39" s="1636">
        <f>4.437+4.431</f>
        <v>8.8680000000000003</v>
      </c>
      <c r="J39" s="1637"/>
      <c r="K39" s="1036">
        <v>0.4</v>
      </c>
      <c r="L39" s="1035">
        <f t="shared" si="5"/>
        <v>3.54</v>
      </c>
    </row>
    <row r="40" spans="1:12" s="1039" customFormat="1" ht="20.100000000000001" customHeight="1" x14ac:dyDescent="0.2">
      <c r="A40" s="1037">
        <v>35</v>
      </c>
      <c r="B40" s="1034" t="s">
        <v>775</v>
      </c>
      <c r="C40" s="1038">
        <v>30</v>
      </c>
      <c r="D40" s="1036">
        <v>0.1</v>
      </c>
      <c r="E40" s="1036">
        <f t="shared" si="4"/>
        <v>3</v>
      </c>
      <c r="F40" s="1038">
        <v>74.319999999999993</v>
      </c>
      <c r="G40" s="1036">
        <v>0.1</v>
      </c>
      <c r="H40" s="1036">
        <f t="shared" si="3"/>
        <v>2.4700000000000002</v>
      </c>
      <c r="I40" s="1636">
        <f>4.437+4.431</f>
        <v>8.8680000000000003</v>
      </c>
      <c r="J40" s="1637"/>
      <c r="K40" s="1036">
        <v>0.4</v>
      </c>
      <c r="L40" s="1035">
        <f t="shared" si="5"/>
        <v>3.54</v>
      </c>
    </row>
    <row r="41" spans="1:12" s="1039" customFormat="1" ht="20.100000000000001" customHeight="1" x14ac:dyDescent="0.2">
      <c r="A41" s="1037">
        <v>36</v>
      </c>
      <c r="B41" s="1034" t="s">
        <v>776</v>
      </c>
      <c r="C41" s="1038">
        <v>30</v>
      </c>
      <c r="D41" s="1036">
        <v>0.1</v>
      </c>
      <c r="E41" s="1036">
        <f t="shared" si="4"/>
        <v>3</v>
      </c>
      <c r="F41" s="1038">
        <f>164.01+4.62+189.72</f>
        <v>358.35</v>
      </c>
      <c r="G41" s="1036">
        <v>0.1</v>
      </c>
      <c r="H41" s="1036">
        <f t="shared" si="3"/>
        <v>11.94</v>
      </c>
      <c r="I41" s="1636">
        <f>4.974+3.851</f>
        <v>8.8249999999999993</v>
      </c>
      <c r="J41" s="1637"/>
      <c r="K41" s="1036">
        <v>0.4</v>
      </c>
      <c r="L41" s="1035">
        <f t="shared" si="5"/>
        <v>3.53</v>
      </c>
    </row>
    <row r="42" spans="1:12" s="1039" customFormat="1" ht="20.100000000000001" customHeight="1" x14ac:dyDescent="0.2">
      <c r="A42" s="1037">
        <v>37</v>
      </c>
      <c r="B42" s="1034" t="s">
        <v>777</v>
      </c>
      <c r="C42" s="1038">
        <v>30</v>
      </c>
      <c r="D42" s="1036">
        <v>0.1</v>
      </c>
      <c r="E42" s="1036">
        <f t="shared" si="4"/>
        <v>3</v>
      </c>
      <c r="F42" s="1038">
        <v>88.05</v>
      </c>
      <c r="G42" s="1036">
        <v>0.1</v>
      </c>
      <c r="H42" s="1036">
        <f t="shared" si="3"/>
        <v>2.93</v>
      </c>
      <c r="I42" s="1636">
        <f>4.919+4.94</f>
        <v>9.859</v>
      </c>
      <c r="J42" s="1637"/>
      <c r="K42" s="1036">
        <v>0.4</v>
      </c>
      <c r="L42" s="1035">
        <f t="shared" si="5"/>
        <v>3.94</v>
      </c>
    </row>
    <row r="43" spans="1:12" s="1039" customFormat="1" ht="20.100000000000001" customHeight="1" x14ac:dyDescent="0.2">
      <c r="A43" s="1037">
        <v>38</v>
      </c>
      <c r="B43" s="1034" t="s">
        <v>757</v>
      </c>
      <c r="C43" s="1038">
        <v>30</v>
      </c>
      <c r="D43" s="1036">
        <v>0.1</v>
      </c>
      <c r="E43" s="1036">
        <f t="shared" si="4"/>
        <v>3</v>
      </c>
      <c r="F43" s="1038">
        <v>64.11</v>
      </c>
      <c r="G43" s="1036">
        <v>0.1</v>
      </c>
      <c r="H43" s="1036">
        <f t="shared" si="3"/>
        <v>2.13</v>
      </c>
      <c r="I43" s="1636">
        <f>4.432+3.349</f>
        <v>7.7810000000000006</v>
      </c>
      <c r="J43" s="1637"/>
      <c r="K43" s="1036">
        <v>0.4</v>
      </c>
      <c r="L43" s="1035">
        <f t="shared" si="5"/>
        <v>3.11</v>
      </c>
    </row>
    <row r="44" spans="1:12" s="1039" customFormat="1" ht="20.100000000000001" customHeight="1" x14ac:dyDescent="0.2">
      <c r="A44" s="1037">
        <v>39</v>
      </c>
      <c r="B44" s="1034" t="s">
        <v>778</v>
      </c>
      <c r="C44" s="1038">
        <v>30</v>
      </c>
      <c r="D44" s="1036">
        <v>0.1</v>
      </c>
      <c r="E44" s="1036">
        <f t="shared" si="4"/>
        <v>3</v>
      </c>
      <c r="F44" s="1038">
        <v>88.62</v>
      </c>
      <c r="G44" s="1036">
        <v>0.1</v>
      </c>
      <c r="H44" s="1036">
        <f t="shared" si="3"/>
        <v>2.95</v>
      </c>
      <c r="I44" s="1636">
        <f>4.919+4.94</f>
        <v>9.859</v>
      </c>
      <c r="J44" s="1637"/>
      <c r="K44" s="1036">
        <v>0.4</v>
      </c>
      <c r="L44" s="1035">
        <f t="shared" si="5"/>
        <v>3.94</v>
      </c>
    </row>
    <row r="45" spans="1:12" s="1039" customFormat="1" ht="20.100000000000001" customHeight="1" x14ac:dyDescent="0.2">
      <c r="A45" s="1037">
        <v>40</v>
      </c>
      <c r="B45" s="1034" t="s">
        <v>779</v>
      </c>
      <c r="C45" s="1038">
        <v>30</v>
      </c>
      <c r="D45" s="1036">
        <v>0.1</v>
      </c>
      <c r="E45" s="1036">
        <f t="shared" si="4"/>
        <v>3</v>
      </c>
      <c r="F45" s="1038">
        <v>40.96</v>
      </c>
      <c r="G45" s="1036">
        <v>0.1</v>
      </c>
      <c r="H45" s="1036">
        <f t="shared" si="3"/>
        <v>1.36</v>
      </c>
      <c r="I45" s="1636">
        <f>4.437+4.418</f>
        <v>8.8550000000000004</v>
      </c>
      <c r="J45" s="1637"/>
      <c r="K45" s="1036">
        <v>0.4</v>
      </c>
      <c r="L45" s="1035">
        <f t="shared" si="5"/>
        <v>3.54</v>
      </c>
    </row>
    <row r="46" spans="1:12" s="1039" customFormat="1" ht="20.100000000000001" customHeight="1" x14ac:dyDescent="0.2">
      <c r="A46" s="1037">
        <v>41</v>
      </c>
      <c r="B46" s="1034" t="s">
        <v>780</v>
      </c>
      <c r="C46" s="1038">
        <v>30</v>
      </c>
      <c r="D46" s="1036">
        <v>0.1</v>
      </c>
      <c r="E46" s="1036">
        <f t="shared" si="4"/>
        <v>3</v>
      </c>
      <c r="F46" s="1038">
        <v>64.25</v>
      </c>
      <c r="G46" s="1036">
        <v>0.1</v>
      </c>
      <c r="H46" s="1036">
        <f t="shared" si="3"/>
        <v>2.14</v>
      </c>
      <c r="I46" s="1636">
        <f>4.936+3.85</f>
        <v>8.7859999999999996</v>
      </c>
      <c r="J46" s="1637"/>
      <c r="K46" s="1036">
        <v>0.4</v>
      </c>
      <c r="L46" s="1035">
        <f t="shared" si="5"/>
        <v>3.51</v>
      </c>
    </row>
    <row r="47" spans="1:12" s="1039" customFormat="1" ht="20.100000000000001" customHeight="1" x14ac:dyDescent="0.2">
      <c r="A47" s="1037">
        <v>42</v>
      </c>
      <c r="B47" s="1034" t="s">
        <v>781</v>
      </c>
      <c r="C47" s="1038">
        <v>30</v>
      </c>
      <c r="D47" s="1036">
        <v>0.1</v>
      </c>
      <c r="E47" s="1036">
        <f t="shared" si="4"/>
        <v>3</v>
      </c>
      <c r="F47" s="1038">
        <v>89.19</v>
      </c>
      <c r="G47" s="1036">
        <v>0.1</v>
      </c>
      <c r="H47" s="1036">
        <f t="shared" si="3"/>
        <v>2.97</v>
      </c>
      <c r="I47" s="1636">
        <f>4.914+4.936</f>
        <v>9.85</v>
      </c>
      <c r="J47" s="1637"/>
      <c r="K47" s="1036">
        <v>0.4</v>
      </c>
      <c r="L47" s="1035">
        <f t="shared" si="5"/>
        <v>3.94</v>
      </c>
    </row>
    <row r="48" spans="1:12" s="1039" customFormat="1" ht="20.100000000000001" customHeight="1" x14ac:dyDescent="0.2">
      <c r="A48" s="1037">
        <v>43</v>
      </c>
      <c r="B48" s="1034" t="s">
        <v>782</v>
      </c>
      <c r="C48" s="1038">
        <v>30</v>
      </c>
      <c r="D48" s="1036">
        <v>0.1</v>
      </c>
      <c r="E48" s="1036">
        <f t="shared" si="4"/>
        <v>3</v>
      </c>
      <c r="F48" s="1038">
        <v>39.18</v>
      </c>
      <c r="G48" s="1036">
        <v>0.1</v>
      </c>
      <c r="H48" s="1036">
        <f t="shared" si="3"/>
        <v>1.3</v>
      </c>
      <c r="I48" s="1636">
        <f>4.937+4.933</f>
        <v>9.870000000000001</v>
      </c>
      <c r="J48" s="1637"/>
      <c r="K48" s="1036">
        <v>0.4</v>
      </c>
      <c r="L48" s="1035">
        <f t="shared" si="5"/>
        <v>3.94</v>
      </c>
    </row>
    <row r="49" spans="1:155" s="1039" customFormat="1" ht="20.100000000000001" customHeight="1" x14ac:dyDescent="0.2">
      <c r="A49" s="1037">
        <v>44</v>
      </c>
      <c r="B49" s="1034" t="s">
        <v>783</v>
      </c>
      <c r="C49" s="1038">
        <v>30</v>
      </c>
      <c r="D49" s="1036">
        <v>0.1</v>
      </c>
      <c r="E49" s="1036">
        <f t="shared" si="4"/>
        <v>3</v>
      </c>
      <c r="F49" s="1038">
        <v>64.349999999999994</v>
      </c>
      <c r="G49" s="1036">
        <v>0.1</v>
      </c>
      <c r="H49" s="1036">
        <f t="shared" si="3"/>
        <v>2.14</v>
      </c>
      <c r="I49" s="1636">
        <f>4.933+3.85</f>
        <v>8.7829999999999995</v>
      </c>
      <c r="J49" s="1637"/>
      <c r="K49" s="1036">
        <v>0.4</v>
      </c>
      <c r="L49" s="1035">
        <f t="shared" si="5"/>
        <v>3.51</v>
      </c>
    </row>
    <row r="50" spans="1:155" s="1039" customFormat="1" ht="20.100000000000001" customHeight="1" x14ac:dyDescent="0.2">
      <c r="A50" s="1037">
        <v>45</v>
      </c>
      <c r="B50" s="1034" t="s">
        <v>784</v>
      </c>
      <c r="C50" s="1038">
        <v>30</v>
      </c>
      <c r="D50" s="1036">
        <v>0.1</v>
      </c>
      <c r="E50" s="1036">
        <f t="shared" si="4"/>
        <v>3</v>
      </c>
      <c r="F50" s="1038">
        <v>89.76</v>
      </c>
      <c r="G50" s="1036">
        <v>0.1</v>
      </c>
      <c r="H50" s="1036">
        <f t="shared" si="3"/>
        <v>2.99</v>
      </c>
      <c r="I50" s="1636">
        <f>4.933+4.952</f>
        <v>9.8849999999999998</v>
      </c>
      <c r="J50" s="1637"/>
      <c r="K50" s="1036">
        <v>0.4</v>
      </c>
      <c r="L50" s="1035">
        <f t="shared" si="5"/>
        <v>3.95</v>
      </c>
    </row>
    <row r="51" spans="1:155" s="1039" customFormat="1" ht="20.100000000000001" customHeight="1" x14ac:dyDescent="0.2">
      <c r="A51" s="1037">
        <v>46</v>
      </c>
      <c r="B51" s="1034" t="s">
        <v>785</v>
      </c>
      <c r="C51" s="1038">
        <v>30</v>
      </c>
      <c r="D51" s="1036">
        <v>0.1</v>
      </c>
      <c r="E51" s="1036">
        <f t="shared" si="4"/>
        <v>3</v>
      </c>
      <c r="F51" s="1038">
        <v>64.459999999999994</v>
      </c>
      <c r="G51" s="1036">
        <v>0.1</v>
      </c>
      <c r="H51" s="1036">
        <f t="shared" si="3"/>
        <v>2.14</v>
      </c>
      <c r="I51" s="1636">
        <f>4.438+3.355</f>
        <v>7.7929999999999993</v>
      </c>
      <c r="J51" s="1637"/>
      <c r="K51" s="1036">
        <v>0.4</v>
      </c>
      <c r="L51" s="1035">
        <f t="shared" si="5"/>
        <v>3.11</v>
      </c>
    </row>
    <row r="52" spans="1:155" s="1039" customFormat="1" ht="20.100000000000001" customHeight="1" x14ac:dyDescent="0.2">
      <c r="A52" s="1630"/>
      <c r="B52" s="1631"/>
      <c r="C52" s="1631"/>
      <c r="D52" s="1632"/>
      <c r="E52" s="1040">
        <f>SUM(E5:E51)</f>
        <v>133.5</v>
      </c>
      <c r="F52" s="1630"/>
      <c r="G52" s="1632"/>
      <c r="H52" s="1040">
        <f>SUM(H5:H51)</f>
        <v>213.2</v>
      </c>
      <c r="I52" s="1630"/>
      <c r="J52" s="1631"/>
      <c r="K52" s="1632"/>
      <c r="L52" s="1040">
        <f>SUM(L5:L51)</f>
        <v>162.20519999999999</v>
      </c>
      <c r="M52" s="1041"/>
      <c r="N52" s="1042"/>
      <c r="O52" s="1043"/>
      <c r="P52" s="1043"/>
      <c r="Q52" s="1043"/>
      <c r="R52" s="1043"/>
      <c r="S52" s="1041"/>
      <c r="T52" s="1042"/>
      <c r="U52" s="1043"/>
      <c r="V52" s="1043"/>
      <c r="W52" s="1043"/>
      <c r="X52" s="1043"/>
      <c r="Y52" s="1041"/>
      <c r="Z52" s="1042"/>
      <c r="AA52" s="1043"/>
      <c r="AB52" s="1043"/>
      <c r="AC52" s="1043"/>
      <c r="AD52" s="1043"/>
      <c r="AE52" s="1041"/>
      <c r="AF52" s="1042"/>
      <c r="AG52" s="1043"/>
      <c r="AH52" s="1043"/>
      <c r="AI52" s="1043"/>
      <c r="AJ52" s="1043"/>
      <c r="AK52" s="1041"/>
      <c r="AL52" s="1042"/>
      <c r="AM52" s="1043"/>
      <c r="AN52" s="1043"/>
      <c r="AO52" s="1043"/>
      <c r="AP52" s="1043"/>
      <c r="AQ52" s="1041"/>
      <c r="AR52" s="1042"/>
      <c r="AS52" s="1043"/>
      <c r="AT52" s="1043"/>
      <c r="AU52" s="1043"/>
      <c r="AV52" s="1043"/>
      <c r="AW52" s="1041"/>
      <c r="AX52" s="1042"/>
      <c r="AY52" s="1043"/>
      <c r="AZ52" s="1043"/>
      <c r="BA52" s="1043"/>
      <c r="BB52" s="1043"/>
      <c r="BC52" s="1041"/>
      <c r="BD52" s="1042"/>
      <c r="BE52" s="1043"/>
      <c r="BF52" s="1043"/>
      <c r="BG52" s="1043"/>
      <c r="BH52" s="1043"/>
      <c r="BI52" s="1041"/>
      <c r="BJ52" s="1042"/>
      <c r="BK52" s="1043"/>
      <c r="BL52" s="1043"/>
      <c r="BM52" s="1043"/>
      <c r="BN52" s="1043"/>
      <c r="BO52" s="1041"/>
      <c r="BP52" s="1042"/>
      <c r="BQ52" s="1043"/>
      <c r="BR52" s="1043"/>
      <c r="BS52" s="1043"/>
      <c r="BT52" s="1043"/>
      <c r="BU52" s="1041"/>
      <c r="BV52" s="1042"/>
      <c r="BW52" s="1043"/>
      <c r="BX52" s="1043"/>
      <c r="BY52" s="1043"/>
      <c r="BZ52" s="1043"/>
      <c r="CA52" s="1041"/>
      <c r="CB52" s="1042"/>
      <c r="CC52" s="1043"/>
      <c r="CD52" s="1043"/>
      <c r="CE52" s="1043"/>
      <c r="CF52" s="1043"/>
      <c r="CG52" s="1041"/>
      <c r="CH52" s="1042"/>
      <c r="CI52" s="1043"/>
      <c r="CJ52" s="1043"/>
      <c r="CK52" s="1043"/>
      <c r="CL52" s="1043"/>
      <c r="CM52" s="1041"/>
      <c r="CN52" s="1042"/>
      <c r="CO52" s="1043"/>
      <c r="CP52" s="1043"/>
      <c r="CQ52" s="1043"/>
      <c r="CR52" s="1043"/>
      <c r="CS52" s="1041"/>
      <c r="CT52" s="1042"/>
      <c r="CU52" s="1043"/>
      <c r="CV52" s="1043"/>
      <c r="CW52" s="1043"/>
      <c r="CX52" s="1043"/>
      <c r="CY52" s="1041"/>
      <c r="CZ52" s="1042"/>
      <c r="DA52" s="1043"/>
      <c r="DB52" s="1043"/>
      <c r="DC52" s="1043"/>
      <c r="DD52" s="1043"/>
      <c r="DE52" s="1041"/>
      <c r="DF52" s="1042"/>
      <c r="DG52" s="1043"/>
      <c r="DH52" s="1043"/>
      <c r="DI52" s="1043"/>
      <c r="DJ52" s="1043"/>
      <c r="DK52" s="1041"/>
      <c r="DL52" s="1042"/>
      <c r="DM52" s="1043"/>
      <c r="DN52" s="1043"/>
      <c r="DO52" s="1043"/>
      <c r="DP52" s="1043"/>
      <c r="DQ52" s="1041"/>
      <c r="DR52" s="1042"/>
      <c r="DS52" s="1043"/>
      <c r="DT52" s="1043"/>
      <c r="DU52" s="1043"/>
      <c r="DV52" s="1043"/>
      <c r="DW52" s="1041"/>
      <c r="DX52" s="1042"/>
      <c r="DY52" s="1043"/>
      <c r="DZ52" s="1043"/>
      <c r="EA52" s="1043"/>
      <c r="EB52" s="1043"/>
      <c r="EC52" s="1041"/>
      <c r="ED52" s="1042"/>
      <c r="EE52" s="1043"/>
      <c r="EF52" s="1043"/>
      <c r="EG52" s="1043"/>
      <c r="EH52" s="1043"/>
      <c r="EI52" s="1041"/>
      <c r="EJ52" s="1042"/>
      <c r="EK52" s="1043"/>
      <c r="EL52" s="1043"/>
      <c r="EM52" s="1043"/>
      <c r="EN52" s="1043"/>
      <c r="EO52" s="1041"/>
      <c r="EP52" s="1042"/>
      <c r="EQ52" s="1043"/>
      <c r="ER52" s="1043"/>
      <c r="ES52" s="1043"/>
      <c r="ET52" s="1043"/>
      <c r="EU52" s="1041"/>
      <c r="EV52" s="1042"/>
      <c r="EW52" s="1043"/>
      <c r="EX52" s="1043"/>
      <c r="EY52" s="1043"/>
    </row>
    <row r="53" spans="1:155" ht="33.75" customHeight="1" x14ac:dyDescent="0.2">
      <c r="A53" s="1620" t="s">
        <v>174</v>
      </c>
      <c r="B53" s="1620" t="s">
        <v>559</v>
      </c>
      <c r="C53" s="1633" t="s">
        <v>953</v>
      </c>
      <c r="D53" s="1634"/>
      <c r="E53" s="1635"/>
      <c r="F53" s="1633" t="s">
        <v>954</v>
      </c>
      <c r="G53" s="1634"/>
      <c r="H53" s="1635"/>
      <c r="I53" s="1633" t="s">
        <v>955</v>
      </c>
      <c r="J53" s="1634"/>
      <c r="K53" s="1634"/>
      <c r="L53" s="1635"/>
    </row>
    <row r="54" spans="1:155" ht="25.5" x14ac:dyDescent="0.2">
      <c r="A54" s="1621"/>
      <c r="B54" s="1621"/>
      <c r="C54" s="1033" t="s">
        <v>949</v>
      </c>
      <c r="D54" s="1033" t="s">
        <v>950</v>
      </c>
      <c r="E54" s="1033" t="s">
        <v>952</v>
      </c>
      <c r="F54" s="1033" t="s">
        <v>78</v>
      </c>
      <c r="G54" s="1033" t="s">
        <v>952</v>
      </c>
      <c r="H54" s="1033" t="s">
        <v>956</v>
      </c>
      <c r="I54" s="1033" t="s">
        <v>78</v>
      </c>
      <c r="J54" s="1033" t="s">
        <v>949</v>
      </c>
      <c r="K54" s="1033" t="s">
        <v>950</v>
      </c>
      <c r="L54" s="1033" t="s">
        <v>952</v>
      </c>
    </row>
    <row r="55" spans="1:155" x14ac:dyDescent="0.2">
      <c r="A55" s="1622" t="s">
        <v>538</v>
      </c>
      <c r="B55" s="1623"/>
      <c r="C55" s="1623"/>
      <c r="D55" s="1623"/>
      <c r="E55" s="1623"/>
      <c r="F55" s="1623"/>
      <c r="G55" s="1623"/>
      <c r="H55" s="1623"/>
      <c r="I55" s="1623"/>
      <c r="J55" s="1623"/>
      <c r="K55" s="1623"/>
      <c r="L55" s="1624"/>
    </row>
    <row r="56" spans="1:155" x14ac:dyDescent="0.2">
      <c r="A56" s="1023">
        <v>1</v>
      </c>
      <c r="B56" s="1044" t="s">
        <v>740</v>
      </c>
      <c r="C56" s="1035">
        <f>6.15+6.89+161.78+163.04+6.48+6.56</f>
        <v>350.90000000000003</v>
      </c>
      <c r="D56" s="1035">
        <v>0.1</v>
      </c>
      <c r="E56" s="1035">
        <f>TRUNC(C56*D56,2)</f>
        <v>35.090000000000003</v>
      </c>
      <c r="F56" s="1035">
        <v>2</v>
      </c>
      <c r="G56" s="1035">
        <v>2.75</v>
      </c>
      <c r="H56" s="1035">
        <f>TRUNC(F56*G56,2)</f>
        <v>5.5</v>
      </c>
      <c r="I56" s="1035">
        <v>0</v>
      </c>
      <c r="J56" s="1035">
        <v>4</v>
      </c>
      <c r="K56" s="1035">
        <v>0.4</v>
      </c>
      <c r="L56" s="1035">
        <f t="shared" ref="L56:L75" si="6">TRUNC(J56*K56*I56,2)</f>
        <v>0</v>
      </c>
    </row>
    <row r="57" spans="1:155" x14ac:dyDescent="0.2">
      <c r="A57" s="1023">
        <v>2</v>
      </c>
      <c r="B57" s="1044" t="s">
        <v>741</v>
      </c>
      <c r="C57" s="1035">
        <f>6.52+6.51+134.33+134.35+6.52+6.52</f>
        <v>294.75</v>
      </c>
      <c r="D57" s="1035">
        <v>0.1</v>
      </c>
      <c r="E57" s="1035">
        <f t="shared" ref="E57:E75" si="7">TRUNC(C57*D57,2)</f>
        <v>29.47</v>
      </c>
      <c r="F57" s="1035">
        <v>2</v>
      </c>
      <c r="G57" s="1035">
        <v>2.75</v>
      </c>
      <c r="H57" s="1035">
        <f t="shared" ref="H57:H75" si="8">TRUNC(F57*G57,2)</f>
        <v>5.5</v>
      </c>
      <c r="I57" s="1035">
        <v>0</v>
      </c>
      <c r="J57" s="1035">
        <v>4</v>
      </c>
      <c r="K57" s="1035">
        <v>0.4</v>
      </c>
      <c r="L57" s="1035">
        <f t="shared" si="6"/>
        <v>0</v>
      </c>
    </row>
    <row r="58" spans="1:155" x14ac:dyDescent="0.2">
      <c r="A58" s="1023">
        <v>3</v>
      </c>
      <c r="B58" s="1044" t="s">
        <v>742</v>
      </c>
      <c r="C58" s="1036">
        <f>6.58+6.45+59.03+59.05+6.46+6.58</f>
        <v>144.15000000000003</v>
      </c>
      <c r="D58" s="1036">
        <v>0.1</v>
      </c>
      <c r="E58" s="1036">
        <f t="shared" si="7"/>
        <v>14.41</v>
      </c>
      <c r="F58" s="1036">
        <v>2</v>
      </c>
      <c r="G58" s="1036">
        <v>2.75</v>
      </c>
      <c r="H58" s="1036">
        <f t="shared" si="8"/>
        <v>5.5</v>
      </c>
      <c r="I58" s="1035">
        <v>0</v>
      </c>
      <c r="J58" s="1035">
        <v>4</v>
      </c>
      <c r="K58" s="1035">
        <v>0.4</v>
      </c>
      <c r="L58" s="1035">
        <f t="shared" si="6"/>
        <v>0</v>
      </c>
    </row>
    <row r="59" spans="1:155" x14ac:dyDescent="0.2">
      <c r="A59" s="1023">
        <v>4</v>
      </c>
      <c r="B59" s="1044" t="s">
        <v>743</v>
      </c>
      <c r="C59" s="1036">
        <f>6.44+6.59+75.72+76.01+5.4+5.4</f>
        <v>175.56</v>
      </c>
      <c r="D59" s="1036">
        <v>0.1</v>
      </c>
      <c r="E59" s="1036">
        <f t="shared" si="7"/>
        <v>17.55</v>
      </c>
      <c r="F59" s="1036">
        <v>2</v>
      </c>
      <c r="G59" s="1036">
        <v>2.75</v>
      </c>
      <c r="H59" s="1036">
        <f t="shared" si="8"/>
        <v>5.5</v>
      </c>
      <c r="I59" s="1035">
        <v>8</v>
      </c>
      <c r="J59" s="1035">
        <v>4</v>
      </c>
      <c r="K59" s="1035">
        <v>0.4</v>
      </c>
      <c r="L59" s="1035">
        <f t="shared" si="6"/>
        <v>12.8</v>
      </c>
    </row>
    <row r="60" spans="1:155" x14ac:dyDescent="0.2">
      <c r="A60" s="1023">
        <v>5</v>
      </c>
      <c r="B60" s="1044" t="s">
        <v>744</v>
      </c>
      <c r="C60" s="1036">
        <f>6.2+6.83+155.72+156.98+6.53+6.51</f>
        <v>338.77</v>
      </c>
      <c r="D60" s="1036">
        <v>0.1</v>
      </c>
      <c r="E60" s="1036">
        <f t="shared" si="7"/>
        <v>33.869999999999997</v>
      </c>
      <c r="F60" s="1036">
        <v>2</v>
      </c>
      <c r="G60" s="1036">
        <v>2.75</v>
      </c>
      <c r="H60" s="1036">
        <f t="shared" si="8"/>
        <v>5.5</v>
      </c>
      <c r="I60" s="1035">
        <v>0</v>
      </c>
      <c r="J60" s="1035">
        <v>4</v>
      </c>
      <c r="K60" s="1035">
        <v>0.4</v>
      </c>
      <c r="L60" s="1035">
        <f t="shared" si="6"/>
        <v>0</v>
      </c>
    </row>
    <row r="61" spans="1:155" x14ac:dyDescent="0.2">
      <c r="A61" s="1023">
        <v>6</v>
      </c>
      <c r="B61" s="1044" t="s">
        <v>745</v>
      </c>
      <c r="C61" s="1036">
        <f>6.52+6.52+134.25+134.23+6.52+6.51</f>
        <v>294.54999999999995</v>
      </c>
      <c r="D61" s="1036">
        <v>0.1</v>
      </c>
      <c r="E61" s="1036">
        <f t="shared" si="7"/>
        <v>29.45</v>
      </c>
      <c r="F61" s="1036">
        <v>2</v>
      </c>
      <c r="G61" s="1036">
        <v>2.75</v>
      </c>
      <c r="H61" s="1036">
        <f t="shared" si="8"/>
        <v>5.5</v>
      </c>
      <c r="I61" s="1035">
        <v>0</v>
      </c>
      <c r="J61" s="1035">
        <v>4</v>
      </c>
      <c r="K61" s="1035">
        <v>0.4</v>
      </c>
      <c r="L61" s="1035">
        <f t="shared" si="6"/>
        <v>0</v>
      </c>
    </row>
    <row r="62" spans="1:155" x14ac:dyDescent="0.2">
      <c r="A62" s="1023">
        <v>7</v>
      </c>
      <c r="B62" s="1044" t="s">
        <v>746</v>
      </c>
      <c r="C62" s="1036">
        <f>6.53+58.94+6.51+6.51+58.96+6.53</f>
        <v>143.98000000000002</v>
      </c>
      <c r="D62" s="1036">
        <v>0.1</v>
      </c>
      <c r="E62" s="1036">
        <f t="shared" si="7"/>
        <v>14.39</v>
      </c>
      <c r="F62" s="1036">
        <v>2</v>
      </c>
      <c r="G62" s="1036">
        <v>2.75</v>
      </c>
      <c r="H62" s="1036">
        <f t="shared" si="8"/>
        <v>5.5</v>
      </c>
      <c r="I62" s="1035">
        <v>0</v>
      </c>
      <c r="J62" s="1035">
        <v>4</v>
      </c>
      <c r="K62" s="1035">
        <v>0.4</v>
      </c>
      <c r="L62" s="1035">
        <f t="shared" si="6"/>
        <v>0</v>
      </c>
    </row>
    <row r="63" spans="1:155" x14ac:dyDescent="0.2">
      <c r="A63" s="1023">
        <v>8</v>
      </c>
      <c r="B63" s="1044" t="s">
        <v>747</v>
      </c>
      <c r="C63" s="1036">
        <f>6.53+6.51+83.29+83.26+5.4+5.4</f>
        <v>190.39000000000004</v>
      </c>
      <c r="D63" s="1036">
        <v>0.1</v>
      </c>
      <c r="E63" s="1036">
        <f t="shared" si="7"/>
        <v>19.03</v>
      </c>
      <c r="F63" s="1036">
        <v>2</v>
      </c>
      <c r="G63" s="1036">
        <v>2.75</v>
      </c>
      <c r="H63" s="1036">
        <f t="shared" si="8"/>
        <v>5.5</v>
      </c>
      <c r="I63" s="1035">
        <v>8</v>
      </c>
      <c r="J63" s="1035">
        <v>4</v>
      </c>
      <c r="K63" s="1035">
        <v>0.4</v>
      </c>
      <c r="L63" s="1035">
        <f t="shared" si="6"/>
        <v>12.8</v>
      </c>
    </row>
    <row r="64" spans="1:155" x14ac:dyDescent="0.2">
      <c r="A64" s="1023">
        <v>9</v>
      </c>
      <c r="B64" s="1044" t="s">
        <v>748</v>
      </c>
      <c r="C64" s="1036">
        <f>6.18+6.86+151.13+149.87+6.5+6.53</f>
        <v>327.06999999999994</v>
      </c>
      <c r="D64" s="1036">
        <v>0.1</v>
      </c>
      <c r="E64" s="1036">
        <f t="shared" si="7"/>
        <v>32.700000000000003</v>
      </c>
      <c r="F64" s="1036">
        <v>2</v>
      </c>
      <c r="G64" s="1036">
        <v>2.75</v>
      </c>
      <c r="H64" s="1036">
        <f t="shared" si="8"/>
        <v>5.5</v>
      </c>
      <c r="I64" s="1035">
        <v>0</v>
      </c>
      <c r="J64" s="1035">
        <v>4</v>
      </c>
      <c r="K64" s="1035">
        <v>0.4</v>
      </c>
      <c r="L64" s="1035">
        <f t="shared" si="6"/>
        <v>0</v>
      </c>
    </row>
    <row r="65" spans="1:12" x14ac:dyDescent="0.2">
      <c r="A65" s="1023">
        <v>10</v>
      </c>
      <c r="B65" s="1044" t="s">
        <v>749</v>
      </c>
      <c r="C65" s="1036">
        <f>6.53+6.51+134.16+134.14+6.51+6.53</f>
        <v>294.37999999999994</v>
      </c>
      <c r="D65" s="1036">
        <v>0.1</v>
      </c>
      <c r="E65" s="1036">
        <f t="shared" si="7"/>
        <v>29.43</v>
      </c>
      <c r="F65" s="1036">
        <v>2</v>
      </c>
      <c r="G65" s="1036">
        <v>2.75</v>
      </c>
      <c r="H65" s="1036">
        <f t="shared" si="8"/>
        <v>5.5</v>
      </c>
      <c r="I65" s="1035">
        <v>0</v>
      </c>
      <c r="J65" s="1035">
        <v>4</v>
      </c>
      <c r="K65" s="1035">
        <v>0.4</v>
      </c>
      <c r="L65" s="1035">
        <f t="shared" si="6"/>
        <v>0</v>
      </c>
    </row>
    <row r="66" spans="1:12" x14ac:dyDescent="0.2">
      <c r="A66" s="1023">
        <v>11</v>
      </c>
      <c r="B66" s="1044" t="s">
        <v>750</v>
      </c>
      <c r="C66" s="1036">
        <f>6.53+6.51+58.87+58.85+6.52+6.52</f>
        <v>143.80000000000001</v>
      </c>
      <c r="D66" s="1036">
        <v>0.1</v>
      </c>
      <c r="E66" s="1036">
        <f t="shared" si="7"/>
        <v>14.38</v>
      </c>
      <c r="F66" s="1036">
        <v>2</v>
      </c>
      <c r="G66" s="1036">
        <v>2.75</v>
      </c>
      <c r="H66" s="1036">
        <f t="shared" si="8"/>
        <v>5.5</v>
      </c>
      <c r="I66" s="1035">
        <v>0</v>
      </c>
      <c r="J66" s="1035">
        <v>4</v>
      </c>
      <c r="K66" s="1035">
        <v>0.4</v>
      </c>
      <c r="L66" s="1035">
        <f t="shared" si="6"/>
        <v>0</v>
      </c>
    </row>
    <row r="67" spans="1:12" x14ac:dyDescent="0.2">
      <c r="A67" s="1023">
        <v>12</v>
      </c>
      <c r="B67" s="1044" t="s">
        <v>751</v>
      </c>
      <c r="C67" s="1036">
        <f>6.52+6.52+90.04+90.05+5.4+5.4</f>
        <v>203.93</v>
      </c>
      <c r="D67" s="1036">
        <v>0.1</v>
      </c>
      <c r="E67" s="1036">
        <f t="shared" si="7"/>
        <v>20.39</v>
      </c>
      <c r="F67" s="1036">
        <v>2</v>
      </c>
      <c r="G67" s="1036">
        <v>2.75</v>
      </c>
      <c r="H67" s="1036">
        <f t="shared" si="8"/>
        <v>5.5</v>
      </c>
      <c r="I67" s="1035">
        <v>8</v>
      </c>
      <c r="J67" s="1035">
        <v>4</v>
      </c>
      <c r="K67" s="1035">
        <v>0.4</v>
      </c>
      <c r="L67" s="1035">
        <f t="shared" si="6"/>
        <v>12.8</v>
      </c>
    </row>
    <row r="68" spans="1:12" x14ac:dyDescent="0.2">
      <c r="A68" s="1023">
        <v>13</v>
      </c>
      <c r="B68" s="1044" t="s">
        <v>752</v>
      </c>
      <c r="C68" s="1036">
        <f>6.84+6.2+68.88+145.19+6.52+6.52+59.92+6.62+6.42+60.54+134.07+58.64+6.51+6.53</f>
        <v>579.4</v>
      </c>
      <c r="D68" s="1036">
        <v>0.1</v>
      </c>
      <c r="E68" s="1036">
        <f t="shared" si="7"/>
        <v>57.94</v>
      </c>
      <c r="F68" s="1036">
        <v>2</v>
      </c>
      <c r="G68" s="1036">
        <v>2.75</v>
      </c>
      <c r="H68" s="1036">
        <f t="shared" si="8"/>
        <v>5.5</v>
      </c>
      <c r="I68" s="1035">
        <v>0</v>
      </c>
      <c r="J68" s="1035">
        <v>4</v>
      </c>
      <c r="K68" s="1035">
        <v>0.4</v>
      </c>
      <c r="L68" s="1035">
        <f t="shared" si="6"/>
        <v>0</v>
      </c>
    </row>
    <row r="69" spans="1:12" x14ac:dyDescent="0.2">
      <c r="A69" s="1023">
        <v>14</v>
      </c>
      <c r="B69" s="1044" t="s">
        <v>753</v>
      </c>
      <c r="C69" s="1036">
        <f>6.52+6.52+58.77+58.79+6.52+6.52</f>
        <v>143.64000000000001</v>
      </c>
      <c r="D69" s="1036">
        <v>0.1</v>
      </c>
      <c r="E69" s="1036">
        <f t="shared" si="7"/>
        <v>14.36</v>
      </c>
      <c r="F69" s="1036">
        <v>2</v>
      </c>
      <c r="G69" s="1036">
        <v>2.75</v>
      </c>
      <c r="H69" s="1036">
        <f t="shared" si="8"/>
        <v>5.5</v>
      </c>
      <c r="I69" s="1035">
        <v>0</v>
      </c>
      <c r="J69" s="1035">
        <v>4</v>
      </c>
      <c r="K69" s="1035">
        <v>0.4</v>
      </c>
      <c r="L69" s="1035">
        <f t="shared" si="6"/>
        <v>0</v>
      </c>
    </row>
    <row r="70" spans="1:12" x14ac:dyDescent="0.2">
      <c r="A70" s="1023">
        <v>15</v>
      </c>
      <c r="B70" s="1044" t="s">
        <v>754</v>
      </c>
      <c r="C70" s="1036">
        <f>6.49+6.55+96.87+96.76+5.4+5.4</f>
        <v>217.47000000000003</v>
      </c>
      <c r="D70" s="1036">
        <v>0.1</v>
      </c>
      <c r="E70" s="1036">
        <f t="shared" si="7"/>
        <v>21.74</v>
      </c>
      <c r="F70" s="1036">
        <v>2</v>
      </c>
      <c r="G70" s="1036">
        <v>2.75</v>
      </c>
      <c r="H70" s="1036">
        <f t="shared" si="8"/>
        <v>5.5</v>
      </c>
      <c r="I70" s="1035">
        <v>8</v>
      </c>
      <c r="J70" s="1035">
        <v>4</v>
      </c>
      <c r="K70" s="1035">
        <v>0.4</v>
      </c>
      <c r="L70" s="1035">
        <f t="shared" si="6"/>
        <v>12.8</v>
      </c>
    </row>
    <row r="71" spans="1:12" x14ac:dyDescent="0.2">
      <c r="A71" s="1023">
        <v>16</v>
      </c>
      <c r="B71" s="1044" t="s">
        <v>755</v>
      </c>
      <c r="C71" s="1036">
        <f>5.4+5.4+70.82+59.48+58.37+397.19+60.89+57.56+6.8+6.23+10.82</f>
        <v>738.95999999999992</v>
      </c>
      <c r="D71" s="1036">
        <v>0.1</v>
      </c>
      <c r="E71" s="1036">
        <f t="shared" si="7"/>
        <v>73.89</v>
      </c>
      <c r="F71" s="1036">
        <v>1</v>
      </c>
      <c r="G71" s="1036">
        <v>2.75</v>
      </c>
      <c r="H71" s="1036">
        <f t="shared" si="8"/>
        <v>2.75</v>
      </c>
      <c r="I71" s="1035">
        <v>8</v>
      </c>
      <c r="J71" s="1035">
        <v>4</v>
      </c>
      <c r="K71" s="1035">
        <v>0.4</v>
      </c>
      <c r="L71" s="1035">
        <f t="shared" si="6"/>
        <v>12.8</v>
      </c>
    </row>
    <row r="72" spans="1:12" x14ac:dyDescent="0.2">
      <c r="A72" s="1023">
        <v>17</v>
      </c>
      <c r="B72" s="1044" t="s">
        <v>756</v>
      </c>
      <c r="C72" s="1036">
        <f>6.51+6.52+58.56+58.62+59.18+59.05+58.64+58.77+59.8+59.69+5.38+5.38</f>
        <v>496.09999999999997</v>
      </c>
      <c r="D72" s="1036">
        <v>0.1</v>
      </c>
      <c r="E72" s="1036">
        <f t="shared" si="7"/>
        <v>49.61</v>
      </c>
      <c r="F72" s="1036">
        <v>2</v>
      </c>
      <c r="G72" s="1036">
        <v>2.75</v>
      </c>
      <c r="H72" s="1036">
        <f t="shared" si="8"/>
        <v>5.5</v>
      </c>
      <c r="I72" s="1035">
        <v>8</v>
      </c>
      <c r="J72" s="1035">
        <v>4</v>
      </c>
      <c r="K72" s="1035">
        <v>0.4</v>
      </c>
      <c r="L72" s="1035">
        <f t="shared" si="6"/>
        <v>12.8</v>
      </c>
    </row>
    <row r="73" spans="1:12" x14ac:dyDescent="0.2">
      <c r="A73" s="1023">
        <v>18</v>
      </c>
      <c r="B73" s="1044" t="s">
        <v>757</v>
      </c>
      <c r="C73" s="1036">
        <f>5.34+5.4+6.53+6.51+72.52+72.54</f>
        <v>168.84</v>
      </c>
      <c r="D73" s="1036">
        <v>0.1</v>
      </c>
      <c r="E73" s="1036">
        <f t="shared" si="7"/>
        <v>16.88</v>
      </c>
      <c r="F73" s="1036">
        <v>2</v>
      </c>
      <c r="G73" s="1036">
        <v>2.75</v>
      </c>
      <c r="H73" s="1036">
        <f t="shared" si="8"/>
        <v>5.5</v>
      </c>
      <c r="I73" s="1035">
        <v>7</v>
      </c>
      <c r="J73" s="1035">
        <v>4</v>
      </c>
      <c r="K73" s="1035">
        <v>0.4</v>
      </c>
      <c r="L73" s="1035">
        <f t="shared" si="6"/>
        <v>11.2</v>
      </c>
    </row>
    <row r="74" spans="1:12" x14ac:dyDescent="0.2">
      <c r="A74" s="1023">
        <v>19</v>
      </c>
      <c r="B74" s="1044" t="s">
        <v>758</v>
      </c>
      <c r="C74" s="1036">
        <f>5.4+5.4+72.71+72.73+58.07+58.03+59.5+59.41+58.55+58.94+60.57+60.36+5.31+5.38</f>
        <v>640.36</v>
      </c>
      <c r="D74" s="1036">
        <v>0.1</v>
      </c>
      <c r="E74" s="1036">
        <f t="shared" si="7"/>
        <v>64.03</v>
      </c>
      <c r="F74" s="1036">
        <v>2</v>
      </c>
      <c r="G74" s="1036">
        <v>2.75</v>
      </c>
      <c r="H74" s="1036">
        <f t="shared" si="8"/>
        <v>5.5</v>
      </c>
      <c r="I74" s="1035">
        <v>16</v>
      </c>
      <c r="J74" s="1035">
        <v>4</v>
      </c>
      <c r="K74" s="1035">
        <v>0.4</v>
      </c>
      <c r="L74" s="1035">
        <f t="shared" si="6"/>
        <v>25.6</v>
      </c>
    </row>
    <row r="75" spans="1:12" x14ac:dyDescent="0.2">
      <c r="A75" s="1023">
        <v>20</v>
      </c>
      <c r="B75" s="1044" t="s">
        <v>759</v>
      </c>
      <c r="C75" s="1036">
        <f>5.39+5.4+72.76+72.49+57.95+58.2+59.35+59.34+58.19+58.64+61.27+61.59+5.43+5.37</f>
        <v>641.37</v>
      </c>
      <c r="D75" s="1036">
        <v>0.1</v>
      </c>
      <c r="E75" s="1036">
        <f t="shared" si="7"/>
        <v>64.13</v>
      </c>
      <c r="F75" s="1036">
        <v>2</v>
      </c>
      <c r="G75" s="1036">
        <v>2.75</v>
      </c>
      <c r="H75" s="1036">
        <f t="shared" si="8"/>
        <v>5.5</v>
      </c>
      <c r="I75" s="1035">
        <v>16</v>
      </c>
      <c r="J75" s="1035">
        <v>4</v>
      </c>
      <c r="K75" s="1035">
        <v>0.4</v>
      </c>
      <c r="L75" s="1035">
        <f t="shared" si="6"/>
        <v>25.6</v>
      </c>
    </row>
    <row r="76" spans="1:12" x14ac:dyDescent="0.2">
      <c r="A76" s="1622" t="s">
        <v>555</v>
      </c>
      <c r="B76" s="1623"/>
      <c r="C76" s="1623"/>
      <c r="D76" s="1623"/>
      <c r="E76" s="1623"/>
      <c r="F76" s="1623"/>
      <c r="G76" s="1623"/>
      <c r="H76" s="1623"/>
      <c r="I76" s="1623"/>
      <c r="J76" s="1623"/>
      <c r="K76" s="1623"/>
      <c r="L76" s="1624"/>
    </row>
    <row r="77" spans="1:12" s="1039" customFormat="1" ht="20.100000000000001" customHeight="1" x14ac:dyDescent="0.2">
      <c r="A77" s="1037">
        <f t="shared" ref="A77:B92" si="9">A26</f>
        <v>21</v>
      </c>
      <c r="B77" s="1044" t="str">
        <f t="shared" si="9"/>
        <v>Rua Mis. Daniel Berg - Trecho 1</v>
      </c>
      <c r="C77" s="1038">
        <f>6.14+63.87+6.87+136.72+59.35+59.95+130.73+59.43+61.19+133.27+57.81+23.99+2.55+19.82+6.53+6.51+46.49</f>
        <v>881.21999999999991</v>
      </c>
      <c r="D77" s="1035">
        <v>0.1</v>
      </c>
      <c r="E77" s="1035">
        <f>TRUNC(C77*D77,2)</f>
        <v>88.12</v>
      </c>
      <c r="F77" s="1045">
        <v>2</v>
      </c>
      <c r="G77" s="1035">
        <v>2.75</v>
      </c>
      <c r="H77" s="1035">
        <f>TRUNC(F77*G77,2)</f>
        <v>5.5</v>
      </c>
      <c r="I77" s="1045">
        <v>8</v>
      </c>
      <c r="J77" s="1035">
        <v>4</v>
      </c>
      <c r="K77" s="1035">
        <v>0.4</v>
      </c>
      <c r="L77" s="1035">
        <f t="shared" ref="L77:L102" si="10">TRUNC(J77*K77*I77,2)</f>
        <v>12.8</v>
      </c>
    </row>
    <row r="78" spans="1:12" s="1039" customFormat="1" ht="20.100000000000001" customHeight="1" x14ac:dyDescent="0.2">
      <c r="A78" s="1037">
        <f t="shared" si="9"/>
        <v>22</v>
      </c>
      <c r="B78" s="1044" t="str">
        <f t="shared" si="9"/>
        <v>Rua Mis. Daniel Berg - Trecho 2</v>
      </c>
      <c r="C78" s="1038">
        <f>60.14+5.4+5.4+134.28+59.12+33.67+58.69+26.02+60.45+110.23+34.8+5.4+5.4</f>
        <v>598.99999999999989</v>
      </c>
      <c r="D78" s="1035">
        <v>0.1</v>
      </c>
      <c r="E78" s="1035">
        <f t="shared" ref="E78:E102" si="11">TRUNC(C78*D78,2)</f>
        <v>59.9</v>
      </c>
      <c r="F78" s="1045">
        <v>2</v>
      </c>
      <c r="G78" s="1035">
        <v>2.75</v>
      </c>
      <c r="H78" s="1035">
        <f t="shared" ref="H78:H102" si="12">TRUNC(F78*G78,2)</f>
        <v>5.5</v>
      </c>
      <c r="I78" s="1045">
        <v>0</v>
      </c>
      <c r="J78" s="1035">
        <v>4</v>
      </c>
      <c r="K78" s="1035">
        <v>0.4</v>
      </c>
      <c r="L78" s="1035">
        <f t="shared" si="10"/>
        <v>0</v>
      </c>
    </row>
    <row r="79" spans="1:12" s="1039" customFormat="1" ht="20.100000000000001" customHeight="1" x14ac:dyDescent="0.2">
      <c r="A79" s="1037">
        <f t="shared" si="9"/>
        <v>23</v>
      </c>
      <c r="B79" s="1034" t="str">
        <f t="shared" si="9"/>
        <v>Avenida Papa João Paulo II</v>
      </c>
      <c r="C79" s="1038">
        <f>4.99+5.81+128.03+130.71+6.41+6.63+134.9+136.39+6.52+6.52+133.39+133.18+6.49+6.55+46.68+46.56+6.54+6.5</f>
        <v>952.8</v>
      </c>
      <c r="D79" s="1036">
        <v>0.1</v>
      </c>
      <c r="E79" s="1036">
        <f t="shared" si="11"/>
        <v>95.28</v>
      </c>
      <c r="F79" s="1045">
        <v>2</v>
      </c>
      <c r="G79" s="1036">
        <v>2.75</v>
      </c>
      <c r="H79" s="1036">
        <f t="shared" si="12"/>
        <v>5.5</v>
      </c>
      <c r="I79" s="1045">
        <v>8</v>
      </c>
      <c r="J79" s="1035">
        <v>4</v>
      </c>
      <c r="K79" s="1035">
        <v>0.4</v>
      </c>
      <c r="L79" s="1035">
        <f t="shared" si="10"/>
        <v>12.8</v>
      </c>
    </row>
    <row r="80" spans="1:12" s="1039" customFormat="1" ht="20.100000000000001" customHeight="1" x14ac:dyDescent="0.2">
      <c r="A80" s="1037">
        <f t="shared" si="9"/>
        <v>24</v>
      </c>
      <c r="B80" s="1034" t="str">
        <f t="shared" si="9"/>
        <v>Rua Rio Grande do Sul - Trecho 1</v>
      </c>
      <c r="C80" s="1046">
        <f>6.57+6.46+63.96+63.88</f>
        <v>140.87</v>
      </c>
      <c r="D80" s="1036">
        <v>0.1</v>
      </c>
      <c r="E80" s="1036">
        <f t="shared" si="11"/>
        <v>14.08</v>
      </c>
      <c r="F80" s="1045">
        <v>1</v>
      </c>
      <c r="G80" s="1036">
        <v>2.75</v>
      </c>
      <c r="H80" s="1036">
        <f t="shared" si="12"/>
        <v>2.75</v>
      </c>
      <c r="I80" s="1045">
        <v>8</v>
      </c>
      <c r="J80" s="1035">
        <v>4</v>
      </c>
      <c r="K80" s="1035">
        <v>0.4</v>
      </c>
      <c r="L80" s="1035">
        <f t="shared" si="10"/>
        <v>12.8</v>
      </c>
    </row>
    <row r="81" spans="1:12" s="1039" customFormat="1" ht="20.100000000000001" customHeight="1" x14ac:dyDescent="0.2">
      <c r="A81" s="1037">
        <f t="shared" si="9"/>
        <v>25</v>
      </c>
      <c r="B81" s="1034" t="str">
        <f t="shared" si="9"/>
        <v>Rua Rio Grande do Sul - Trecho 2</v>
      </c>
      <c r="C81" s="1046">
        <f>6.51+6.52+59.59+134.18+58.6+6.51+6.52+58.89+58.7+6.58+6.46+59.94+122.99+46.86+5.4+5.4</f>
        <v>649.64999999999986</v>
      </c>
      <c r="D81" s="1036">
        <v>0.1</v>
      </c>
      <c r="E81" s="1036">
        <f t="shared" si="11"/>
        <v>64.959999999999994</v>
      </c>
      <c r="F81" s="1045">
        <v>2</v>
      </c>
      <c r="G81" s="1036">
        <v>2.75</v>
      </c>
      <c r="H81" s="1036">
        <f t="shared" si="12"/>
        <v>5.5</v>
      </c>
      <c r="I81" s="1045">
        <v>0</v>
      </c>
      <c r="J81" s="1035">
        <v>4</v>
      </c>
      <c r="K81" s="1035">
        <v>0.4</v>
      </c>
      <c r="L81" s="1035">
        <f t="shared" si="10"/>
        <v>0</v>
      </c>
    </row>
    <row r="82" spans="1:12" s="1039" customFormat="1" ht="20.100000000000001" customHeight="1" x14ac:dyDescent="0.2">
      <c r="A82" s="1037">
        <f t="shared" si="9"/>
        <v>26</v>
      </c>
      <c r="B82" s="1034" t="str">
        <f t="shared" si="9"/>
        <v>Rua Cerejeiras</v>
      </c>
      <c r="C82" s="1046">
        <f>114.11+227.74+6.52+6.52+61.53+6.52+6.52+56.08+6.52+6.52+106.78+57.92+5.2+6.54+6.53+70.9+50.4+9.58+6.52+6.52+44.89+142.5+57.03</f>
        <v>1069.8899999999999</v>
      </c>
      <c r="D82" s="1036">
        <v>0.1</v>
      </c>
      <c r="E82" s="1036">
        <f t="shared" si="11"/>
        <v>106.98</v>
      </c>
      <c r="F82" s="1045">
        <v>1</v>
      </c>
      <c r="G82" s="1036">
        <v>2.75</v>
      </c>
      <c r="H82" s="1036">
        <f t="shared" si="12"/>
        <v>2.75</v>
      </c>
      <c r="I82" s="1045">
        <v>0</v>
      </c>
      <c r="J82" s="1035">
        <v>4</v>
      </c>
      <c r="K82" s="1035">
        <v>0.4</v>
      </c>
      <c r="L82" s="1035">
        <f t="shared" si="10"/>
        <v>0</v>
      </c>
    </row>
    <row r="83" spans="1:12" s="1039" customFormat="1" ht="20.100000000000001" customHeight="1" x14ac:dyDescent="0.2">
      <c r="A83" s="1037">
        <f t="shared" si="9"/>
        <v>27</v>
      </c>
      <c r="B83" s="1034" t="str">
        <f t="shared" si="9"/>
        <v>Rua Espírito Santo</v>
      </c>
      <c r="C83" s="1046">
        <f>6.55+6.49+98.99+98.98+5.39+5.43</f>
        <v>221.82999999999998</v>
      </c>
      <c r="D83" s="1036">
        <v>0.1</v>
      </c>
      <c r="E83" s="1036">
        <f t="shared" si="11"/>
        <v>22.18</v>
      </c>
      <c r="F83" s="1045">
        <v>2</v>
      </c>
      <c r="G83" s="1036">
        <v>2.75</v>
      </c>
      <c r="H83" s="1036">
        <f t="shared" si="12"/>
        <v>5.5</v>
      </c>
      <c r="I83" s="1045">
        <v>0</v>
      </c>
      <c r="J83" s="1035">
        <v>4</v>
      </c>
      <c r="K83" s="1035">
        <v>0.4</v>
      </c>
      <c r="L83" s="1035">
        <f t="shared" si="10"/>
        <v>0</v>
      </c>
    </row>
    <row r="84" spans="1:12" s="1039" customFormat="1" ht="20.100000000000001" customHeight="1" x14ac:dyDescent="0.2">
      <c r="A84" s="1037">
        <f t="shared" si="9"/>
        <v>28</v>
      </c>
      <c r="B84" s="1034" t="str">
        <f t="shared" si="9"/>
        <v>Rua Bahia - Trecho 1</v>
      </c>
      <c r="C84" s="1046">
        <f>6.52+6.52+61.47+61.57+6.56+6.49</f>
        <v>149.13</v>
      </c>
      <c r="D84" s="1036">
        <v>0.1</v>
      </c>
      <c r="E84" s="1036">
        <f t="shared" si="11"/>
        <v>14.91</v>
      </c>
      <c r="F84" s="1045">
        <v>2</v>
      </c>
      <c r="G84" s="1036">
        <v>2.75</v>
      </c>
      <c r="H84" s="1036">
        <f t="shared" si="12"/>
        <v>5.5</v>
      </c>
      <c r="I84" s="1045">
        <v>0</v>
      </c>
      <c r="J84" s="1035">
        <v>4</v>
      </c>
      <c r="K84" s="1035">
        <v>0.4</v>
      </c>
      <c r="L84" s="1035">
        <f t="shared" si="10"/>
        <v>0</v>
      </c>
    </row>
    <row r="85" spans="1:12" s="1039" customFormat="1" ht="20.100000000000001" customHeight="1" x14ac:dyDescent="0.2">
      <c r="A85" s="1037">
        <f t="shared" si="9"/>
        <v>29</v>
      </c>
      <c r="B85" s="1034" t="str">
        <f t="shared" si="9"/>
        <v>Rua Bahia - Trecho 2</v>
      </c>
      <c r="C85" s="1046">
        <f>6.52+6.52+97.52+97.57+5.38+5.41</f>
        <v>218.92</v>
      </c>
      <c r="D85" s="1036">
        <v>0.1</v>
      </c>
      <c r="E85" s="1036">
        <f t="shared" si="11"/>
        <v>21.89</v>
      </c>
      <c r="F85" s="1045">
        <v>2</v>
      </c>
      <c r="G85" s="1036">
        <v>2.75</v>
      </c>
      <c r="H85" s="1036">
        <f t="shared" si="12"/>
        <v>5.5</v>
      </c>
      <c r="I85" s="1045">
        <v>0</v>
      </c>
      <c r="J85" s="1035">
        <v>4</v>
      </c>
      <c r="K85" s="1035">
        <v>0.4</v>
      </c>
      <c r="L85" s="1035">
        <f t="shared" si="10"/>
        <v>0</v>
      </c>
    </row>
    <row r="86" spans="1:12" s="1039" customFormat="1" ht="20.100000000000001" customHeight="1" x14ac:dyDescent="0.2">
      <c r="A86" s="1037">
        <f t="shared" si="9"/>
        <v>30</v>
      </c>
      <c r="B86" s="1034" t="str">
        <f t="shared" si="9"/>
        <v>Rua Sergipe</v>
      </c>
      <c r="C86" s="1046">
        <f>6.55+6.49+98.2+98.29+5.4+5.4</f>
        <v>220.33000000000004</v>
      </c>
      <c r="D86" s="1036">
        <v>0.1</v>
      </c>
      <c r="E86" s="1036">
        <f t="shared" si="11"/>
        <v>22.03</v>
      </c>
      <c r="F86" s="1045">
        <v>2</v>
      </c>
      <c r="G86" s="1036">
        <v>2.75</v>
      </c>
      <c r="H86" s="1036">
        <f t="shared" si="12"/>
        <v>5.5</v>
      </c>
      <c r="I86" s="1045">
        <v>0</v>
      </c>
      <c r="J86" s="1035">
        <v>4</v>
      </c>
      <c r="K86" s="1035">
        <v>0.4</v>
      </c>
      <c r="L86" s="1035">
        <f t="shared" si="10"/>
        <v>0</v>
      </c>
    </row>
    <row r="87" spans="1:12" s="1039" customFormat="1" ht="20.100000000000001" customHeight="1" x14ac:dyDescent="0.2">
      <c r="A87" s="1037">
        <f t="shared" si="9"/>
        <v>31</v>
      </c>
      <c r="B87" s="1034" t="str">
        <f t="shared" si="9"/>
        <v>Rua Alagoas - Trecho 1</v>
      </c>
      <c r="C87" s="1046">
        <f>6.51+6.53+62.45+62.47+6.52+6.54</f>
        <v>151.02000000000001</v>
      </c>
      <c r="D87" s="1036">
        <v>0.1</v>
      </c>
      <c r="E87" s="1036">
        <f t="shared" si="11"/>
        <v>15.1</v>
      </c>
      <c r="F87" s="1045">
        <v>2</v>
      </c>
      <c r="G87" s="1036">
        <v>2.75</v>
      </c>
      <c r="H87" s="1036">
        <f t="shared" si="12"/>
        <v>5.5</v>
      </c>
      <c r="I87" s="1045">
        <v>0</v>
      </c>
      <c r="J87" s="1035">
        <v>4</v>
      </c>
      <c r="K87" s="1035">
        <v>0.4</v>
      </c>
      <c r="L87" s="1035">
        <f t="shared" si="10"/>
        <v>0</v>
      </c>
    </row>
    <row r="88" spans="1:12" s="1039" customFormat="1" ht="20.100000000000001" customHeight="1" x14ac:dyDescent="0.2">
      <c r="A88" s="1037">
        <f t="shared" si="9"/>
        <v>32</v>
      </c>
      <c r="B88" s="1034" t="str">
        <f t="shared" si="9"/>
        <v>Rua Alagoas - Trecho 2</v>
      </c>
      <c r="C88" s="1046">
        <f>6.43+6.57+98.23+98.17+5.44+5.36</f>
        <v>220.20000000000002</v>
      </c>
      <c r="D88" s="1036">
        <v>0.1</v>
      </c>
      <c r="E88" s="1036">
        <f t="shared" si="11"/>
        <v>22.02</v>
      </c>
      <c r="F88" s="1045">
        <v>2</v>
      </c>
      <c r="G88" s="1036">
        <v>2.75</v>
      </c>
      <c r="H88" s="1036">
        <f t="shared" si="12"/>
        <v>5.5</v>
      </c>
      <c r="I88" s="1045">
        <v>0</v>
      </c>
      <c r="J88" s="1035">
        <v>4</v>
      </c>
      <c r="K88" s="1035">
        <v>0.4</v>
      </c>
      <c r="L88" s="1035">
        <f t="shared" si="10"/>
        <v>0</v>
      </c>
    </row>
    <row r="89" spans="1:12" s="1039" customFormat="1" ht="20.100000000000001" customHeight="1" x14ac:dyDescent="0.2">
      <c r="A89" s="1037">
        <f t="shared" si="9"/>
        <v>33</v>
      </c>
      <c r="B89" s="1034" t="str">
        <f t="shared" si="9"/>
        <v>Rua Pernambuco</v>
      </c>
      <c r="C89" s="1046">
        <f>6.52+6.52+98.71+98.27+5.51+5.27</f>
        <v>220.79999999999998</v>
      </c>
      <c r="D89" s="1036">
        <v>0.1</v>
      </c>
      <c r="E89" s="1036">
        <f t="shared" si="11"/>
        <v>22.08</v>
      </c>
      <c r="F89" s="1045">
        <v>2</v>
      </c>
      <c r="G89" s="1036">
        <v>2.75</v>
      </c>
      <c r="H89" s="1036">
        <f t="shared" si="12"/>
        <v>5.5</v>
      </c>
      <c r="I89" s="1045">
        <v>0</v>
      </c>
      <c r="J89" s="1035">
        <v>4</v>
      </c>
      <c r="K89" s="1035">
        <v>0.4</v>
      </c>
      <c r="L89" s="1035">
        <f t="shared" si="10"/>
        <v>0</v>
      </c>
    </row>
    <row r="90" spans="1:12" s="1039" customFormat="1" ht="20.100000000000001" customHeight="1" x14ac:dyDescent="0.2">
      <c r="A90" s="1037">
        <f t="shared" si="9"/>
        <v>34</v>
      </c>
      <c r="B90" s="1034" t="str">
        <f t="shared" si="9"/>
        <v>Rua Paraíba - Trecho 1</v>
      </c>
      <c r="C90" s="1046">
        <f>6.52+6.52+62.19+62.16+6.53+6.51</f>
        <v>150.42999999999998</v>
      </c>
      <c r="D90" s="1036">
        <v>0.1</v>
      </c>
      <c r="E90" s="1036">
        <f t="shared" si="11"/>
        <v>15.04</v>
      </c>
      <c r="F90" s="1045">
        <v>2</v>
      </c>
      <c r="G90" s="1036">
        <v>2.75</v>
      </c>
      <c r="H90" s="1036">
        <f t="shared" si="12"/>
        <v>5.5</v>
      </c>
      <c r="I90" s="1045">
        <v>0</v>
      </c>
      <c r="J90" s="1035">
        <v>4</v>
      </c>
      <c r="K90" s="1035">
        <v>0.4</v>
      </c>
      <c r="L90" s="1035">
        <f t="shared" si="10"/>
        <v>0</v>
      </c>
    </row>
    <row r="91" spans="1:12" s="1039" customFormat="1" ht="20.100000000000001" customHeight="1" x14ac:dyDescent="0.2">
      <c r="A91" s="1037">
        <f t="shared" si="9"/>
        <v>35</v>
      </c>
      <c r="B91" s="1034" t="str">
        <f t="shared" si="9"/>
        <v>Rua Paraíba - Trecho 2</v>
      </c>
      <c r="C91" s="1046">
        <f>6.52+6.52+98.73+98.7+5.39+5.41</f>
        <v>221.27</v>
      </c>
      <c r="D91" s="1036">
        <v>0.1</v>
      </c>
      <c r="E91" s="1036">
        <f t="shared" si="11"/>
        <v>22.12</v>
      </c>
      <c r="F91" s="1045">
        <v>2</v>
      </c>
      <c r="G91" s="1036">
        <v>2.75</v>
      </c>
      <c r="H91" s="1036">
        <f t="shared" si="12"/>
        <v>5.5</v>
      </c>
      <c r="I91" s="1045">
        <v>0</v>
      </c>
      <c r="J91" s="1035">
        <v>4</v>
      </c>
      <c r="K91" s="1035">
        <v>0.4</v>
      </c>
      <c r="L91" s="1035">
        <f t="shared" si="10"/>
        <v>0</v>
      </c>
    </row>
    <row r="92" spans="1:12" s="1039" customFormat="1" ht="20.100000000000001" customHeight="1" x14ac:dyDescent="0.2">
      <c r="A92" s="1037">
        <f t="shared" si="9"/>
        <v>36</v>
      </c>
      <c r="B92" s="1034" t="str">
        <f t="shared" si="9"/>
        <v>avenida São José Marello</v>
      </c>
      <c r="C92" s="1046">
        <f>6.47+6.57+115.02+115.42+6.49+6.55+45.09+44.89+16.32+4.6+11.64+6.55+6.49+62.25+62.29+6.55+6.49+98.79+98.79+5.4+5.4</f>
        <v>738.05999999999983</v>
      </c>
      <c r="D92" s="1036">
        <v>0.1</v>
      </c>
      <c r="E92" s="1036">
        <f t="shared" si="11"/>
        <v>73.8</v>
      </c>
      <c r="F92" s="1045">
        <v>2</v>
      </c>
      <c r="G92" s="1036">
        <v>2.75</v>
      </c>
      <c r="H92" s="1036">
        <f t="shared" si="12"/>
        <v>5.5</v>
      </c>
      <c r="I92" s="1045">
        <v>0</v>
      </c>
      <c r="J92" s="1035">
        <v>4</v>
      </c>
      <c r="K92" s="1035">
        <v>0.4</v>
      </c>
      <c r="L92" s="1035">
        <f t="shared" si="10"/>
        <v>0</v>
      </c>
    </row>
    <row r="93" spans="1:12" s="1039" customFormat="1" ht="20.100000000000001" customHeight="1" x14ac:dyDescent="0.2">
      <c r="A93" s="1037">
        <f t="shared" ref="A93:B102" si="13">A42</f>
        <v>37</v>
      </c>
      <c r="B93" s="1034" t="str">
        <f t="shared" si="13"/>
        <v>Rua Ceará</v>
      </c>
      <c r="C93" s="1046">
        <f>5.13+5.37+112.38+112.51+6.52+6.51</f>
        <v>248.42</v>
      </c>
      <c r="D93" s="1036">
        <v>0.1</v>
      </c>
      <c r="E93" s="1036">
        <f t="shared" si="11"/>
        <v>24.84</v>
      </c>
      <c r="F93" s="1045">
        <v>2</v>
      </c>
      <c r="G93" s="1036">
        <v>2.75</v>
      </c>
      <c r="H93" s="1036">
        <f t="shared" si="12"/>
        <v>5.5</v>
      </c>
      <c r="I93" s="1045">
        <v>0</v>
      </c>
      <c r="J93" s="1035">
        <v>4</v>
      </c>
      <c r="K93" s="1035">
        <v>0.4</v>
      </c>
      <c r="L93" s="1035">
        <f t="shared" si="10"/>
        <v>0</v>
      </c>
    </row>
    <row r="94" spans="1:12" s="1039" customFormat="1" ht="20.100000000000001" customHeight="1" x14ac:dyDescent="0.2">
      <c r="A94" s="1037">
        <f t="shared" si="13"/>
        <v>38</v>
      </c>
      <c r="B94" s="1034" t="str">
        <f t="shared" si="13"/>
        <v>Rua Amazonas</v>
      </c>
      <c r="C94" s="1046">
        <f>6.53+6.51+98.07+98.04+5.4+5.4</f>
        <v>219.95</v>
      </c>
      <c r="D94" s="1036">
        <v>0.1</v>
      </c>
      <c r="E94" s="1036">
        <f t="shared" si="11"/>
        <v>21.99</v>
      </c>
      <c r="F94" s="1045">
        <v>2</v>
      </c>
      <c r="G94" s="1036">
        <v>2.75</v>
      </c>
      <c r="H94" s="1036">
        <f t="shared" si="12"/>
        <v>5.5</v>
      </c>
      <c r="I94" s="1045">
        <v>7</v>
      </c>
      <c r="J94" s="1035">
        <v>4</v>
      </c>
      <c r="K94" s="1035">
        <v>0.4</v>
      </c>
      <c r="L94" s="1035">
        <f t="shared" si="10"/>
        <v>11.2</v>
      </c>
    </row>
    <row r="95" spans="1:12" s="1039" customFormat="1" ht="20.100000000000001" customHeight="1" x14ac:dyDescent="0.2">
      <c r="A95" s="1037">
        <f t="shared" si="13"/>
        <v>39</v>
      </c>
      <c r="B95" s="1034" t="str">
        <f t="shared" si="13"/>
        <v>Rua Mato Grosso - Trecho 1</v>
      </c>
      <c r="C95" s="1046">
        <f>5.43+5.37+113.08+112.95+6.51+6.52</f>
        <v>249.85999999999999</v>
      </c>
      <c r="D95" s="1036">
        <v>0.1</v>
      </c>
      <c r="E95" s="1036">
        <f t="shared" si="11"/>
        <v>24.98</v>
      </c>
      <c r="F95" s="1045">
        <v>2</v>
      </c>
      <c r="G95" s="1036">
        <v>2.75</v>
      </c>
      <c r="H95" s="1036">
        <f t="shared" si="12"/>
        <v>5.5</v>
      </c>
      <c r="I95" s="1045">
        <v>0</v>
      </c>
      <c r="J95" s="1035">
        <v>4</v>
      </c>
      <c r="K95" s="1035">
        <v>0.4</v>
      </c>
      <c r="L95" s="1035">
        <f t="shared" si="10"/>
        <v>0</v>
      </c>
    </row>
    <row r="96" spans="1:12" s="1039" customFormat="1" ht="20.100000000000001" customHeight="1" x14ac:dyDescent="0.2">
      <c r="A96" s="1037">
        <f t="shared" si="13"/>
        <v>40</v>
      </c>
      <c r="B96" s="1034" t="str">
        <f t="shared" si="13"/>
        <v>Rua Mato Grosso - Trecho 2</v>
      </c>
      <c r="C96" s="1046">
        <f>5.4+5.4+65.31+65.41+6.49+6.55</f>
        <v>154.56</v>
      </c>
      <c r="D96" s="1036">
        <v>0.1</v>
      </c>
      <c r="E96" s="1036">
        <f t="shared" si="11"/>
        <v>15.45</v>
      </c>
      <c r="F96" s="1045">
        <v>2</v>
      </c>
      <c r="G96" s="1036">
        <v>2.75</v>
      </c>
      <c r="H96" s="1036">
        <f t="shared" si="12"/>
        <v>5.5</v>
      </c>
      <c r="I96" s="1045">
        <v>0</v>
      </c>
      <c r="J96" s="1035">
        <v>4</v>
      </c>
      <c r="K96" s="1035">
        <v>0.4</v>
      </c>
      <c r="L96" s="1035">
        <f t="shared" si="10"/>
        <v>0</v>
      </c>
    </row>
    <row r="97" spans="1:155" s="1039" customFormat="1" ht="20.100000000000001" customHeight="1" x14ac:dyDescent="0.2">
      <c r="A97" s="1037">
        <f t="shared" si="13"/>
        <v>41</v>
      </c>
      <c r="B97" s="1034" t="str">
        <f t="shared" si="13"/>
        <v>Rua Mato Grosso - Trecho 3</v>
      </c>
      <c r="C97" s="1046">
        <f>6.52+6.52+98.17+98.19+5.4+5.39</f>
        <v>220.19</v>
      </c>
      <c r="D97" s="1036">
        <v>0.1</v>
      </c>
      <c r="E97" s="1036">
        <f t="shared" si="11"/>
        <v>22.01</v>
      </c>
      <c r="F97" s="1045">
        <v>2</v>
      </c>
      <c r="G97" s="1036">
        <v>2.75</v>
      </c>
      <c r="H97" s="1036">
        <f t="shared" si="12"/>
        <v>5.5</v>
      </c>
      <c r="I97" s="1045">
        <v>8</v>
      </c>
      <c r="J97" s="1035">
        <v>4</v>
      </c>
      <c r="K97" s="1035">
        <v>0.4</v>
      </c>
      <c r="L97" s="1035">
        <f t="shared" si="10"/>
        <v>12.8</v>
      </c>
    </row>
    <row r="98" spans="1:155" s="1039" customFormat="1" ht="20.100000000000001" customHeight="1" x14ac:dyDescent="0.2">
      <c r="A98" s="1037">
        <f t="shared" si="13"/>
        <v>42</v>
      </c>
      <c r="B98" s="1034" t="str">
        <f t="shared" si="13"/>
        <v>Rua Mato Grosso do Sul - Trecho 1</v>
      </c>
      <c r="C98" s="1046">
        <f>5.37+5.43+113.53+113.65+6.52+6.52</f>
        <v>251.02000000000004</v>
      </c>
      <c r="D98" s="1036">
        <v>0.1</v>
      </c>
      <c r="E98" s="1036">
        <f t="shared" si="11"/>
        <v>25.1</v>
      </c>
      <c r="F98" s="1045">
        <v>2</v>
      </c>
      <c r="G98" s="1036">
        <v>2.75</v>
      </c>
      <c r="H98" s="1036">
        <f t="shared" si="12"/>
        <v>5.5</v>
      </c>
      <c r="I98" s="1045">
        <v>0</v>
      </c>
      <c r="J98" s="1035">
        <v>4</v>
      </c>
      <c r="K98" s="1035">
        <v>0.4</v>
      </c>
      <c r="L98" s="1035">
        <f t="shared" si="10"/>
        <v>0</v>
      </c>
    </row>
    <row r="99" spans="1:155" s="1039" customFormat="1" ht="20.100000000000001" customHeight="1" x14ac:dyDescent="0.2">
      <c r="A99" s="1037">
        <f t="shared" si="13"/>
        <v>43</v>
      </c>
      <c r="B99" s="1034" t="str">
        <f t="shared" si="13"/>
        <v>Rua Mato Grosso do Sul - Trecho 2</v>
      </c>
      <c r="C99" s="1046">
        <f>5.4+5.4+63.57+63.6+6.52+6.51</f>
        <v>151</v>
      </c>
      <c r="D99" s="1036">
        <v>0.1</v>
      </c>
      <c r="E99" s="1036">
        <f t="shared" si="11"/>
        <v>15.1</v>
      </c>
      <c r="F99" s="1045">
        <v>2</v>
      </c>
      <c r="G99" s="1036">
        <v>2.75</v>
      </c>
      <c r="H99" s="1036">
        <f t="shared" si="12"/>
        <v>5.5</v>
      </c>
      <c r="I99" s="1045">
        <v>0</v>
      </c>
      <c r="J99" s="1035">
        <v>4</v>
      </c>
      <c r="K99" s="1035">
        <v>0.4</v>
      </c>
      <c r="L99" s="1035">
        <f t="shared" si="10"/>
        <v>0</v>
      </c>
    </row>
    <row r="100" spans="1:155" s="1039" customFormat="1" ht="20.100000000000001" customHeight="1" x14ac:dyDescent="0.2">
      <c r="A100" s="1037">
        <f t="shared" si="13"/>
        <v>44</v>
      </c>
      <c r="B100" s="1034" t="str">
        <f t="shared" si="13"/>
        <v>Rua Mato Grosso do Sul - Trecho 3</v>
      </c>
      <c r="C100" s="1046">
        <f>6.52+6.51+98.28+98.31+5.4+5.4</f>
        <v>220.42000000000002</v>
      </c>
      <c r="D100" s="1036">
        <v>0.1</v>
      </c>
      <c r="E100" s="1036">
        <f t="shared" si="11"/>
        <v>22.04</v>
      </c>
      <c r="F100" s="1045">
        <v>2</v>
      </c>
      <c r="G100" s="1036">
        <v>2.75</v>
      </c>
      <c r="H100" s="1036">
        <f t="shared" si="12"/>
        <v>5.5</v>
      </c>
      <c r="I100" s="1045">
        <v>8</v>
      </c>
      <c r="J100" s="1035">
        <v>4</v>
      </c>
      <c r="K100" s="1035">
        <v>0.4</v>
      </c>
      <c r="L100" s="1035">
        <f t="shared" si="10"/>
        <v>12.8</v>
      </c>
    </row>
    <row r="101" spans="1:155" s="1039" customFormat="1" ht="20.100000000000001" customHeight="1" x14ac:dyDescent="0.2">
      <c r="A101" s="1037">
        <f t="shared" si="13"/>
        <v>45</v>
      </c>
      <c r="B101" s="1034" t="str">
        <f t="shared" si="13"/>
        <v>Rua Pará</v>
      </c>
      <c r="C101" s="1046">
        <f>5.41+5.39+114.1+114.21+6.54+6.5</f>
        <v>252.14999999999998</v>
      </c>
      <c r="D101" s="1036">
        <v>0.1</v>
      </c>
      <c r="E101" s="1036">
        <f t="shared" si="11"/>
        <v>25.21</v>
      </c>
      <c r="F101" s="1045">
        <v>2</v>
      </c>
      <c r="G101" s="1036">
        <v>2.75</v>
      </c>
      <c r="H101" s="1036">
        <f t="shared" si="12"/>
        <v>5.5</v>
      </c>
      <c r="I101" s="1045">
        <v>0</v>
      </c>
      <c r="J101" s="1035">
        <v>4</v>
      </c>
      <c r="K101" s="1035">
        <v>0.4</v>
      </c>
      <c r="L101" s="1035">
        <f t="shared" si="10"/>
        <v>0</v>
      </c>
    </row>
    <row r="102" spans="1:155" s="1039" customFormat="1" ht="20.100000000000001" customHeight="1" x14ac:dyDescent="0.2">
      <c r="A102" s="1037">
        <f t="shared" si="13"/>
        <v>46</v>
      </c>
      <c r="B102" s="1034" t="str">
        <f t="shared" si="13"/>
        <v>Rua Maranhão</v>
      </c>
      <c r="C102" s="1046">
        <f>6.52+6.52+98.39+98.41+5.41+5.39</f>
        <v>220.64</v>
      </c>
      <c r="D102" s="1036">
        <v>0.1</v>
      </c>
      <c r="E102" s="1036">
        <f t="shared" si="11"/>
        <v>22.06</v>
      </c>
      <c r="F102" s="1045">
        <v>2</v>
      </c>
      <c r="G102" s="1036">
        <v>2.75</v>
      </c>
      <c r="H102" s="1036">
        <f t="shared" si="12"/>
        <v>5.5</v>
      </c>
      <c r="I102" s="1045">
        <v>7</v>
      </c>
      <c r="J102" s="1035">
        <v>4</v>
      </c>
      <c r="K102" s="1035">
        <v>0.4</v>
      </c>
      <c r="L102" s="1035">
        <f t="shared" si="10"/>
        <v>11.2</v>
      </c>
    </row>
    <row r="103" spans="1:155" s="1039" customFormat="1" ht="20.100000000000001" customHeight="1" x14ac:dyDescent="0.2">
      <c r="A103" s="1047"/>
      <c r="B103" s="1047"/>
      <c r="C103" s="1048"/>
      <c r="D103" s="1048"/>
      <c r="E103" s="1040">
        <f>SUM(E56:E102)</f>
        <v>1552.0099999999995</v>
      </c>
      <c r="F103" s="1048"/>
      <c r="G103" s="1048"/>
      <c r="H103" s="1040">
        <f>SUM(H56:H102)</f>
        <v>244.75</v>
      </c>
      <c r="I103" s="1630"/>
      <c r="J103" s="1631"/>
      <c r="K103" s="1632"/>
      <c r="L103" s="1040">
        <f>SUM(L56:L102)</f>
        <v>225.60000000000002</v>
      </c>
      <c r="M103" s="1041"/>
      <c r="N103" s="1042"/>
      <c r="O103" s="1043"/>
      <c r="P103" s="1043"/>
      <c r="Q103" s="1043"/>
      <c r="R103" s="1043"/>
      <c r="S103" s="1041"/>
      <c r="T103" s="1042"/>
      <c r="U103" s="1043"/>
      <c r="V103" s="1043"/>
      <c r="W103" s="1043"/>
      <c r="X103" s="1043"/>
      <c r="Y103" s="1041"/>
      <c r="Z103" s="1042"/>
      <c r="AA103" s="1043"/>
      <c r="AB103" s="1043"/>
      <c r="AC103" s="1043"/>
      <c r="AD103" s="1043"/>
      <c r="AE103" s="1041"/>
      <c r="AF103" s="1042"/>
      <c r="AG103" s="1043"/>
      <c r="AH103" s="1043"/>
      <c r="AI103" s="1043"/>
      <c r="AJ103" s="1043"/>
      <c r="AK103" s="1041"/>
      <c r="AL103" s="1042"/>
      <c r="AM103" s="1043"/>
      <c r="AN103" s="1043"/>
      <c r="AO103" s="1043"/>
      <c r="AP103" s="1043"/>
      <c r="AQ103" s="1041"/>
      <c r="AR103" s="1042"/>
      <c r="AS103" s="1043"/>
      <c r="AT103" s="1043"/>
      <c r="AU103" s="1043"/>
      <c r="AV103" s="1043"/>
      <c r="AW103" s="1041"/>
      <c r="AX103" s="1042"/>
      <c r="AY103" s="1043"/>
      <c r="AZ103" s="1043"/>
      <c r="BA103" s="1043"/>
      <c r="BB103" s="1043"/>
      <c r="BC103" s="1041"/>
      <c r="BD103" s="1042"/>
      <c r="BE103" s="1043"/>
      <c r="BF103" s="1043"/>
      <c r="BG103" s="1043"/>
      <c r="BH103" s="1043"/>
      <c r="BI103" s="1041"/>
      <c r="BJ103" s="1042"/>
      <c r="BK103" s="1043"/>
      <c r="BL103" s="1043"/>
      <c r="BM103" s="1043"/>
      <c r="BN103" s="1043"/>
      <c r="BO103" s="1041"/>
      <c r="BP103" s="1042"/>
      <c r="BQ103" s="1043"/>
      <c r="BR103" s="1043"/>
      <c r="BS103" s="1043"/>
      <c r="BT103" s="1043"/>
      <c r="BU103" s="1041"/>
      <c r="BV103" s="1042"/>
      <c r="BW103" s="1043"/>
      <c r="BX103" s="1043"/>
      <c r="BY103" s="1043"/>
      <c r="BZ103" s="1043"/>
      <c r="CA103" s="1041"/>
      <c r="CB103" s="1042"/>
      <c r="CC103" s="1043"/>
      <c r="CD103" s="1043"/>
      <c r="CE103" s="1043"/>
      <c r="CF103" s="1043"/>
      <c r="CG103" s="1041"/>
      <c r="CH103" s="1042"/>
      <c r="CI103" s="1043"/>
      <c r="CJ103" s="1043"/>
      <c r="CK103" s="1043"/>
      <c r="CL103" s="1043"/>
      <c r="CM103" s="1041"/>
      <c r="CN103" s="1042"/>
      <c r="CO103" s="1043"/>
      <c r="CP103" s="1043"/>
      <c r="CQ103" s="1043"/>
      <c r="CR103" s="1043"/>
      <c r="CS103" s="1041"/>
      <c r="CT103" s="1042"/>
      <c r="CU103" s="1043"/>
      <c r="CV103" s="1043"/>
      <c r="CW103" s="1043"/>
      <c r="CX103" s="1043"/>
      <c r="CY103" s="1041"/>
      <c r="CZ103" s="1042"/>
      <c r="DA103" s="1043"/>
      <c r="DB103" s="1043"/>
      <c r="DC103" s="1043"/>
      <c r="DD103" s="1043"/>
      <c r="DE103" s="1041"/>
      <c r="DF103" s="1042"/>
      <c r="DG103" s="1043"/>
      <c r="DH103" s="1043"/>
      <c r="DI103" s="1043"/>
      <c r="DJ103" s="1043"/>
      <c r="DK103" s="1041"/>
      <c r="DL103" s="1042"/>
      <c r="DM103" s="1043"/>
      <c r="DN103" s="1043"/>
      <c r="DO103" s="1043"/>
      <c r="DP103" s="1043"/>
      <c r="DQ103" s="1041"/>
      <c r="DR103" s="1042"/>
      <c r="DS103" s="1043"/>
      <c r="DT103" s="1043"/>
      <c r="DU103" s="1043"/>
      <c r="DV103" s="1043"/>
      <c r="DW103" s="1041"/>
      <c r="DX103" s="1042"/>
      <c r="DY103" s="1043"/>
      <c r="DZ103" s="1043"/>
      <c r="EA103" s="1043"/>
      <c r="EB103" s="1043"/>
      <c r="EC103" s="1041"/>
      <c r="ED103" s="1042"/>
      <c r="EE103" s="1043"/>
      <c r="EF103" s="1043"/>
      <c r="EG103" s="1043"/>
      <c r="EH103" s="1043"/>
      <c r="EI103" s="1041"/>
      <c r="EJ103" s="1042"/>
      <c r="EK103" s="1043"/>
      <c r="EL103" s="1043"/>
      <c r="EM103" s="1043"/>
      <c r="EN103" s="1043"/>
      <c r="EO103" s="1041"/>
      <c r="EP103" s="1042"/>
      <c r="EQ103" s="1043"/>
      <c r="ER103" s="1043"/>
      <c r="ES103" s="1043"/>
      <c r="ET103" s="1043"/>
      <c r="EU103" s="1041"/>
      <c r="EV103" s="1042"/>
      <c r="EW103" s="1043"/>
      <c r="EX103" s="1043"/>
      <c r="EY103" s="1043"/>
    </row>
    <row r="104" spans="1:155" ht="15" customHeight="1" x14ac:dyDescent="0.2">
      <c r="A104" s="1626" t="s">
        <v>957</v>
      </c>
      <c r="B104" s="1627"/>
      <c r="C104" s="1627"/>
      <c r="D104" s="1627"/>
      <c r="E104" s="1627"/>
      <c r="F104" s="1627"/>
      <c r="G104" s="1627"/>
      <c r="H104" s="1627"/>
      <c r="I104" s="1628">
        <f>TRUNC((E52+H52+L52+E103),2)</f>
        <v>2060.91</v>
      </c>
      <c r="J104" s="1628"/>
      <c r="K104" s="1628"/>
      <c r="L104" s="1629"/>
    </row>
    <row r="105" spans="1:155" ht="15" customHeight="1" x14ac:dyDescent="0.2">
      <c r="A105" s="1626" t="s">
        <v>958</v>
      </c>
      <c r="B105" s="1627"/>
      <c r="C105" s="1627"/>
      <c r="D105" s="1627"/>
      <c r="E105" s="1627"/>
      <c r="F105" s="1627"/>
      <c r="G105" s="1627"/>
      <c r="H105" s="1627"/>
      <c r="I105" s="1628">
        <f>TRUNC((H103+L103),2)</f>
        <v>470.35</v>
      </c>
      <c r="J105" s="1628"/>
      <c r="K105" s="1628"/>
      <c r="L105" s="1629"/>
    </row>
  </sheetData>
  <mergeCells count="70">
    <mergeCell ref="A1:L1"/>
    <mergeCell ref="A2:A3"/>
    <mergeCell ref="B2:B3"/>
    <mergeCell ref="C2:E2"/>
    <mergeCell ref="F2:H2"/>
    <mergeCell ref="I2:L2"/>
    <mergeCell ref="I3:J3"/>
    <mergeCell ref="I15:J15"/>
    <mergeCell ref="A4:L4"/>
    <mergeCell ref="I5:J5"/>
    <mergeCell ref="I6:J6"/>
    <mergeCell ref="I7:J7"/>
    <mergeCell ref="I8:J8"/>
    <mergeCell ref="I9:J9"/>
    <mergeCell ref="I10:J10"/>
    <mergeCell ref="I11:J11"/>
    <mergeCell ref="I12:J12"/>
    <mergeCell ref="I13:J13"/>
    <mergeCell ref="I14:J14"/>
    <mergeCell ref="I27:J27"/>
    <mergeCell ref="I16:J16"/>
    <mergeCell ref="I17:J17"/>
    <mergeCell ref="I18:J18"/>
    <mergeCell ref="I19:J19"/>
    <mergeCell ref="I20:J20"/>
    <mergeCell ref="I21:J21"/>
    <mergeCell ref="I22:J22"/>
    <mergeCell ref="I23:J23"/>
    <mergeCell ref="I24:J24"/>
    <mergeCell ref="A25:L25"/>
    <mergeCell ref="I26:J26"/>
    <mergeCell ref="I39:J39"/>
    <mergeCell ref="I28:J28"/>
    <mergeCell ref="I29:J29"/>
    <mergeCell ref="I30:J30"/>
    <mergeCell ref="I31:J31"/>
    <mergeCell ref="I32:J32"/>
    <mergeCell ref="I33:J33"/>
    <mergeCell ref="I34:J34"/>
    <mergeCell ref="I35:J35"/>
    <mergeCell ref="I36:J36"/>
    <mergeCell ref="I37:J37"/>
    <mergeCell ref="I38:J38"/>
    <mergeCell ref="I51:J51"/>
    <mergeCell ref="I40:J40"/>
    <mergeCell ref="I41:J41"/>
    <mergeCell ref="I42:J42"/>
    <mergeCell ref="I43:J43"/>
    <mergeCell ref="I44:J44"/>
    <mergeCell ref="I45:J45"/>
    <mergeCell ref="I46:J46"/>
    <mergeCell ref="I47:J47"/>
    <mergeCell ref="I48:J48"/>
    <mergeCell ref="I49:J49"/>
    <mergeCell ref="I50:J50"/>
    <mergeCell ref="A105:H105"/>
    <mergeCell ref="I105:L105"/>
    <mergeCell ref="A52:D52"/>
    <mergeCell ref="F52:G52"/>
    <mergeCell ref="I52:K52"/>
    <mergeCell ref="A53:A54"/>
    <mergeCell ref="B53:B54"/>
    <mergeCell ref="C53:E53"/>
    <mergeCell ref="F53:H53"/>
    <mergeCell ref="I53:L53"/>
    <mergeCell ref="A55:L55"/>
    <mergeCell ref="A76:L76"/>
    <mergeCell ref="I103:K103"/>
    <mergeCell ref="A104:H104"/>
    <mergeCell ref="I104:L104"/>
  </mergeCells>
  <printOptions horizontalCentered="1"/>
  <pageMargins left="0.59055118110236227" right="0.59055118110236227" top="1.7716535433070868" bottom="0.78740157480314965" header="0" footer="0"/>
  <pageSetup paperSize="9" scale="64" orientation="landscape" r:id="rId1"/>
  <headerFooter scaleWithDoc="0">
    <oddHeader>&amp;L&amp;G</oddHeader>
    <oddFooter>&amp;C&amp;"-,Negrito"&amp;12DIONI CAETANEO DE OLIVEIRA
&amp;"-,Regular"ENGENHEIRO CIVIL - CREA /MT 40957
DEPARTAMENTO DE ENGENHARIA</oddFooter>
  </headerFooter>
  <rowBreaks count="3" manualBreakCount="3">
    <brk id="24" max="11" man="1"/>
    <brk id="52" max="11" man="1"/>
    <brk id="75" max="11" man="1"/>
  </row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FC974-200D-4515-9885-391F3C32AE4E}">
  <sheetPr codeName="Planilha6">
    <tabColor rgb="FF92D050"/>
    <pageSetUpPr fitToPage="1"/>
  </sheetPr>
  <dimension ref="B2:IK58"/>
  <sheetViews>
    <sheetView showGridLines="0" view="pageLayout" topLeftCell="A29" zoomScaleNormal="55" zoomScaleSheetLayoutView="85" workbookViewId="0">
      <selection activeCell="E38" sqref="E38"/>
    </sheetView>
  </sheetViews>
  <sheetFormatPr defaultColWidth="9.140625" defaultRowHeight="14.25" x14ac:dyDescent="0.2"/>
  <cols>
    <col min="1" max="1" width="9.140625" style="593"/>
    <col min="2" max="2" width="9.140625" style="593" customWidth="1"/>
    <col min="3" max="3" width="35.28515625" style="911" customWidth="1"/>
    <col min="4" max="4" width="17.5703125" style="593" customWidth="1"/>
    <col min="5" max="5" width="17.42578125" style="593" customWidth="1"/>
    <col min="6" max="6" width="5.7109375" style="593" customWidth="1"/>
    <col min="7" max="7" width="3.28515625" style="593" bestFit="1" customWidth="1"/>
    <col min="8" max="8" width="7.7109375" style="593" customWidth="1"/>
    <col min="9" max="9" width="5.7109375" style="593" customWidth="1"/>
    <col min="10" max="10" width="3.28515625" style="593" bestFit="1" customWidth="1"/>
    <col min="11" max="11" width="7.7109375" style="912" customWidth="1"/>
    <col min="12" max="12" width="12.7109375" style="593" customWidth="1"/>
    <col min="13" max="13" width="14.5703125" style="593" customWidth="1"/>
    <col min="14" max="14" width="14.28515625" style="593" customWidth="1"/>
    <col min="15" max="15" width="16" style="593" customWidth="1"/>
    <col min="16" max="16" width="12.7109375" style="593" customWidth="1"/>
    <col min="17" max="17" width="9.140625" style="593"/>
    <col min="18" max="18" width="11.42578125" style="593" bestFit="1" customWidth="1"/>
    <col min="19" max="19" width="9.5703125" style="593" bestFit="1" customWidth="1"/>
    <col min="20" max="21" width="9.140625" style="593"/>
    <col min="22" max="22" width="13.7109375" style="593" customWidth="1"/>
    <col min="23" max="23" width="13.28515625" style="593" customWidth="1"/>
    <col min="24" max="16384" width="9.140625" style="593"/>
  </cols>
  <sheetData>
    <row r="2" spans="2:28" ht="26.25" customHeight="1" x14ac:dyDescent="0.25">
      <c r="B2" s="1538" t="s">
        <v>558</v>
      </c>
      <c r="C2" s="1539"/>
      <c r="D2" s="1539"/>
      <c r="E2" s="1539"/>
      <c r="F2" s="1539"/>
      <c r="G2" s="1539"/>
      <c r="H2" s="1539"/>
      <c r="I2" s="1539"/>
      <c r="J2" s="1539"/>
      <c r="K2" s="1539"/>
      <c r="L2" s="1539"/>
      <c r="M2" s="1539"/>
      <c r="N2" s="1539"/>
      <c r="O2" s="1539"/>
      <c r="P2" s="1540"/>
      <c r="Q2" s="872"/>
      <c r="R2" s="872"/>
      <c r="S2" s="872"/>
      <c r="T2" s="872"/>
      <c r="U2" s="872"/>
      <c r="V2" s="872"/>
      <c r="W2" s="872"/>
      <c r="X2" s="872"/>
      <c r="Y2" s="872"/>
      <c r="Z2" s="872"/>
      <c r="AA2" s="872"/>
      <c r="AB2" s="872"/>
    </row>
    <row r="3" spans="2:28" ht="30" customHeight="1" x14ac:dyDescent="0.2">
      <c r="B3" s="1541" t="s">
        <v>174</v>
      </c>
      <c r="C3" s="1541" t="s">
        <v>559</v>
      </c>
      <c r="D3" s="1542" t="s">
        <v>560</v>
      </c>
      <c r="E3" s="1542"/>
      <c r="F3" s="1543" t="s">
        <v>561</v>
      </c>
      <c r="G3" s="1543"/>
      <c r="H3" s="1543"/>
      <c r="I3" s="1543"/>
      <c r="J3" s="1543"/>
      <c r="K3" s="1543"/>
      <c r="L3" s="874" t="s">
        <v>562</v>
      </c>
      <c r="M3" s="874" t="s">
        <v>563</v>
      </c>
      <c r="N3" s="874" t="s">
        <v>564</v>
      </c>
      <c r="O3" s="875" t="s">
        <v>565</v>
      </c>
      <c r="P3" s="875" t="s">
        <v>566</v>
      </c>
    </row>
    <row r="4" spans="2:28" ht="15" x14ac:dyDescent="0.2">
      <c r="B4" s="1541"/>
      <c r="C4" s="1541"/>
      <c r="D4" s="873" t="s">
        <v>567</v>
      </c>
      <c r="E4" s="873" t="s">
        <v>568</v>
      </c>
      <c r="F4" s="1542" t="s">
        <v>567</v>
      </c>
      <c r="G4" s="1542"/>
      <c r="H4" s="1542"/>
      <c r="I4" s="1542" t="s">
        <v>568</v>
      </c>
      <c r="J4" s="1542"/>
      <c r="K4" s="1542"/>
      <c r="L4" s="876" t="s">
        <v>569</v>
      </c>
      <c r="M4" s="876" t="s">
        <v>569</v>
      </c>
      <c r="N4" s="876" t="s">
        <v>570</v>
      </c>
      <c r="O4" s="876" t="s">
        <v>570</v>
      </c>
      <c r="P4" s="876" t="s">
        <v>570</v>
      </c>
    </row>
    <row r="5" spans="2:28" ht="15" x14ac:dyDescent="0.2">
      <c r="B5" s="1390" t="s">
        <v>538</v>
      </c>
      <c r="C5" s="1391"/>
      <c r="D5" s="1391"/>
      <c r="E5" s="1391"/>
      <c r="F5" s="1391"/>
      <c r="G5" s="1391"/>
      <c r="H5" s="1391"/>
      <c r="I5" s="1391"/>
      <c r="J5" s="1391"/>
      <c r="K5" s="1391"/>
      <c r="L5" s="1391"/>
      <c r="M5" s="1391"/>
      <c r="N5" s="1391"/>
      <c r="O5" s="1391"/>
      <c r="P5" s="1536"/>
    </row>
    <row r="6" spans="2:28" ht="28.5" x14ac:dyDescent="0.2">
      <c r="B6" s="829">
        <v>1</v>
      </c>
      <c r="C6" s="877" t="s">
        <v>571</v>
      </c>
      <c r="D6" s="878" t="s">
        <v>572</v>
      </c>
      <c r="E6" s="878" t="s">
        <v>573</v>
      </c>
      <c r="F6" s="879">
        <v>0</v>
      </c>
      <c r="G6" s="880" t="s">
        <v>574</v>
      </c>
      <c r="H6" s="881">
        <v>0</v>
      </c>
      <c r="I6" s="879">
        <v>8</v>
      </c>
      <c r="J6" s="880" t="s">
        <v>574</v>
      </c>
      <c r="K6" s="882">
        <v>10.423999999999999</v>
      </c>
      <c r="L6" s="883">
        <f t="shared" ref="L6:L25" si="0">TRUNC(((I6*20)+K6)-((F6*20)+H6),2)</f>
        <v>170.42</v>
      </c>
      <c r="M6" s="840">
        <v>8</v>
      </c>
      <c r="N6" s="884">
        <f>TRUNC(M6*L6,2)</f>
        <v>1363.36</v>
      </c>
      <c r="O6" s="885">
        <f>4.21+2.78+3.36+3.51</f>
        <v>13.86</v>
      </c>
      <c r="P6" s="884">
        <f>N6+O6</f>
        <v>1377.2199999999998</v>
      </c>
    </row>
    <row r="7" spans="2:28" ht="28.5" x14ac:dyDescent="0.2">
      <c r="B7" s="829">
        <v>2</v>
      </c>
      <c r="C7" s="877" t="s">
        <v>575</v>
      </c>
      <c r="D7" s="878" t="s">
        <v>576</v>
      </c>
      <c r="E7" s="878" t="s">
        <v>577</v>
      </c>
      <c r="F7" s="879">
        <v>0</v>
      </c>
      <c r="G7" s="880" t="s">
        <v>574</v>
      </c>
      <c r="H7" s="881">
        <v>0</v>
      </c>
      <c r="I7" s="879">
        <v>7</v>
      </c>
      <c r="J7" s="880" t="s">
        <v>574</v>
      </c>
      <c r="K7" s="882">
        <v>2.3370000000000002</v>
      </c>
      <c r="L7" s="883">
        <f t="shared" si="0"/>
        <v>142.33000000000001</v>
      </c>
      <c r="M7" s="840">
        <v>8</v>
      </c>
      <c r="N7" s="884">
        <f t="shared" ref="N7:N25" si="1">TRUNC(M7*L7,2)</f>
        <v>1138.6400000000001</v>
      </c>
      <c r="O7" s="885">
        <f>3.43+3.42+3.43+3.44</f>
        <v>13.719999999999999</v>
      </c>
      <c r="P7" s="884">
        <f t="shared" ref="P7:P25" si="2">N7+O7</f>
        <v>1152.3600000000001</v>
      </c>
    </row>
    <row r="8" spans="2:28" ht="28.5" x14ac:dyDescent="0.2">
      <c r="B8" s="829">
        <v>3</v>
      </c>
      <c r="C8" s="877" t="s">
        <v>578</v>
      </c>
      <c r="D8" s="878" t="s">
        <v>579</v>
      </c>
      <c r="E8" s="878" t="s">
        <v>580</v>
      </c>
      <c r="F8" s="879">
        <v>0</v>
      </c>
      <c r="G8" s="880" t="s">
        <v>574</v>
      </c>
      <c r="H8" s="881">
        <v>0</v>
      </c>
      <c r="I8" s="879">
        <v>3</v>
      </c>
      <c r="J8" s="880" t="s">
        <v>574</v>
      </c>
      <c r="K8" s="882">
        <v>7.0419999999999998</v>
      </c>
      <c r="L8" s="883">
        <f t="shared" si="0"/>
        <v>67.040000000000006</v>
      </c>
      <c r="M8" s="840">
        <v>8</v>
      </c>
      <c r="N8" s="884">
        <f t="shared" si="1"/>
        <v>536.32000000000005</v>
      </c>
      <c r="O8" s="885">
        <f>3.56+3.31+3.55+3.32</f>
        <v>13.74</v>
      </c>
      <c r="P8" s="884">
        <f t="shared" si="2"/>
        <v>550.06000000000006</v>
      </c>
    </row>
    <row r="9" spans="2:28" ht="28.5" x14ac:dyDescent="0.2">
      <c r="B9" s="829">
        <v>4</v>
      </c>
      <c r="C9" s="877" t="s">
        <v>581</v>
      </c>
      <c r="D9" s="878" t="s">
        <v>582</v>
      </c>
      <c r="E9" s="878" t="s">
        <v>583</v>
      </c>
      <c r="F9" s="879">
        <v>0</v>
      </c>
      <c r="G9" s="880" t="s">
        <v>574</v>
      </c>
      <c r="H9" s="881">
        <v>0</v>
      </c>
      <c r="I9" s="879">
        <v>4</v>
      </c>
      <c r="J9" s="880" t="s">
        <v>574</v>
      </c>
      <c r="K9" s="882">
        <v>3.8650000000000002</v>
      </c>
      <c r="L9" s="883">
        <f t="shared" si="0"/>
        <v>83.86</v>
      </c>
      <c r="M9" s="840">
        <v>8</v>
      </c>
      <c r="N9" s="884">
        <f t="shared" si="1"/>
        <v>670.88</v>
      </c>
      <c r="O9" s="885">
        <f>3.58+3.43+3.43+3.29</f>
        <v>13.73</v>
      </c>
      <c r="P9" s="884">
        <f t="shared" si="2"/>
        <v>684.61</v>
      </c>
    </row>
    <row r="10" spans="2:28" ht="28.5" x14ac:dyDescent="0.2">
      <c r="B10" s="829">
        <v>5</v>
      </c>
      <c r="C10" s="877" t="s">
        <v>584</v>
      </c>
      <c r="D10" s="878" t="s">
        <v>585</v>
      </c>
      <c r="E10" s="878" t="s">
        <v>586</v>
      </c>
      <c r="F10" s="879">
        <v>0</v>
      </c>
      <c r="G10" s="880" t="s">
        <v>574</v>
      </c>
      <c r="H10" s="881">
        <v>0</v>
      </c>
      <c r="I10" s="879">
        <v>8</v>
      </c>
      <c r="J10" s="880" t="s">
        <v>574</v>
      </c>
      <c r="K10" s="882">
        <v>4.3620000000000001</v>
      </c>
      <c r="L10" s="883">
        <f t="shared" si="0"/>
        <v>164.36</v>
      </c>
      <c r="M10" s="840">
        <v>8</v>
      </c>
      <c r="N10" s="884">
        <f t="shared" si="1"/>
        <v>1314.88</v>
      </c>
      <c r="O10" s="885">
        <f>4.09+2.87+3.46+3.41</f>
        <v>13.83</v>
      </c>
      <c r="P10" s="884">
        <f t="shared" si="2"/>
        <v>1328.71</v>
      </c>
    </row>
    <row r="11" spans="2:28" ht="28.5" x14ac:dyDescent="0.2">
      <c r="B11" s="829">
        <v>6</v>
      </c>
      <c r="C11" s="877" t="s">
        <v>587</v>
      </c>
      <c r="D11" s="878" t="s">
        <v>588</v>
      </c>
      <c r="E11" s="878" t="s">
        <v>589</v>
      </c>
      <c r="F11" s="879">
        <v>0</v>
      </c>
      <c r="G11" s="880" t="s">
        <v>574</v>
      </c>
      <c r="H11" s="881">
        <v>0</v>
      </c>
      <c r="I11" s="879">
        <v>7</v>
      </c>
      <c r="J11" s="880" t="s">
        <v>574</v>
      </c>
      <c r="K11" s="882">
        <v>2.2440000000000002</v>
      </c>
      <c r="L11" s="883">
        <f t="shared" si="0"/>
        <v>142.24</v>
      </c>
      <c r="M11" s="840">
        <v>8</v>
      </c>
      <c r="N11" s="884">
        <f t="shared" si="1"/>
        <v>1137.92</v>
      </c>
      <c r="O11" s="885">
        <f>3.44+3.43+3.45+3.42</f>
        <v>13.74</v>
      </c>
      <c r="P11" s="884">
        <f t="shared" si="2"/>
        <v>1151.6600000000001</v>
      </c>
    </row>
    <row r="12" spans="2:28" ht="28.5" x14ac:dyDescent="0.2">
      <c r="B12" s="829">
        <v>7</v>
      </c>
      <c r="C12" s="877" t="s">
        <v>590</v>
      </c>
      <c r="D12" s="878" t="s">
        <v>591</v>
      </c>
      <c r="E12" s="878" t="s">
        <v>592</v>
      </c>
      <c r="F12" s="879">
        <v>0</v>
      </c>
      <c r="G12" s="880" t="s">
        <v>574</v>
      </c>
      <c r="H12" s="881">
        <v>0</v>
      </c>
      <c r="I12" s="879">
        <v>3</v>
      </c>
      <c r="J12" s="880" t="s">
        <v>574</v>
      </c>
      <c r="K12" s="882">
        <v>6.9489999999999998</v>
      </c>
      <c r="L12" s="883">
        <f t="shared" si="0"/>
        <v>66.94</v>
      </c>
      <c r="M12" s="840">
        <v>8</v>
      </c>
      <c r="N12" s="884">
        <f t="shared" si="1"/>
        <v>535.52</v>
      </c>
      <c r="O12" s="885">
        <f>3.46+3.41+3.42+3.45</f>
        <v>13.739999999999998</v>
      </c>
      <c r="P12" s="884">
        <f t="shared" si="2"/>
        <v>549.26</v>
      </c>
    </row>
    <row r="13" spans="2:28" ht="28.5" x14ac:dyDescent="0.2">
      <c r="B13" s="829">
        <v>8</v>
      </c>
      <c r="C13" s="877" t="s">
        <v>593</v>
      </c>
      <c r="D13" s="878" t="s">
        <v>594</v>
      </c>
      <c r="E13" s="878" t="s">
        <v>595</v>
      </c>
      <c r="F13" s="879">
        <v>0</v>
      </c>
      <c r="G13" s="880" t="s">
        <v>574</v>
      </c>
      <c r="H13" s="881">
        <v>0</v>
      </c>
      <c r="I13" s="879">
        <v>4</v>
      </c>
      <c r="J13" s="880" t="s">
        <v>574</v>
      </c>
      <c r="K13" s="882">
        <v>11.275</v>
      </c>
      <c r="L13" s="883">
        <f t="shared" si="0"/>
        <v>91.27</v>
      </c>
      <c r="M13" s="840">
        <v>8</v>
      </c>
      <c r="N13" s="884">
        <f t="shared" si="1"/>
        <v>730.16</v>
      </c>
      <c r="O13" s="885">
        <f>3.45+3.42+3.43+3.43</f>
        <v>13.73</v>
      </c>
      <c r="P13" s="884">
        <f t="shared" si="2"/>
        <v>743.89</v>
      </c>
    </row>
    <row r="14" spans="2:28" ht="28.5" x14ac:dyDescent="0.2">
      <c r="B14" s="829">
        <v>9</v>
      </c>
      <c r="C14" s="877" t="s">
        <v>596</v>
      </c>
      <c r="D14" s="878" t="s">
        <v>597</v>
      </c>
      <c r="E14" s="878" t="s">
        <v>598</v>
      </c>
      <c r="F14" s="879">
        <v>0</v>
      </c>
      <c r="G14" s="880" t="s">
        <v>574</v>
      </c>
      <c r="H14" s="881">
        <v>0</v>
      </c>
      <c r="I14" s="879">
        <v>7</v>
      </c>
      <c r="J14" s="880" t="s">
        <v>574</v>
      </c>
      <c r="K14" s="882">
        <v>18.512</v>
      </c>
      <c r="L14" s="883">
        <f t="shared" si="0"/>
        <v>158.51</v>
      </c>
      <c r="M14" s="840">
        <v>8</v>
      </c>
      <c r="N14" s="884">
        <f t="shared" si="1"/>
        <v>1268.08</v>
      </c>
      <c r="O14" s="885">
        <f>4.15+2.83+3.41+3.46</f>
        <v>13.850000000000001</v>
      </c>
      <c r="P14" s="884">
        <f t="shared" si="2"/>
        <v>1281.9299999999998</v>
      </c>
    </row>
    <row r="15" spans="2:28" ht="28.5" x14ac:dyDescent="0.2">
      <c r="B15" s="829">
        <v>10</v>
      </c>
      <c r="C15" s="877" t="s">
        <v>599</v>
      </c>
      <c r="D15" s="878" t="s">
        <v>600</v>
      </c>
      <c r="E15" s="878" t="s">
        <v>601</v>
      </c>
      <c r="F15" s="879">
        <v>0</v>
      </c>
      <c r="G15" s="880" t="s">
        <v>574</v>
      </c>
      <c r="H15" s="881">
        <v>0</v>
      </c>
      <c r="I15" s="879">
        <v>7</v>
      </c>
      <c r="J15" s="880" t="s">
        <v>574</v>
      </c>
      <c r="K15" s="882">
        <v>2.15</v>
      </c>
      <c r="L15" s="883">
        <f t="shared" si="0"/>
        <v>142.15</v>
      </c>
      <c r="M15" s="840">
        <v>8</v>
      </c>
      <c r="N15" s="884">
        <f t="shared" si="1"/>
        <v>1137.2</v>
      </c>
      <c r="O15" s="885">
        <f>3.46+3.41+3.42+3.45</f>
        <v>13.739999999999998</v>
      </c>
      <c r="P15" s="884">
        <f t="shared" si="2"/>
        <v>1150.94</v>
      </c>
    </row>
    <row r="16" spans="2:28" ht="28.5" x14ac:dyDescent="0.2">
      <c r="B16" s="829">
        <v>11</v>
      </c>
      <c r="C16" s="877" t="s">
        <v>602</v>
      </c>
      <c r="D16" s="878" t="s">
        <v>603</v>
      </c>
      <c r="E16" s="878" t="s">
        <v>604</v>
      </c>
      <c r="F16" s="879">
        <v>0</v>
      </c>
      <c r="G16" s="880" t="s">
        <v>574</v>
      </c>
      <c r="H16" s="881">
        <v>0</v>
      </c>
      <c r="I16" s="879">
        <v>3</v>
      </c>
      <c r="J16" s="880" t="s">
        <v>574</v>
      </c>
      <c r="K16" s="882">
        <v>6.8609999999999998</v>
      </c>
      <c r="L16" s="883">
        <f t="shared" si="0"/>
        <v>66.86</v>
      </c>
      <c r="M16" s="840">
        <v>8</v>
      </c>
      <c r="N16" s="884">
        <f t="shared" si="1"/>
        <v>534.88</v>
      </c>
      <c r="O16" s="885">
        <f>3.45+3.42+3.43+3.44</f>
        <v>13.74</v>
      </c>
      <c r="P16" s="884">
        <f t="shared" si="2"/>
        <v>548.62</v>
      </c>
    </row>
    <row r="17" spans="2:245" ht="28.5" x14ac:dyDescent="0.2">
      <c r="B17" s="829">
        <v>12</v>
      </c>
      <c r="C17" s="877" t="s">
        <v>605</v>
      </c>
      <c r="D17" s="878" t="s">
        <v>606</v>
      </c>
      <c r="E17" s="878" t="s">
        <v>607</v>
      </c>
      <c r="F17" s="879">
        <v>0</v>
      </c>
      <c r="G17" s="880" t="s">
        <v>574</v>
      </c>
      <c r="H17" s="881">
        <v>0</v>
      </c>
      <c r="I17" s="879">
        <v>4</v>
      </c>
      <c r="J17" s="880" t="s">
        <v>574</v>
      </c>
      <c r="K17" s="882">
        <v>18.047999999999998</v>
      </c>
      <c r="L17" s="883">
        <f t="shared" si="0"/>
        <v>98.04</v>
      </c>
      <c r="M17" s="840">
        <v>8</v>
      </c>
      <c r="N17" s="884">
        <f t="shared" si="1"/>
        <v>784.32</v>
      </c>
      <c r="O17" s="885">
        <f>3.44+3.43+3.43+3.43</f>
        <v>13.73</v>
      </c>
      <c r="P17" s="884">
        <f t="shared" si="2"/>
        <v>798.05000000000007</v>
      </c>
    </row>
    <row r="18" spans="2:245" ht="28.5" x14ac:dyDescent="0.2">
      <c r="B18" s="829">
        <v>13</v>
      </c>
      <c r="C18" s="877" t="s">
        <v>608</v>
      </c>
      <c r="D18" s="878" t="s">
        <v>609</v>
      </c>
      <c r="E18" s="878" t="s">
        <v>610</v>
      </c>
      <c r="F18" s="879">
        <v>0</v>
      </c>
      <c r="G18" s="880" t="s">
        <v>574</v>
      </c>
      <c r="H18" s="881">
        <v>0</v>
      </c>
      <c r="I18" s="879">
        <v>15</v>
      </c>
      <c r="J18" s="880" t="s">
        <v>574</v>
      </c>
      <c r="K18" s="882">
        <v>2.6269999999999998</v>
      </c>
      <c r="L18" s="883">
        <f t="shared" si="0"/>
        <v>302.62</v>
      </c>
      <c r="M18" s="840">
        <v>8</v>
      </c>
      <c r="N18" s="884">
        <f t="shared" si="1"/>
        <v>2420.96</v>
      </c>
      <c r="O18" s="885">
        <f>4.11+2.86+34.87+38.89+3.45+3.42</f>
        <v>87.6</v>
      </c>
      <c r="P18" s="884">
        <f t="shared" si="2"/>
        <v>2508.56</v>
      </c>
    </row>
    <row r="19" spans="2:245" ht="28.5" x14ac:dyDescent="0.2">
      <c r="B19" s="829">
        <v>14</v>
      </c>
      <c r="C19" s="877" t="s">
        <v>611</v>
      </c>
      <c r="D19" s="878" t="s">
        <v>612</v>
      </c>
      <c r="E19" s="878" t="s">
        <v>613</v>
      </c>
      <c r="F19" s="879">
        <v>0</v>
      </c>
      <c r="G19" s="880" t="s">
        <v>574</v>
      </c>
      <c r="H19" s="881">
        <v>0</v>
      </c>
      <c r="I19" s="879">
        <v>3</v>
      </c>
      <c r="J19" s="880" t="s">
        <v>574</v>
      </c>
      <c r="K19" s="882">
        <v>6.7759999999999998</v>
      </c>
      <c r="L19" s="883">
        <f t="shared" si="0"/>
        <v>66.77</v>
      </c>
      <c r="M19" s="840">
        <v>8</v>
      </c>
      <c r="N19" s="884">
        <f t="shared" si="1"/>
        <v>534.16</v>
      </c>
      <c r="O19" s="885">
        <f>3.44+3.43+3.43+3.44</f>
        <v>13.74</v>
      </c>
      <c r="P19" s="884">
        <f t="shared" si="2"/>
        <v>547.9</v>
      </c>
    </row>
    <row r="20" spans="2:245" ht="28.5" x14ac:dyDescent="0.2">
      <c r="B20" s="829">
        <v>15</v>
      </c>
      <c r="C20" s="877" t="s">
        <v>614</v>
      </c>
      <c r="D20" s="878" t="s">
        <v>615</v>
      </c>
      <c r="E20" s="878" t="s">
        <v>616</v>
      </c>
      <c r="F20" s="879">
        <v>0</v>
      </c>
      <c r="G20" s="880" t="s">
        <v>574</v>
      </c>
      <c r="H20" s="881">
        <v>0</v>
      </c>
      <c r="I20" s="879">
        <v>5</v>
      </c>
      <c r="J20" s="880" t="s">
        <v>574</v>
      </c>
      <c r="K20" s="882">
        <v>4.8159999999999998</v>
      </c>
      <c r="L20" s="883">
        <f t="shared" si="0"/>
        <v>104.81</v>
      </c>
      <c r="M20" s="840">
        <v>8</v>
      </c>
      <c r="N20" s="884">
        <f t="shared" si="1"/>
        <v>838.48</v>
      </c>
      <c r="O20" s="885">
        <f>3.49+3.38+3.43+3.43</f>
        <v>13.73</v>
      </c>
      <c r="P20" s="884">
        <f t="shared" si="2"/>
        <v>852.21</v>
      </c>
    </row>
    <row r="21" spans="2:245" ht="28.5" x14ac:dyDescent="0.2">
      <c r="B21" s="829">
        <v>16</v>
      </c>
      <c r="C21" s="877" t="s">
        <v>617</v>
      </c>
      <c r="D21" s="886" t="s">
        <v>618</v>
      </c>
      <c r="E21" s="886" t="s">
        <v>619</v>
      </c>
      <c r="F21" s="879">
        <v>0</v>
      </c>
      <c r="G21" s="880" t="s">
        <v>574</v>
      </c>
      <c r="H21" s="881">
        <v>0</v>
      </c>
      <c r="I21" s="879">
        <v>20</v>
      </c>
      <c r="J21" s="880" t="s">
        <v>574</v>
      </c>
      <c r="K21" s="882">
        <v>1.1890000000000001</v>
      </c>
      <c r="L21" s="883">
        <f t="shared" si="0"/>
        <v>401.18</v>
      </c>
      <c r="M21" s="840">
        <v>8</v>
      </c>
      <c r="N21" s="884">
        <f t="shared" si="1"/>
        <v>3209.44</v>
      </c>
      <c r="O21" s="887">
        <f>3.43+3.43+35.04</f>
        <v>41.9</v>
      </c>
      <c r="P21" s="884">
        <f t="shared" si="2"/>
        <v>3251.34</v>
      </c>
    </row>
    <row r="22" spans="2:245" ht="28.5" x14ac:dyDescent="0.2">
      <c r="B22" s="829">
        <v>17</v>
      </c>
      <c r="C22" s="877" t="s">
        <v>620</v>
      </c>
      <c r="D22" s="886" t="s">
        <v>621</v>
      </c>
      <c r="E22" s="886" t="s">
        <v>622</v>
      </c>
      <c r="F22" s="888">
        <v>0</v>
      </c>
      <c r="G22" s="889" t="s">
        <v>574</v>
      </c>
      <c r="H22" s="890">
        <v>0</v>
      </c>
      <c r="I22" s="888">
        <v>14</v>
      </c>
      <c r="J22" s="889" t="s">
        <v>574</v>
      </c>
      <c r="K22" s="891">
        <v>12.125999999999999</v>
      </c>
      <c r="L22" s="883">
        <f t="shared" si="0"/>
        <v>292.12</v>
      </c>
      <c r="M22" s="840">
        <v>8</v>
      </c>
      <c r="N22" s="884">
        <f t="shared" si="1"/>
        <v>2336.96</v>
      </c>
      <c r="O22" s="887">
        <f>3.43+3.44+3.43+3.4</f>
        <v>13.700000000000001</v>
      </c>
      <c r="P22" s="884">
        <f t="shared" si="2"/>
        <v>2350.66</v>
      </c>
    </row>
    <row r="23" spans="2:245" ht="28.5" x14ac:dyDescent="0.2">
      <c r="B23" s="829">
        <v>18</v>
      </c>
      <c r="C23" s="877" t="s">
        <v>623</v>
      </c>
      <c r="D23" s="886" t="s">
        <v>624</v>
      </c>
      <c r="E23" s="886" t="s">
        <v>625</v>
      </c>
      <c r="F23" s="888">
        <v>0</v>
      </c>
      <c r="G23" s="889" t="s">
        <v>574</v>
      </c>
      <c r="H23" s="890">
        <v>0</v>
      </c>
      <c r="I23" s="888">
        <v>4</v>
      </c>
      <c r="J23" s="889" t="s">
        <v>574</v>
      </c>
      <c r="K23" s="891">
        <v>0.52400000000000002</v>
      </c>
      <c r="L23" s="883">
        <f t="shared" si="0"/>
        <v>80.52</v>
      </c>
      <c r="M23" s="840">
        <v>7</v>
      </c>
      <c r="N23" s="884">
        <f t="shared" si="1"/>
        <v>563.64</v>
      </c>
      <c r="O23" s="887">
        <f>3.44+3.22+3.41+3.45</f>
        <v>13.52</v>
      </c>
      <c r="P23" s="884">
        <f t="shared" si="2"/>
        <v>577.16</v>
      </c>
    </row>
    <row r="24" spans="2:245" ht="28.5" x14ac:dyDescent="0.2">
      <c r="B24" s="829">
        <v>19</v>
      </c>
      <c r="C24" s="877" t="s">
        <v>626</v>
      </c>
      <c r="D24" s="886" t="s">
        <v>627</v>
      </c>
      <c r="E24" s="886" t="s">
        <v>628</v>
      </c>
      <c r="F24" s="879">
        <v>0</v>
      </c>
      <c r="G24" s="880" t="s">
        <v>574</v>
      </c>
      <c r="H24" s="881">
        <v>0</v>
      </c>
      <c r="I24" s="879">
        <v>19</v>
      </c>
      <c r="J24" s="880" t="s">
        <v>574</v>
      </c>
      <c r="K24" s="882">
        <v>1.4019999999999999</v>
      </c>
      <c r="L24" s="883">
        <f t="shared" si="0"/>
        <v>381.4</v>
      </c>
      <c r="M24" s="840">
        <v>8</v>
      </c>
      <c r="N24" s="884">
        <f t="shared" si="1"/>
        <v>3051.2</v>
      </c>
      <c r="O24" s="887">
        <f>3.43+3.44+3.36+3.39</f>
        <v>13.620000000000001</v>
      </c>
      <c r="P24" s="884">
        <f t="shared" si="2"/>
        <v>3064.8199999999997</v>
      </c>
    </row>
    <row r="25" spans="2:245" ht="28.5" x14ac:dyDescent="0.2">
      <c r="B25" s="829">
        <v>20</v>
      </c>
      <c r="C25" s="877" t="s">
        <v>629</v>
      </c>
      <c r="D25" s="886" t="s">
        <v>630</v>
      </c>
      <c r="E25" s="886" t="s">
        <v>631</v>
      </c>
      <c r="F25" s="879">
        <v>0</v>
      </c>
      <c r="G25" s="880" t="s">
        <v>574</v>
      </c>
      <c r="H25" s="881">
        <v>0</v>
      </c>
      <c r="I25" s="879">
        <v>19</v>
      </c>
      <c r="J25" s="880" t="s">
        <v>574</v>
      </c>
      <c r="K25" s="882">
        <v>1.8819999999999999</v>
      </c>
      <c r="L25" s="883">
        <f t="shared" si="0"/>
        <v>381.88</v>
      </c>
      <c r="M25" s="840">
        <v>8</v>
      </c>
      <c r="N25" s="884">
        <f t="shared" si="1"/>
        <v>3055.04</v>
      </c>
      <c r="O25" s="887">
        <f>3.44+3.43+3.38+3.49</f>
        <v>13.74</v>
      </c>
      <c r="P25" s="884">
        <f t="shared" si="2"/>
        <v>3068.7799999999997</v>
      </c>
    </row>
    <row r="26" spans="2:245" ht="15" x14ac:dyDescent="0.2">
      <c r="B26" s="1390" t="s">
        <v>555</v>
      </c>
      <c r="C26" s="1391"/>
      <c r="D26" s="1391"/>
      <c r="E26" s="1391"/>
      <c r="F26" s="1391"/>
      <c r="G26" s="1391"/>
      <c r="H26" s="1391"/>
      <c r="I26" s="1391"/>
      <c r="J26" s="1391"/>
      <c r="K26" s="1391"/>
      <c r="L26" s="1391"/>
      <c r="M26" s="1391"/>
      <c r="N26" s="1391"/>
      <c r="O26" s="1391"/>
      <c r="P26" s="1536"/>
    </row>
    <row r="27" spans="2:245" ht="28.5" x14ac:dyDescent="0.2">
      <c r="B27" s="829">
        <v>21</v>
      </c>
      <c r="C27" s="892" t="s">
        <v>632</v>
      </c>
      <c r="D27" s="886" t="s">
        <v>633</v>
      </c>
      <c r="E27" s="886" t="s">
        <v>634</v>
      </c>
      <c r="F27" s="879">
        <v>0</v>
      </c>
      <c r="G27" s="880" t="s">
        <v>574</v>
      </c>
      <c r="H27" s="881">
        <v>0</v>
      </c>
      <c r="I27" s="893">
        <v>25</v>
      </c>
      <c r="J27" s="880" t="s">
        <v>574</v>
      </c>
      <c r="K27" s="894">
        <v>5.1680000000000001</v>
      </c>
      <c r="L27" s="883">
        <f>TRUNC(((I27*20)+K27)-((F27*20)+H27),2)</f>
        <v>505.16</v>
      </c>
      <c r="M27" s="840">
        <v>8</v>
      </c>
      <c r="N27" s="884">
        <f>TRUNC(M27*L27,2)</f>
        <v>4041.28</v>
      </c>
      <c r="O27" s="895">
        <f>4.2+2.76+3.45+3.42</f>
        <v>13.83</v>
      </c>
      <c r="P27" s="884">
        <f>N27+O27</f>
        <v>4055.11</v>
      </c>
      <c r="Q27" s="625"/>
      <c r="R27" s="626"/>
      <c r="S27" s="624"/>
      <c r="T27" s="627"/>
      <c r="U27" s="625"/>
      <c r="V27" s="625"/>
      <c r="W27" s="625"/>
      <c r="X27" s="625"/>
      <c r="Y27" s="624"/>
      <c r="Z27" s="627"/>
      <c r="AA27" s="625"/>
      <c r="AB27" s="625"/>
      <c r="AC27" s="625"/>
      <c r="AD27" s="625"/>
      <c r="AE27" s="624"/>
      <c r="AF27" s="627"/>
      <c r="AG27" s="625"/>
      <c r="AH27" s="625"/>
      <c r="AI27" s="625"/>
      <c r="AJ27" s="625"/>
      <c r="AK27" s="624"/>
      <c r="AL27" s="627"/>
      <c r="AM27" s="625"/>
      <c r="AN27" s="625"/>
      <c r="AO27" s="625"/>
      <c r="AP27" s="625"/>
      <c r="AQ27" s="624"/>
      <c r="AR27" s="627"/>
      <c r="AS27" s="625"/>
      <c r="AT27" s="625"/>
      <c r="AU27" s="625"/>
      <c r="AV27" s="625"/>
      <c r="AW27" s="624"/>
      <c r="AX27" s="627"/>
      <c r="AY27" s="625"/>
      <c r="AZ27" s="625"/>
      <c r="BA27" s="625"/>
      <c r="BB27" s="625"/>
      <c r="BC27" s="624"/>
      <c r="BD27" s="627"/>
      <c r="BE27" s="625"/>
      <c r="BF27" s="625"/>
      <c r="BG27" s="625"/>
      <c r="BH27" s="625"/>
      <c r="BI27" s="624"/>
      <c r="BJ27" s="627"/>
      <c r="BK27" s="625"/>
      <c r="BL27" s="625"/>
      <c r="BM27" s="625"/>
      <c r="BN27" s="625"/>
      <c r="BO27" s="624"/>
      <c r="BP27" s="627"/>
      <c r="BQ27" s="625"/>
      <c r="BR27" s="625"/>
      <c r="BS27" s="625"/>
      <c r="BT27" s="625"/>
      <c r="BU27" s="624"/>
      <c r="BV27" s="627"/>
      <c r="BW27" s="625"/>
      <c r="BX27" s="625"/>
      <c r="BY27" s="625"/>
      <c r="BZ27" s="625"/>
      <c r="CA27" s="624"/>
      <c r="CB27" s="627"/>
      <c r="CC27" s="625"/>
      <c r="CD27" s="625"/>
      <c r="CE27" s="625"/>
      <c r="CF27" s="625"/>
      <c r="CG27" s="624"/>
      <c r="CH27" s="627"/>
      <c r="CI27" s="625"/>
      <c r="CJ27" s="625"/>
      <c r="CK27" s="625"/>
      <c r="CL27" s="625"/>
      <c r="CM27" s="624"/>
      <c r="CN27" s="627"/>
      <c r="CO27" s="625"/>
      <c r="CP27" s="625"/>
      <c r="CQ27" s="625"/>
      <c r="CR27" s="625"/>
      <c r="CS27" s="624"/>
      <c r="CT27" s="627"/>
      <c r="CU27" s="625"/>
      <c r="CV27" s="625"/>
      <c r="CW27" s="625"/>
      <c r="CX27" s="625"/>
      <c r="CY27" s="624"/>
      <c r="CZ27" s="627"/>
      <c r="DA27" s="625"/>
      <c r="DB27" s="625"/>
      <c r="DC27" s="625"/>
      <c r="DD27" s="625"/>
      <c r="DE27" s="624"/>
      <c r="DF27" s="627"/>
      <c r="DG27" s="625"/>
      <c r="DH27" s="625"/>
      <c r="DI27" s="625"/>
      <c r="DJ27" s="625"/>
      <c r="DK27" s="624"/>
      <c r="DL27" s="627"/>
      <c r="DM27" s="625"/>
      <c r="DN27" s="625"/>
      <c r="DO27" s="625"/>
      <c r="DP27" s="625"/>
      <c r="DQ27" s="624"/>
      <c r="DR27" s="627"/>
      <c r="DS27" s="625"/>
      <c r="DT27" s="625"/>
      <c r="DU27" s="625"/>
      <c r="DV27" s="625"/>
      <c r="DW27" s="624"/>
      <c r="DX27" s="627"/>
      <c r="DY27" s="625"/>
      <c r="DZ27" s="625"/>
      <c r="EA27" s="625"/>
      <c r="EB27" s="625"/>
      <c r="EC27" s="624"/>
      <c r="ED27" s="627"/>
      <c r="EE27" s="625"/>
      <c r="EF27" s="625"/>
      <c r="EG27" s="625"/>
      <c r="EH27" s="625"/>
      <c r="EI27" s="624"/>
      <c r="EJ27" s="627"/>
      <c r="EK27" s="625"/>
      <c r="EL27" s="625"/>
      <c r="EM27" s="625"/>
      <c r="EN27" s="625"/>
      <c r="EO27" s="624"/>
      <c r="EP27" s="627"/>
      <c r="EQ27" s="625"/>
      <c r="ER27" s="625"/>
      <c r="ES27" s="625"/>
      <c r="ET27" s="625"/>
      <c r="EU27" s="624"/>
      <c r="EV27" s="627"/>
      <c r="EW27" s="625"/>
      <c r="EX27" s="625"/>
      <c r="EY27" s="625"/>
      <c r="EZ27" s="625"/>
      <c r="FA27" s="624"/>
      <c r="FB27" s="627"/>
      <c r="FC27" s="625"/>
      <c r="FD27" s="625"/>
      <c r="FE27" s="625"/>
      <c r="FF27" s="625"/>
      <c r="FG27" s="624"/>
      <c r="FH27" s="627"/>
      <c r="FI27" s="625"/>
      <c r="FJ27" s="625"/>
      <c r="FK27" s="625"/>
      <c r="FL27" s="625"/>
      <c r="FM27" s="624"/>
      <c r="FN27" s="627"/>
      <c r="FO27" s="625"/>
      <c r="FP27" s="625"/>
      <c r="FQ27" s="625"/>
      <c r="FR27" s="625"/>
      <c r="FS27" s="624"/>
      <c r="FT27" s="627"/>
      <c r="FU27" s="625"/>
      <c r="FV27" s="625"/>
      <c r="FW27" s="625"/>
      <c r="FX27" s="625"/>
      <c r="FY27" s="624"/>
      <c r="FZ27" s="627"/>
      <c r="GA27" s="625"/>
      <c r="GB27" s="625"/>
      <c r="GC27" s="625"/>
      <c r="GD27" s="625"/>
      <c r="GE27" s="624"/>
      <c r="GF27" s="627"/>
      <c r="GG27" s="625"/>
      <c r="GH27" s="625"/>
      <c r="GI27" s="625"/>
      <c r="GJ27" s="625"/>
      <c r="GK27" s="624"/>
      <c r="GL27" s="627"/>
      <c r="GM27" s="625"/>
      <c r="GN27" s="625"/>
      <c r="GO27" s="625"/>
      <c r="GP27" s="625"/>
      <c r="GQ27" s="624"/>
      <c r="GR27" s="627"/>
      <c r="GS27" s="625"/>
      <c r="GT27" s="625"/>
      <c r="GU27" s="625"/>
      <c r="GV27" s="625"/>
      <c r="GW27" s="624"/>
      <c r="GX27" s="627"/>
      <c r="GY27" s="625"/>
      <c r="GZ27" s="625"/>
      <c r="HA27" s="625"/>
      <c r="HB27" s="625"/>
      <c r="HC27" s="624"/>
      <c r="HD27" s="627"/>
      <c r="HE27" s="625"/>
      <c r="HF27" s="625"/>
      <c r="HG27" s="625"/>
      <c r="HH27" s="625"/>
      <c r="HI27" s="624"/>
      <c r="HJ27" s="627"/>
      <c r="HK27" s="625"/>
      <c r="HL27" s="625"/>
      <c r="HM27" s="625"/>
      <c r="HN27" s="625"/>
      <c r="HO27" s="624"/>
      <c r="HP27" s="627"/>
      <c r="HQ27" s="625"/>
      <c r="HR27" s="625"/>
      <c r="HS27" s="625"/>
      <c r="HT27" s="625"/>
      <c r="HU27" s="624"/>
      <c r="HV27" s="627"/>
      <c r="HW27" s="625"/>
      <c r="HX27" s="625"/>
      <c r="HY27" s="625"/>
      <c r="HZ27" s="625"/>
      <c r="IA27" s="624"/>
      <c r="IB27" s="627"/>
      <c r="IC27" s="625"/>
      <c r="ID27" s="625"/>
      <c r="IE27" s="625"/>
      <c r="IF27" s="625"/>
      <c r="IG27" s="624"/>
      <c r="IH27" s="627"/>
      <c r="II27" s="625"/>
      <c r="IJ27" s="625"/>
      <c r="IK27" s="625"/>
    </row>
    <row r="28" spans="2:245" ht="28.5" x14ac:dyDescent="0.2">
      <c r="B28" s="829">
        <v>22</v>
      </c>
      <c r="C28" s="892" t="s">
        <v>635</v>
      </c>
      <c r="D28" s="886" t="s">
        <v>636</v>
      </c>
      <c r="E28" s="886" t="s">
        <v>637</v>
      </c>
      <c r="F28" s="879">
        <v>0</v>
      </c>
      <c r="G28" s="880" t="s">
        <v>574</v>
      </c>
      <c r="H28" s="881">
        <v>0</v>
      </c>
      <c r="I28" s="893">
        <v>17</v>
      </c>
      <c r="J28" s="880" t="s">
        <v>574</v>
      </c>
      <c r="K28" s="894">
        <v>3.2040000000000002</v>
      </c>
      <c r="L28" s="883">
        <f t="shared" ref="L28:L52" si="3">TRUNC(((I28*20)+K28)-((F28*20)+H28),2)</f>
        <v>343.2</v>
      </c>
      <c r="M28" s="840">
        <v>8</v>
      </c>
      <c r="N28" s="884">
        <f t="shared" ref="N28:N52" si="4">TRUNC(M28*L28,2)</f>
        <v>2745.6</v>
      </c>
      <c r="O28" s="895">
        <f>3.43+3.43+3.43+3.43</f>
        <v>13.72</v>
      </c>
      <c r="P28" s="884">
        <f t="shared" ref="P28:P52" si="5">N28+O28</f>
        <v>2759.3199999999997</v>
      </c>
      <c r="Q28" s="625"/>
      <c r="R28" s="626"/>
      <c r="S28" s="624"/>
      <c r="T28" s="627"/>
      <c r="U28" s="625"/>
      <c r="V28" s="625"/>
      <c r="W28" s="625"/>
      <c r="X28" s="625"/>
      <c r="Y28" s="624"/>
      <c r="Z28" s="627"/>
      <c r="AA28" s="625"/>
      <c r="AB28" s="625"/>
      <c r="AC28" s="625"/>
      <c r="AD28" s="625"/>
      <c r="AE28" s="624"/>
      <c r="AF28" s="627"/>
      <c r="AG28" s="625"/>
      <c r="AH28" s="625"/>
      <c r="AI28" s="625"/>
      <c r="AJ28" s="625"/>
      <c r="AK28" s="624"/>
      <c r="AL28" s="627"/>
      <c r="AM28" s="625"/>
      <c r="AN28" s="625"/>
      <c r="AO28" s="625"/>
      <c r="AP28" s="625"/>
      <c r="AQ28" s="624"/>
      <c r="AR28" s="627"/>
      <c r="AS28" s="625"/>
      <c r="AT28" s="625"/>
      <c r="AU28" s="625"/>
      <c r="AV28" s="625"/>
      <c r="AW28" s="624"/>
      <c r="AX28" s="627"/>
      <c r="AY28" s="625"/>
      <c r="AZ28" s="625"/>
      <c r="BA28" s="625"/>
      <c r="BB28" s="625"/>
      <c r="BC28" s="624"/>
      <c r="BD28" s="627"/>
      <c r="BE28" s="625"/>
      <c r="BF28" s="625"/>
      <c r="BG28" s="625"/>
      <c r="BH28" s="625"/>
      <c r="BI28" s="624"/>
      <c r="BJ28" s="627"/>
      <c r="BK28" s="625"/>
      <c r="BL28" s="625"/>
      <c r="BM28" s="625"/>
      <c r="BN28" s="625"/>
      <c r="BO28" s="624"/>
      <c r="BP28" s="627"/>
      <c r="BQ28" s="625"/>
      <c r="BR28" s="625"/>
      <c r="BS28" s="625"/>
      <c r="BT28" s="625"/>
      <c r="BU28" s="624"/>
      <c r="BV28" s="627"/>
      <c r="BW28" s="625"/>
      <c r="BX28" s="625"/>
      <c r="BY28" s="625"/>
      <c r="BZ28" s="625"/>
      <c r="CA28" s="624"/>
      <c r="CB28" s="627"/>
      <c r="CC28" s="625"/>
      <c r="CD28" s="625"/>
      <c r="CE28" s="625"/>
      <c r="CF28" s="625"/>
      <c r="CG28" s="624"/>
      <c r="CH28" s="627"/>
      <c r="CI28" s="625"/>
      <c r="CJ28" s="625"/>
      <c r="CK28" s="625"/>
      <c r="CL28" s="625"/>
      <c r="CM28" s="624"/>
      <c r="CN28" s="627"/>
      <c r="CO28" s="625"/>
      <c r="CP28" s="625"/>
      <c r="CQ28" s="625"/>
      <c r="CR28" s="625"/>
      <c r="CS28" s="624"/>
      <c r="CT28" s="627"/>
      <c r="CU28" s="625"/>
      <c r="CV28" s="625"/>
      <c r="CW28" s="625"/>
      <c r="CX28" s="625"/>
      <c r="CY28" s="624"/>
      <c r="CZ28" s="627"/>
      <c r="DA28" s="625"/>
      <c r="DB28" s="625"/>
      <c r="DC28" s="625"/>
      <c r="DD28" s="625"/>
      <c r="DE28" s="624"/>
      <c r="DF28" s="627"/>
      <c r="DG28" s="625"/>
      <c r="DH28" s="625"/>
      <c r="DI28" s="625"/>
      <c r="DJ28" s="625"/>
      <c r="DK28" s="624"/>
      <c r="DL28" s="627"/>
      <c r="DM28" s="625"/>
      <c r="DN28" s="625"/>
      <c r="DO28" s="625"/>
      <c r="DP28" s="625"/>
      <c r="DQ28" s="624"/>
      <c r="DR28" s="627"/>
      <c r="DS28" s="625"/>
      <c r="DT28" s="625"/>
      <c r="DU28" s="625"/>
      <c r="DV28" s="625"/>
      <c r="DW28" s="624"/>
      <c r="DX28" s="627"/>
      <c r="DY28" s="625"/>
      <c r="DZ28" s="625"/>
      <c r="EA28" s="625"/>
      <c r="EB28" s="625"/>
      <c r="EC28" s="624"/>
      <c r="ED28" s="627"/>
      <c r="EE28" s="625"/>
      <c r="EF28" s="625"/>
      <c r="EG28" s="625"/>
      <c r="EH28" s="625"/>
      <c r="EI28" s="624"/>
      <c r="EJ28" s="627"/>
      <c r="EK28" s="625"/>
      <c r="EL28" s="625"/>
      <c r="EM28" s="625"/>
      <c r="EN28" s="625"/>
      <c r="EO28" s="624"/>
      <c r="EP28" s="627"/>
      <c r="EQ28" s="625"/>
      <c r="ER28" s="625"/>
      <c r="ES28" s="625"/>
      <c r="ET28" s="625"/>
      <c r="EU28" s="624"/>
      <c r="EV28" s="627"/>
      <c r="EW28" s="625"/>
      <c r="EX28" s="625"/>
      <c r="EY28" s="625"/>
      <c r="EZ28" s="625"/>
      <c r="FA28" s="624"/>
      <c r="FB28" s="627"/>
      <c r="FC28" s="625"/>
      <c r="FD28" s="625"/>
      <c r="FE28" s="625"/>
      <c r="FF28" s="625"/>
      <c r="FG28" s="624"/>
      <c r="FH28" s="627"/>
      <c r="FI28" s="625"/>
      <c r="FJ28" s="625"/>
      <c r="FK28" s="625"/>
      <c r="FL28" s="625"/>
      <c r="FM28" s="624"/>
      <c r="FN28" s="627"/>
      <c r="FO28" s="625"/>
      <c r="FP28" s="625"/>
      <c r="FQ28" s="625"/>
      <c r="FR28" s="625"/>
      <c r="FS28" s="624"/>
      <c r="FT28" s="627"/>
      <c r="FU28" s="625"/>
      <c r="FV28" s="625"/>
      <c r="FW28" s="625"/>
      <c r="FX28" s="625"/>
      <c r="FY28" s="624"/>
      <c r="FZ28" s="627"/>
      <c r="GA28" s="625"/>
      <c r="GB28" s="625"/>
      <c r="GC28" s="625"/>
      <c r="GD28" s="625"/>
      <c r="GE28" s="624"/>
      <c r="GF28" s="627"/>
      <c r="GG28" s="625"/>
      <c r="GH28" s="625"/>
      <c r="GI28" s="625"/>
      <c r="GJ28" s="625"/>
      <c r="GK28" s="624"/>
      <c r="GL28" s="627"/>
      <c r="GM28" s="625"/>
      <c r="GN28" s="625"/>
      <c r="GO28" s="625"/>
      <c r="GP28" s="625"/>
      <c r="GQ28" s="624"/>
      <c r="GR28" s="627"/>
      <c r="GS28" s="625"/>
      <c r="GT28" s="625"/>
      <c r="GU28" s="625"/>
      <c r="GV28" s="625"/>
      <c r="GW28" s="624"/>
      <c r="GX28" s="627"/>
      <c r="GY28" s="625"/>
      <c r="GZ28" s="625"/>
      <c r="HA28" s="625"/>
      <c r="HB28" s="625"/>
      <c r="HC28" s="624"/>
      <c r="HD28" s="627"/>
      <c r="HE28" s="625"/>
      <c r="HF28" s="625"/>
      <c r="HG28" s="625"/>
      <c r="HH28" s="625"/>
      <c r="HI28" s="624"/>
      <c r="HJ28" s="627"/>
      <c r="HK28" s="625"/>
      <c r="HL28" s="625"/>
      <c r="HM28" s="625"/>
      <c r="HN28" s="625"/>
      <c r="HO28" s="624"/>
      <c r="HP28" s="627"/>
      <c r="HQ28" s="625"/>
      <c r="HR28" s="625"/>
      <c r="HS28" s="625"/>
      <c r="HT28" s="625"/>
      <c r="HU28" s="624"/>
      <c r="HV28" s="627"/>
      <c r="HW28" s="625"/>
      <c r="HX28" s="625"/>
      <c r="HY28" s="625"/>
      <c r="HZ28" s="625"/>
      <c r="IA28" s="624"/>
      <c r="IB28" s="627"/>
      <c r="IC28" s="625"/>
      <c r="ID28" s="625"/>
      <c r="IE28" s="625"/>
      <c r="IF28" s="625"/>
      <c r="IG28" s="624"/>
      <c r="IH28" s="627"/>
      <c r="II28" s="625"/>
      <c r="IJ28" s="625"/>
      <c r="IK28" s="625"/>
    </row>
    <row r="29" spans="2:245" ht="28.5" x14ac:dyDescent="0.2">
      <c r="B29" s="829">
        <v>23</v>
      </c>
      <c r="C29" s="892" t="s">
        <v>638</v>
      </c>
      <c r="D29" s="886" t="s">
        <v>639</v>
      </c>
      <c r="E29" s="886" t="s">
        <v>640</v>
      </c>
      <c r="F29" s="879">
        <v>0</v>
      </c>
      <c r="G29" s="880" t="s">
        <v>574</v>
      </c>
      <c r="H29" s="881">
        <v>0</v>
      </c>
      <c r="I29" s="893">
        <v>24</v>
      </c>
      <c r="J29" s="880" t="s">
        <v>574</v>
      </c>
      <c r="K29" s="894">
        <v>17.943000000000001</v>
      </c>
      <c r="L29" s="883">
        <f t="shared" si="3"/>
        <v>497.94</v>
      </c>
      <c r="M29" s="840">
        <v>8</v>
      </c>
      <c r="N29" s="884">
        <f t="shared" si="4"/>
        <v>3983.52</v>
      </c>
      <c r="O29" s="895">
        <f>4.31+2.72+34.89+34.87+34.87+3.4+3.47</f>
        <v>118.53</v>
      </c>
      <c r="P29" s="884">
        <f t="shared" si="5"/>
        <v>4102.05</v>
      </c>
      <c r="Q29" s="625"/>
      <c r="R29" s="626"/>
      <c r="S29" s="624"/>
      <c r="T29" s="627"/>
      <c r="U29" s="625"/>
      <c r="V29" s="625"/>
      <c r="W29" s="625"/>
      <c r="X29" s="625"/>
      <c r="Y29" s="624"/>
      <c r="Z29" s="627"/>
      <c r="AA29" s="625"/>
      <c r="AB29" s="625"/>
      <c r="AC29" s="625"/>
      <c r="AD29" s="625"/>
      <c r="AE29" s="624"/>
      <c r="AF29" s="627"/>
      <c r="AG29" s="625"/>
      <c r="AH29" s="625"/>
      <c r="AI29" s="625"/>
      <c r="AJ29" s="625"/>
      <c r="AK29" s="624"/>
      <c r="AL29" s="627"/>
      <c r="AM29" s="625"/>
      <c r="AN29" s="625"/>
      <c r="AO29" s="625"/>
      <c r="AP29" s="625"/>
      <c r="AQ29" s="624"/>
      <c r="AR29" s="627"/>
      <c r="AS29" s="625"/>
      <c r="AT29" s="625"/>
      <c r="AU29" s="625"/>
      <c r="AV29" s="625"/>
      <c r="AW29" s="624"/>
      <c r="AX29" s="627"/>
      <c r="AY29" s="625"/>
      <c r="AZ29" s="625"/>
      <c r="BA29" s="625"/>
      <c r="BB29" s="625"/>
      <c r="BC29" s="624"/>
      <c r="BD29" s="627"/>
      <c r="BE29" s="625"/>
      <c r="BF29" s="625"/>
      <c r="BG29" s="625"/>
      <c r="BH29" s="625"/>
      <c r="BI29" s="624"/>
      <c r="BJ29" s="627"/>
      <c r="BK29" s="625"/>
      <c r="BL29" s="625"/>
      <c r="BM29" s="625"/>
      <c r="BN29" s="625"/>
      <c r="BO29" s="624"/>
      <c r="BP29" s="627"/>
      <c r="BQ29" s="625"/>
      <c r="BR29" s="625"/>
      <c r="BS29" s="625"/>
      <c r="BT29" s="625"/>
      <c r="BU29" s="624"/>
      <c r="BV29" s="627"/>
      <c r="BW29" s="625"/>
      <c r="BX29" s="625"/>
      <c r="BY29" s="625"/>
      <c r="BZ29" s="625"/>
      <c r="CA29" s="624"/>
      <c r="CB29" s="627"/>
      <c r="CC29" s="625"/>
      <c r="CD29" s="625"/>
      <c r="CE29" s="625"/>
      <c r="CF29" s="625"/>
      <c r="CG29" s="624"/>
      <c r="CH29" s="627"/>
      <c r="CI29" s="625"/>
      <c r="CJ29" s="625"/>
      <c r="CK29" s="625"/>
      <c r="CL29" s="625"/>
      <c r="CM29" s="624"/>
      <c r="CN29" s="627"/>
      <c r="CO29" s="625"/>
      <c r="CP29" s="625"/>
      <c r="CQ29" s="625"/>
      <c r="CR29" s="625"/>
      <c r="CS29" s="624"/>
      <c r="CT29" s="627"/>
      <c r="CU29" s="625"/>
      <c r="CV29" s="625"/>
      <c r="CW29" s="625"/>
      <c r="CX29" s="625"/>
      <c r="CY29" s="624"/>
      <c r="CZ29" s="627"/>
      <c r="DA29" s="625"/>
      <c r="DB29" s="625"/>
      <c r="DC29" s="625"/>
      <c r="DD29" s="625"/>
      <c r="DE29" s="624"/>
      <c r="DF29" s="627"/>
      <c r="DG29" s="625"/>
      <c r="DH29" s="625"/>
      <c r="DI29" s="625"/>
      <c r="DJ29" s="625"/>
      <c r="DK29" s="624"/>
      <c r="DL29" s="627"/>
      <c r="DM29" s="625"/>
      <c r="DN29" s="625"/>
      <c r="DO29" s="625"/>
      <c r="DP29" s="625"/>
      <c r="DQ29" s="624"/>
      <c r="DR29" s="627"/>
      <c r="DS29" s="625"/>
      <c r="DT29" s="625"/>
      <c r="DU29" s="625"/>
      <c r="DV29" s="625"/>
      <c r="DW29" s="624"/>
      <c r="DX29" s="627"/>
      <c r="DY29" s="625"/>
      <c r="DZ29" s="625"/>
      <c r="EA29" s="625"/>
      <c r="EB29" s="625"/>
      <c r="EC29" s="624"/>
      <c r="ED29" s="627"/>
      <c r="EE29" s="625"/>
      <c r="EF29" s="625"/>
      <c r="EG29" s="625"/>
      <c r="EH29" s="625"/>
      <c r="EI29" s="624"/>
      <c r="EJ29" s="627"/>
      <c r="EK29" s="625"/>
      <c r="EL29" s="625"/>
      <c r="EM29" s="625"/>
      <c r="EN29" s="625"/>
      <c r="EO29" s="624"/>
      <c r="EP29" s="627"/>
      <c r="EQ29" s="625"/>
      <c r="ER29" s="625"/>
      <c r="ES29" s="625"/>
      <c r="ET29" s="625"/>
      <c r="EU29" s="624"/>
      <c r="EV29" s="627"/>
      <c r="EW29" s="625"/>
      <c r="EX29" s="625"/>
      <c r="EY29" s="625"/>
      <c r="EZ29" s="625"/>
      <c r="FA29" s="624"/>
      <c r="FB29" s="627"/>
      <c r="FC29" s="625"/>
      <c r="FD29" s="625"/>
      <c r="FE29" s="625"/>
      <c r="FF29" s="625"/>
      <c r="FG29" s="624"/>
      <c r="FH29" s="627"/>
      <c r="FI29" s="625"/>
      <c r="FJ29" s="625"/>
      <c r="FK29" s="625"/>
      <c r="FL29" s="625"/>
      <c r="FM29" s="624"/>
      <c r="FN29" s="627"/>
      <c r="FO29" s="625"/>
      <c r="FP29" s="625"/>
      <c r="FQ29" s="625"/>
      <c r="FR29" s="625"/>
      <c r="FS29" s="624"/>
      <c r="FT29" s="627"/>
      <c r="FU29" s="625"/>
      <c r="FV29" s="625"/>
      <c r="FW29" s="625"/>
      <c r="FX29" s="625"/>
      <c r="FY29" s="624"/>
      <c r="FZ29" s="627"/>
      <c r="GA29" s="625"/>
      <c r="GB29" s="625"/>
      <c r="GC29" s="625"/>
      <c r="GD29" s="625"/>
      <c r="GE29" s="624"/>
      <c r="GF29" s="627"/>
      <c r="GG29" s="625"/>
      <c r="GH29" s="625"/>
      <c r="GI29" s="625"/>
      <c r="GJ29" s="625"/>
      <c r="GK29" s="624"/>
      <c r="GL29" s="627"/>
      <c r="GM29" s="625"/>
      <c r="GN29" s="625"/>
      <c r="GO29" s="625"/>
      <c r="GP29" s="625"/>
      <c r="GQ29" s="624"/>
      <c r="GR29" s="627"/>
      <c r="GS29" s="625"/>
      <c r="GT29" s="625"/>
      <c r="GU29" s="625"/>
      <c r="GV29" s="625"/>
      <c r="GW29" s="624"/>
      <c r="GX29" s="627"/>
      <c r="GY29" s="625"/>
      <c r="GZ29" s="625"/>
      <c r="HA29" s="625"/>
      <c r="HB29" s="625"/>
      <c r="HC29" s="624"/>
      <c r="HD29" s="627"/>
      <c r="HE29" s="625"/>
      <c r="HF29" s="625"/>
      <c r="HG29" s="625"/>
      <c r="HH29" s="625"/>
      <c r="HI29" s="624"/>
      <c r="HJ29" s="627"/>
      <c r="HK29" s="625"/>
      <c r="HL29" s="625"/>
      <c r="HM29" s="625"/>
      <c r="HN29" s="625"/>
      <c r="HO29" s="624"/>
      <c r="HP29" s="627"/>
      <c r="HQ29" s="625"/>
      <c r="HR29" s="625"/>
      <c r="HS29" s="625"/>
      <c r="HT29" s="625"/>
      <c r="HU29" s="624"/>
      <c r="HV29" s="627"/>
      <c r="HW29" s="625"/>
      <c r="HX29" s="625"/>
      <c r="HY29" s="625"/>
      <c r="HZ29" s="625"/>
      <c r="IA29" s="624"/>
      <c r="IB29" s="627"/>
      <c r="IC29" s="625"/>
      <c r="ID29" s="625"/>
      <c r="IE29" s="625"/>
      <c r="IF29" s="625"/>
      <c r="IG29" s="624"/>
      <c r="IH29" s="627"/>
      <c r="II29" s="625"/>
      <c r="IJ29" s="625"/>
      <c r="IK29" s="625"/>
    </row>
    <row r="30" spans="2:245" ht="28.5" x14ac:dyDescent="0.2">
      <c r="B30" s="829">
        <v>24</v>
      </c>
      <c r="C30" s="892" t="s">
        <v>641</v>
      </c>
      <c r="D30" s="896" t="s">
        <v>642</v>
      </c>
      <c r="E30" s="896" t="s">
        <v>643</v>
      </c>
      <c r="F30" s="893">
        <v>0</v>
      </c>
      <c r="G30" s="880" t="s">
        <v>574</v>
      </c>
      <c r="H30" s="897">
        <v>0</v>
      </c>
      <c r="I30" s="893">
        <v>3</v>
      </c>
      <c r="J30" s="880" t="s">
        <v>574</v>
      </c>
      <c r="K30" s="894">
        <v>7.9189999999999996</v>
      </c>
      <c r="L30" s="883">
        <f t="shared" si="3"/>
        <v>67.91</v>
      </c>
      <c r="M30" s="898">
        <v>8</v>
      </c>
      <c r="N30" s="884">
        <f t="shared" si="4"/>
        <v>543.28</v>
      </c>
      <c r="O30" s="895">
        <f>3.54+3.33</f>
        <v>6.87</v>
      </c>
      <c r="P30" s="884">
        <f t="shared" si="5"/>
        <v>550.15</v>
      </c>
      <c r="Q30" s="625"/>
      <c r="R30" s="626"/>
      <c r="S30" s="624"/>
      <c r="T30" s="627"/>
      <c r="U30" s="625"/>
      <c r="V30" s="625"/>
      <c r="W30" s="625"/>
      <c r="X30" s="625"/>
      <c r="Y30" s="624"/>
      <c r="Z30" s="627"/>
      <c r="AA30" s="625"/>
      <c r="AB30" s="625"/>
      <c r="AC30" s="625"/>
      <c r="AD30" s="625"/>
      <c r="AE30" s="624"/>
      <c r="AF30" s="627"/>
      <c r="AG30" s="625"/>
      <c r="AH30" s="625"/>
      <c r="AI30" s="625"/>
      <c r="AJ30" s="625"/>
      <c r="AK30" s="624"/>
      <c r="AL30" s="627"/>
      <c r="AM30" s="625"/>
      <c r="AN30" s="625"/>
      <c r="AO30" s="625"/>
      <c r="AP30" s="625"/>
      <c r="AQ30" s="624"/>
      <c r="AR30" s="627"/>
      <c r="AS30" s="625"/>
      <c r="AT30" s="625"/>
      <c r="AU30" s="625"/>
      <c r="AV30" s="625"/>
      <c r="AW30" s="624"/>
      <c r="AX30" s="627"/>
      <c r="AY30" s="625"/>
      <c r="AZ30" s="625"/>
      <c r="BA30" s="625"/>
      <c r="BB30" s="625"/>
      <c r="BC30" s="624"/>
      <c r="BD30" s="627"/>
      <c r="BE30" s="625"/>
      <c r="BF30" s="625"/>
      <c r="BG30" s="625"/>
      <c r="BH30" s="625"/>
      <c r="BI30" s="624"/>
      <c r="BJ30" s="627"/>
      <c r="BK30" s="625"/>
      <c r="BL30" s="625"/>
      <c r="BM30" s="625"/>
      <c r="BN30" s="625"/>
      <c r="BO30" s="624"/>
      <c r="BP30" s="627"/>
      <c r="BQ30" s="625"/>
      <c r="BR30" s="625"/>
      <c r="BS30" s="625"/>
      <c r="BT30" s="625"/>
      <c r="BU30" s="624"/>
      <c r="BV30" s="627"/>
      <c r="BW30" s="625"/>
      <c r="BX30" s="625"/>
      <c r="BY30" s="625"/>
      <c r="BZ30" s="625"/>
      <c r="CA30" s="624"/>
      <c r="CB30" s="627"/>
      <c r="CC30" s="625"/>
      <c r="CD30" s="625"/>
      <c r="CE30" s="625"/>
      <c r="CF30" s="625"/>
      <c r="CG30" s="624"/>
      <c r="CH30" s="627"/>
      <c r="CI30" s="625"/>
      <c r="CJ30" s="625"/>
      <c r="CK30" s="625"/>
      <c r="CL30" s="625"/>
      <c r="CM30" s="624"/>
      <c r="CN30" s="627"/>
      <c r="CO30" s="625"/>
      <c r="CP30" s="625"/>
      <c r="CQ30" s="625"/>
      <c r="CR30" s="625"/>
      <c r="CS30" s="624"/>
      <c r="CT30" s="627"/>
      <c r="CU30" s="625"/>
      <c r="CV30" s="625"/>
      <c r="CW30" s="625"/>
      <c r="CX30" s="625"/>
      <c r="CY30" s="624"/>
      <c r="CZ30" s="627"/>
      <c r="DA30" s="625"/>
      <c r="DB30" s="625"/>
      <c r="DC30" s="625"/>
      <c r="DD30" s="625"/>
      <c r="DE30" s="624"/>
      <c r="DF30" s="627"/>
      <c r="DG30" s="625"/>
      <c r="DH30" s="625"/>
      <c r="DI30" s="625"/>
      <c r="DJ30" s="625"/>
      <c r="DK30" s="624"/>
      <c r="DL30" s="627"/>
      <c r="DM30" s="625"/>
      <c r="DN30" s="625"/>
      <c r="DO30" s="625"/>
      <c r="DP30" s="625"/>
      <c r="DQ30" s="624"/>
      <c r="DR30" s="627"/>
      <c r="DS30" s="625"/>
      <c r="DT30" s="625"/>
      <c r="DU30" s="625"/>
      <c r="DV30" s="625"/>
      <c r="DW30" s="624"/>
      <c r="DX30" s="627"/>
      <c r="DY30" s="625"/>
      <c r="DZ30" s="625"/>
      <c r="EA30" s="625"/>
      <c r="EB30" s="625"/>
      <c r="EC30" s="624"/>
      <c r="ED30" s="627"/>
      <c r="EE30" s="625"/>
      <c r="EF30" s="625"/>
      <c r="EG30" s="625"/>
      <c r="EH30" s="625"/>
      <c r="EI30" s="624"/>
      <c r="EJ30" s="627"/>
      <c r="EK30" s="625"/>
      <c r="EL30" s="625"/>
      <c r="EM30" s="625"/>
      <c r="EN30" s="625"/>
      <c r="EO30" s="624"/>
      <c r="EP30" s="627"/>
      <c r="EQ30" s="625"/>
      <c r="ER30" s="625"/>
      <c r="ES30" s="625"/>
      <c r="ET30" s="625"/>
      <c r="EU30" s="624"/>
      <c r="EV30" s="627"/>
      <c r="EW30" s="625"/>
      <c r="EX30" s="625"/>
      <c r="EY30" s="625"/>
      <c r="EZ30" s="625"/>
      <c r="FA30" s="624"/>
      <c r="FB30" s="627"/>
      <c r="FC30" s="625"/>
      <c r="FD30" s="625"/>
      <c r="FE30" s="625"/>
      <c r="FF30" s="625"/>
      <c r="FG30" s="624"/>
      <c r="FH30" s="627"/>
      <c r="FI30" s="625"/>
      <c r="FJ30" s="625"/>
      <c r="FK30" s="625"/>
      <c r="FL30" s="625"/>
      <c r="FM30" s="624"/>
      <c r="FN30" s="627"/>
      <c r="FO30" s="625"/>
      <c r="FP30" s="625"/>
      <c r="FQ30" s="625"/>
      <c r="FR30" s="625"/>
      <c r="FS30" s="624"/>
      <c r="FT30" s="627"/>
      <c r="FU30" s="625"/>
      <c r="FV30" s="625"/>
      <c r="FW30" s="625"/>
      <c r="FX30" s="625"/>
      <c r="FY30" s="624"/>
      <c r="FZ30" s="627"/>
      <c r="GA30" s="625"/>
      <c r="GB30" s="625"/>
      <c r="GC30" s="625"/>
      <c r="GD30" s="625"/>
      <c r="GE30" s="624"/>
      <c r="GF30" s="627"/>
      <c r="GG30" s="625"/>
      <c r="GH30" s="625"/>
      <c r="GI30" s="625"/>
      <c r="GJ30" s="625"/>
      <c r="GK30" s="624"/>
      <c r="GL30" s="627"/>
      <c r="GM30" s="625"/>
      <c r="GN30" s="625"/>
      <c r="GO30" s="625"/>
      <c r="GP30" s="625"/>
      <c r="GQ30" s="624"/>
      <c r="GR30" s="627"/>
      <c r="GS30" s="625"/>
      <c r="GT30" s="625"/>
      <c r="GU30" s="625"/>
      <c r="GV30" s="625"/>
      <c r="GW30" s="624"/>
      <c r="GX30" s="627"/>
      <c r="GY30" s="625"/>
      <c r="GZ30" s="625"/>
      <c r="HA30" s="625"/>
      <c r="HB30" s="625"/>
      <c r="HC30" s="624"/>
      <c r="HD30" s="627"/>
      <c r="HE30" s="625"/>
      <c r="HF30" s="625"/>
      <c r="HG30" s="625"/>
      <c r="HH30" s="625"/>
      <c r="HI30" s="624"/>
      <c r="HJ30" s="627"/>
      <c r="HK30" s="625"/>
      <c r="HL30" s="625"/>
      <c r="HM30" s="625"/>
      <c r="HN30" s="625"/>
      <c r="HO30" s="624"/>
      <c r="HP30" s="627"/>
      <c r="HQ30" s="625"/>
      <c r="HR30" s="625"/>
      <c r="HS30" s="625"/>
      <c r="HT30" s="625"/>
      <c r="HU30" s="624"/>
      <c r="HV30" s="627"/>
      <c r="HW30" s="625"/>
      <c r="HX30" s="625"/>
      <c r="HY30" s="625"/>
      <c r="HZ30" s="625"/>
      <c r="IA30" s="624"/>
      <c r="IB30" s="627"/>
      <c r="IC30" s="625"/>
      <c r="ID30" s="625"/>
      <c r="IE30" s="625"/>
      <c r="IF30" s="625"/>
      <c r="IG30" s="624"/>
      <c r="IH30" s="627"/>
      <c r="II30" s="625"/>
      <c r="IJ30" s="625"/>
      <c r="IK30" s="625"/>
    </row>
    <row r="31" spans="2:245" ht="28.5" x14ac:dyDescent="0.2">
      <c r="B31" s="829">
        <v>25</v>
      </c>
      <c r="C31" s="892" t="s">
        <v>644</v>
      </c>
      <c r="D31" s="896" t="s">
        <v>645</v>
      </c>
      <c r="E31" s="896" t="s">
        <v>646</v>
      </c>
      <c r="F31" s="893">
        <v>0</v>
      </c>
      <c r="G31" s="880" t="s">
        <v>574</v>
      </c>
      <c r="H31" s="897">
        <v>0</v>
      </c>
      <c r="I31" s="893">
        <v>17</v>
      </c>
      <c r="J31" s="880" t="s">
        <v>574</v>
      </c>
      <c r="K31" s="894">
        <v>15.88</v>
      </c>
      <c r="L31" s="883">
        <f t="shared" si="3"/>
        <v>355.88</v>
      </c>
      <c r="M31" s="898">
        <v>8</v>
      </c>
      <c r="N31" s="884">
        <f t="shared" si="4"/>
        <v>2847.04</v>
      </c>
      <c r="O31" s="895">
        <f>3.44+3.42+38.87+38.88+3.43+3.43</f>
        <v>91.470000000000013</v>
      </c>
      <c r="P31" s="884">
        <f t="shared" si="5"/>
        <v>2938.5099999999998</v>
      </c>
      <c r="Q31" s="625"/>
      <c r="R31" s="626"/>
      <c r="S31" s="624"/>
      <c r="T31" s="627"/>
      <c r="U31" s="625"/>
      <c r="V31" s="625"/>
      <c r="W31" s="625"/>
      <c r="X31" s="625"/>
      <c r="Y31" s="624"/>
      <c r="Z31" s="627"/>
      <c r="AA31" s="625"/>
      <c r="AB31" s="625"/>
      <c r="AC31" s="625"/>
      <c r="AD31" s="625"/>
      <c r="AE31" s="624"/>
      <c r="AF31" s="627"/>
      <c r="AG31" s="625"/>
      <c r="AH31" s="625"/>
      <c r="AI31" s="625"/>
      <c r="AJ31" s="625"/>
      <c r="AK31" s="624"/>
      <c r="AL31" s="627"/>
      <c r="AM31" s="625"/>
      <c r="AN31" s="625"/>
      <c r="AO31" s="625"/>
      <c r="AP31" s="625"/>
      <c r="AQ31" s="624"/>
      <c r="AR31" s="627"/>
      <c r="AS31" s="625"/>
      <c r="AT31" s="625"/>
      <c r="AU31" s="625"/>
      <c r="AV31" s="625"/>
      <c r="AW31" s="624"/>
      <c r="AX31" s="627"/>
      <c r="AY31" s="625"/>
      <c r="AZ31" s="625"/>
      <c r="BA31" s="625"/>
      <c r="BB31" s="625"/>
      <c r="BC31" s="624"/>
      <c r="BD31" s="627"/>
      <c r="BE31" s="625"/>
      <c r="BF31" s="625"/>
      <c r="BG31" s="625"/>
      <c r="BH31" s="625"/>
      <c r="BI31" s="624"/>
      <c r="BJ31" s="627"/>
      <c r="BK31" s="625"/>
      <c r="BL31" s="625"/>
      <c r="BM31" s="625"/>
      <c r="BN31" s="625"/>
      <c r="BO31" s="624"/>
      <c r="BP31" s="627"/>
      <c r="BQ31" s="625"/>
      <c r="BR31" s="625"/>
      <c r="BS31" s="625"/>
      <c r="BT31" s="625"/>
      <c r="BU31" s="624"/>
      <c r="BV31" s="627"/>
      <c r="BW31" s="625"/>
      <c r="BX31" s="625"/>
      <c r="BY31" s="625"/>
      <c r="BZ31" s="625"/>
      <c r="CA31" s="624"/>
      <c r="CB31" s="627"/>
      <c r="CC31" s="625"/>
      <c r="CD31" s="625"/>
      <c r="CE31" s="625"/>
      <c r="CF31" s="625"/>
      <c r="CG31" s="624"/>
      <c r="CH31" s="627"/>
      <c r="CI31" s="625"/>
      <c r="CJ31" s="625"/>
      <c r="CK31" s="625"/>
      <c r="CL31" s="625"/>
      <c r="CM31" s="624"/>
      <c r="CN31" s="627"/>
      <c r="CO31" s="625"/>
      <c r="CP31" s="625"/>
      <c r="CQ31" s="625"/>
      <c r="CR31" s="625"/>
      <c r="CS31" s="624"/>
      <c r="CT31" s="627"/>
      <c r="CU31" s="625"/>
      <c r="CV31" s="625"/>
      <c r="CW31" s="625"/>
      <c r="CX31" s="625"/>
      <c r="CY31" s="624"/>
      <c r="CZ31" s="627"/>
      <c r="DA31" s="625"/>
      <c r="DB31" s="625"/>
      <c r="DC31" s="625"/>
      <c r="DD31" s="625"/>
      <c r="DE31" s="624"/>
      <c r="DF31" s="627"/>
      <c r="DG31" s="625"/>
      <c r="DH31" s="625"/>
      <c r="DI31" s="625"/>
      <c r="DJ31" s="625"/>
      <c r="DK31" s="624"/>
      <c r="DL31" s="627"/>
      <c r="DM31" s="625"/>
      <c r="DN31" s="625"/>
      <c r="DO31" s="625"/>
      <c r="DP31" s="625"/>
      <c r="DQ31" s="624"/>
      <c r="DR31" s="627"/>
      <c r="DS31" s="625"/>
      <c r="DT31" s="625"/>
      <c r="DU31" s="625"/>
      <c r="DV31" s="625"/>
      <c r="DW31" s="624"/>
      <c r="DX31" s="627"/>
      <c r="DY31" s="625"/>
      <c r="DZ31" s="625"/>
      <c r="EA31" s="625"/>
      <c r="EB31" s="625"/>
      <c r="EC31" s="624"/>
      <c r="ED31" s="627"/>
      <c r="EE31" s="625"/>
      <c r="EF31" s="625"/>
      <c r="EG31" s="625"/>
      <c r="EH31" s="625"/>
      <c r="EI31" s="624"/>
      <c r="EJ31" s="627"/>
      <c r="EK31" s="625"/>
      <c r="EL31" s="625"/>
      <c r="EM31" s="625"/>
      <c r="EN31" s="625"/>
      <c r="EO31" s="624"/>
      <c r="EP31" s="627"/>
      <c r="EQ31" s="625"/>
      <c r="ER31" s="625"/>
      <c r="ES31" s="625"/>
      <c r="ET31" s="625"/>
      <c r="EU31" s="624"/>
      <c r="EV31" s="627"/>
      <c r="EW31" s="625"/>
      <c r="EX31" s="625"/>
      <c r="EY31" s="625"/>
      <c r="EZ31" s="625"/>
      <c r="FA31" s="624"/>
      <c r="FB31" s="627"/>
      <c r="FC31" s="625"/>
      <c r="FD31" s="625"/>
      <c r="FE31" s="625"/>
      <c r="FF31" s="625"/>
      <c r="FG31" s="624"/>
      <c r="FH31" s="627"/>
      <c r="FI31" s="625"/>
      <c r="FJ31" s="625"/>
      <c r="FK31" s="625"/>
      <c r="FL31" s="625"/>
      <c r="FM31" s="624"/>
      <c r="FN31" s="627"/>
      <c r="FO31" s="625"/>
      <c r="FP31" s="625"/>
      <c r="FQ31" s="625"/>
      <c r="FR31" s="625"/>
      <c r="FS31" s="624"/>
      <c r="FT31" s="627"/>
      <c r="FU31" s="625"/>
      <c r="FV31" s="625"/>
      <c r="FW31" s="625"/>
      <c r="FX31" s="625"/>
      <c r="FY31" s="624"/>
      <c r="FZ31" s="627"/>
      <c r="GA31" s="625"/>
      <c r="GB31" s="625"/>
      <c r="GC31" s="625"/>
      <c r="GD31" s="625"/>
      <c r="GE31" s="624"/>
      <c r="GF31" s="627"/>
      <c r="GG31" s="625"/>
      <c r="GH31" s="625"/>
      <c r="GI31" s="625"/>
      <c r="GJ31" s="625"/>
      <c r="GK31" s="624"/>
      <c r="GL31" s="627"/>
      <c r="GM31" s="625"/>
      <c r="GN31" s="625"/>
      <c r="GO31" s="625"/>
      <c r="GP31" s="625"/>
      <c r="GQ31" s="624"/>
      <c r="GR31" s="627"/>
      <c r="GS31" s="625"/>
      <c r="GT31" s="625"/>
      <c r="GU31" s="625"/>
      <c r="GV31" s="625"/>
      <c r="GW31" s="624"/>
      <c r="GX31" s="627"/>
      <c r="GY31" s="625"/>
      <c r="GZ31" s="625"/>
      <c r="HA31" s="625"/>
      <c r="HB31" s="625"/>
      <c r="HC31" s="624"/>
      <c r="HD31" s="627"/>
      <c r="HE31" s="625"/>
      <c r="HF31" s="625"/>
      <c r="HG31" s="625"/>
      <c r="HH31" s="625"/>
      <c r="HI31" s="624"/>
      <c r="HJ31" s="627"/>
      <c r="HK31" s="625"/>
      <c r="HL31" s="625"/>
      <c r="HM31" s="625"/>
      <c r="HN31" s="625"/>
      <c r="HO31" s="624"/>
      <c r="HP31" s="627"/>
      <c r="HQ31" s="625"/>
      <c r="HR31" s="625"/>
      <c r="HS31" s="625"/>
      <c r="HT31" s="625"/>
      <c r="HU31" s="624"/>
      <c r="HV31" s="627"/>
      <c r="HW31" s="625"/>
      <c r="HX31" s="625"/>
      <c r="HY31" s="625"/>
      <c r="HZ31" s="625"/>
      <c r="IA31" s="624"/>
      <c r="IB31" s="627"/>
      <c r="IC31" s="625"/>
      <c r="ID31" s="625"/>
      <c r="IE31" s="625"/>
      <c r="IF31" s="625"/>
      <c r="IG31" s="624"/>
      <c r="IH31" s="627"/>
      <c r="II31" s="625"/>
      <c r="IJ31" s="625"/>
      <c r="IK31" s="625"/>
    </row>
    <row r="32" spans="2:245" ht="28.5" x14ac:dyDescent="0.2">
      <c r="B32" s="829">
        <v>26</v>
      </c>
      <c r="C32" s="892" t="s">
        <v>647</v>
      </c>
      <c r="D32" s="896" t="s">
        <v>648</v>
      </c>
      <c r="E32" s="896" t="s">
        <v>649</v>
      </c>
      <c r="F32" s="893">
        <v>0</v>
      </c>
      <c r="G32" s="880" t="s">
        <v>574</v>
      </c>
      <c r="H32" s="897">
        <v>0</v>
      </c>
      <c r="I32" s="893">
        <v>27</v>
      </c>
      <c r="J32" s="880" t="s">
        <v>574</v>
      </c>
      <c r="K32" s="894">
        <v>7.8449999999999998</v>
      </c>
      <c r="L32" s="883">
        <f t="shared" si="3"/>
        <v>547.84</v>
      </c>
      <c r="M32" s="898">
        <v>8</v>
      </c>
      <c r="N32" s="884">
        <f t="shared" si="4"/>
        <v>4382.72</v>
      </c>
      <c r="O32" s="895">
        <f>34.87+34.87+34.86+34.86+34.87+34.87+34.92</f>
        <v>244.12</v>
      </c>
      <c r="P32" s="884">
        <f t="shared" si="5"/>
        <v>4626.84</v>
      </c>
      <c r="Q32" s="625"/>
      <c r="R32" s="626"/>
      <c r="S32" s="624"/>
      <c r="T32" s="627"/>
      <c r="U32" s="625"/>
      <c r="V32" s="625"/>
      <c r="W32" s="625"/>
      <c r="X32" s="625"/>
      <c r="Y32" s="624"/>
      <c r="Z32" s="627"/>
      <c r="AA32" s="625"/>
      <c r="AB32" s="625"/>
      <c r="AC32" s="625"/>
      <c r="AD32" s="625"/>
      <c r="AE32" s="624"/>
      <c r="AF32" s="627"/>
      <c r="AG32" s="625"/>
      <c r="AH32" s="625"/>
      <c r="AI32" s="625"/>
      <c r="AJ32" s="625"/>
      <c r="AK32" s="624"/>
      <c r="AL32" s="627"/>
      <c r="AM32" s="625"/>
      <c r="AN32" s="625"/>
      <c r="AO32" s="625"/>
      <c r="AP32" s="625"/>
      <c r="AQ32" s="624"/>
      <c r="AR32" s="627"/>
      <c r="AS32" s="625"/>
      <c r="AT32" s="625"/>
      <c r="AU32" s="625"/>
      <c r="AV32" s="625"/>
      <c r="AW32" s="624"/>
      <c r="AX32" s="627"/>
      <c r="AY32" s="625"/>
      <c r="AZ32" s="625"/>
      <c r="BA32" s="625"/>
      <c r="BB32" s="625"/>
      <c r="BC32" s="624"/>
      <c r="BD32" s="627"/>
      <c r="BE32" s="625"/>
      <c r="BF32" s="625"/>
      <c r="BG32" s="625"/>
      <c r="BH32" s="625"/>
      <c r="BI32" s="624"/>
      <c r="BJ32" s="627"/>
      <c r="BK32" s="625"/>
      <c r="BL32" s="625"/>
      <c r="BM32" s="625"/>
      <c r="BN32" s="625"/>
      <c r="BO32" s="624"/>
      <c r="BP32" s="627"/>
      <c r="BQ32" s="625"/>
      <c r="BR32" s="625"/>
      <c r="BS32" s="625"/>
      <c r="BT32" s="625"/>
      <c r="BU32" s="624"/>
      <c r="BV32" s="627"/>
      <c r="BW32" s="625"/>
      <c r="BX32" s="625"/>
      <c r="BY32" s="625"/>
      <c r="BZ32" s="625"/>
      <c r="CA32" s="624"/>
      <c r="CB32" s="627"/>
      <c r="CC32" s="625"/>
      <c r="CD32" s="625"/>
      <c r="CE32" s="625"/>
      <c r="CF32" s="625"/>
      <c r="CG32" s="624"/>
      <c r="CH32" s="627"/>
      <c r="CI32" s="625"/>
      <c r="CJ32" s="625"/>
      <c r="CK32" s="625"/>
      <c r="CL32" s="625"/>
      <c r="CM32" s="624"/>
      <c r="CN32" s="627"/>
      <c r="CO32" s="625"/>
      <c r="CP32" s="625"/>
      <c r="CQ32" s="625"/>
      <c r="CR32" s="625"/>
      <c r="CS32" s="624"/>
      <c r="CT32" s="627"/>
      <c r="CU32" s="625"/>
      <c r="CV32" s="625"/>
      <c r="CW32" s="625"/>
      <c r="CX32" s="625"/>
      <c r="CY32" s="624"/>
      <c r="CZ32" s="627"/>
      <c r="DA32" s="625"/>
      <c r="DB32" s="625"/>
      <c r="DC32" s="625"/>
      <c r="DD32" s="625"/>
      <c r="DE32" s="624"/>
      <c r="DF32" s="627"/>
      <c r="DG32" s="625"/>
      <c r="DH32" s="625"/>
      <c r="DI32" s="625"/>
      <c r="DJ32" s="625"/>
      <c r="DK32" s="624"/>
      <c r="DL32" s="627"/>
      <c r="DM32" s="625"/>
      <c r="DN32" s="625"/>
      <c r="DO32" s="625"/>
      <c r="DP32" s="625"/>
      <c r="DQ32" s="624"/>
      <c r="DR32" s="627"/>
      <c r="DS32" s="625"/>
      <c r="DT32" s="625"/>
      <c r="DU32" s="625"/>
      <c r="DV32" s="625"/>
      <c r="DW32" s="624"/>
      <c r="DX32" s="627"/>
      <c r="DY32" s="625"/>
      <c r="DZ32" s="625"/>
      <c r="EA32" s="625"/>
      <c r="EB32" s="625"/>
      <c r="EC32" s="624"/>
      <c r="ED32" s="627"/>
      <c r="EE32" s="625"/>
      <c r="EF32" s="625"/>
      <c r="EG32" s="625"/>
      <c r="EH32" s="625"/>
      <c r="EI32" s="624"/>
      <c r="EJ32" s="627"/>
      <c r="EK32" s="625"/>
      <c r="EL32" s="625"/>
      <c r="EM32" s="625"/>
      <c r="EN32" s="625"/>
      <c r="EO32" s="624"/>
      <c r="EP32" s="627"/>
      <c r="EQ32" s="625"/>
      <c r="ER32" s="625"/>
      <c r="ES32" s="625"/>
      <c r="ET32" s="625"/>
      <c r="EU32" s="624"/>
      <c r="EV32" s="627"/>
      <c r="EW32" s="625"/>
      <c r="EX32" s="625"/>
      <c r="EY32" s="625"/>
      <c r="EZ32" s="625"/>
      <c r="FA32" s="624"/>
      <c r="FB32" s="627"/>
      <c r="FC32" s="625"/>
      <c r="FD32" s="625"/>
      <c r="FE32" s="625"/>
      <c r="FF32" s="625"/>
      <c r="FG32" s="624"/>
      <c r="FH32" s="627"/>
      <c r="FI32" s="625"/>
      <c r="FJ32" s="625"/>
      <c r="FK32" s="625"/>
      <c r="FL32" s="625"/>
      <c r="FM32" s="624"/>
      <c r="FN32" s="627"/>
      <c r="FO32" s="625"/>
      <c r="FP32" s="625"/>
      <c r="FQ32" s="625"/>
      <c r="FR32" s="625"/>
      <c r="FS32" s="624"/>
      <c r="FT32" s="627"/>
      <c r="FU32" s="625"/>
      <c r="FV32" s="625"/>
      <c r="FW32" s="625"/>
      <c r="FX32" s="625"/>
      <c r="FY32" s="624"/>
      <c r="FZ32" s="627"/>
      <c r="GA32" s="625"/>
      <c r="GB32" s="625"/>
      <c r="GC32" s="625"/>
      <c r="GD32" s="625"/>
      <c r="GE32" s="624"/>
      <c r="GF32" s="627"/>
      <c r="GG32" s="625"/>
      <c r="GH32" s="625"/>
      <c r="GI32" s="625"/>
      <c r="GJ32" s="625"/>
      <c r="GK32" s="624"/>
      <c r="GL32" s="627"/>
      <c r="GM32" s="625"/>
      <c r="GN32" s="625"/>
      <c r="GO32" s="625"/>
      <c r="GP32" s="625"/>
      <c r="GQ32" s="624"/>
      <c r="GR32" s="627"/>
      <c r="GS32" s="625"/>
      <c r="GT32" s="625"/>
      <c r="GU32" s="625"/>
      <c r="GV32" s="625"/>
      <c r="GW32" s="624"/>
      <c r="GX32" s="627"/>
      <c r="GY32" s="625"/>
      <c r="GZ32" s="625"/>
      <c r="HA32" s="625"/>
      <c r="HB32" s="625"/>
      <c r="HC32" s="624"/>
      <c r="HD32" s="627"/>
      <c r="HE32" s="625"/>
      <c r="HF32" s="625"/>
      <c r="HG32" s="625"/>
      <c r="HH32" s="625"/>
      <c r="HI32" s="624"/>
      <c r="HJ32" s="627"/>
      <c r="HK32" s="625"/>
      <c r="HL32" s="625"/>
      <c r="HM32" s="625"/>
      <c r="HN32" s="625"/>
      <c r="HO32" s="624"/>
      <c r="HP32" s="627"/>
      <c r="HQ32" s="625"/>
      <c r="HR32" s="625"/>
      <c r="HS32" s="625"/>
      <c r="HT32" s="625"/>
      <c r="HU32" s="624"/>
      <c r="HV32" s="627"/>
      <c r="HW32" s="625"/>
      <c r="HX32" s="625"/>
      <c r="HY32" s="625"/>
      <c r="HZ32" s="625"/>
      <c r="IA32" s="624"/>
      <c r="IB32" s="627"/>
      <c r="IC32" s="625"/>
      <c r="ID32" s="625"/>
      <c r="IE32" s="625"/>
      <c r="IF32" s="625"/>
      <c r="IG32" s="624"/>
      <c r="IH32" s="627"/>
      <c r="II32" s="625"/>
      <c r="IJ32" s="625"/>
      <c r="IK32" s="625"/>
    </row>
    <row r="33" spans="2:245" ht="28.5" x14ac:dyDescent="0.2">
      <c r="B33" s="829">
        <v>27</v>
      </c>
      <c r="C33" s="892" t="s">
        <v>650</v>
      </c>
      <c r="D33" s="896" t="s">
        <v>651</v>
      </c>
      <c r="E33" s="896" t="s">
        <v>652</v>
      </c>
      <c r="F33" s="893">
        <v>0</v>
      </c>
      <c r="G33" s="880" t="s">
        <v>574</v>
      </c>
      <c r="H33" s="897">
        <v>0</v>
      </c>
      <c r="I33" s="893">
        <v>5</v>
      </c>
      <c r="J33" s="880" t="s">
        <v>574</v>
      </c>
      <c r="K33" s="894">
        <v>7.0469999999999997</v>
      </c>
      <c r="L33" s="883">
        <f t="shared" si="3"/>
        <v>107.04</v>
      </c>
      <c r="M33" s="898">
        <v>7</v>
      </c>
      <c r="N33" s="884">
        <f t="shared" si="4"/>
        <v>749.28</v>
      </c>
      <c r="O33" s="895">
        <f>3.5+3.34+3.5+3.37</f>
        <v>13.71</v>
      </c>
      <c r="P33" s="884">
        <f t="shared" si="5"/>
        <v>762.99</v>
      </c>
      <c r="Q33" s="625"/>
      <c r="R33" s="626"/>
      <c r="S33" s="624"/>
      <c r="T33" s="627"/>
      <c r="U33" s="625"/>
      <c r="V33" s="625"/>
      <c r="W33" s="625"/>
      <c r="X33" s="625"/>
      <c r="Y33" s="624"/>
      <c r="Z33" s="627"/>
      <c r="AA33" s="625"/>
      <c r="AB33" s="625"/>
      <c r="AC33" s="625"/>
      <c r="AD33" s="625"/>
      <c r="AE33" s="624"/>
      <c r="AF33" s="627"/>
      <c r="AG33" s="625"/>
      <c r="AH33" s="625"/>
      <c r="AI33" s="625"/>
      <c r="AJ33" s="625"/>
      <c r="AK33" s="624"/>
      <c r="AL33" s="627"/>
      <c r="AM33" s="625"/>
      <c r="AN33" s="625"/>
      <c r="AO33" s="625"/>
      <c r="AP33" s="625"/>
      <c r="AQ33" s="624"/>
      <c r="AR33" s="627"/>
      <c r="AS33" s="625"/>
      <c r="AT33" s="625"/>
      <c r="AU33" s="625"/>
      <c r="AV33" s="625"/>
      <c r="AW33" s="624"/>
      <c r="AX33" s="627"/>
      <c r="AY33" s="625"/>
      <c r="AZ33" s="625"/>
      <c r="BA33" s="625"/>
      <c r="BB33" s="625"/>
      <c r="BC33" s="624"/>
      <c r="BD33" s="627"/>
      <c r="BE33" s="625"/>
      <c r="BF33" s="625"/>
      <c r="BG33" s="625"/>
      <c r="BH33" s="625"/>
      <c r="BI33" s="624"/>
      <c r="BJ33" s="627"/>
      <c r="BK33" s="625"/>
      <c r="BL33" s="625"/>
      <c r="BM33" s="625"/>
      <c r="BN33" s="625"/>
      <c r="BO33" s="624"/>
      <c r="BP33" s="627"/>
      <c r="BQ33" s="625"/>
      <c r="BR33" s="625"/>
      <c r="BS33" s="625"/>
      <c r="BT33" s="625"/>
      <c r="BU33" s="624"/>
      <c r="BV33" s="627"/>
      <c r="BW33" s="625"/>
      <c r="BX33" s="625"/>
      <c r="BY33" s="625"/>
      <c r="BZ33" s="625"/>
      <c r="CA33" s="624"/>
      <c r="CB33" s="627"/>
      <c r="CC33" s="625"/>
      <c r="CD33" s="625"/>
      <c r="CE33" s="625"/>
      <c r="CF33" s="625"/>
      <c r="CG33" s="624"/>
      <c r="CH33" s="627"/>
      <c r="CI33" s="625"/>
      <c r="CJ33" s="625"/>
      <c r="CK33" s="625"/>
      <c r="CL33" s="625"/>
      <c r="CM33" s="624"/>
      <c r="CN33" s="627"/>
      <c r="CO33" s="625"/>
      <c r="CP33" s="625"/>
      <c r="CQ33" s="625"/>
      <c r="CR33" s="625"/>
      <c r="CS33" s="624"/>
      <c r="CT33" s="627"/>
      <c r="CU33" s="625"/>
      <c r="CV33" s="625"/>
      <c r="CW33" s="625"/>
      <c r="CX33" s="625"/>
      <c r="CY33" s="624"/>
      <c r="CZ33" s="627"/>
      <c r="DA33" s="625"/>
      <c r="DB33" s="625"/>
      <c r="DC33" s="625"/>
      <c r="DD33" s="625"/>
      <c r="DE33" s="624"/>
      <c r="DF33" s="627"/>
      <c r="DG33" s="625"/>
      <c r="DH33" s="625"/>
      <c r="DI33" s="625"/>
      <c r="DJ33" s="625"/>
      <c r="DK33" s="624"/>
      <c r="DL33" s="627"/>
      <c r="DM33" s="625"/>
      <c r="DN33" s="625"/>
      <c r="DO33" s="625"/>
      <c r="DP33" s="625"/>
      <c r="DQ33" s="624"/>
      <c r="DR33" s="627"/>
      <c r="DS33" s="625"/>
      <c r="DT33" s="625"/>
      <c r="DU33" s="625"/>
      <c r="DV33" s="625"/>
      <c r="DW33" s="624"/>
      <c r="DX33" s="627"/>
      <c r="DY33" s="625"/>
      <c r="DZ33" s="625"/>
      <c r="EA33" s="625"/>
      <c r="EB33" s="625"/>
      <c r="EC33" s="624"/>
      <c r="ED33" s="627"/>
      <c r="EE33" s="625"/>
      <c r="EF33" s="625"/>
      <c r="EG33" s="625"/>
      <c r="EH33" s="625"/>
      <c r="EI33" s="624"/>
      <c r="EJ33" s="627"/>
      <c r="EK33" s="625"/>
      <c r="EL33" s="625"/>
      <c r="EM33" s="625"/>
      <c r="EN33" s="625"/>
      <c r="EO33" s="624"/>
      <c r="EP33" s="627"/>
      <c r="EQ33" s="625"/>
      <c r="ER33" s="625"/>
      <c r="ES33" s="625"/>
      <c r="ET33" s="625"/>
      <c r="EU33" s="624"/>
      <c r="EV33" s="627"/>
      <c r="EW33" s="625"/>
      <c r="EX33" s="625"/>
      <c r="EY33" s="625"/>
      <c r="EZ33" s="625"/>
      <c r="FA33" s="624"/>
      <c r="FB33" s="627"/>
      <c r="FC33" s="625"/>
      <c r="FD33" s="625"/>
      <c r="FE33" s="625"/>
      <c r="FF33" s="625"/>
      <c r="FG33" s="624"/>
      <c r="FH33" s="627"/>
      <c r="FI33" s="625"/>
      <c r="FJ33" s="625"/>
      <c r="FK33" s="625"/>
      <c r="FL33" s="625"/>
      <c r="FM33" s="624"/>
      <c r="FN33" s="627"/>
      <c r="FO33" s="625"/>
      <c r="FP33" s="625"/>
      <c r="FQ33" s="625"/>
      <c r="FR33" s="625"/>
      <c r="FS33" s="624"/>
      <c r="FT33" s="627"/>
      <c r="FU33" s="625"/>
      <c r="FV33" s="625"/>
      <c r="FW33" s="625"/>
      <c r="FX33" s="625"/>
      <c r="FY33" s="624"/>
      <c r="FZ33" s="627"/>
      <c r="GA33" s="625"/>
      <c r="GB33" s="625"/>
      <c r="GC33" s="625"/>
      <c r="GD33" s="625"/>
      <c r="GE33" s="624"/>
      <c r="GF33" s="627"/>
      <c r="GG33" s="625"/>
      <c r="GH33" s="625"/>
      <c r="GI33" s="625"/>
      <c r="GJ33" s="625"/>
      <c r="GK33" s="624"/>
      <c r="GL33" s="627"/>
      <c r="GM33" s="625"/>
      <c r="GN33" s="625"/>
      <c r="GO33" s="625"/>
      <c r="GP33" s="625"/>
      <c r="GQ33" s="624"/>
      <c r="GR33" s="627"/>
      <c r="GS33" s="625"/>
      <c r="GT33" s="625"/>
      <c r="GU33" s="625"/>
      <c r="GV33" s="625"/>
      <c r="GW33" s="624"/>
      <c r="GX33" s="627"/>
      <c r="GY33" s="625"/>
      <c r="GZ33" s="625"/>
      <c r="HA33" s="625"/>
      <c r="HB33" s="625"/>
      <c r="HC33" s="624"/>
      <c r="HD33" s="627"/>
      <c r="HE33" s="625"/>
      <c r="HF33" s="625"/>
      <c r="HG33" s="625"/>
      <c r="HH33" s="625"/>
      <c r="HI33" s="624"/>
      <c r="HJ33" s="627"/>
      <c r="HK33" s="625"/>
      <c r="HL33" s="625"/>
      <c r="HM33" s="625"/>
      <c r="HN33" s="625"/>
      <c r="HO33" s="624"/>
      <c r="HP33" s="627"/>
      <c r="HQ33" s="625"/>
      <c r="HR33" s="625"/>
      <c r="HS33" s="625"/>
      <c r="HT33" s="625"/>
      <c r="HU33" s="624"/>
      <c r="HV33" s="627"/>
      <c r="HW33" s="625"/>
      <c r="HX33" s="625"/>
      <c r="HY33" s="625"/>
      <c r="HZ33" s="625"/>
      <c r="IA33" s="624"/>
      <c r="IB33" s="627"/>
      <c r="IC33" s="625"/>
      <c r="ID33" s="625"/>
      <c r="IE33" s="625"/>
      <c r="IF33" s="625"/>
      <c r="IG33" s="624"/>
      <c r="IH33" s="627"/>
      <c r="II33" s="625"/>
      <c r="IJ33" s="625"/>
      <c r="IK33" s="625"/>
    </row>
    <row r="34" spans="2:245" ht="28.5" x14ac:dyDescent="0.2">
      <c r="B34" s="829">
        <v>28</v>
      </c>
      <c r="C34" s="892" t="s">
        <v>653</v>
      </c>
      <c r="D34" s="896" t="s">
        <v>654</v>
      </c>
      <c r="E34" s="896" t="s">
        <v>655</v>
      </c>
      <c r="F34" s="893">
        <v>0</v>
      </c>
      <c r="G34" s="880" t="s">
        <v>574</v>
      </c>
      <c r="H34" s="897">
        <v>0</v>
      </c>
      <c r="I34" s="893">
        <v>3</v>
      </c>
      <c r="J34" s="880" t="s">
        <v>574</v>
      </c>
      <c r="K34" s="894">
        <v>9.5210000000000008</v>
      </c>
      <c r="L34" s="883">
        <f t="shared" si="3"/>
        <v>69.52</v>
      </c>
      <c r="M34" s="898">
        <v>7</v>
      </c>
      <c r="N34" s="884">
        <f t="shared" si="4"/>
        <v>486.64</v>
      </c>
      <c r="O34" s="895">
        <f>3.38+3.44+3.43+3.43</f>
        <v>13.68</v>
      </c>
      <c r="P34" s="884">
        <f t="shared" si="5"/>
        <v>500.32</v>
      </c>
      <c r="Q34" s="625"/>
      <c r="R34" s="626"/>
      <c r="S34" s="624"/>
      <c r="T34" s="627"/>
      <c r="U34" s="625"/>
      <c r="V34" s="625"/>
      <c r="W34" s="625"/>
      <c r="X34" s="625"/>
      <c r="Y34" s="624"/>
      <c r="Z34" s="627"/>
      <c r="AA34" s="625"/>
      <c r="AB34" s="625"/>
      <c r="AC34" s="625"/>
      <c r="AD34" s="625"/>
      <c r="AE34" s="624"/>
      <c r="AF34" s="627"/>
      <c r="AG34" s="625"/>
      <c r="AH34" s="625"/>
      <c r="AI34" s="625"/>
      <c r="AJ34" s="625"/>
      <c r="AK34" s="624"/>
      <c r="AL34" s="627"/>
      <c r="AM34" s="625"/>
      <c r="AN34" s="625"/>
      <c r="AO34" s="625"/>
      <c r="AP34" s="625"/>
      <c r="AQ34" s="624"/>
      <c r="AR34" s="627"/>
      <c r="AS34" s="625"/>
      <c r="AT34" s="625"/>
      <c r="AU34" s="625"/>
      <c r="AV34" s="625"/>
      <c r="AW34" s="624"/>
      <c r="AX34" s="627"/>
      <c r="AY34" s="625"/>
      <c r="AZ34" s="625"/>
      <c r="BA34" s="625"/>
      <c r="BB34" s="625"/>
      <c r="BC34" s="624"/>
      <c r="BD34" s="627"/>
      <c r="BE34" s="625"/>
      <c r="BF34" s="625"/>
      <c r="BG34" s="625"/>
      <c r="BH34" s="625"/>
      <c r="BI34" s="624"/>
      <c r="BJ34" s="627"/>
      <c r="BK34" s="625"/>
      <c r="BL34" s="625"/>
      <c r="BM34" s="625"/>
      <c r="BN34" s="625"/>
      <c r="BO34" s="624"/>
      <c r="BP34" s="627"/>
      <c r="BQ34" s="625"/>
      <c r="BR34" s="625"/>
      <c r="BS34" s="625"/>
      <c r="BT34" s="625"/>
      <c r="BU34" s="624"/>
      <c r="BV34" s="627"/>
      <c r="BW34" s="625"/>
      <c r="BX34" s="625"/>
      <c r="BY34" s="625"/>
      <c r="BZ34" s="625"/>
      <c r="CA34" s="624"/>
      <c r="CB34" s="627"/>
      <c r="CC34" s="625"/>
      <c r="CD34" s="625"/>
      <c r="CE34" s="625"/>
      <c r="CF34" s="625"/>
      <c r="CG34" s="624"/>
      <c r="CH34" s="627"/>
      <c r="CI34" s="625"/>
      <c r="CJ34" s="625"/>
      <c r="CK34" s="625"/>
      <c r="CL34" s="625"/>
      <c r="CM34" s="624"/>
      <c r="CN34" s="627"/>
      <c r="CO34" s="625"/>
      <c r="CP34" s="625"/>
      <c r="CQ34" s="625"/>
      <c r="CR34" s="625"/>
      <c r="CS34" s="624"/>
      <c r="CT34" s="627"/>
      <c r="CU34" s="625"/>
      <c r="CV34" s="625"/>
      <c r="CW34" s="625"/>
      <c r="CX34" s="625"/>
      <c r="CY34" s="624"/>
      <c r="CZ34" s="627"/>
      <c r="DA34" s="625"/>
      <c r="DB34" s="625"/>
      <c r="DC34" s="625"/>
      <c r="DD34" s="625"/>
      <c r="DE34" s="624"/>
      <c r="DF34" s="627"/>
      <c r="DG34" s="625"/>
      <c r="DH34" s="625"/>
      <c r="DI34" s="625"/>
      <c r="DJ34" s="625"/>
      <c r="DK34" s="624"/>
      <c r="DL34" s="627"/>
      <c r="DM34" s="625"/>
      <c r="DN34" s="625"/>
      <c r="DO34" s="625"/>
      <c r="DP34" s="625"/>
      <c r="DQ34" s="624"/>
      <c r="DR34" s="627"/>
      <c r="DS34" s="625"/>
      <c r="DT34" s="625"/>
      <c r="DU34" s="625"/>
      <c r="DV34" s="625"/>
      <c r="DW34" s="624"/>
      <c r="DX34" s="627"/>
      <c r="DY34" s="625"/>
      <c r="DZ34" s="625"/>
      <c r="EA34" s="625"/>
      <c r="EB34" s="625"/>
      <c r="EC34" s="624"/>
      <c r="ED34" s="627"/>
      <c r="EE34" s="625"/>
      <c r="EF34" s="625"/>
      <c r="EG34" s="625"/>
      <c r="EH34" s="625"/>
      <c r="EI34" s="624"/>
      <c r="EJ34" s="627"/>
      <c r="EK34" s="625"/>
      <c r="EL34" s="625"/>
      <c r="EM34" s="625"/>
      <c r="EN34" s="625"/>
      <c r="EO34" s="624"/>
      <c r="EP34" s="627"/>
      <c r="EQ34" s="625"/>
      <c r="ER34" s="625"/>
      <c r="ES34" s="625"/>
      <c r="ET34" s="625"/>
      <c r="EU34" s="624"/>
      <c r="EV34" s="627"/>
      <c r="EW34" s="625"/>
      <c r="EX34" s="625"/>
      <c r="EY34" s="625"/>
      <c r="EZ34" s="625"/>
      <c r="FA34" s="624"/>
      <c r="FB34" s="627"/>
      <c r="FC34" s="625"/>
      <c r="FD34" s="625"/>
      <c r="FE34" s="625"/>
      <c r="FF34" s="625"/>
      <c r="FG34" s="624"/>
      <c r="FH34" s="627"/>
      <c r="FI34" s="625"/>
      <c r="FJ34" s="625"/>
      <c r="FK34" s="625"/>
      <c r="FL34" s="625"/>
      <c r="FM34" s="624"/>
      <c r="FN34" s="627"/>
      <c r="FO34" s="625"/>
      <c r="FP34" s="625"/>
      <c r="FQ34" s="625"/>
      <c r="FR34" s="625"/>
      <c r="FS34" s="624"/>
      <c r="FT34" s="627"/>
      <c r="FU34" s="625"/>
      <c r="FV34" s="625"/>
      <c r="FW34" s="625"/>
      <c r="FX34" s="625"/>
      <c r="FY34" s="624"/>
      <c r="FZ34" s="627"/>
      <c r="GA34" s="625"/>
      <c r="GB34" s="625"/>
      <c r="GC34" s="625"/>
      <c r="GD34" s="625"/>
      <c r="GE34" s="624"/>
      <c r="GF34" s="627"/>
      <c r="GG34" s="625"/>
      <c r="GH34" s="625"/>
      <c r="GI34" s="625"/>
      <c r="GJ34" s="625"/>
      <c r="GK34" s="624"/>
      <c r="GL34" s="627"/>
      <c r="GM34" s="625"/>
      <c r="GN34" s="625"/>
      <c r="GO34" s="625"/>
      <c r="GP34" s="625"/>
      <c r="GQ34" s="624"/>
      <c r="GR34" s="627"/>
      <c r="GS34" s="625"/>
      <c r="GT34" s="625"/>
      <c r="GU34" s="625"/>
      <c r="GV34" s="625"/>
      <c r="GW34" s="624"/>
      <c r="GX34" s="627"/>
      <c r="GY34" s="625"/>
      <c r="GZ34" s="625"/>
      <c r="HA34" s="625"/>
      <c r="HB34" s="625"/>
      <c r="HC34" s="624"/>
      <c r="HD34" s="627"/>
      <c r="HE34" s="625"/>
      <c r="HF34" s="625"/>
      <c r="HG34" s="625"/>
      <c r="HH34" s="625"/>
      <c r="HI34" s="624"/>
      <c r="HJ34" s="627"/>
      <c r="HK34" s="625"/>
      <c r="HL34" s="625"/>
      <c r="HM34" s="625"/>
      <c r="HN34" s="625"/>
      <c r="HO34" s="624"/>
      <c r="HP34" s="627"/>
      <c r="HQ34" s="625"/>
      <c r="HR34" s="625"/>
      <c r="HS34" s="625"/>
      <c r="HT34" s="625"/>
      <c r="HU34" s="624"/>
      <c r="HV34" s="627"/>
      <c r="HW34" s="625"/>
      <c r="HX34" s="625"/>
      <c r="HY34" s="625"/>
      <c r="HZ34" s="625"/>
      <c r="IA34" s="624"/>
      <c r="IB34" s="627"/>
      <c r="IC34" s="625"/>
      <c r="ID34" s="625"/>
      <c r="IE34" s="625"/>
      <c r="IF34" s="625"/>
      <c r="IG34" s="624"/>
      <c r="IH34" s="627"/>
      <c r="II34" s="625"/>
      <c r="IJ34" s="625"/>
      <c r="IK34" s="625"/>
    </row>
    <row r="35" spans="2:245" ht="28.5" x14ac:dyDescent="0.2">
      <c r="B35" s="829">
        <v>29</v>
      </c>
      <c r="C35" s="892" t="s">
        <v>656</v>
      </c>
      <c r="D35" s="896" t="s">
        <v>657</v>
      </c>
      <c r="E35" s="896" t="s">
        <v>658</v>
      </c>
      <c r="F35" s="893">
        <v>0</v>
      </c>
      <c r="G35" s="880" t="s">
        <v>574</v>
      </c>
      <c r="H35" s="897">
        <v>0</v>
      </c>
      <c r="I35" s="893">
        <v>5</v>
      </c>
      <c r="J35" s="880" t="s">
        <v>574</v>
      </c>
      <c r="K35" s="894">
        <v>5.4749999999999996</v>
      </c>
      <c r="L35" s="883">
        <f t="shared" si="3"/>
        <v>105.47</v>
      </c>
      <c r="M35" s="898">
        <v>7</v>
      </c>
      <c r="N35" s="884">
        <f t="shared" si="4"/>
        <v>738.29</v>
      </c>
      <c r="O35" s="895">
        <f>3.43+3.43+3.46+3.41</f>
        <v>13.73</v>
      </c>
      <c r="P35" s="884">
        <f t="shared" si="5"/>
        <v>752.02</v>
      </c>
      <c r="Q35" s="625"/>
      <c r="R35" s="626"/>
      <c r="S35" s="624"/>
      <c r="T35" s="627"/>
      <c r="U35" s="625"/>
      <c r="V35" s="625"/>
      <c r="W35" s="625"/>
      <c r="X35" s="625"/>
      <c r="Y35" s="624"/>
      <c r="Z35" s="627"/>
      <c r="AA35" s="625"/>
      <c r="AB35" s="625"/>
      <c r="AC35" s="625"/>
      <c r="AD35" s="625"/>
      <c r="AE35" s="624"/>
      <c r="AF35" s="627"/>
      <c r="AG35" s="625"/>
      <c r="AH35" s="625"/>
      <c r="AI35" s="625"/>
      <c r="AJ35" s="625"/>
      <c r="AK35" s="624"/>
      <c r="AL35" s="627"/>
      <c r="AM35" s="625"/>
      <c r="AN35" s="625"/>
      <c r="AO35" s="625"/>
      <c r="AP35" s="625"/>
      <c r="AQ35" s="624"/>
      <c r="AR35" s="627"/>
      <c r="AS35" s="625"/>
      <c r="AT35" s="625"/>
      <c r="AU35" s="625"/>
      <c r="AV35" s="625"/>
      <c r="AW35" s="624"/>
      <c r="AX35" s="627"/>
      <c r="AY35" s="625"/>
      <c r="AZ35" s="625"/>
      <c r="BA35" s="625"/>
      <c r="BB35" s="625"/>
      <c r="BC35" s="624"/>
      <c r="BD35" s="627"/>
      <c r="BE35" s="625"/>
      <c r="BF35" s="625"/>
      <c r="BG35" s="625"/>
      <c r="BH35" s="625"/>
      <c r="BI35" s="624"/>
      <c r="BJ35" s="627"/>
      <c r="BK35" s="625"/>
      <c r="BL35" s="625"/>
      <c r="BM35" s="625"/>
      <c r="BN35" s="625"/>
      <c r="BO35" s="624"/>
      <c r="BP35" s="627"/>
      <c r="BQ35" s="625"/>
      <c r="BR35" s="625"/>
      <c r="BS35" s="625"/>
      <c r="BT35" s="625"/>
      <c r="BU35" s="624"/>
      <c r="BV35" s="627"/>
      <c r="BW35" s="625"/>
      <c r="BX35" s="625"/>
      <c r="BY35" s="625"/>
      <c r="BZ35" s="625"/>
      <c r="CA35" s="624"/>
      <c r="CB35" s="627"/>
      <c r="CC35" s="625"/>
      <c r="CD35" s="625"/>
      <c r="CE35" s="625"/>
      <c r="CF35" s="625"/>
      <c r="CG35" s="624"/>
      <c r="CH35" s="627"/>
      <c r="CI35" s="625"/>
      <c r="CJ35" s="625"/>
      <c r="CK35" s="625"/>
      <c r="CL35" s="625"/>
      <c r="CM35" s="624"/>
      <c r="CN35" s="627"/>
      <c r="CO35" s="625"/>
      <c r="CP35" s="625"/>
      <c r="CQ35" s="625"/>
      <c r="CR35" s="625"/>
      <c r="CS35" s="624"/>
      <c r="CT35" s="627"/>
      <c r="CU35" s="625"/>
      <c r="CV35" s="625"/>
      <c r="CW35" s="625"/>
      <c r="CX35" s="625"/>
      <c r="CY35" s="624"/>
      <c r="CZ35" s="627"/>
      <c r="DA35" s="625"/>
      <c r="DB35" s="625"/>
      <c r="DC35" s="625"/>
      <c r="DD35" s="625"/>
      <c r="DE35" s="624"/>
      <c r="DF35" s="627"/>
      <c r="DG35" s="625"/>
      <c r="DH35" s="625"/>
      <c r="DI35" s="625"/>
      <c r="DJ35" s="625"/>
      <c r="DK35" s="624"/>
      <c r="DL35" s="627"/>
      <c r="DM35" s="625"/>
      <c r="DN35" s="625"/>
      <c r="DO35" s="625"/>
      <c r="DP35" s="625"/>
      <c r="DQ35" s="624"/>
      <c r="DR35" s="627"/>
      <c r="DS35" s="625"/>
      <c r="DT35" s="625"/>
      <c r="DU35" s="625"/>
      <c r="DV35" s="625"/>
      <c r="DW35" s="624"/>
      <c r="DX35" s="627"/>
      <c r="DY35" s="625"/>
      <c r="DZ35" s="625"/>
      <c r="EA35" s="625"/>
      <c r="EB35" s="625"/>
      <c r="EC35" s="624"/>
      <c r="ED35" s="627"/>
      <c r="EE35" s="625"/>
      <c r="EF35" s="625"/>
      <c r="EG35" s="625"/>
      <c r="EH35" s="625"/>
      <c r="EI35" s="624"/>
      <c r="EJ35" s="627"/>
      <c r="EK35" s="625"/>
      <c r="EL35" s="625"/>
      <c r="EM35" s="625"/>
      <c r="EN35" s="625"/>
      <c r="EO35" s="624"/>
      <c r="EP35" s="627"/>
      <c r="EQ35" s="625"/>
      <c r="ER35" s="625"/>
      <c r="ES35" s="625"/>
      <c r="ET35" s="625"/>
      <c r="EU35" s="624"/>
      <c r="EV35" s="627"/>
      <c r="EW35" s="625"/>
      <c r="EX35" s="625"/>
      <c r="EY35" s="625"/>
      <c r="EZ35" s="625"/>
      <c r="FA35" s="624"/>
      <c r="FB35" s="627"/>
      <c r="FC35" s="625"/>
      <c r="FD35" s="625"/>
      <c r="FE35" s="625"/>
      <c r="FF35" s="625"/>
      <c r="FG35" s="624"/>
      <c r="FH35" s="627"/>
      <c r="FI35" s="625"/>
      <c r="FJ35" s="625"/>
      <c r="FK35" s="625"/>
      <c r="FL35" s="625"/>
      <c r="FM35" s="624"/>
      <c r="FN35" s="627"/>
      <c r="FO35" s="625"/>
      <c r="FP35" s="625"/>
      <c r="FQ35" s="625"/>
      <c r="FR35" s="625"/>
      <c r="FS35" s="624"/>
      <c r="FT35" s="627"/>
      <c r="FU35" s="625"/>
      <c r="FV35" s="625"/>
      <c r="FW35" s="625"/>
      <c r="FX35" s="625"/>
      <c r="FY35" s="624"/>
      <c r="FZ35" s="627"/>
      <c r="GA35" s="625"/>
      <c r="GB35" s="625"/>
      <c r="GC35" s="625"/>
      <c r="GD35" s="625"/>
      <c r="GE35" s="624"/>
      <c r="GF35" s="627"/>
      <c r="GG35" s="625"/>
      <c r="GH35" s="625"/>
      <c r="GI35" s="625"/>
      <c r="GJ35" s="625"/>
      <c r="GK35" s="624"/>
      <c r="GL35" s="627"/>
      <c r="GM35" s="625"/>
      <c r="GN35" s="625"/>
      <c r="GO35" s="625"/>
      <c r="GP35" s="625"/>
      <c r="GQ35" s="624"/>
      <c r="GR35" s="627"/>
      <c r="GS35" s="625"/>
      <c r="GT35" s="625"/>
      <c r="GU35" s="625"/>
      <c r="GV35" s="625"/>
      <c r="GW35" s="624"/>
      <c r="GX35" s="627"/>
      <c r="GY35" s="625"/>
      <c r="GZ35" s="625"/>
      <c r="HA35" s="625"/>
      <c r="HB35" s="625"/>
      <c r="HC35" s="624"/>
      <c r="HD35" s="627"/>
      <c r="HE35" s="625"/>
      <c r="HF35" s="625"/>
      <c r="HG35" s="625"/>
      <c r="HH35" s="625"/>
      <c r="HI35" s="624"/>
      <c r="HJ35" s="627"/>
      <c r="HK35" s="625"/>
      <c r="HL35" s="625"/>
      <c r="HM35" s="625"/>
      <c r="HN35" s="625"/>
      <c r="HO35" s="624"/>
      <c r="HP35" s="627"/>
      <c r="HQ35" s="625"/>
      <c r="HR35" s="625"/>
      <c r="HS35" s="625"/>
      <c r="HT35" s="625"/>
      <c r="HU35" s="624"/>
      <c r="HV35" s="627"/>
      <c r="HW35" s="625"/>
      <c r="HX35" s="625"/>
      <c r="HY35" s="625"/>
      <c r="HZ35" s="625"/>
      <c r="IA35" s="624"/>
      <c r="IB35" s="627"/>
      <c r="IC35" s="625"/>
      <c r="ID35" s="625"/>
      <c r="IE35" s="625"/>
      <c r="IF35" s="625"/>
      <c r="IG35" s="624"/>
      <c r="IH35" s="627"/>
      <c r="II35" s="625"/>
      <c r="IJ35" s="625"/>
      <c r="IK35" s="625"/>
    </row>
    <row r="36" spans="2:245" ht="28.5" x14ac:dyDescent="0.2">
      <c r="B36" s="829">
        <v>30</v>
      </c>
      <c r="C36" s="892" t="s">
        <v>659</v>
      </c>
      <c r="D36" s="896" t="s">
        <v>660</v>
      </c>
      <c r="E36" s="896" t="s">
        <v>661</v>
      </c>
      <c r="F36" s="893">
        <v>0</v>
      </c>
      <c r="G36" s="880" t="s">
        <v>574</v>
      </c>
      <c r="H36" s="897">
        <v>0</v>
      </c>
      <c r="I36" s="893">
        <v>5</v>
      </c>
      <c r="J36" s="880" t="s">
        <v>574</v>
      </c>
      <c r="K36" s="894">
        <v>6.2670000000000003</v>
      </c>
      <c r="L36" s="883">
        <f t="shared" si="3"/>
        <v>106.26</v>
      </c>
      <c r="M36" s="898">
        <v>7</v>
      </c>
      <c r="N36" s="884">
        <f t="shared" si="4"/>
        <v>743.82</v>
      </c>
      <c r="O36" s="895">
        <f>3.38+3.5+3.43+3.44</f>
        <v>13.75</v>
      </c>
      <c r="P36" s="884">
        <f t="shared" si="5"/>
        <v>757.57</v>
      </c>
      <c r="Q36" s="625"/>
      <c r="R36" s="626"/>
      <c r="S36" s="624"/>
      <c r="T36" s="627"/>
      <c r="U36" s="625"/>
      <c r="V36" s="625"/>
      <c r="W36" s="625"/>
      <c r="X36" s="625"/>
      <c r="Y36" s="624"/>
      <c r="Z36" s="627"/>
      <c r="AA36" s="625"/>
      <c r="AB36" s="625"/>
      <c r="AC36" s="625"/>
      <c r="AD36" s="625"/>
      <c r="AE36" s="624"/>
      <c r="AF36" s="627"/>
      <c r="AG36" s="625"/>
      <c r="AH36" s="625"/>
      <c r="AI36" s="625"/>
      <c r="AJ36" s="625"/>
      <c r="AK36" s="624"/>
      <c r="AL36" s="627"/>
      <c r="AM36" s="625"/>
      <c r="AN36" s="625"/>
      <c r="AO36" s="625"/>
      <c r="AP36" s="625"/>
      <c r="AQ36" s="624"/>
      <c r="AR36" s="627"/>
      <c r="AS36" s="625"/>
      <c r="AT36" s="625"/>
      <c r="AU36" s="625"/>
      <c r="AV36" s="625"/>
      <c r="AW36" s="624"/>
      <c r="AX36" s="627"/>
      <c r="AY36" s="625"/>
      <c r="AZ36" s="625"/>
      <c r="BA36" s="625"/>
      <c r="BB36" s="625"/>
      <c r="BC36" s="624"/>
      <c r="BD36" s="627"/>
      <c r="BE36" s="625"/>
      <c r="BF36" s="625"/>
      <c r="BG36" s="625"/>
      <c r="BH36" s="625"/>
      <c r="BI36" s="624"/>
      <c r="BJ36" s="627"/>
      <c r="BK36" s="625"/>
      <c r="BL36" s="625"/>
      <c r="BM36" s="625"/>
      <c r="BN36" s="625"/>
      <c r="BO36" s="624"/>
      <c r="BP36" s="627"/>
      <c r="BQ36" s="625"/>
      <c r="BR36" s="625"/>
      <c r="BS36" s="625"/>
      <c r="BT36" s="625"/>
      <c r="BU36" s="624"/>
      <c r="BV36" s="627"/>
      <c r="BW36" s="625"/>
      <c r="BX36" s="625"/>
      <c r="BY36" s="625"/>
      <c r="BZ36" s="625"/>
      <c r="CA36" s="624"/>
      <c r="CB36" s="627"/>
      <c r="CC36" s="625"/>
      <c r="CD36" s="625"/>
      <c r="CE36" s="625"/>
      <c r="CF36" s="625"/>
      <c r="CG36" s="624"/>
      <c r="CH36" s="627"/>
      <c r="CI36" s="625"/>
      <c r="CJ36" s="625"/>
      <c r="CK36" s="625"/>
      <c r="CL36" s="625"/>
      <c r="CM36" s="624"/>
      <c r="CN36" s="627"/>
      <c r="CO36" s="625"/>
      <c r="CP36" s="625"/>
      <c r="CQ36" s="625"/>
      <c r="CR36" s="625"/>
      <c r="CS36" s="624"/>
      <c r="CT36" s="627"/>
      <c r="CU36" s="625"/>
      <c r="CV36" s="625"/>
      <c r="CW36" s="625"/>
      <c r="CX36" s="625"/>
      <c r="CY36" s="624"/>
      <c r="CZ36" s="627"/>
      <c r="DA36" s="625"/>
      <c r="DB36" s="625"/>
      <c r="DC36" s="625"/>
      <c r="DD36" s="625"/>
      <c r="DE36" s="624"/>
      <c r="DF36" s="627"/>
      <c r="DG36" s="625"/>
      <c r="DH36" s="625"/>
      <c r="DI36" s="625"/>
      <c r="DJ36" s="625"/>
      <c r="DK36" s="624"/>
      <c r="DL36" s="627"/>
      <c r="DM36" s="625"/>
      <c r="DN36" s="625"/>
      <c r="DO36" s="625"/>
      <c r="DP36" s="625"/>
      <c r="DQ36" s="624"/>
      <c r="DR36" s="627"/>
      <c r="DS36" s="625"/>
      <c r="DT36" s="625"/>
      <c r="DU36" s="625"/>
      <c r="DV36" s="625"/>
      <c r="DW36" s="624"/>
      <c r="DX36" s="627"/>
      <c r="DY36" s="625"/>
      <c r="DZ36" s="625"/>
      <c r="EA36" s="625"/>
      <c r="EB36" s="625"/>
      <c r="EC36" s="624"/>
      <c r="ED36" s="627"/>
      <c r="EE36" s="625"/>
      <c r="EF36" s="625"/>
      <c r="EG36" s="625"/>
      <c r="EH36" s="625"/>
      <c r="EI36" s="624"/>
      <c r="EJ36" s="627"/>
      <c r="EK36" s="625"/>
      <c r="EL36" s="625"/>
      <c r="EM36" s="625"/>
      <c r="EN36" s="625"/>
      <c r="EO36" s="624"/>
      <c r="EP36" s="627"/>
      <c r="EQ36" s="625"/>
      <c r="ER36" s="625"/>
      <c r="ES36" s="625"/>
      <c r="ET36" s="625"/>
      <c r="EU36" s="624"/>
      <c r="EV36" s="627"/>
      <c r="EW36" s="625"/>
      <c r="EX36" s="625"/>
      <c r="EY36" s="625"/>
      <c r="EZ36" s="625"/>
      <c r="FA36" s="624"/>
      <c r="FB36" s="627"/>
      <c r="FC36" s="625"/>
      <c r="FD36" s="625"/>
      <c r="FE36" s="625"/>
      <c r="FF36" s="625"/>
      <c r="FG36" s="624"/>
      <c r="FH36" s="627"/>
      <c r="FI36" s="625"/>
      <c r="FJ36" s="625"/>
      <c r="FK36" s="625"/>
      <c r="FL36" s="625"/>
      <c r="FM36" s="624"/>
      <c r="FN36" s="627"/>
      <c r="FO36" s="625"/>
      <c r="FP36" s="625"/>
      <c r="FQ36" s="625"/>
      <c r="FR36" s="625"/>
      <c r="FS36" s="624"/>
      <c r="FT36" s="627"/>
      <c r="FU36" s="625"/>
      <c r="FV36" s="625"/>
      <c r="FW36" s="625"/>
      <c r="FX36" s="625"/>
      <c r="FY36" s="624"/>
      <c r="FZ36" s="627"/>
      <c r="GA36" s="625"/>
      <c r="GB36" s="625"/>
      <c r="GC36" s="625"/>
      <c r="GD36" s="625"/>
      <c r="GE36" s="624"/>
      <c r="GF36" s="627"/>
      <c r="GG36" s="625"/>
      <c r="GH36" s="625"/>
      <c r="GI36" s="625"/>
      <c r="GJ36" s="625"/>
      <c r="GK36" s="624"/>
      <c r="GL36" s="627"/>
      <c r="GM36" s="625"/>
      <c r="GN36" s="625"/>
      <c r="GO36" s="625"/>
      <c r="GP36" s="625"/>
      <c r="GQ36" s="624"/>
      <c r="GR36" s="627"/>
      <c r="GS36" s="625"/>
      <c r="GT36" s="625"/>
      <c r="GU36" s="625"/>
      <c r="GV36" s="625"/>
      <c r="GW36" s="624"/>
      <c r="GX36" s="627"/>
      <c r="GY36" s="625"/>
      <c r="GZ36" s="625"/>
      <c r="HA36" s="625"/>
      <c r="HB36" s="625"/>
      <c r="HC36" s="624"/>
      <c r="HD36" s="627"/>
      <c r="HE36" s="625"/>
      <c r="HF36" s="625"/>
      <c r="HG36" s="625"/>
      <c r="HH36" s="625"/>
      <c r="HI36" s="624"/>
      <c r="HJ36" s="627"/>
      <c r="HK36" s="625"/>
      <c r="HL36" s="625"/>
      <c r="HM36" s="625"/>
      <c r="HN36" s="625"/>
      <c r="HO36" s="624"/>
      <c r="HP36" s="627"/>
      <c r="HQ36" s="625"/>
      <c r="HR36" s="625"/>
      <c r="HS36" s="625"/>
      <c r="HT36" s="625"/>
      <c r="HU36" s="624"/>
      <c r="HV36" s="627"/>
      <c r="HW36" s="625"/>
      <c r="HX36" s="625"/>
      <c r="HY36" s="625"/>
      <c r="HZ36" s="625"/>
      <c r="IA36" s="624"/>
      <c r="IB36" s="627"/>
      <c r="IC36" s="625"/>
      <c r="ID36" s="625"/>
      <c r="IE36" s="625"/>
      <c r="IF36" s="625"/>
      <c r="IG36" s="624"/>
      <c r="IH36" s="627"/>
      <c r="II36" s="625"/>
      <c r="IJ36" s="625"/>
      <c r="IK36" s="625"/>
    </row>
    <row r="37" spans="2:245" ht="28.5" x14ac:dyDescent="0.2">
      <c r="B37" s="829">
        <v>31</v>
      </c>
      <c r="C37" s="892" t="s">
        <v>662</v>
      </c>
      <c r="D37" s="896" t="s">
        <v>663</v>
      </c>
      <c r="E37" s="896" t="s">
        <v>664</v>
      </c>
      <c r="F37" s="893">
        <v>0</v>
      </c>
      <c r="G37" s="880" t="s">
        <v>574</v>
      </c>
      <c r="H37" s="897">
        <v>0</v>
      </c>
      <c r="I37" s="893">
        <v>3</v>
      </c>
      <c r="J37" s="880" t="s">
        <v>574</v>
      </c>
      <c r="K37" s="894">
        <v>10.468</v>
      </c>
      <c r="L37" s="883">
        <f t="shared" si="3"/>
        <v>70.459999999999994</v>
      </c>
      <c r="M37" s="898">
        <v>7</v>
      </c>
      <c r="N37" s="884">
        <f t="shared" si="4"/>
        <v>493.22</v>
      </c>
      <c r="O37" s="895">
        <f>3.45+3.42+3.43+3.44</f>
        <v>13.74</v>
      </c>
      <c r="P37" s="884">
        <f t="shared" si="5"/>
        <v>506.96000000000004</v>
      </c>
      <c r="Q37" s="625"/>
      <c r="R37" s="626"/>
      <c r="S37" s="624"/>
      <c r="T37" s="627"/>
      <c r="U37" s="625"/>
      <c r="V37" s="625"/>
      <c r="W37" s="625"/>
      <c r="X37" s="625"/>
      <c r="Y37" s="624"/>
      <c r="Z37" s="627"/>
      <c r="AA37" s="625"/>
      <c r="AB37" s="625"/>
      <c r="AC37" s="625"/>
      <c r="AD37" s="625"/>
      <c r="AE37" s="624"/>
      <c r="AF37" s="627"/>
      <c r="AG37" s="625"/>
      <c r="AH37" s="625"/>
      <c r="AI37" s="625"/>
      <c r="AJ37" s="625"/>
      <c r="AK37" s="624"/>
      <c r="AL37" s="627"/>
      <c r="AM37" s="625"/>
      <c r="AN37" s="625"/>
      <c r="AO37" s="625"/>
      <c r="AP37" s="625"/>
      <c r="AQ37" s="624"/>
      <c r="AR37" s="627"/>
      <c r="AS37" s="625"/>
      <c r="AT37" s="625"/>
      <c r="AU37" s="625"/>
      <c r="AV37" s="625"/>
      <c r="AW37" s="624"/>
      <c r="AX37" s="627"/>
      <c r="AY37" s="625"/>
      <c r="AZ37" s="625"/>
      <c r="BA37" s="625"/>
      <c r="BB37" s="625"/>
      <c r="BC37" s="624"/>
      <c r="BD37" s="627"/>
      <c r="BE37" s="625"/>
      <c r="BF37" s="625"/>
      <c r="BG37" s="625"/>
      <c r="BH37" s="625"/>
      <c r="BI37" s="624"/>
      <c r="BJ37" s="627"/>
      <c r="BK37" s="625"/>
      <c r="BL37" s="625"/>
      <c r="BM37" s="625"/>
      <c r="BN37" s="625"/>
      <c r="BO37" s="624"/>
      <c r="BP37" s="627"/>
      <c r="BQ37" s="625"/>
      <c r="BR37" s="625"/>
      <c r="BS37" s="625"/>
      <c r="BT37" s="625"/>
      <c r="BU37" s="624"/>
      <c r="BV37" s="627"/>
      <c r="BW37" s="625"/>
      <c r="BX37" s="625"/>
      <c r="BY37" s="625"/>
      <c r="BZ37" s="625"/>
      <c r="CA37" s="624"/>
      <c r="CB37" s="627"/>
      <c r="CC37" s="625"/>
      <c r="CD37" s="625"/>
      <c r="CE37" s="625"/>
      <c r="CF37" s="625"/>
      <c r="CG37" s="624"/>
      <c r="CH37" s="627"/>
      <c r="CI37" s="625"/>
      <c r="CJ37" s="625"/>
      <c r="CK37" s="625"/>
      <c r="CL37" s="625"/>
      <c r="CM37" s="624"/>
      <c r="CN37" s="627"/>
      <c r="CO37" s="625"/>
      <c r="CP37" s="625"/>
      <c r="CQ37" s="625"/>
      <c r="CR37" s="625"/>
      <c r="CS37" s="624"/>
      <c r="CT37" s="627"/>
      <c r="CU37" s="625"/>
      <c r="CV37" s="625"/>
      <c r="CW37" s="625"/>
      <c r="CX37" s="625"/>
      <c r="CY37" s="624"/>
      <c r="CZ37" s="627"/>
      <c r="DA37" s="625"/>
      <c r="DB37" s="625"/>
      <c r="DC37" s="625"/>
      <c r="DD37" s="625"/>
      <c r="DE37" s="624"/>
      <c r="DF37" s="627"/>
      <c r="DG37" s="625"/>
      <c r="DH37" s="625"/>
      <c r="DI37" s="625"/>
      <c r="DJ37" s="625"/>
      <c r="DK37" s="624"/>
      <c r="DL37" s="627"/>
      <c r="DM37" s="625"/>
      <c r="DN37" s="625"/>
      <c r="DO37" s="625"/>
      <c r="DP37" s="625"/>
      <c r="DQ37" s="624"/>
      <c r="DR37" s="627"/>
      <c r="DS37" s="625"/>
      <c r="DT37" s="625"/>
      <c r="DU37" s="625"/>
      <c r="DV37" s="625"/>
      <c r="DW37" s="624"/>
      <c r="DX37" s="627"/>
      <c r="DY37" s="625"/>
      <c r="DZ37" s="625"/>
      <c r="EA37" s="625"/>
      <c r="EB37" s="625"/>
      <c r="EC37" s="624"/>
      <c r="ED37" s="627"/>
      <c r="EE37" s="625"/>
      <c r="EF37" s="625"/>
      <c r="EG37" s="625"/>
      <c r="EH37" s="625"/>
      <c r="EI37" s="624"/>
      <c r="EJ37" s="627"/>
      <c r="EK37" s="625"/>
      <c r="EL37" s="625"/>
      <c r="EM37" s="625"/>
      <c r="EN37" s="625"/>
      <c r="EO37" s="624"/>
      <c r="EP37" s="627"/>
      <c r="EQ37" s="625"/>
      <c r="ER37" s="625"/>
      <c r="ES37" s="625"/>
      <c r="ET37" s="625"/>
      <c r="EU37" s="624"/>
      <c r="EV37" s="627"/>
      <c r="EW37" s="625"/>
      <c r="EX37" s="625"/>
      <c r="EY37" s="625"/>
      <c r="EZ37" s="625"/>
      <c r="FA37" s="624"/>
      <c r="FB37" s="627"/>
      <c r="FC37" s="625"/>
      <c r="FD37" s="625"/>
      <c r="FE37" s="625"/>
      <c r="FF37" s="625"/>
      <c r="FG37" s="624"/>
      <c r="FH37" s="627"/>
      <c r="FI37" s="625"/>
      <c r="FJ37" s="625"/>
      <c r="FK37" s="625"/>
      <c r="FL37" s="625"/>
      <c r="FM37" s="624"/>
      <c r="FN37" s="627"/>
      <c r="FO37" s="625"/>
      <c r="FP37" s="625"/>
      <c r="FQ37" s="625"/>
      <c r="FR37" s="625"/>
      <c r="FS37" s="624"/>
      <c r="FT37" s="627"/>
      <c r="FU37" s="625"/>
      <c r="FV37" s="625"/>
      <c r="FW37" s="625"/>
      <c r="FX37" s="625"/>
      <c r="FY37" s="624"/>
      <c r="FZ37" s="627"/>
      <c r="GA37" s="625"/>
      <c r="GB37" s="625"/>
      <c r="GC37" s="625"/>
      <c r="GD37" s="625"/>
      <c r="GE37" s="624"/>
      <c r="GF37" s="627"/>
      <c r="GG37" s="625"/>
      <c r="GH37" s="625"/>
      <c r="GI37" s="625"/>
      <c r="GJ37" s="625"/>
      <c r="GK37" s="624"/>
      <c r="GL37" s="627"/>
      <c r="GM37" s="625"/>
      <c r="GN37" s="625"/>
      <c r="GO37" s="625"/>
      <c r="GP37" s="625"/>
      <c r="GQ37" s="624"/>
      <c r="GR37" s="627"/>
      <c r="GS37" s="625"/>
      <c r="GT37" s="625"/>
      <c r="GU37" s="625"/>
      <c r="GV37" s="625"/>
      <c r="GW37" s="624"/>
      <c r="GX37" s="627"/>
      <c r="GY37" s="625"/>
      <c r="GZ37" s="625"/>
      <c r="HA37" s="625"/>
      <c r="HB37" s="625"/>
      <c r="HC37" s="624"/>
      <c r="HD37" s="627"/>
      <c r="HE37" s="625"/>
      <c r="HF37" s="625"/>
      <c r="HG37" s="625"/>
      <c r="HH37" s="625"/>
      <c r="HI37" s="624"/>
      <c r="HJ37" s="627"/>
      <c r="HK37" s="625"/>
      <c r="HL37" s="625"/>
      <c r="HM37" s="625"/>
      <c r="HN37" s="625"/>
      <c r="HO37" s="624"/>
      <c r="HP37" s="627"/>
      <c r="HQ37" s="625"/>
      <c r="HR37" s="625"/>
      <c r="HS37" s="625"/>
      <c r="HT37" s="625"/>
      <c r="HU37" s="624"/>
      <c r="HV37" s="627"/>
      <c r="HW37" s="625"/>
      <c r="HX37" s="625"/>
      <c r="HY37" s="625"/>
      <c r="HZ37" s="625"/>
      <c r="IA37" s="624"/>
      <c r="IB37" s="627"/>
      <c r="IC37" s="625"/>
      <c r="ID37" s="625"/>
      <c r="IE37" s="625"/>
      <c r="IF37" s="625"/>
      <c r="IG37" s="624"/>
      <c r="IH37" s="627"/>
      <c r="II37" s="625"/>
      <c r="IJ37" s="625"/>
      <c r="IK37" s="625"/>
    </row>
    <row r="38" spans="2:245" ht="28.5" x14ac:dyDescent="0.2">
      <c r="B38" s="829">
        <v>32</v>
      </c>
      <c r="C38" s="892" t="s">
        <v>665</v>
      </c>
      <c r="D38" s="896" t="s">
        <v>666</v>
      </c>
      <c r="E38" s="896" t="s">
        <v>667</v>
      </c>
      <c r="F38" s="893">
        <v>0</v>
      </c>
      <c r="G38" s="880" t="s">
        <v>574</v>
      </c>
      <c r="H38" s="897">
        <v>0</v>
      </c>
      <c r="I38" s="893">
        <v>5</v>
      </c>
      <c r="J38" s="880" t="s">
        <v>574</v>
      </c>
      <c r="K38" s="894">
        <v>6.2130000000000001</v>
      </c>
      <c r="L38" s="883">
        <f t="shared" si="3"/>
        <v>106.21</v>
      </c>
      <c r="M38" s="898">
        <v>7</v>
      </c>
      <c r="N38" s="884">
        <f t="shared" si="4"/>
        <v>743.47</v>
      </c>
      <c r="O38" s="895">
        <f>3.33+3.54+3.51+3.36</f>
        <v>13.739999999999998</v>
      </c>
      <c r="P38" s="884">
        <f t="shared" si="5"/>
        <v>757.21</v>
      </c>
      <c r="Q38" s="625"/>
      <c r="R38" s="626"/>
      <c r="S38" s="624"/>
      <c r="T38" s="627"/>
      <c r="U38" s="625"/>
      <c r="V38" s="625"/>
      <c r="W38" s="625"/>
      <c r="X38" s="625"/>
      <c r="Y38" s="624"/>
      <c r="Z38" s="627"/>
      <c r="AA38" s="625"/>
      <c r="AB38" s="625"/>
      <c r="AC38" s="625"/>
      <c r="AD38" s="625"/>
      <c r="AE38" s="624"/>
      <c r="AF38" s="627"/>
      <c r="AG38" s="625"/>
      <c r="AH38" s="625"/>
      <c r="AI38" s="625"/>
      <c r="AJ38" s="625"/>
      <c r="AK38" s="624"/>
      <c r="AL38" s="627"/>
      <c r="AM38" s="625"/>
      <c r="AN38" s="625"/>
      <c r="AO38" s="625"/>
      <c r="AP38" s="625"/>
      <c r="AQ38" s="624"/>
      <c r="AR38" s="627"/>
      <c r="AS38" s="625"/>
      <c r="AT38" s="625"/>
      <c r="AU38" s="625"/>
      <c r="AV38" s="625"/>
      <c r="AW38" s="624"/>
      <c r="AX38" s="627"/>
      <c r="AY38" s="625"/>
      <c r="AZ38" s="625"/>
      <c r="BA38" s="625"/>
      <c r="BB38" s="625"/>
      <c r="BC38" s="624"/>
      <c r="BD38" s="627"/>
      <c r="BE38" s="625"/>
      <c r="BF38" s="625"/>
      <c r="BG38" s="625"/>
      <c r="BH38" s="625"/>
      <c r="BI38" s="624"/>
      <c r="BJ38" s="627"/>
      <c r="BK38" s="625"/>
      <c r="BL38" s="625"/>
      <c r="BM38" s="625"/>
      <c r="BN38" s="625"/>
      <c r="BO38" s="624"/>
      <c r="BP38" s="627"/>
      <c r="BQ38" s="625"/>
      <c r="BR38" s="625"/>
      <c r="BS38" s="625"/>
      <c r="BT38" s="625"/>
      <c r="BU38" s="624"/>
      <c r="BV38" s="627"/>
      <c r="BW38" s="625"/>
      <c r="BX38" s="625"/>
      <c r="BY38" s="625"/>
      <c r="BZ38" s="625"/>
      <c r="CA38" s="624"/>
      <c r="CB38" s="627"/>
      <c r="CC38" s="625"/>
      <c r="CD38" s="625"/>
      <c r="CE38" s="625"/>
      <c r="CF38" s="625"/>
      <c r="CG38" s="624"/>
      <c r="CH38" s="627"/>
      <c r="CI38" s="625"/>
      <c r="CJ38" s="625"/>
      <c r="CK38" s="625"/>
      <c r="CL38" s="625"/>
      <c r="CM38" s="624"/>
      <c r="CN38" s="627"/>
      <c r="CO38" s="625"/>
      <c r="CP38" s="625"/>
      <c r="CQ38" s="625"/>
      <c r="CR38" s="625"/>
      <c r="CS38" s="624"/>
      <c r="CT38" s="627"/>
      <c r="CU38" s="625"/>
      <c r="CV38" s="625"/>
      <c r="CW38" s="625"/>
      <c r="CX38" s="625"/>
      <c r="CY38" s="624"/>
      <c r="CZ38" s="627"/>
      <c r="DA38" s="625"/>
      <c r="DB38" s="625"/>
      <c r="DC38" s="625"/>
      <c r="DD38" s="625"/>
      <c r="DE38" s="624"/>
      <c r="DF38" s="627"/>
      <c r="DG38" s="625"/>
      <c r="DH38" s="625"/>
      <c r="DI38" s="625"/>
      <c r="DJ38" s="625"/>
      <c r="DK38" s="624"/>
      <c r="DL38" s="627"/>
      <c r="DM38" s="625"/>
      <c r="DN38" s="625"/>
      <c r="DO38" s="625"/>
      <c r="DP38" s="625"/>
      <c r="DQ38" s="624"/>
      <c r="DR38" s="627"/>
      <c r="DS38" s="625"/>
      <c r="DT38" s="625"/>
      <c r="DU38" s="625"/>
      <c r="DV38" s="625"/>
      <c r="DW38" s="624"/>
      <c r="DX38" s="627"/>
      <c r="DY38" s="625"/>
      <c r="DZ38" s="625"/>
      <c r="EA38" s="625"/>
      <c r="EB38" s="625"/>
      <c r="EC38" s="624"/>
      <c r="ED38" s="627"/>
      <c r="EE38" s="625"/>
      <c r="EF38" s="625"/>
      <c r="EG38" s="625"/>
      <c r="EH38" s="625"/>
      <c r="EI38" s="624"/>
      <c r="EJ38" s="627"/>
      <c r="EK38" s="625"/>
      <c r="EL38" s="625"/>
      <c r="EM38" s="625"/>
      <c r="EN38" s="625"/>
      <c r="EO38" s="624"/>
      <c r="EP38" s="627"/>
      <c r="EQ38" s="625"/>
      <c r="ER38" s="625"/>
      <c r="ES38" s="625"/>
      <c r="ET38" s="625"/>
      <c r="EU38" s="624"/>
      <c r="EV38" s="627"/>
      <c r="EW38" s="625"/>
      <c r="EX38" s="625"/>
      <c r="EY38" s="625"/>
      <c r="EZ38" s="625"/>
      <c r="FA38" s="624"/>
      <c r="FB38" s="627"/>
      <c r="FC38" s="625"/>
      <c r="FD38" s="625"/>
      <c r="FE38" s="625"/>
      <c r="FF38" s="625"/>
      <c r="FG38" s="624"/>
      <c r="FH38" s="627"/>
      <c r="FI38" s="625"/>
      <c r="FJ38" s="625"/>
      <c r="FK38" s="625"/>
      <c r="FL38" s="625"/>
      <c r="FM38" s="624"/>
      <c r="FN38" s="627"/>
      <c r="FO38" s="625"/>
      <c r="FP38" s="625"/>
      <c r="FQ38" s="625"/>
      <c r="FR38" s="625"/>
      <c r="FS38" s="624"/>
      <c r="FT38" s="627"/>
      <c r="FU38" s="625"/>
      <c r="FV38" s="625"/>
      <c r="FW38" s="625"/>
      <c r="FX38" s="625"/>
      <c r="FY38" s="624"/>
      <c r="FZ38" s="627"/>
      <c r="GA38" s="625"/>
      <c r="GB38" s="625"/>
      <c r="GC38" s="625"/>
      <c r="GD38" s="625"/>
      <c r="GE38" s="624"/>
      <c r="GF38" s="627"/>
      <c r="GG38" s="625"/>
      <c r="GH38" s="625"/>
      <c r="GI38" s="625"/>
      <c r="GJ38" s="625"/>
      <c r="GK38" s="624"/>
      <c r="GL38" s="627"/>
      <c r="GM38" s="625"/>
      <c r="GN38" s="625"/>
      <c r="GO38" s="625"/>
      <c r="GP38" s="625"/>
      <c r="GQ38" s="624"/>
      <c r="GR38" s="627"/>
      <c r="GS38" s="625"/>
      <c r="GT38" s="625"/>
      <c r="GU38" s="625"/>
      <c r="GV38" s="625"/>
      <c r="GW38" s="624"/>
      <c r="GX38" s="627"/>
      <c r="GY38" s="625"/>
      <c r="GZ38" s="625"/>
      <c r="HA38" s="625"/>
      <c r="HB38" s="625"/>
      <c r="HC38" s="624"/>
      <c r="HD38" s="627"/>
      <c r="HE38" s="625"/>
      <c r="HF38" s="625"/>
      <c r="HG38" s="625"/>
      <c r="HH38" s="625"/>
      <c r="HI38" s="624"/>
      <c r="HJ38" s="627"/>
      <c r="HK38" s="625"/>
      <c r="HL38" s="625"/>
      <c r="HM38" s="625"/>
      <c r="HN38" s="625"/>
      <c r="HO38" s="624"/>
      <c r="HP38" s="627"/>
      <c r="HQ38" s="625"/>
      <c r="HR38" s="625"/>
      <c r="HS38" s="625"/>
      <c r="HT38" s="625"/>
      <c r="HU38" s="624"/>
      <c r="HV38" s="627"/>
      <c r="HW38" s="625"/>
      <c r="HX38" s="625"/>
      <c r="HY38" s="625"/>
      <c r="HZ38" s="625"/>
      <c r="IA38" s="624"/>
      <c r="IB38" s="627"/>
      <c r="IC38" s="625"/>
      <c r="ID38" s="625"/>
      <c r="IE38" s="625"/>
      <c r="IF38" s="625"/>
      <c r="IG38" s="624"/>
      <c r="IH38" s="627"/>
      <c r="II38" s="625"/>
      <c r="IJ38" s="625"/>
      <c r="IK38" s="625"/>
    </row>
    <row r="39" spans="2:245" ht="28.5" x14ac:dyDescent="0.2">
      <c r="B39" s="829">
        <v>33</v>
      </c>
      <c r="C39" s="892" t="s">
        <v>668</v>
      </c>
      <c r="D39" s="896" t="s">
        <v>669</v>
      </c>
      <c r="E39" s="896" t="s">
        <v>670</v>
      </c>
      <c r="F39" s="893">
        <v>0</v>
      </c>
      <c r="G39" s="880" t="s">
        <v>574</v>
      </c>
      <c r="H39" s="897">
        <v>0</v>
      </c>
      <c r="I39" s="893">
        <v>5</v>
      </c>
      <c r="J39" s="880" t="s">
        <v>574</v>
      </c>
      <c r="K39" s="894">
        <v>6.282</v>
      </c>
      <c r="L39" s="883">
        <f t="shared" si="3"/>
        <v>106.28</v>
      </c>
      <c r="M39" s="898">
        <v>7</v>
      </c>
      <c r="N39" s="884">
        <f t="shared" si="4"/>
        <v>743.96</v>
      </c>
      <c r="O39" s="895">
        <f>3.43+3.44+3.66+3.21</f>
        <v>13.740000000000002</v>
      </c>
      <c r="P39" s="884">
        <f t="shared" si="5"/>
        <v>757.7</v>
      </c>
      <c r="Q39" s="625"/>
      <c r="R39" s="626"/>
      <c r="S39" s="624"/>
      <c r="T39" s="627"/>
      <c r="U39" s="625"/>
      <c r="V39" s="625"/>
      <c r="W39" s="625"/>
      <c r="X39" s="625"/>
      <c r="Y39" s="624"/>
      <c r="Z39" s="627"/>
      <c r="AA39" s="625"/>
      <c r="AB39" s="625"/>
      <c r="AC39" s="625"/>
      <c r="AD39" s="625"/>
      <c r="AE39" s="624"/>
      <c r="AF39" s="627"/>
      <c r="AG39" s="625"/>
      <c r="AH39" s="625"/>
      <c r="AI39" s="625"/>
      <c r="AJ39" s="625"/>
      <c r="AK39" s="624"/>
      <c r="AL39" s="627"/>
      <c r="AM39" s="625"/>
      <c r="AN39" s="625"/>
      <c r="AO39" s="625"/>
      <c r="AP39" s="625"/>
      <c r="AQ39" s="624"/>
      <c r="AR39" s="627"/>
      <c r="AS39" s="625"/>
      <c r="AT39" s="625"/>
      <c r="AU39" s="625"/>
      <c r="AV39" s="625"/>
      <c r="AW39" s="624"/>
      <c r="AX39" s="627"/>
      <c r="AY39" s="625"/>
      <c r="AZ39" s="625"/>
      <c r="BA39" s="625"/>
      <c r="BB39" s="625"/>
      <c r="BC39" s="624"/>
      <c r="BD39" s="627"/>
      <c r="BE39" s="625"/>
      <c r="BF39" s="625"/>
      <c r="BG39" s="625"/>
      <c r="BH39" s="625"/>
      <c r="BI39" s="624"/>
      <c r="BJ39" s="627"/>
      <c r="BK39" s="625"/>
      <c r="BL39" s="625"/>
      <c r="BM39" s="625"/>
      <c r="BN39" s="625"/>
      <c r="BO39" s="624"/>
      <c r="BP39" s="627"/>
      <c r="BQ39" s="625"/>
      <c r="BR39" s="625"/>
      <c r="BS39" s="625"/>
      <c r="BT39" s="625"/>
      <c r="BU39" s="624"/>
      <c r="BV39" s="627"/>
      <c r="BW39" s="625"/>
      <c r="BX39" s="625"/>
      <c r="BY39" s="625"/>
      <c r="BZ39" s="625"/>
      <c r="CA39" s="624"/>
      <c r="CB39" s="627"/>
      <c r="CC39" s="625"/>
      <c r="CD39" s="625"/>
      <c r="CE39" s="625"/>
      <c r="CF39" s="625"/>
      <c r="CG39" s="624"/>
      <c r="CH39" s="627"/>
      <c r="CI39" s="625"/>
      <c r="CJ39" s="625"/>
      <c r="CK39" s="625"/>
      <c r="CL39" s="625"/>
      <c r="CM39" s="624"/>
      <c r="CN39" s="627"/>
      <c r="CO39" s="625"/>
      <c r="CP39" s="625"/>
      <c r="CQ39" s="625"/>
      <c r="CR39" s="625"/>
      <c r="CS39" s="624"/>
      <c r="CT39" s="627"/>
      <c r="CU39" s="625"/>
      <c r="CV39" s="625"/>
      <c r="CW39" s="625"/>
      <c r="CX39" s="625"/>
      <c r="CY39" s="624"/>
      <c r="CZ39" s="627"/>
      <c r="DA39" s="625"/>
      <c r="DB39" s="625"/>
      <c r="DC39" s="625"/>
      <c r="DD39" s="625"/>
      <c r="DE39" s="624"/>
      <c r="DF39" s="627"/>
      <c r="DG39" s="625"/>
      <c r="DH39" s="625"/>
      <c r="DI39" s="625"/>
      <c r="DJ39" s="625"/>
      <c r="DK39" s="624"/>
      <c r="DL39" s="627"/>
      <c r="DM39" s="625"/>
      <c r="DN39" s="625"/>
      <c r="DO39" s="625"/>
      <c r="DP39" s="625"/>
      <c r="DQ39" s="624"/>
      <c r="DR39" s="627"/>
      <c r="DS39" s="625"/>
      <c r="DT39" s="625"/>
      <c r="DU39" s="625"/>
      <c r="DV39" s="625"/>
      <c r="DW39" s="624"/>
      <c r="DX39" s="627"/>
      <c r="DY39" s="625"/>
      <c r="DZ39" s="625"/>
      <c r="EA39" s="625"/>
      <c r="EB39" s="625"/>
      <c r="EC39" s="624"/>
      <c r="ED39" s="627"/>
      <c r="EE39" s="625"/>
      <c r="EF39" s="625"/>
      <c r="EG39" s="625"/>
      <c r="EH39" s="625"/>
      <c r="EI39" s="624"/>
      <c r="EJ39" s="627"/>
      <c r="EK39" s="625"/>
      <c r="EL39" s="625"/>
      <c r="EM39" s="625"/>
      <c r="EN39" s="625"/>
      <c r="EO39" s="624"/>
      <c r="EP39" s="627"/>
      <c r="EQ39" s="625"/>
      <c r="ER39" s="625"/>
      <c r="ES39" s="625"/>
      <c r="ET39" s="625"/>
      <c r="EU39" s="624"/>
      <c r="EV39" s="627"/>
      <c r="EW39" s="625"/>
      <c r="EX39" s="625"/>
      <c r="EY39" s="625"/>
      <c r="EZ39" s="625"/>
      <c r="FA39" s="624"/>
      <c r="FB39" s="627"/>
      <c r="FC39" s="625"/>
      <c r="FD39" s="625"/>
      <c r="FE39" s="625"/>
      <c r="FF39" s="625"/>
      <c r="FG39" s="624"/>
      <c r="FH39" s="627"/>
      <c r="FI39" s="625"/>
      <c r="FJ39" s="625"/>
      <c r="FK39" s="625"/>
      <c r="FL39" s="625"/>
      <c r="FM39" s="624"/>
      <c r="FN39" s="627"/>
      <c r="FO39" s="625"/>
      <c r="FP39" s="625"/>
      <c r="FQ39" s="625"/>
      <c r="FR39" s="625"/>
      <c r="FS39" s="624"/>
      <c r="FT39" s="627"/>
      <c r="FU39" s="625"/>
      <c r="FV39" s="625"/>
      <c r="FW39" s="625"/>
      <c r="FX39" s="625"/>
      <c r="FY39" s="624"/>
      <c r="FZ39" s="627"/>
      <c r="GA39" s="625"/>
      <c r="GB39" s="625"/>
      <c r="GC39" s="625"/>
      <c r="GD39" s="625"/>
      <c r="GE39" s="624"/>
      <c r="GF39" s="627"/>
      <c r="GG39" s="625"/>
      <c r="GH39" s="625"/>
      <c r="GI39" s="625"/>
      <c r="GJ39" s="625"/>
      <c r="GK39" s="624"/>
      <c r="GL39" s="627"/>
      <c r="GM39" s="625"/>
      <c r="GN39" s="625"/>
      <c r="GO39" s="625"/>
      <c r="GP39" s="625"/>
      <c r="GQ39" s="624"/>
      <c r="GR39" s="627"/>
      <c r="GS39" s="625"/>
      <c r="GT39" s="625"/>
      <c r="GU39" s="625"/>
      <c r="GV39" s="625"/>
      <c r="GW39" s="624"/>
      <c r="GX39" s="627"/>
      <c r="GY39" s="625"/>
      <c r="GZ39" s="625"/>
      <c r="HA39" s="625"/>
      <c r="HB39" s="625"/>
      <c r="HC39" s="624"/>
      <c r="HD39" s="627"/>
      <c r="HE39" s="625"/>
      <c r="HF39" s="625"/>
      <c r="HG39" s="625"/>
      <c r="HH39" s="625"/>
      <c r="HI39" s="624"/>
      <c r="HJ39" s="627"/>
      <c r="HK39" s="625"/>
      <c r="HL39" s="625"/>
      <c r="HM39" s="625"/>
      <c r="HN39" s="625"/>
      <c r="HO39" s="624"/>
      <c r="HP39" s="627"/>
      <c r="HQ39" s="625"/>
      <c r="HR39" s="625"/>
      <c r="HS39" s="625"/>
      <c r="HT39" s="625"/>
      <c r="HU39" s="624"/>
      <c r="HV39" s="627"/>
      <c r="HW39" s="625"/>
      <c r="HX39" s="625"/>
      <c r="HY39" s="625"/>
      <c r="HZ39" s="625"/>
      <c r="IA39" s="624"/>
      <c r="IB39" s="627"/>
      <c r="IC39" s="625"/>
      <c r="ID39" s="625"/>
      <c r="IE39" s="625"/>
      <c r="IF39" s="625"/>
      <c r="IG39" s="624"/>
      <c r="IH39" s="627"/>
      <c r="II39" s="625"/>
      <c r="IJ39" s="625"/>
      <c r="IK39" s="625"/>
    </row>
    <row r="40" spans="2:245" ht="28.5" x14ac:dyDescent="0.2">
      <c r="B40" s="829">
        <v>34</v>
      </c>
      <c r="C40" s="892" t="s">
        <v>671</v>
      </c>
      <c r="D40" s="896" t="s">
        <v>672</v>
      </c>
      <c r="E40" s="896" t="s">
        <v>673</v>
      </c>
      <c r="F40" s="899">
        <v>0</v>
      </c>
      <c r="G40" s="889" t="s">
        <v>574</v>
      </c>
      <c r="H40" s="900">
        <v>0</v>
      </c>
      <c r="I40" s="899">
        <v>3</v>
      </c>
      <c r="J40" s="889" t="s">
        <v>574</v>
      </c>
      <c r="K40" s="901">
        <v>10.177</v>
      </c>
      <c r="L40" s="883">
        <f t="shared" si="3"/>
        <v>70.17</v>
      </c>
      <c r="M40" s="898">
        <v>7</v>
      </c>
      <c r="N40" s="884">
        <f t="shared" si="4"/>
        <v>491.19</v>
      </c>
      <c r="O40" s="895">
        <f>3.43+3.43+3.42+3.45</f>
        <v>13.73</v>
      </c>
      <c r="P40" s="884">
        <f t="shared" si="5"/>
        <v>504.92</v>
      </c>
      <c r="Q40" s="625"/>
      <c r="R40" s="626"/>
      <c r="S40" s="624"/>
      <c r="T40" s="627"/>
      <c r="U40" s="625"/>
      <c r="V40" s="625"/>
      <c r="W40" s="625"/>
      <c r="X40" s="625"/>
      <c r="Y40" s="624"/>
      <c r="Z40" s="627"/>
      <c r="AA40" s="625"/>
      <c r="AB40" s="625"/>
      <c r="AC40" s="625"/>
      <c r="AD40" s="625"/>
      <c r="AE40" s="624"/>
      <c r="AF40" s="627"/>
      <c r="AG40" s="625"/>
      <c r="AH40" s="625"/>
      <c r="AI40" s="625"/>
      <c r="AJ40" s="625"/>
      <c r="AK40" s="624"/>
      <c r="AL40" s="627"/>
      <c r="AM40" s="625"/>
      <c r="AN40" s="625"/>
      <c r="AO40" s="625"/>
      <c r="AP40" s="625"/>
      <c r="AQ40" s="624"/>
      <c r="AR40" s="627"/>
      <c r="AS40" s="625"/>
      <c r="AT40" s="625"/>
      <c r="AU40" s="625"/>
      <c r="AV40" s="625"/>
      <c r="AW40" s="624"/>
      <c r="AX40" s="627"/>
      <c r="AY40" s="625"/>
      <c r="AZ40" s="625"/>
      <c r="BA40" s="625"/>
      <c r="BB40" s="625"/>
      <c r="BC40" s="624"/>
      <c r="BD40" s="627"/>
      <c r="BE40" s="625"/>
      <c r="BF40" s="625"/>
      <c r="BG40" s="625"/>
      <c r="BH40" s="625"/>
      <c r="BI40" s="624"/>
      <c r="BJ40" s="627"/>
      <c r="BK40" s="625"/>
      <c r="BL40" s="625"/>
      <c r="BM40" s="625"/>
      <c r="BN40" s="625"/>
      <c r="BO40" s="624"/>
      <c r="BP40" s="627"/>
      <c r="BQ40" s="625"/>
      <c r="BR40" s="625"/>
      <c r="BS40" s="625"/>
      <c r="BT40" s="625"/>
      <c r="BU40" s="624"/>
      <c r="BV40" s="627"/>
      <c r="BW40" s="625"/>
      <c r="BX40" s="625"/>
      <c r="BY40" s="625"/>
      <c r="BZ40" s="625"/>
      <c r="CA40" s="624"/>
      <c r="CB40" s="627"/>
      <c r="CC40" s="625"/>
      <c r="CD40" s="625"/>
      <c r="CE40" s="625"/>
      <c r="CF40" s="625"/>
      <c r="CG40" s="624"/>
      <c r="CH40" s="627"/>
      <c r="CI40" s="625"/>
      <c r="CJ40" s="625"/>
      <c r="CK40" s="625"/>
      <c r="CL40" s="625"/>
      <c r="CM40" s="624"/>
      <c r="CN40" s="627"/>
      <c r="CO40" s="625"/>
      <c r="CP40" s="625"/>
      <c r="CQ40" s="625"/>
      <c r="CR40" s="625"/>
      <c r="CS40" s="624"/>
      <c r="CT40" s="627"/>
      <c r="CU40" s="625"/>
      <c r="CV40" s="625"/>
      <c r="CW40" s="625"/>
      <c r="CX40" s="625"/>
      <c r="CY40" s="624"/>
      <c r="CZ40" s="627"/>
      <c r="DA40" s="625"/>
      <c r="DB40" s="625"/>
      <c r="DC40" s="625"/>
      <c r="DD40" s="625"/>
      <c r="DE40" s="624"/>
      <c r="DF40" s="627"/>
      <c r="DG40" s="625"/>
      <c r="DH40" s="625"/>
      <c r="DI40" s="625"/>
      <c r="DJ40" s="625"/>
      <c r="DK40" s="624"/>
      <c r="DL40" s="627"/>
      <c r="DM40" s="625"/>
      <c r="DN40" s="625"/>
      <c r="DO40" s="625"/>
      <c r="DP40" s="625"/>
      <c r="DQ40" s="624"/>
      <c r="DR40" s="627"/>
      <c r="DS40" s="625"/>
      <c r="DT40" s="625"/>
      <c r="DU40" s="625"/>
      <c r="DV40" s="625"/>
      <c r="DW40" s="624"/>
      <c r="DX40" s="627"/>
      <c r="DY40" s="625"/>
      <c r="DZ40" s="625"/>
      <c r="EA40" s="625"/>
      <c r="EB40" s="625"/>
      <c r="EC40" s="624"/>
      <c r="ED40" s="627"/>
      <c r="EE40" s="625"/>
      <c r="EF40" s="625"/>
      <c r="EG40" s="625"/>
      <c r="EH40" s="625"/>
      <c r="EI40" s="624"/>
      <c r="EJ40" s="627"/>
      <c r="EK40" s="625"/>
      <c r="EL40" s="625"/>
      <c r="EM40" s="625"/>
      <c r="EN40" s="625"/>
      <c r="EO40" s="624"/>
      <c r="EP40" s="627"/>
      <c r="EQ40" s="625"/>
      <c r="ER40" s="625"/>
      <c r="ES40" s="625"/>
      <c r="ET40" s="625"/>
      <c r="EU40" s="624"/>
      <c r="EV40" s="627"/>
      <c r="EW40" s="625"/>
      <c r="EX40" s="625"/>
      <c r="EY40" s="625"/>
      <c r="EZ40" s="625"/>
      <c r="FA40" s="624"/>
      <c r="FB40" s="627"/>
      <c r="FC40" s="625"/>
      <c r="FD40" s="625"/>
      <c r="FE40" s="625"/>
      <c r="FF40" s="625"/>
      <c r="FG40" s="624"/>
      <c r="FH40" s="627"/>
      <c r="FI40" s="625"/>
      <c r="FJ40" s="625"/>
      <c r="FK40" s="625"/>
      <c r="FL40" s="625"/>
      <c r="FM40" s="624"/>
      <c r="FN40" s="627"/>
      <c r="FO40" s="625"/>
      <c r="FP40" s="625"/>
      <c r="FQ40" s="625"/>
      <c r="FR40" s="625"/>
      <c r="FS40" s="624"/>
      <c r="FT40" s="627"/>
      <c r="FU40" s="625"/>
      <c r="FV40" s="625"/>
      <c r="FW40" s="625"/>
      <c r="FX40" s="625"/>
      <c r="FY40" s="624"/>
      <c r="FZ40" s="627"/>
      <c r="GA40" s="625"/>
      <c r="GB40" s="625"/>
      <c r="GC40" s="625"/>
      <c r="GD40" s="625"/>
      <c r="GE40" s="624"/>
      <c r="GF40" s="627"/>
      <c r="GG40" s="625"/>
      <c r="GH40" s="625"/>
      <c r="GI40" s="625"/>
      <c r="GJ40" s="625"/>
      <c r="GK40" s="624"/>
      <c r="GL40" s="627"/>
      <c r="GM40" s="625"/>
      <c r="GN40" s="625"/>
      <c r="GO40" s="625"/>
      <c r="GP40" s="625"/>
      <c r="GQ40" s="624"/>
      <c r="GR40" s="627"/>
      <c r="GS40" s="625"/>
      <c r="GT40" s="625"/>
      <c r="GU40" s="625"/>
      <c r="GV40" s="625"/>
      <c r="GW40" s="624"/>
      <c r="GX40" s="627"/>
      <c r="GY40" s="625"/>
      <c r="GZ40" s="625"/>
      <c r="HA40" s="625"/>
      <c r="HB40" s="625"/>
      <c r="HC40" s="624"/>
      <c r="HD40" s="627"/>
      <c r="HE40" s="625"/>
      <c r="HF40" s="625"/>
      <c r="HG40" s="625"/>
      <c r="HH40" s="625"/>
      <c r="HI40" s="624"/>
      <c r="HJ40" s="627"/>
      <c r="HK40" s="625"/>
      <c r="HL40" s="625"/>
      <c r="HM40" s="625"/>
      <c r="HN40" s="625"/>
      <c r="HO40" s="624"/>
      <c r="HP40" s="627"/>
      <c r="HQ40" s="625"/>
      <c r="HR40" s="625"/>
      <c r="HS40" s="625"/>
      <c r="HT40" s="625"/>
      <c r="HU40" s="624"/>
      <c r="HV40" s="627"/>
      <c r="HW40" s="625"/>
      <c r="HX40" s="625"/>
      <c r="HY40" s="625"/>
      <c r="HZ40" s="625"/>
      <c r="IA40" s="624"/>
      <c r="IB40" s="627"/>
      <c r="IC40" s="625"/>
      <c r="ID40" s="625"/>
      <c r="IE40" s="625"/>
      <c r="IF40" s="625"/>
      <c r="IG40" s="624"/>
      <c r="IH40" s="627"/>
      <c r="II40" s="625"/>
      <c r="IJ40" s="625"/>
      <c r="IK40" s="625"/>
    </row>
    <row r="41" spans="2:245" ht="28.5" x14ac:dyDescent="0.2">
      <c r="B41" s="829">
        <v>35</v>
      </c>
      <c r="C41" s="892" t="s">
        <v>674</v>
      </c>
      <c r="D41" s="896" t="s">
        <v>675</v>
      </c>
      <c r="E41" s="896" t="s">
        <v>676</v>
      </c>
      <c r="F41" s="899">
        <v>0</v>
      </c>
      <c r="G41" s="889" t="s">
        <v>574</v>
      </c>
      <c r="H41" s="900">
        <v>0</v>
      </c>
      <c r="I41" s="899">
        <v>5</v>
      </c>
      <c r="J41" s="889" t="s">
        <v>574</v>
      </c>
      <c r="K41" s="901">
        <v>6.7320000000000002</v>
      </c>
      <c r="L41" s="883">
        <f t="shared" si="3"/>
        <v>106.73</v>
      </c>
      <c r="M41" s="898">
        <v>7</v>
      </c>
      <c r="N41" s="884">
        <f t="shared" si="4"/>
        <v>747.11</v>
      </c>
      <c r="O41" s="895">
        <f>3.43+3.43+3.42+3.45</f>
        <v>13.73</v>
      </c>
      <c r="P41" s="884">
        <f t="shared" si="5"/>
        <v>760.84</v>
      </c>
      <c r="Q41" s="625"/>
      <c r="R41" s="626"/>
      <c r="S41" s="624"/>
      <c r="T41" s="627"/>
      <c r="U41" s="625"/>
      <c r="V41" s="625"/>
      <c r="W41" s="625"/>
      <c r="X41" s="625"/>
      <c r="Y41" s="624"/>
      <c r="Z41" s="627"/>
      <c r="AA41" s="625"/>
      <c r="AB41" s="625"/>
      <c r="AC41" s="625"/>
      <c r="AD41" s="625"/>
      <c r="AE41" s="624"/>
      <c r="AF41" s="627"/>
      <c r="AG41" s="625"/>
      <c r="AH41" s="625"/>
      <c r="AI41" s="625"/>
      <c r="AJ41" s="625"/>
      <c r="AK41" s="624"/>
      <c r="AL41" s="627"/>
      <c r="AM41" s="625"/>
      <c r="AN41" s="625"/>
      <c r="AO41" s="625"/>
      <c r="AP41" s="625"/>
      <c r="AQ41" s="624"/>
      <c r="AR41" s="627"/>
      <c r="AS41" s="625"/>
      <c r="AT41" s="625"/>
      <c r="AU41" s="625"/>
      <c r="AV41" s="625"/>
      <c r="AW41" s="624"/>
      <c r="AX41" s="627"/>
      <c r="AY41" s="625"/>
      <c r="AZ41" s="625"/>
      <c r="BA41" s="625"/>
      <c r="BB41" s="625"/>
      <c r="BC41" s="624"/>
      <c r="BD41" s="627"/>
      <c r="BE41" s="625"/>
      <c r="BF41" s="625"/>
      <c r="BG41" s="625"/>
      <c r="BH41" s="625"/>
      <c r="BI41" s="624"/>
      <c r="BJ41" s="627"/>
      <c r="BK41" s="625"/>
      <c r="BL41" s="625"/>
      <c r="BM41" s="625"/>
      <c r="BN41" s="625"/>
      <c r="BO41" s="624"/>
      <c r="BP41" s="627"/>
      <c r="BQ41" s="625"/>
      <c r="BR41" s="625"/>
      <c r="BS41" s="625"/>
      <c r="BT41" s="625"/>
      <c r="BU41" s="624"/>
      <c r="BV41" s="627"/>
      <c r="BW41" s="625"/>
      <c r="BX41" s="625"/>
      <c r="BY41" s="625"/>
      <c r="BZ41" s="625"/>
      <c r="CA41" s="624"/>
      <c r="CB41" s="627"/>
      <c r="CC41" s="625"/>
      <c r="CD41" s="625"/>
      <c r="CE41" s="625"/>
      <c r="CF41" s="625"/>
      <c r="CG41" s="624"/>
      <c r="CH41" s="627"/>
      <c r="CI41" s="625"/>
      <c r="CJ41" s="625"/>
      <c r="CK41" s="625"/>
      <c r="CL41" s="625"/>
      <c r="CM41" s="624"/>
      <c r="CN41" s="627"/>
      <c r="CO41" s="625"/>
      <c r="CP41" s="625"/>
      <c r="CQ41" s="625"/>
      <c r="CR41" s="625"/>
      <c r="CS41" s="624"/>
      <c r="CT41" s="627"/>
      <c r="CU41" s="625"/>
      <c r="CV41" s="625"/>
      <c r="CW41" s="625"/>
      <c r="CX41" s="625"/>
      <c r="CY41" s="624"/>
      <c r="CZ41" s="627"/>
      <c r="DA41" s="625"/>
      <c r="DB41" s="625"/>
      <c r="DC41" s="625"/>
      <c r="DD41" s="625"/>
      <c r="DE41" s="624"/>
      <c r="DF41" s="627"/>
      <c r="DG41" s="625"/>
      <c r="DH41" s="625"/>
      <c r="DI41" s="625"/>
      <c r="DJ41" s="625"/>
      <c r="DK41" s="624"/>
      <c r="DL41" s="627"/>
      <c r="DM41" s="625"/>
      <c r="DN41" s="625"/>
      <c r="DO41" s="625"/>
      <c r="DP41" s="625"/>
      <c r="DQ41" s="624"/>
      <c r="DR41" s="627"/>
      <c r="DS41" s="625"/>
      <c r="DT41" s="625"/>
      <c r="DU41" s="625"/>
      <c r="DV41" s="625"/>
      <c r="DW41" s="624"/>
      <c r="DX41" s="627"/>
      <c r="DY41" s="625"/>
      <c r="DZ41" s="625"/>
      <c r="EA41" s="625"/>
      <c r="EB41" s="625"/>
      <c r="EC41" s="624"/>
      <c r="ED41" s="627"/>
      <c r="EE41" s="625"/>
      <c r="EF41" s="625"/>
      <c r="EG41" s="625"/>
      <c r="EH41" s="625"/>
      <c r="EI41" s="624"/>
      <c r="EJ41" s="627"/>
      <c r="EK41" s="625"/>
      <c r="EL41" s="625"/>
      <c r="EM41" s="625"/>
      <c r="EN41" s="625"/>
      <c r="EO41" s="624"/>
      <c r="EP41" s="627"/>
      <c r="EQ41" s="625"/>
      <c r="ER41" s="625"/>
      <c r="ES41" s="625"/>
      <c r="ET41" s="625"/>
      <c r="EU41" s="624"/>
      <c r="EV41" s="627"/>
      <c r="EW41" s="625"/>
      <c r="EX41" s="625"/>
      <c r="EY41" s="625"/>
      <c r="EZ41" s="625"/>
      <c r="FA41" s="624"/>
      <c r="FB41" s="627"/>
      <c r="FC41" s="625"/>
      <c r="FD41" s="625"/>
      <c r="FE41" s="625"/>
      <c r="FF41" s="625"/>
      <c r="FG41" s="624"/>
      <c r="FH41" s="627"/>
      <c r="FI41" s="625"/>
      <c r="FJ41" s="625"/>
      <c r="FK41" s="625"/>
      <c r="FL41" s="625"/>
      <c r="FM41" s="624"/>
      <c r="FN41" s="627"/>
      <c r="FO41" s="625"/>
      <c r="FP41" s="625"/>
      <c r="FQ41" s="625"/>
      <c r="FR41" s="625"/>
      <c r="FS41" s="624"/>
      <c r="FT41" s="627"/>
      <c r="FU41" s="625"/>
      <c r="FV41" s="625"/>
      <c r="FW41" s="625"/>
      <c r="FX41" s="625"/>
      <c r="FY41" s="624"/>
      <c r="FZ41" s="627"/>
      <c r="GA41" s="625"/>
      <c r="GB41" s="625"/>
      <c r="GC41" s="625"/>
      <c r="GD41" s="625"/>
      <c r="GE41" s="624"/>
      <c r="GF41" s="627"/>
      <c r="GG41" s="625"/>
      <c r="GH41" s="625"/>
      <c r="GI41" s="625"/>
      <c r="GJ41" s="625"/>
      <c r="GK41" s="624"/>
      <c r="GL41" s="627"/>
      <c r="GM41" s="625"/>
      <c r="GN41" s="625"/>
      <c r="GO41" s="625"/>
      <c r="GP41" s="625"/>
      <c r="GQ41" s="624"/>
      <c r="GR41" s="627"/>
      <c r="GS41" s="625"/>
      <c r="GT41" s="625"/>
      <c r="GU41" s="625"/>
      <c r="GV41" s="625"/>
      <c r="GW41" s="624"/>
      <c r="GX41" s="627"/>
      <c r="GY41" s="625"/>
      <c r="GZ41" s="625"/>
      <c r="HA41" s="625"/>
      <c r="HB41" s="625"/>
      <c r="HC41" s="624"/>
      <c r="HD41" s="627"/>
      <c r="HE41" s="625"/>
      <c r="HF41" s="625"/>
      <c r="HG41" s="625"/>
      <c r="HH41" s="625"/>
      <c r="HI41" s="624"/>
      <c r="HJ41" s="627"/>
      <c r="HK41" s="625"/>
      <c r="HL41" s="625"/>
      <c r="HM41" s="625"/>
      <c r="HN41" s="625"/>
      <c r="HO41" s="624"/>
      <c r="HP41" s="627"/>
      <c r="HQ41" s="625"/>
      <c r="HR41" s="625"/>
      <c r="HS41" s="625"/>
      <c r="HT41" s="625"/>
      <c r="HU41" s="624"/>
      <c r="HV41" s="627"/>
      <c r="HW41" s="625"/>
      <c r="HX41" s="625"/>
      <c r="HY41" s="625"/>
      <c r="HZ41" s="625"/>
      <c r="IA41" s="624"/>
      <c r="IB41" s="627"/>
      <c r="IC41" s="625"/>
      <c r="ID41" s="625"/>
      <c r="IE41" s="625"/>
      <c r="IF41" s="625"/>
      <c r="IG41" s="624"/>
      <c r="IH41" s="627"/>
      <c r="II41" s="625"/>
      <c r="IJ41" s="625"/>
      <c r="IK41" s="625"/>
    </row>
    <row r="42" spans="2:245" ht="28.5" x14ac:dyDescent="0.2">
      <c r="B42" s="829">
        <v>36</v>
      </c>
      <c r="C42" s="892" t="s">
        <v>617</v>
      </c>
      <c r="D42" s="896" t="s">
        <v>677</v>
      </c>
      <c r="E42" s="896" t="s">
        <v>678</v>
      </c>
      <c r="F42" s="899">
        <v>0</v>
      </c>
      <c r="G42" s="889" t="s">
        <v>574</v>
      </c>
      <c r="H42" s="900">
        <v>0</v>
      </c>
      <c r="I42" s="899">
        <v>19</v>
      </c>
      <c r="J42" s="889" t="s">
        <v>574</v>
      </c>
      <c r="K42" s="901">
        <v>13.548</v>
      </c>
      <c r="L42" s="883">
        <f t="shared" si="3"/>
        <v>393.54</v>
      </c>
      <c r="M42" s="898">
        <v>8</v>
      </c>
      <c r="N42" s="884">
        <f t="shared" si="4"/>
        <v>3148.32</v>
      </c>
      <c r="O42" s="895">
        <f>3.54+3.33+38.87+38.87+38.87+3.44+3.44</f>
        <v>130.35999999999999</v>
      </c>
      <c r="P42" s="884">
        <f t="shared" si="5"/>
        <v>3278.6800000000003</v>
      </c>
      <c r="Q42" s="625"/>
      <c r="R42" s="626"/>
      <c r="S42" s="624"/>
      <c r="T42" s="627"/>
      <c r="U42" s="625"/>
      <c r="V42" s="625"/>
      <c r="W42" s="625"/>
      <c r="X42" s="625"/>
      <c r="Y42" s="624"/>
      <c r="Z42" s="627"/>
      <c r="AA42" s="625"/>
      <c r="AB42" s="625"/>
      <c r="AC42" s="625"/>
      <c r="AD42" s="625"/>
      <c r="AE42" s="624"/>
      <c r="AF42" s="627"/>
      <c r="AG42" s="625"/>
      <c r="AH42" s="625"/>
      <c r="AI42" s="625"/>
      <c r="AJ42" s="625"/>
      <c r="AK42" s="624"/>
      <c r="AL42" s="627"/>
      <c r="AM42" s="625"/>
      <c r="AN42" s="625"/>
      <c r="AO42" s="625"/>
      <c r="AP42" s="625"/>
      <c r="AQ42" s="624"/>
      <c r="AR42" s="627"/>
      <c r="AS42" s="625"/>
      <c r="AT42" s="625"/>
      <c r="AU42" s="625"/>
      <c r="AV42" s="625"/>
      <c r="AW42" s="624"/>
      <c r="AX42" s="627"/>
      <c r="AY42" s="625"/>
      <c r="AZ42" s="625"/>
      <c r="BA42" s="625"/>
      <c r="BB42" s="625"/>
      <c r="BC42" s="624"/>
      <c r="BD42" s="627"/>
      <c r="BE42" s="625"/>
      <c r="BF42" s="625"/>
      <c r="BG42" s="625"/>
      <c r="BH42" s="625"/>
      <c r="BI42" s="624"/>
      <c r="BJ42" s="627"/>
      <c r="BK42" s="625"/>
      <c r="BL42" s="625"/>
      <c r="BM42" s="625"/>
      <c r="BN42" s="625"/>
      <c r="BO42" s="624"/>
      <c r="BP42" s="627"/>
      <c r="BQ42" s="625"/>
      <c r="BR42" s="625"/>
      <c r="BS42" s="625"/>
      <c r="BT42" s="625"/>
      <c r="BU42" s="624"/>
      <c r="BV42" s="627"/>
      <c r="BW42" s="625"/>
      <c r="BX42" s="625"/>
      <c r="BY42" s="625"/>
      <c r="BZ42" s="625"/>
      <c r="CA42" s="624"/>
      <c r="CB42" s="627"/>
      <c r="CC42" s="625"/>
      <c r="CD42" s="625"/>
      <c r="CE42" s="625"/>
      <c r="CF42" s="625"/>
      <c r="CG42" s="624"/>
      <c r="CH42" s="627"/>
      <c r="CI42" s="625"/>
      <c r="CJ42" s="625"/>
      <c r="CK42" s="625"/>
      <c r="CL42" s="625"/>
      <c r="CM42" s="624"/>
      <c r="CN42" s="627"/>
      <c r="CO42" s="625"/>
      <c r="CP42" s="625"/>
      <c r="CQ42" s="625"/>
      <c r="CR42" s="625"/>
      <c r="CS42" s="624"/>
      <c r="CT42" s="627"/>
      <c r="CU42" s="625"/>
      <c r="CV42" s="625"/>
      <c r="CW42" s="625"/>
      <c r="CX42" s="625"/>
      <c r="CY42" s="624"/>
      <c r="CZ42" s="627"/>
      <c r="DA42" s="625"/>
      <c r="DB42" s="625"/>
      <c r="DC42" s="625"/>
      <c r="DD42" s="625"/>
      <c r="DE42" s="624"/>
      <c r="DF42" s="627"/>
      <c r="DG42" s="625"/>
      <c r="DH42" s="625"/>
      <c r="DI42" s="625"/>
      <c r="DJ42" s="625"/>
      <c r="DK42" s="624"/>
      <c r="DL42" s="627"/>
      <c r="DM42" s="625"/>
      <c r="DN42" s="625"/>
      <c r="DO42" s="625"/>
      <c r="DP42" s="625"/>
      <c r="DQ42" s="624"/>
      <c r="DR42" s="627"/>
      <c r="DS42" s="625"/>
      <c r="DT42" s="625"/>
      <c r="DU42" s="625"/>
      <c r="DV42" s="625"/>
      <c r="DW42" s="624"/>
      <c r="DX42" s="627"/>
      <c r="DY42" s="625"/>
      <c r="DZ42" s="625"/>
      <c r="EA42" s="625"/>
      <c r="EB42" s="625"/>
      <c r="EC42" s="624"/>
      <c r="ED42" s="627"/>
      <c r="EE42" s="625"/>
      <c r="EF42" s="625"/>
      <c r="EG42" s="625"/>
      <c r="EH42" s="625"/>
      <c r="EI42" s="624"/>
      <c r="EJ42" s="627"/>
      <c r="EK42" s="625"/>
      <c r="EL42" s="625"/>
      <c r="EM42" s="625"/>
      <c r="EN42" s="625"/>
      <c r="EO42" s="624"/>
      <c r="EP42" s="627"/>
      <c r="EQ42" s="625"/>
      <c r="ER42" s="625"/>
      <c r="ES42" s="625"/>
      <c r="ET42" s="625"/>
      <c r="EU42" s="624"/>
      <c r="EV42" s="627"/>
      <c r="EW42" s="625"/>
      <c r="EX42" s="625"/>
      <c r="EY42" s="625"/>
      <c r="EZ42" s="625"/>
      <c r="FA42" s="624"/>
      <c r="FB42" s="627"/>
      <c r="FC42" s="625"/>
      <c r="FD42" s="625"/>
      <c r="FE42" s="625"/>
      <c r="FF42" s="625"/>
      <c r="FG42" s="624"/>
      <c r="FH42" s="627"/>
      <c r="FI42" s="625"/>
      <c r="FJ42" s="625"/>
      <c r="FK42" s="625"/>
      <c r="FL42" s="625"/>
      <c r="FM42" s="624"/>
      <c r="FN42" s="627"/>
      <c r="FO42" s="625"/>
      <c r="FP42" s="625"/>
      <c r="FQ42" s="625"/>
      <c r="FR42" s="625"/>
      <c r="FS42" s="624"/>
      <c r="FT42" s="627"/>
      <c r="FU42" s="625"/>
      <c r="FV42" s="625"/>
      <c r="FW42" s="625"/>
      <c r="FX42" s="625"/>
      <c r="FY42" s="624"/>
      <c r="FZ42" s="627"/>
      <c r="GA42" s="625"/>
      <c r="GB42" s="625"/>
      <c r="GC42" s="625"/>
      <c r="GD42" s="625"/>
      <c r="GE42" s="624"/>
      <c r="GF42" s="627"/>
      <c r="GG42" s="625"/>
      <c r="GH42" s="625"/>
      <c r="GI42" s="625"/>
      <c r="GJ42" s="625"/>
      <c r="GK42" s="624"/>
      <c r="GL42" s="627"/>
      <c r="GM42" s="625"/>
      <c r="GN42" s="625"/>
      <c r="GO42" s="625"/>
      <c r="GP42" s="625"/>
      <c r="GQ42" s="624"/>
      <c r="GR42" s="627"/>
      <c r="GS42" s="625"/>
      <c r="GT42" s="625"/>
      <c r="GU42" s="625"/>
      <c r="GV42" s="625"/>
      <c r="GW42" s="624"/>
      <c r="GX42" s="627"/>
      <c r="GY42" s="625"/>
      <c r="GZ42" s="625"/>
      <c r="HA42" s="625"/>
      <c r="HB42" s="625"/>
      <c r="HC42" s="624"/>
      <c r="HD42" s="627"/>
      <c r="HE42" s="625"/>
      <c r="HF42" s="625"/>
      <c r="HG42" s="625"/>
      <c r="HH42" s="625"/>
      <c r="HI42" s="624"/>
      <c r="HJ42" s="627"/>
      <c r="HK42" s="625"/>
      <c r="HL42" s="625"/>
      <c r="HM42" s="625"/>
      <c r="HN42" s="625"/>
      <c r="HO42" s="624"/>
      <c r="HP42" s="627"/>
      <c r="HQ42" s="625"/>
      <c r="HR42" s="625"/>
      <c r="HS42" s="625"/>
      <c r="HT42" s="625"/>
      <c r="HU42" s="624"/>
      <c r="HV42" s="627"/>
      <c r="HW42" s="625"/>
      <c r="HX42" s="625"/>
      <c r="HY42" s="625"/>
      <c r="HZ42" s="625"/>
      <c r="IA42" s="624"/>
      <c r="IB42" s="627"/>
      <c r="IC42" s="625"/>
      <c r="ID42" s="625"/>
      <c r="IE42" s="625"/>
      <c r="IF42" s="625"/>
      <c r="IG42" s="624"/>
      <c r="IH42" s="627"/>
      <c r="II42" s="625"/>
      <c r="IJ42" s="625"/>
      <c r="IK42" s="625"/>
    </row>
    <row r="43" spans="2:245" ht="28.5" x14ac:dyDescent="0.2">
      <c r="B43" s="829">
        <v>37</v>
      </c>
      <c r="C43" s="892" t="s">
        <v>679</v>
      </c>
      <c r="D43" s="896" t="s">
        <v>680</v>
      </c>
      <c r="E43" s="896" t="s">
        <v>681</v>
      </c>
      <c r="F43" s="899">
        <v>0</v>
      </c>
      <c r="G43" s="889" t="s">
        <v>574</v>
      </c>
      <c r="H43" s="900">
        <v>0</v>
      </c>
      <c r="I43" s="899">
        <v>6</v>
      </c>
      <c r="J43" s="889" t="s">
        <v>574</v>
      </c>
      <c r="K43" s="901">
        <v>0.41899999999999998</v>
      </c>
      <c r="L43" s="883">
        <f t="shared" si="3"/>
        <v>120.41</v>
      </c>
      <c r="M43" s="898">
        <v>8</v>
      </c>
      <c r="N43" s="884">
        <f t="shared" si="4"/>
        <v>963.28</v>
      </c>
      <c r="O43" s="895">
        <f>3.49+3.38+3.43+3.44</f>
        <v>13.74</v>
      </c>
      <c r="P43" s="884">
        <f t="shared" si="5"/>
        <v>977.02</v>
      </c>
      <c r="Q43" s="625"/>
      <c r="R43" s="626"/>
      <c r="S43" s="624"/>
      <c r="T43" s="627"/>
      <c r="U43" s="625"/>
      <c r="V43" s="625"/>
      <c r="W43" s="625"/>
      <c r="X43" s="625"/>
      <c r="Y43" s="624"/>
      <c r="Z43" s="627"/>
      <c r="AA43" s="625"/>
      <c r="AB43" s="625"/>
      <c r="AC43" s="625"/>
      <c r="AD43" s="625"/>
      <c r="AE43" s="624"/>
      <c r="AF43" s="627"/>
      <c r="AG43" s="625"/>
      <c r="AH43" s="625"/>
      <c r="AI43" s="625"/>
      <c r="AJ43" s="625"/>
      <c r="AK43" s="624"/>
      <c r="AL43" s="627"/>
      <c r="AM43" s="625"/>
      <c r="AN43" s="625"/>
      <c r="AO43" s="625"/>
      <c r="AP43" s="625"/>
      <c r="AQ43" s="624"/>
      <c r="AR43" s="627"/>
      <c r="AS43" s="625"/>
      <c r="AT43" s="625"/>
      <c r="AU43" s="625"/>
      <c r="AV43" s="625"/>
      <c r="AW43" s="624"/>
      <c r="AX43" s="627"/>
      <c r="AY43" s="625"/>
      <c r="AZ43" s="625"/>
      <c r="BA43" s="625"/>
      <c r="BB43" s="625"/>
      <c r="BC43" s="624"/>
      <c r="BD43" s="627"/>
      <c r="BE43" s="625"/>
      <c r="BF43" s="625"/>
      <c r="BG43" s="625"/>
      <c r="BH43" s="625"/>
      <c r="BI43" s="624"/>
      <c r="BJ43" s="627"/>
      <c r="BK43" s="625"/>
      <c r="BL43" s="625"/>
      <c r="BM43" s="625"/>
      <c r="BN43" s="625"/>
      <c r="BO43" s="624"/>
      <c r="BP43" s="627"/>
      <c r="BQ43" s="625"/>
      <c r="BR43" s="625"/>
      <c r="BS43" s="625"/>
      <c r="BT43" s="625"/>
      <c r="BU43" s="624"/>
      <c r="BV43" s="627"/>
      <c r="BW43" s="625"/>
      <c r="BX43" s="625"/>
      <c r="BY43" s="625"/>
      <c r="BZ43" s="625"/>
      <c r="CA43" s="624"/>
      <c r="CB43" s="627"/>
      <c r="CC43" s="625"/>
      <c r="CD43" s="625"/>
      <c r="CE43" s="625"/>
      <c r="CF43" s="625"/>
      <c r="CG43" s="624"/>
      <c r="CH43" s="627"/>
      <c r="CI43" s="625"/>
      <c r="CJ43" s="625"/>
      <c r="CK43" s="625"/>
      <c r="CL43" s="625"/>
      <c r="CM43" s="624"/>
      <c r="CN43" s="627"/>
      <c r="CO43" s="625"/>
      <c r="CP43" s="625"/>
      <c r="CQ43" s="625"/>
      <c r="CR43" s="625"/>
      <c r="CS43" s="624"/>
      <c r="CT43" s="627"/>
      <c r="CU43" s="625"/>
      <c r="CV43" s="625"/>
      <c r="CW43" s="625"/>
      <c r="CX43" s="625"/>
      <c r="CY43" s="624"/>
      <c r="CZ43" s="627"/>
      <c r="DA43" s="625"/>
      <c r="DB43" s="625"/>
      <c r="DC43" s="625"/>
      <c r="DD43" s="625"/>
      <c r="DE43" s="624"/>
      <c r="DF43" s="627"/>
      <c r="DG43" s="625"/>
      <c r="DH43" s="625"/>
      <c r="DI43" s="625"/>
      <c r="DJ43" s="625"/>
      <c r="DK43" s="624"/>
      <c r="DL43" s="627"/>
      <c r="DM43" s="625"/>
      <c r="DN43" s="625"/>
      <c r="DO43" s="625"/>
      <c r="DP43" s="625"/>
      <c r="DQ43" s="624"/>
      <c r="DR43" s="627"/>
      <c r="DS43" s="625"/>
      <c r="DT43" s="625"/>
      <c r="DU43" s="625"/>
      <c r="DV43" s="625"/>
      <c r="DW43" s="624"/>
      <c r="DX43" s="627"/>
      <c r="DY43" s="625"/>
      <c r="DZ43" s="625"/>
      <c r="EA43" s="625"/>
      <c r="EB43" s="625"/>
      <c r="EC43" s="624"/>
      <c r="ED43" s="627"/>
      <c r="EE43" s="625"/>
      <c r="EF43" s="625"/>
      <c r="EG43" s="625"/>
      <c r="EH43" s="625"/>
      <c r="EI43" s="624"/>
      <c r="EJ43" s="627"/>
      <c r="EK43" s="625"/>
      <c r="EL43" s="625"/>
      <c r="EM43" s="625"/>
      <c r="EN43" s="625"/>
      <c r="EO43" s="624"/>
      <c r="EP43" s="627"/>
      <c r="EQ43" s="625"/>
      <c r="ER43" s="625"/>
      <c r="ES43" s="625"/>
      <c r="ET43" s="625"/>
      <c r="EU43" s="624"/>
      <c r="EV43" s="627"/>
      <c r="EW43" s="625"/>
      <c r="EX43" s="625"/>
      <c r="EY43" s="625"/>
      <c r="EZ43" s="625"/>
      <c r="FA43" s="624"/>
      <c r="FB43" s="627"/>
      <c r="FC43" s="625"/>
      <c r="FD43" s="625"/>
      <c r="FE43" s="625"/>
      <c r="FF43" s="625"/>
      <c r="FG43" s="624"/>
      <c r="FH43" s="627"/>
      <c r="FI43" s="625"/>
      <c r="FJ43" s="625"/>
      <c r="FK43" s="625"/>
      <c r="FL43" s="625"/>
      <c r="FM43" s="624"/>
      <c r="FN43" s="627"/>
      <c r="FO43" s="625"/>
      <c r="FP43" s="625"/>
      <c r="FQ43" s="625"/>
      <c r="FR43" s="625"/>
      <c r="FS43" s="624"/>
      <c r="FT43" s="627"/>
      <c r="FU43" s="625"/>
      <c r="FV43" s="625"/>
      <c r="FW43" s="625"/>
      <c r="FX43" s="625"/>
      <c r="FY43" s="624"/>
      <c r="FZ43" s="627"/>
      <c r="GA43" s="625"/>
      <c r="GB43" s="625"/>
      <c r="GC43" s="625"/>
      <c r="GD43" s="625"/>
      <c r="GE43" s="624"/>
      <c r="GF43" s="627"/>
      <c r="GG43" s="625"/>
      <c r="GH43" s="625"/>
      <c r="GI43" s="625"/>
      <c r="GJ43" s="625"/>
      <c r="GK43" s="624"/>
      <c r="GL43" s="627"/>
      <c r="GM43" s="625"/>
      <c r="GN43" s="625"/>
      <c r="GO43" s="625"/>
      <c r="GP43" s="625"/>
      <c r="GQ43" s="624"/>
      <c r="GR43" s="627"/>
      <c r="GS43" s="625"/>
      <c r="GT43" s="625"/>
      <c r="GU43" s="625"/>
      <c r="GV43" s="625"/>
      <c r="GW43" s="624"/>
      <c r="GX43" s="627"/>
      <c r="GY43" s="625"/>
      <c r="GZ43" s="625"/>
      <c r="HA43" s="625"/>
      <c r="HB43" s="625"/>
      <c r="HC43" s="624"/>
      <c r="HD43" s="627"/>
      <c r="HE43" s="625"/>
      <c r="HF43" s="625"/>
      <c r="HG43" s="625"/>
      <c r="HH43" s="625"/>
      <c r="HI43" s="624"/>
      <c r="HJ43" s="627"/>
      <c r="HK43" s="625"/>
      <c r="HL43" s="625"/>
      <c r="HM43" s="625"/>
      <c r="HN43" s="625"/>
      <c r="HO43" s="624"/>
      <c r="HP43" s="627"/>
      <c r="HQ43" s="625"/>
      <c r="HR43" s="625"/>
      <c r="HS43" s="625"/>
      <c r="HT43" s="625"/>
      <c r="HU43" s="624"/>
      <c r="HV43" s="627"/>
      <c r="HW43" s="625"/>
      <c r="HX43" s="625"/>
      <c r="HY43" s="625"/>
      <c r="HZ43" s="625"/>
      <c r="IA43" s="624"/>
      <c r="IB43" s="627"/>
      <c r="IC43" s="625"/>
      <c r="ID43" s="625"/>
      <c r="IE43" s="625"/>
      <c r="IF43" s="625"/>
      <c r="IG43" s="624"/>
      <c r="IH43" s="627"/>
      <c r="II43" s="625"/>
      <c r="IJ43" s="625"/>
      <c r="IK43" s="625"/>
    </row>
    <row r="44" spans="2:245" ht="28.5" x14ac:dyDescent="0.2">
      <c r="B44" s="829">
        <v>38</v>
      </c>
      <c r="C44" s="892" t="s">
        <v>623</v>
      </c>
      <c r="D44" s="896" t="s">
        <v>682</v>
      </c>
      <c r="E44" s="896" t="s">
        <v>683</v>
      </c>
      <c r="F44" s="893">
        <v>0</v>
      </c>
      <c r="G44" s="880" t="s">
        <v>574</v>
      </c>
      <c r="H44" s="897">
        <v>0</v>
      </c>
      <c r="I44" s="893">
        <v>5</v>
      </c>
      <c r="J44" s="880" t="s">
        <v>574</v>
      </c>
      <c r="K44" s="894">
        <v>6.0570000000000004</v>
      </c>
      <c r="L44" s="883">
        <f t="shared" si="3"/>
        <v>106.05</v>
      </c>
      <c r="M44" s="898">
        <v>7</v>
      </c>
      <c r="N44" s="884">
        <f t="shared" si="4"/>
        <v>742.35</v>
      </c>
      <c r="O44" s="895">
        <f>3.42+3.45+3.43+3.43</f>
        <v>13.73</v>
      </c>
      <c r="P44" s="884">
        <f t="shared" si="5"/>
        <v>756.08</v>
      </c>
      <c r="Q44" s="625"/>
      <c r="R44" s="626"/>
      <c r="S44" s="624"/>
      <c r="T44" s="627"/>
      <c r="U44" s="625"/>
      <c r="V44" s="625"/>
      <c r="W44" s="625"/>
      <c r="X44" s="625"/>
      <c r="Y44" s="624"/>
      <c r="Z44" s="627"/>
      <c r="AA44" s="625"/>
      <c r="AB44" s="625"/>
      <c r="AC44" s="625"/>
      <c r="AD44" s="625"/>
      <c r="AE44" s="624"/>
      <c r="AF44" s="627"/>
      <c r="AG44" s="625"/>
      <c r="AH44" s="625"/>
      <c r="AI44" s="625"/>
      <c r="AJ44" s="625"/>
      <c r="AK44" s="624"/>
      <c r="AL44" s="627"/>
      <c r="AM44" s="625"/>
      <c r="AN44" s="625"/>
      <c r="AO44" s="625"/>
      <c r="AP44" s="625"/>
      <c r="AQ44" s="624"/>
      <c r="AR44" s="627"/>
      <c r="AS44" s="625"/>
      <c r="AT44" s="625"/>
      <c r="AU44" s="625"/>
      <c r="AV44" s="625"/>
      <c r="AW44" s="624"/>
      <c r="AX44" s="627"/>
      <c r="AY44" s="625"/>
      <c r="AZ44" s="625"/>
      <c r="BA44" s="625"/>
      <c r="BB44" s="625"/>
      <c r="BC44" s="624"/>
      <c r="BD44" s="627"/>
      <c r="BE44" s="625"/>
      <c r="BF44" s="625"/>
      <c r="BG44" s="625"/>
      <c r="BH44" s="625"/>
      <c r="BI44" s="624"/>
      <c r="BJ44" s="627"/>
      <c r="BK44" s="625"/>
      <c r="BL44" s="625"/>
      <c r="BM44" s="625"/>
      <c r="BN44" s="625"/>
      <c r="BO44" s="624"/>
      <c r="BP44" s="627"/>
      <c r="BQ44" s="625"/>
      <c r="BR44" s="625"/>
      <c r="BS44" s="625"/>
      <c r="BT44" s="625"/>
      <c r="BU44" s="624"/>
      <c r="BV44" s="627"/>
      <c r="BW44" s="625"/>
      <c r="BX44" s="625"/>
      <c r="BY44" s="625"/>
      <c r="BZ44" s="625"/>
      <c r="CA44" s="624"/>
      <c r="CB44" s="627"/>
      <c r="CC44" s="625"/>
      <c r="CD44" s="625"/>
      <c r="CE44" s="625"/>
      <c r="CF44" s="625"/>
      <c r="CG44" s="624"/>
      <c r="CH44" s="627"/>
      <c r="CI44" s="625"/>
      <c r="CJ44" s="625"/>
      <c r="CK44" s="625"/>
      <c r="CL44" s="625"/>
      <c r="CM44" s="624"/>
      <c r="CN44" s="627"/>
      <c r="CO44" s="625"/>
      <c r="CP44" s="625"/>
      <c r="CQ44" s="625"/>
      <c r="CR44" s="625"/>
      <c r="CS44" s="624"/>
      <c r="CT44" s="627"/>
      <c r="CU44" s="625"/>
      <c r="CV44" s="625"/>
      <c r="CW44" s="625"/>
      <c r="CX44" s="625"/>
      <c r="CY44" s="624"/>
      <c r="CZ44" s="627"/>
      <c r="DA44" s="625"/>
      <c r="DB44" s="625"/>
      <c r="DC44" s="625"/>
      <c r="DD44" s="625"/>
      <c r="DE44" s="624"/>
      <c r="DF44" s="627"/>
      <c r="DG44" s="625"/>
      <c r="DH44" s="625"/>
      <c r="DI44" s="625"/>
      <c r="DJ44" s="625"/>
      <c r="DK44" s="624"/>
      <c r="DL44" s="627"/>
      <c r="DM44" s="625"/>
      <c r="DN44" s="625"/>
      <c r="DO44" s="625"/>
      <c r="DP44" s="625"/>
      <c r="DQ44" s="624"/>
      <c r="DR44" s="627"/>
      <c r="DS44" s="625"/>
      <c r="DT44" s="625"/>
      <c r="DU44" s="625"/>
      <c r="DV44" s="625"/>
      <c r="DW44" s="624"/>
      <c r="DX44" s="627"/>
      <c r="DY44" s="625"/>
      <c r="DZ44" s="625"/>
      <c r="EA44" s="625"/>
      <c r="EB44" s="625"/>
      <c r="EC44" s="624"/>
      <c r="ED44" s="627"/>
      <c r="EE44" s="625"/>
      <c r="EF44" s="625"/>
      <c r="EG44" s="625"/>
      <c r="EH44" s="625"/>
      <c r="EI44" s="624"/>
      <c r="EJ44" s="627"/>
      <c r="EK44" s="625"/>
      <c r="EL44" s="625"/>
      <c r="EM44" s="625"/>
      <c r="EN44" s="625"/>
      <c r="EO44" s="624"/>
      <c r="EP44" s="627"/>
      <c r="EQ44" s="625"/>
      <c r="ER44" s="625"/>
      <c r="ES44" s="625"/>
      <c r="ET44" s="625"/>
      <c r="EU44" s="624"/>
      <c r="EV44" s="627"/>
      <c r="EW44" s="625"/>
      <c r="EX44" s="625"/>
      <c r="EY44" s="625"/>
      <c r="EZ44" s="625"/>
      <c r="FA44" s="624"/>
      <c r="FB44" s="627"/>
      <c r="FC44" s="625"/>
      <c r="FD44" s="625"/>
      <c r="FE44" s="625"/>
      <c r="FF44" s="625"/>
      <c r="FG44" s="624"/>
      <c r="FH44" s="627"/>
      <c r="FI44" s="625"/>
      <c r="FJ44" s="625"/>
      <c r="FK44" s="625"/>
      <c r="FL44" s="625"/>
      <c r="FM44" s="624"/>
      <c r="FN44" s="627"/>
      <c r="FO44" s="625"/>
      <c r="FP44" s="625"/>
      <c r="FQ44" s="625"/>
      <c r="FR44" s="625"/>
      <c r="FS44" s="624"/>
      <c r="FT44" s="627"/>
      <c r="FU44" s="625"/>
      <c r="FV44" s="625"/>
      <c r="FW44" s="625"/>
      <c r="FX44" s="625"/>
      <c r="FY44" s="624"/>
      <c r="FZ44" s="627"/>
      <c r="GA44" s="625"/>
      <c r="GB44" s="625"/>
      <c r="GC44" s="625"/>
      <c r="GD44" s="625"/>
      <c r="GE44" s="624"/>
      <c r="GF44" s="627"/>
      <c r="GG44" s="625"/>
      <c r="GH44" s="625"/>
      <c r="GI44" s="625"/>
      <c r="GJ44" s="625"/>
      <c r="GK44" s="624"/>
      <c r="GL44" s="627"/>
      <c r="GM44" s="625"/>
      <c r="GN44" s="625"/>
      <c r="GO44" s="625"/>
      <c r="GP44" s="625"/>
      <c r="GQ44" s="624"/>
      <c r="GR44" s="627"/>
      <c r="GS44" s="625"/>
      <c r="GT44" s="625"/>
      <c r="GU44" s="625"/>
      <c r="GV44" s="625"/>
      <c r="GW44" s="624"/>
      <c r="GX44" s="627"/>
      <c r="GY44" s="625"/>
      <c r="GZ44" s="625"/>
      <c r="HA44" s="625"/>
      <c r="HB44" s="625"/>
      <c r="HC44" s="624"/>
      <c r="HD44" s="627"/>
      <c r="HE44" s="625"/>
      <c r="HF44" s="625"/>
      <c r="HG44" s="625"/>
      <c r="HH44" s="625"/>
      <c r="HI44" s="624"/>
      <c r="HJ44" s="627"/>
      <c r="HK44" s="625"/>
      <c r="HL44" s="625"/>
      <c r="HM44" s="625"/>
      <c r="HN44" s="625"/>
      <c r="HO44" s="624"/>
      <c r="HP44" s="627"/>
      <c r="HQ44" s="625"/>
      <c r="HR44" s="625"/>
      <c r="HS44" s="625"/>
      <c r="HT44" s="625"/>
      <c r="HU44" s="624"/>
      <c r="HV44" s="627"/>
      <c r="HW44" s="625"/>
      <c r="HX44" s="625"/>
      <c r="HY44" s="625"/>
      <c r="HZ44" s="625"/>
      <c r="IA44" s="624"/>
      <c r="IB44" s="627"/>
      <c r="IC44" s="625"/>
      <c r="ID44" s="625"/>
      <c r="IE44" s="625"/>
      <c r="IF44" s="625"/>
      <c r="IG44" s="624"/>
      <c r="IH44" s="627"/>
      <c r="II44" s="625"/>
      <c r="IJ44" s="625"/>
      <c r="IK44" s="625"/>
    </row>
    <row r="45" spans="2:245" ht="28.5" x14ac:dyDescent="0.2">
      <c r="B45" s="829">
        <v>39</v>
      </c>
      <c r="C45" s="892" t="s">
        <v>684</v>
      </c>
      <c r="D45" s="896" t="s">
        <v>685</v>
      </c>
      <c r="E45" s="896" t="s">
        <v>686</v>
      </c>
      <c r="F45" s="893">
        <v>0</v>
      </c>
      <c r="G45" s="880" t="s">
        <v>574</v>
      </c>
      <c r="H45" s="897">
        <v>0</v>
      </c>
      <c r="I45" s="893">
        <v>6</v>
      </c>
      <c r="J45" s="880" t="s">
        <v>574</v>
      </c>
      <c r="K45" s="894">
        <v>1.0149999999999999</v>
      </c>
      <c r="L45" s="883">
        <f t="shared" si="3"/>
        <v>121.01</v>
      </c>
      <c r="M45" s="898">
        <v>8</v>
      </c>
      <c r="N45" s="884">
        <f t="shared" si="4"/>
        <v>968.08</v>
      </c>
      <c r="O45" s="895">
        <f>3.49+3.38+3.43+3.44</f>
        <v>13.74</v>
      </c>
      <c r="P45" s="884">
        <f t="shared" si="5"/>
        <v>981.82</v>
      </c>
      <c r="Q45" s="625"/>
      <c r="R45" s="626"/>
      <c r="S45" s="624"/>
      <c r="T45" s="627"/>
      <c r="U45" s="625"/>
      <c r="V45" s="625"/>
      <c r="W45" s="625"/>
      <c r="X45" s="625"/>
      <c r="Y45" s="624"/>
      <c r="Z45" s="627"/>
      <c r="AA45" s="625"/>
      <c r="AB45" s="625"/>
      <c r="AC45" s="625"/>
      <c r="AD45" s="625"/>
      <c r="AE45" s="624"/>
      <c r="AF45" s="627"/>
      <c r="AG45" s="625"/>
      <c r="AH45" s="625"/>
      <c r="AI45" s="625"/>
      <c r="AJ45" s="625"/>
      <c r="AK45" s="624"/>
      <c r="AL45" s="627"/>
      <c r="AM45" s="625"/>
      <c r="AN45" s="625"/>
      <c r="AO45" s="625"/>
      <c r="AP45" s="625"/>
      <c r="AQ45" s="624"/>
      <c r="AR45" s="627"/>
      <c r="AS45" s="625"/>
      <c r="AT45" s="625"/>
      <c r="AU45" s="625"/>
      <c r="AV45" s="625"/>
      <c r="AW45" s="624"/>
      <c r="AX45" s="627"/>
      <c r="AY45" s="625"/>
      <c r="AZ45" s="625"/>
      <c r="BA45" s="625"/>
      <c r="BB45" s="625"/>
      <c r="BC45" s="624"/>
      <c r="BD45" s="627"/>
      <c r="BE45" s="625"/>
      <c r="BF45" s="625"/>
      <c r="BG45" s="625"/>
      <c r="BH45" s="625"/>
      <c r="BI45" s="624"/>
      <c r="BJ45" s="627"/>
      <c r="BK45" s="625"/>
      <c r="BL45" s="625"/>
      <c r="BM45" s="625"/>
      <c r="BN45" s="625"/>
      <c r="BO45" s="624"/>
      <c r="BP45" s="627"/>
      <c r="BQ45" s="625"/>
      <c r="BR45" s="625"/>
      <c r="BS45" s="625"/>
      <c r="BT45" s="625"/>
      <c r="BU45" s="624"/>
      <c r="BV45" s="627"/>
      <c r="BW45" s="625"/>
      <c r="BX45" s="625"/>
      <c r="BY45" s="625"/>
      <c r="BZ45" s="625"/>
      <c r="CA45" s="624"/>
      <c r="CB45" s="627"/>
      <c r="CC45" s="625"/>
      <c r="CD45" s="625"/>
      <c r="CE45" s="625"/>
      <c r="CF45" s="625"/>
      <c r="CG45" s="624"/>
      <c r="CH45" s="627"/>
      <c r="CI45" s="625"/>
      <c r="CJ45" s="625"/>
      <c r="CK45" s="625"/>
      <c r="CL45" s="625"/>
      <c r="CM45" s="624"/>
      <c r="CN45" s="627"/>
      <c r="CO45" s="625"/>
      <c r="CP45" s="625"/>
      <c r="CQ45" s="625"/>
      <c r="CR45" s="625"/>
      <c r="CS45" s="624"/>
      <c r="CT45" s="627"/>
      <c r="CU45" s="625"/>
      <c r="CV45" s="625"/>
      <c r="CW45" s="625"/>
      <c r="CX45" s="625"/>
      <c r="CY45" s="624"/>
      <c r="CZ45" s="627"/>
      <c r="DA45" s="625"/>
      <c r="DB45" s="625"/>
      <c r="DC45" s="625"/>
      <c r="DD45" s="625"/>
      <c r="DE45" s="624"/>
      <c r="DF45" s="627"/>
      <c r="DG45" s="625"/>
      <c r="DH45" s="625"/>
      <c r="DI45" s="625"/>
      <c r="DJ45" s="625"/>
      <c r="DK45" s="624"/>
      <c r="DL45" s="627"/>
      <c r="DM45" s="625"/>
      <c r="DN45" s="625"/>
      <c r="DO45" s="625"/>
      <c r="DP45" s="625"/>
      <c r="DQ45" s="624"/>
      <c r="DR45" s="627"/>
      <c r="DS45" s="625"/>
      <c r="DT45" s="625"/>
      <c r="DU45" s="625"/>
      <c r="DV45" s="625"/>
      <c r="DW45" s="624"/>
      <c r="DX45" s="627"/>
      <c r="DY45" s="625"/>
      <c r="DZ45" s="625"/>
      <c r="EA45" s="625"/>
      <c r="EB45" s="625"/>
      <c r="EC45" s="624"/>
      <c r="ED45" s="627"/>
      <c r="EE45" s="625"/>
      <c r="EF45" s="625"/>
      <c r="EG45" s="625"/>
      <c r="EH45" s="625"/>
      <c r="EI45" s="624"/>
      <c r="EJ45" s="627"/>
      <c r="EK45" s="625"/>
      <c r="EL45" s="625"/>
      <c r="EM45" s="625"/>
      <c r="EN45" s="625"/>
      <c r="EO45" s="624"/>
      <c r="EP45" s="627"/>
      <c r="EQ45" s="625"/>
      <c r="ER45" s="625"/>
      <c r="ES45" s="625"/>
      <c r="ET45" s="625"/>
      <c r="EU45" s="624"/>
      <c r="EV45" s="627"/>
      <c r="EW45" s="625"/>
      <c r="EX45" s="625"/>
      <c r="EY45" s="625"/>
      <c r="EZ45" s="625"/>
      <c r="FA45" s="624"/>
      <c r="FB45" s="627"/>
      <c r="FC45" s="625"/>
      <c r="FD45" s="625"/>
      <c r="FE45" s="625"/>
      <c r="FF45" s="625"/>
      <c r="FG45" s="624"/>
      <c r="FH45" s="627"/>
      <c r="FI45" s="625"/>
      <c r="FJ45" s="625"/>
      <c r="FK45" s="625"/>
      <c r="FL45" s="625"/>
      <c r="FM45" s="624"/>
      <c r="FN45" s="627"/>
      <c r="FO45" s="625"/>
      <c r="FP45" s="625"/>
      <c r="FQ45" s="625"/>
      <c r="FR45" s="625"/>
      <c r="FS45" s="624"/>
      <c r="FT45" s="627"/>
      <c r="FU45" s="625"/>
      <c r="FV45" s="625"/>
      <c r="FW45" s="625"/>
      <c r="FX45" s="625"/>
      <c r="FY45" s="624"/>
      <c r="FZ45" s="627"/>
      <c r="GA45" s="625"/>
      <c r="GB45" s="625"/>
      <c r="GC45" s="625"/>
      <c r="GD45" s="625"/>
      <c r="GE45" s="624"/>
      <c r="GF45" s="627"/>
      <c r="GG45" s="625"/>
      <c r="GH45" s="625"/>
      <c r="GI45" s="625"/>
      <c r="GJ45" s="625"/>
      <c r="GK45" s="624"/>
      <c r="GL45" s="627"/>
      <c r="GM45" s="625"/>
      <c r="GN45" s="625"/>
      <c r="GO45" s="625"/>
      <c r="GP45" s="625"/>
      <c r="GQ45" s="624"/>
      <c r="GR45" s="627"/>
      <c r="GS45" s="625"/>
      <c r="GT45" s="625"/>
      <c r="GU45" s="625"/>
      <c r="GV45" s="625"/>
      <c r="GW45" s="624"/>
      <c r="GX45" s="627"/>
      <c r="GY45" s="625"/>
      <c r="GZ45" s="625"/>
      <c r="HA45" s="625"/>
      <c r="HB45" s="625"/>
      <c r="HC45" s="624"/>
      <c r="HD45" s="627"/>
      <c r="HE45" s="625"/>
      <c r="HF45" s="625"/>
      <c r="HG45" s="625"/>
      <c r="HH45" s="625"/>
      <c r="HI45" s="624"/>
      <c r="HJ45" s="627"/>
      <c r="HK45" s="625"/>
      <c r="HL45" s="625"/>
      <c r="HM45" s="625"/>
      <c r="HN45" s="625"/>
      <c r="HO45" s="624"/>
      <c r="HP45" s="627"/>
      <c r="HQ45" s="625"/>
      <c r="HR45" s="625"/>
      <c r="HS45" s="625"/>
      <c r="HT45" s="625"/>
      <c r="HU45" s="624"/>
      <c r="HV45" s="627"/>
      <c r="HW45" s="625"/>
      <c r="HX45" s="625"/>
      <c r="HY45" s="625"/>
      <c r="HZ45" s="625"/>
      <c r="IA45" s="624"/>
      <c r="IB45" s="627"/>
      <c r="IC45" s="625"/>
      <c r="ID45" s="625"/>
      <c r="IE45" s="625"/>
      <c r="IF45" s="625"/>
      <c r="IG45" s="624"/>
      <c r="IH45" s="627"/>
      <c r="II45" s="625"/>
      <c r="IJ45" s="625"/>
      <c r="IK45" s="625"/>
    </row>
    <row r="46" spans="2:245" ht="28.5" x14ac:dyDescent="0.2">
      <c r="B46" s="829">
        <v>40</v>
      </c>
      <c r="C46" s="892" t="s">
        <v>687</v>
      </c>
      <c r="D46" s="896" t="s">
        <v>688</v>
      </c>
      <c r="E46" s="896" t="s">
        <v>689</v>
      </c>
      <c r="F46" s="893">
        <v>0</v>
      </c>
      <c r="G46" s="880" t="s">
        <v>574</v>
      </c>
      <c r="H46" s="897">
        <v>0</v>
      </c>
      <c r="I46" s="893">
        <v>3</v>
      </c>
      <c r="J46" s="880" t="s">
        <v>574</v>
      </c>
      <c r="K46" s="894">
        <v>13.359</v>
      </c>
      <c r="L46" s="883">
        <f t="shared" si="3"/>
        <v>73.349999999999994</v>
      </c>
      <c r="M46" s="898">
        <v>7</v>
      </c>
      <c r="N46" s="884">
        <f t="shared" si="4"/>
        <v>513.45000000000005</v>
      </c>
      <c r="O46" s="895">
        <f>3.38+3.49+3.43+3.43</f>
        <v>13.73</v>
      </c>
      <c r="P46" s="884">
        <f t="shared" si="5"/>
        <v>527.18000000000006</v>
      </c>
      <c r="Q46" s="625"/>
      <c r="R46" s="626"/>
      <c r="S46" s="624"/>
      <c r="T46" s="627"/>
      <c r="U46" s="625"/>
      <c r="V46" s="625"/>
      <c r="W46" s="625"/>
      <c r="X46" s="625"/>
      <c r="Y46" s="624"/>
      <c r="Z46" s="627"/>
      <c r="AA46" s="625"/>
      <c r="AB46" s="625"/>
      <c r="AC46" s="625"/>
      <c r="AD46" s="625"/>
      <c r="AE46" s="624"/>
      <c r="AF46" s="627"/>
      <c r="AG46" s="625"/>
      <c r="AH46" s="625"/>
      <c r="AI46" s="625"/>
      <c r="AJ46" s="625"/>
      <c r="AK46" s="624"/>
      <c r="AL46" s="627"/>
      <c r="AM46" s="625"/>
      <c r="AN46" s="625"/>
      <c r="AO46" s="625"/>
      <c r="AP46" s="625"/>
      <c r="AQ46" s="624"/>
      <c r="AR46" s="627"/>
      <c r="AS46" s="625"/>
      <c r="AT46" s="625"/>
      <c r="AU46" s="625"/>
      <c r="AV46" s="625"/>
      <c r="AW46" s="624"/>
      <c r="AX46" s="627"/>
      <c r="AY46" s="625"/>
      <c r="AZ46" s="625"/>
      <c r="BA46" s="625"/>
      <c r="BB46" s="625"/>
      <c r="BC46" s="624"/>
      <c r="BD46" s="627"/>
      <c r="BE46" s="625"/>
      <c r="BF46" s="625"/>
      <c r="BG46" s="625"/>
      <c r="BH46" s="625"/>
      <c r="BI46" s="624"/>
      <c r="BJ46" s="627"/>
      <c r="BK46" s="625"/>
      <c r="BL46" s="625"/>
      <c r="BM46" s="625"/>
      <c r="BN46" s="625"/>
      <c r="BO46" s="624"/>
      <c r="BP46" s="627"/>
      <c r="BQ46" s="625"/>
      <c r="BR46" s="625"/>
      <c r="BS46" s="625"/>
      <c r="BT46" s="625"/>
      <c r="BU46" s="624"/>
      <c r="BV46" s="627"/>
      <c r="BW46" s="625"/>
      <c r="BX46" s="625"/>
      <c r="BY46" s="625"/>
      <c r="BZ46" s="625"/>
      <c r="CA46" s="624"/>
      <c r="CB46" s="627"/>
      <c r="CC46" s="625"/>
      <c r="CD46" s="625"/>
      <c r="CE46" s="625"/>
      <c r="CF46" s="625"/>
      <c r="CG46" s="624"/>
      <c r="CH46" s="627"/>
      <c r="CI46" s="625"/>
      <c r="CJ46" s="625"/>
      <c r="CK46" s="625"/>
      <c r="CL46" s="625"/>
      <c r="CM46" s="624"/>
      <c r="CN46" s="627"/>
      <c r="CO46" s="625"/>
      <c r="CP46" s="625"/>
      <c r="CQ46" s="625"/>
      <c r="CR46" s="625"/>
      <c r="CS46" s="624"/>
      <c r="CT46" s="627"/>
      <c r="CU46" s="625"/>
      <c r="CV46" s="625"/>
      <c r="CW46" s="625"/>
      <c r="CX46" s="625"/>
      <c r="CY46" s="624"/>
      <c r="CZ46" s="627"/>
      <c r="DA46" s="625"/>
      <c r="DB46" s="625"/>
      <c r="DC46" s="625"/>
      <c r="DD46" s="625"/>
      <c r="DE46" s="624"/>
      <c r="DF46" s="627"/>
      <c r="DG46" s="625"/>
      <c r="DH46" s="625"/>
      <c r="DI46" s="625"/>
      <c r="DJ46" s="625"/>
      <c r="DK46" s="624"/>
      <c r="DL46" s="627"/>
      <c r="DM46" s="625"/>
      <c r="DN46" s="625"/>
      <c r="DO46" s="625"/>
      <c r="DP46" s="625"/>
      <c r="DQ46" s="624"/>
      <c r="DR46" s="627"/>
      <c r="DS46" s="625"/>
      <c r="DT46" s="625"/>
      <c r="DU46" s="625"/>
      <c r="DV46" s="625"/>
      <c r="DW46" s="624"/>
      <c r="DX46" s="627"/>
      <c r="DY46" s="625"/>
      <c r="DZ46" s="625"/>
      <c r="EA46" s="625"/>
      <c r="EB46" s="625"/>
      <c r="EC46" s="624"/>
      <c r="ED46" s="627"/>
      <c r="EE46" s="625"/>
      <c r="EF46" s="625"/>
      <c r="EG46" s="625"/>
      <c r="EH46" s="625"/>
      <c r="EI46" s="624"/>
      <c r="EJ46" s="627"/>
      <c r="EK46" s="625"/>
      <c r="EL46" s="625"/>
      <c r="EM46" s="625"/>
      <c r="EN46" s="625"/>
      <c r="EO46" s="624"/>
      <c r="EP46" s="627"/>
      <c r="EQ46" s="625"/>
      <c r="ER46" s="625"/>
      <c r="ES46" s="625"/>
      <c r="ET46" s="625"/>
      <c r="EU46" s="624"/>
      <c r="EV46" s="627"/>
      <c r="EW46" s="625"/>
      <c r="EX46" s="625"/>
      <c r="EY46" s="625"/>
      <c r="EZ46" s="625"/>
      <c r="FA46" s="624"/>
      <c r="FB46" s="627"/>
      <c r="FC46" s="625"/>
      <c r="FD46" s="625"/>
      <c r="FE46" s="625"/>
      <c r="FF46" s="625"/>
      <c r="FG46" s="624"/>
      <c r="FH46" s="627"/>
      <c r="FI46" s="625"/>
      <c r="FJ46" s="625"/>
      <c r="FK46" s="625"/>
      <c r="FL46" s="625"/>
      <c r="FM46" s="624"/>
      <c r="FN46" s="627"/>
      <c r="FO46" s="625"/>
      <c r="FP46" s="625"/>
      <c r="FQ46" s="625"/>
      <c r="FR46" s="625"/>
      <c r="FS46" s="624"/>
      <c r="FT46" s="627"/>
      <c r="FU46" s="625"/>
      <c r="FV46" s="625"/>
      <c r="FW46" s="625"/>
      <c r="FX46" s="625"/>
      <c r="FY46" s="624"/>
      <c r="FZ46" s="627"/>
      <c r="GA46" s="625"/>
      <c r="GB46" s="625"/>
      <c r="GC46" s="625"/>
      <c r="GD46" s="625"/>
      <c r="GE46" s="624"/>
      <c r="GF46" s="627"/>
      <c r="GG46" s="625"/>
      <c r="GH46" s="625"/>
      <c r="GI46" s="625"/>
      <c r="GJ46" s="625"/>
      <c r="GK46" s="624"/>
      <c r="GL46" s="627"/>
      <c r="GM46" s="625"/>
      <c r="GN46" s="625"/>
      <c r="GO46" s="625"/>
      <c r="GP46" s="625"/>
      <c r="GQ46" s="624"/>
      <c r="GR46" s="627"/>
      <c r="GS46" s="625"/>
      <c r="GT46" s="625"/>
      <c r="GU46" s="625"/>
      <c r="GV46" s="625"/>
      <c r="GW46" s="624"/>
      <c r="GX46" s="627"/>
      <c r="GY46" s="625"/>
      <c r="GZ46" s="625"/>
      <c r="HA46" s="625"/>
      <c r="HB46" s="625"/>
      <c r="HC46" s="624"/>
      <c r="HD46" s="627"/>
      <c r="HE46" s="625"/>
      <c r="HF46" s="625"/>
      <c r="HG46" s="625"/>
      <c r="HH46" s="625"/>
      <c r="HI46" s="624"/>
      <c r="HJ46" s="627"/>
      <c r="HK46" s="625"/>
      <c r="HL46" s="625"/>
      <c r="HM46" s="625"/>
      <c r="HN46" s="625"/>
      <c r="HO46" s="624"/>
      <c r="HP46" s="627"/>
      <c r="HQ46" s="625"/>
      <c r="HR46" s="625"/>
      <c r="HS46" s="625"/>
      <c r="HT46" s="625"/>
      <c r="HU46" s="624"/>
      <c r="HV46" s="627"/>
      <c r="HW46" s="625"/>
      <c r="HX46" s="625"/>
      <c r="HY46" s="625"/>
      <c r="HZ46" s="625"/>
      <c r="IA46" s="624"/>
      <c r="IB46" s="627"/>
      <c r="IC46" s="625"/>
      <c r="ID46" s="625"/>
      <c r="IE46" s="625"/>
      <c r="IF46" s="625"/>
      <c r="IG46" s="624"/>
      <c r="IH46" s="627"/>
      <c r="II46" s="625"/>
      <c r="IJ46" s="625"/>
      <c r="IK46" s="625"/>
    </row>
    <row r="47" spans="2:245" ht="28.5" x14ac:dyDescent="0.2">
      <c r="B47" s="829">
        <v>41</v>
      </c>
      <c r="C47" s="892" t="s">
        <v>690</v>
      </c>
      <c r="D47" s="896" t="s">
        <v>691</v>
      </c>
      <c r="E47" s="896" t="s">
        <v>692</v>
      </c>
      <c r="F47" s="893">
        <v>0</v>
      </c>
      <c r="G47" s="880" t="s">
        <v>574</v>
      </c>
      <c r="H47" s="897">
        <v>0</v>
      </c>
      <c r="I47" s="893">
        <v>5</v>
      </c>
      <c r="J47" s="880" t="s">
        <v>574</v>
      </c>
      <c r="K47" s="894">
        <v>6.181</v>
      </c>
      <c r="L47" s="883">
        <f t="shared" si="3"/>
        <v>106.18</v>
      </c>
      <c r="M47" s="898">
        <v>8</v>
      </c>
      <c r="N47" s="884">
        <f t="shared" si="4"/>
        <v>849.44</v>
      </c>
      <c r="O47" s="895">
        <f>3.43+3.44+3.44+3.42</f>
        <v>13.73</v>
      </c>
      <c r="P47" s="884">
        <f t="shared" si="5"/>
        <v>863.17000000000007</v>
      </c>
      <c r="Q47" s="625"/>
      <c r="R47" s="626"/>
      <c r="S47" s="624"/>
      <c r="T47" s="627"/>
      <c r="U47" s="625"/>
      <c r="V47" s="625"/>
      <c r="W47" s="625"/>
      <c r="X47" s="625"/>
      <c r="Y47" s="624"/>
      <c r="Z47" s="627"/>
      <c r="AA47" s="625"/>
      <c r="AB47" s="625"/>
      <c r="AC47" s="625"/>
      <c r="AD47" s="625"/>
      <c r="AE47" s="624"/>
      <c r="AF47" s="627"/>
      <c r="AG47" s="625"/>
      <c r="AH47" s="625"/>
      <c r="AI47" s="625"/>
      <c r="AJ47" s="625"/>
      <c r="AK47" s="624"/>
      <c r="AL47" s="627"/>
      <c r="AM47" s="625"/>
      <c r="AN47" s="625"/>
      <c r="AO47" s="625"/>
      <c r="AP47" s="625"/>
      <c r="AQ47" s="624"/>
      <c r="AR47" s="627"/>
      <c r="AS47" s="625"/>
      <c r="AT47" s="625"/>
      <c r="AU47" s="625"/>
      <c r="AV47" s="625"/>
      <c r="AW47" s="624"/>
      <c r="AX47" s="627"/>
      <c r="AY47" s="625"/>
      <c r="AZ47" s="625"/>
      <c r="BA47" s="625"/>
      <c r="BB47" s="625"/>
      <c r="BC47" s="624"/>
      <c r="BD47" s="627"/>
      <c r="BE47" s="625"/>
      <c r="BF47" s="625"/>
      <c r="BG47" s="625"/>
      <c r="BH47" s="625"/>
      <c r="BI47" s="624"/>
      <c r="BJ47" s="627"/>
      <c r="BK47" s="625"/>
      <c r="BL47" s="625"/>
      <c r="BM47" s="625"/>
      <c r="BN47" s="625"/>
      <c r="BO47" s="624"/>
      <c r="BP47" s="627"/>
      <c r="BQ47" s="625"/>
      <c r="BR47" s="625"/>
      <c r="BS47" s="625"/>
      <c r="BT47" s="625"/>
      <c r="BU47" s="624"/>
      <c r="BV47" s="627"/>
      <c r="BW47" s="625"/>
      <c r="BX47" s="625"/>
      <c r="BY47" s="625"/>
      <c r="BZ47" s="625"/>
      <c r="CA47" s="624"/>
      <c r="CB47" s="627"/>
      <c r="CC47" s="625"/>
      <c r="CD47" s="625"/>
      <c r="CE47" s="625"/>
      <c r="CF47" s="625"/>
      <c r="CG47" s="624"/>
      <c r="CH47" s="627"/>
      <c r="CI47" s="625"/>
      <c r="CJ47" s="625"/>
      <c r="CK47" s="625"/>
      <c r="CL47" s="625"/>
      <c r="CM47" s="624"/>
      <c r="CN47" s="627"/>
      <c r="CO47" s="625"/>
      <c r="CP47" s="625"/>
      <c r="CQ47" s="625"/>
      <c r="CR47" s="625"/>
      <c r="CS47" s="624"/>
      <c r="CT47" s="627"/>
      <c r="CU47" s="625"/>
      <c r="CV47" s="625"/>
      <c r="CW47" s="625"/>
      <c r="CX47" s="625"/>
      <c r="CY47" s="624"/>
      <c r="CZ47" s="627"/>
      <c r="DA47" s="625"/>
      <c r="DB47" s="625"/>
      <c r="DC47" s="625"/>
      <c r="DD47" s="625"/>
      <c r="DE47" s="624"/>
      <c r="DF47" s="627"/>
      <c r="DG47" s="625"/>
      <c r="DH47" s="625"/>
      <c r="DI47" s="625"/>
      <c r="DJ47" s="625"/>
      <c r="DK47" s="624"/>
      <c r="DL47" s="627"/>
      <c r="DM47" s="625"/>
      <c r="DN47" s="625"/>
      <c r="DO47" s="625"/>
      <c r="DP47" s="625"/>
      <c r="DQ47" s="624"/>
      <c r="DR47" s="627"/>
      <c r="DS47" s="625"/>
      <c r="DT47" s="625"/>
      <c r="DU47" s="625"/>
      <c r="DV47" s="625"/>
      <c r="DW47" s="624"/>
      <c r="DX47" s="627"/>
      <c r="DY47" s="625"/>
      <c r="DZ47" s="625"/>
      <c r="EA47" s="625"/>
      <c r="EB47" s="625"/>
      <c r="EC47" s="624"/>
      <c r="ED47" s="627"/>
      <c r="EE47" s="625"/>
      <c r="EF47" s="625"/>
      <c r="EG47" s="625"/>
      <c r="EH47" s="625"/>
      <c r="EI47" s="624"/>
      <c r="EJ47" s="627"/>
      <c r="EK47" s="625"/>
      <c r="EL47" s="625"/>
      <c r="EM47" s="625"/>
      <c r="EN47" s="625"/>
      <c r="EO47" s="624"/>
      <c r="EP47" s="627"/>
      <c r="EQ47" s="625"/>
      <c r="ER47" s="625"/>
      <c r="ES47" s="625"/>
      <c r="ET47" s="625"/>
      <c r="EU47" s="624"/>
      <c r="EV47" s="627"/>
      <c r="EW47" s="625"/>
      <c r="EX47" s="625"/>
      <c r="EY47" s="625"/>
      <c r="EZ47" s="625"/>
      <c r="FA47" s="624"/>
      <c r="FB47" s="627"/>
      <c r="FC47" s="625"/>
      <c r="FD47" s="625"/>
      <c r="FE47" s="625"/>
      <c r="FF47" s="625"/>
      <c r="FG47" s="624"/>
      <c r="FH47" s="627"/>
      <c r="FI47" s="625"/>
      <c r="FJ47" s="625"/>
      <c r="FK47" s="625"/>
      <c r="FL47" s="625"/>
      <c r="FM47" s="624"/>
      <c r="FN47" s="627"/>
      <c r="FO47" s="625"/>
      <c r="FP47" s="625"/>
      <c r="FQ47" s="625"/>
      <c r="FR47" s="625"/>
      <c r="FS47" s="624"/>
      <c r="FT47" s="627"/>
      <c r="FU47" s="625"/>
      <c r="FV47" s="625"/>
      <c r="FW47" s="625"/>
      <c r="FX47" s="625"/>
      <c r="FY47" s="624"/>
      <c r="FZ47" s="627"/>
      <c r="GA47" s="625"/>
      <c r="GB47" s="625"/>
      <c r="GC47" s="625"/>
      <c r="GD47" s="625"/>
      <c r="GE47" s="624"/>
      <c r="GF47" s="627"/>
      <c r="GG47" s="625"/>
      <c r="GH47" s="625"/>
      <c r="GI47" s="625"/>
      <c r="GJ47" s="625"/>
      <c r="GK47" s="624"/>
      <c r="GL47" s="627"/>
      <c r="GM47" s="625"/>
      <c r="GN47" s="625"/>
      <c r="GO47" s="625"/>
      <c r="GP47" s="625"/>
      <c r="GQ47" s="624"/>
      <c r="GR47" s="627"/>
      <c r="GS47" s="625"/>
      <c r="GT47" s="625"/>
      <c r="GU47" s="625"/>
      <c r="GV47" s="625"/>
      <c r="GW47" s="624"/>
      <c r="GX47" s="627"/>
      <c r="GY47" s="625"/>
      <c r="GZ47" s="625"/>
      <c r="HA47" s="625"/>
      <c r="HB47" s="625"/>
      <c r="HC47" s="624"/>
      <c r="HD47" s="627"/>
      <c r="HE47" s="625"/>
      <c r="HF47" s="625"/>
      <c r="HG47" s="625"/>
      <c r="HH47" s="625"/>
      <c r="HI47" s="624"/>
      <c r="HJ47" s="627"/>
      <c r="HK47" s="625"/>
      <c r="HL47" s="625"/>
      <c r="HM47" s="625"/>
      <c r="HN47" s="625"/>
      <c r="HO47" s="624"/>
      <c r="HP47" s="627"/>
      <c r="HQ47" s="625"/>
      <c r="HR47" s="625"/>
      <c r="HS47" s="625"/>
      <c r="HT47" s="625"/>
      <c r="HU47" s="624"/>
      <c r="HV47" s="627"/>
      <c r="HW47" s="625"/>
      <c r="HX47" s="625"/>
      <c r="HY47" s="625"/>
      <c r="HZ47" s="625"/>
      <c r="IA47" s="624"/>
      <c r="IB47" s="627"/>
      <c r="IC47" s="625"/>
      <c r="ID47" s="625"/>
      <c r="IE47" s="625"/>
      <c r="IF47" s="625"/>
      <c r="IG47" s="624"/>
      <c r="IH47" s="627"/>
      <c r="II47" s="625"/>
      <c r="IJ47" s="625"/>
      <c r="IK47" s="625"/>
    </row>
    <row r="48" spans="2:245" ht="28.5" x14ac:dyDescent="0.2">
      <c r="B48" s="829">
        <v>42</v>
      </c>
      <c r="C48" s="892" t="s">
        <v>693</v>
      </c>
      <c r="D48" s="896" t="s">
        <v>694</v>
      </c>
      <c r="E48" s="896" t="s">
        <v>695</v>
      </c>
      <c r="F48" s="893">
        <v>0</v>
      </c>
      <c r="G48" s="880" t="s">
        <v>574</v>
      </c>
      <c r="H48" s="897">
        <v>0</v>
      </c>
      <c r="I48" s="893">
        <v>6</v>
      </c>
      <c r="J48" s="880" t="s">
        <v>574</v>
      </c>
      <c r="K48" s="894">
        <v>1.5880000000000001</v>
      </c>
      <c r="L48" s="883">
        <f t="shared" si="3"/>
        <v>121.58</v>
      </c>
      <c r="M48" s="898">
        <v>8</v>
      </c>
      <c r="N48" s="884">
        <f t="shared" si="4"/>
        <v>972.64</v>
      </c>
      <c r="O48" s="895">
        <f>3.37+3.49+3.44+3.43</f>
        <v>13.73</v>
      </c>
      <c r="P48" s="884">
        <f t="shared" si="5"/>
        <v>986.37</v>
      </c>
      <c r="Q48" s="625"/>
      <c r="R48" s="626"/>
      <c r="S48" s="624"/>
      <c r="T48" s="627"/>
      <c r="U48" s="625"/>
      <c r="V48" s="625"/>
      <c r="W48" s="625"/>
      <c r="X48" s="625"/>
      <c r="Y48" s="624"/>
      <c r="Z48" s="627"/>
      <c r="AA48" s="625"/>
      <c r="AB48" s="625"/>
      <c r="AC48" s="625"/>
      <c r="AD48" s="625"/>
      <c r="AE48" s="624"/>
      <c r="AF48" s="627"/>
      <c r="AG48" s="625"/>
      <c r="AH48" s="625"/>
      <c r="AI48" s="625"/>
      <c r="AJ48" s="625"/>
      <c r="AK48" s="624"/>
      <c r="AL48" s="627"/>
      <c r="AM48" s="625"/>
      <c r="AN48" s="625"/>
      <c r="AO48" s="625"/>
      <c r="AP48" s="625"/>
      <c r="AQ48" s="624"/>
      <c r="AR48" s="627"/>
      <c r="AS48" s="625"/>
      <c r="AT48" s="625"/>
      <c r="AU48" s="625"/>
      <c r="AV48" s="625"/>
      <c r="AW48" s="624"/>
      <c r="AX48" s="627"/>
      <c r="AY48" s="625"/>
      <c r="AZ48" s="625"/>
      <c r="BA48" s="625"/>
      <c r="BB48" s="625"/>
      <c r="BC48" s="624"/>
      <c r="BD48" s="627"/>
      <c r="BE48" s="625"/>
      <c r="BF48" s="625"/>
      <c r="BG48" s="625"/>
      <c r="BH48" s="625"/>
      <c r="BI48" s="624"/>
      <c r="BJ48" s="627"/>
      <c r="BK48" s="625"/>
      <c r="BL48" s="625"/>
      <c r="BM48" s="625"/>
      <c r="BN48" s="625"/>
      <c r="BO48" s="624"/>
      <c r="BP48" s="627"/>
      <c r="BQ48" s="625"/>
      <c r="BR48" s="625"/>
      <c r="BS48" s="625"/>
      <c r="BT48" s="625"/>
      <c r="BU48" s="624"/>
      <c r="BV48" s="627"/>
      <c r="BW48" s="625"/>
      <c r="BX48" s="625"/>
      <c r="BY48" s="625"/>
      <c r="BZ48" s="625"/>
      <c r="CA48" s="624"/>
      <c r="CB48" s="627"/>
      <c r="CC48" s="625"/>
      <c r="CD48" s="625"/>
      <c r="CE48" s="625"/>
      <c r="CF48" s="625"/>
      <c r="CG48" s="624"/>
      <c r="CH48" s="627"/>
      <c r="CI48" s="625"/>
      <c r="CJ48" s="625"/>
      <c r="CK48" s="625"/>
      <c r="CL48" s="625"/>
      <c r="CM48" s="624"/>
      <c r="CN48" s="627"/>
      <c r="CO48" s="625"/>
      <c r="CP48" s="625"/>
      <c r="CQ48" s="625"/>
      <c r="CR48" s="625"/>
      <c r="CS48" s="624"/>
      <c r="CT48" s="627"/>
      <c r="CU48" s="625"/>
      <c r="CV48" s="625"/>
      <c r="CW48" s="625"/>
      <c r="CX48" s="625"/>
      <c r="CY48" s="624"/>
      <c r="CZ48" s="627"/>
      <c r="DA48" s="625"/>
      <c r="DB48" s="625"/>
      <c r="DC48" s="625"/>
      <c r="DD48" s="625"/>
      <c r="DE48" s="624"/>
      <c r="DF48" s="627"/>
      <c r="DG48" s="625"/>
      <c r="DH48" s="625"/>
      <c r="DI48" s="625"/>
      <c r="DJ48" s="625"/>
      <c r="DK48" s="624"/>
      <c r="DL48" s="627"/>
      <c r="DM48" s="625"/>
      <c r="DN48" s="625"/>
      <c r="DO48" s="625"/>
      <c r="DP48" s="625"/>
      <c r="DQ48" s="624"/>
      <c r="DR48" s="627"/>
      <c r="DS48" s="625"/>
      <c r="DT48" s="625"/>
      <c r="DU48" s="625"/>
      <c r="DV48" s="625"/>
      <c r="DW48" s="624"/>
      <c r="DX48" s="627"/>
      <c r="DY48" s="625"/>
      <c r="DZ48" s="625"/>
      <c r="EA48" s="625"/>
      <c r="EB48" s="625"/>
      <c r="EC48" s="624"/>
      <c r="ED48" s="627"/>
      <c r="EE48" s="625"/>
      <c r="EF48" s="625"/>
      <c r="EG48" s="625"/>
      <c r="EH48" s="625"/>
      <c r="EI48" s="624"/>
      <c r="EJ48" s="627"/>
      <c r="EK48" s="625"/>
      <c r="EL48" s="625"/>
      <c r="EM48" s="625"/>
      <c r="EN48" s="625"/>
      <c r="EO48" s="624"/>
      <c r="EP48" s="627"/>
      <c r="EQ48" s="625"/>
      <c r="ER48" s="625"/>
      <c r="ES48" s="625"/>
      <c r="ET48" s="625"/>
      <c r="EU48" s="624"/>
      <c r="EV48" s="627"/>
      <c r="EW48" s="625"/>
      <c r="EX48" s="625"/>
      <c r="EY48" s="625"/>
      <c r="EZ48" s="625"/>
      <c r="FA48" s="624"/>
      <c r="FB48" s="627"/>
      <c r="FC48" s="625"/>
      <c r="FD48" s="625"/>
      <c r="FE48" s="625"/>
      <c r="FF48" s="625"/>
      <c r="FG48" s="624"/>
      <c r="FH48" s="627"/>
      <c r="FI48" s="625"/>
      <c r="FJ48" s="625"/>
      <c r="FK48" s="625"/>
      <c r="FL48" s="625"/>
      <c r="FM48" s="624"/>
      <c r="FN48" s="627"/>
      <c r="FO48" s="625"/>
      <c r="FP48" s="625"/>
      <c r="FQ48" s="625"/>
      <c r="FR48" s="625"/>
      <c r="FS48" s="624"/>
      <c r="FT48" s="627"/>
      <c r="FU48" s="625"/>
      <c r="FV48" s="625"/>
      <c r="FW48" s="625"/>
      <c r="FX48" s="625"/>
      <c r="FY48" s="624"/>
      <c r="FZ48" s="627"/>
      <c r="GA48" s="625"/>
      <c r="GB48" s="625"/>
      <c r="GC48" s="625"/>
      <c r="GD48" s="625"/>
      <c r="GE48" s="624"/>
      <c r="GF48" s="627"/>
      <c r="GG48" s="625"/>
      <c r="GH48" s="625"/>
      <c r="GI48" s="625"/>
      <c r="GJ48" s="625"/>
      <c r="GK48" s="624"/>
      <c r="GL48" s="627"/>
      <c r="GM48" s="625"/>
      <c r="GN48" s="625"/>
      <c r="GO48" s="625"/>
      <c r="GP48" s="625"/>
      <c r="GQ48" s="624"/>
      <c r="GR48" s="627"/>
      <c r="GS48" s="625"/>
      <c r="GT48" s="625"/>
      <c r="GU48" s="625"/>
      <c r="GV48" s="625"/>
      <c r="GW48" s="624"/>
      <c r="GX48" s="627"/>
      <c r="GY48" s="625"/>
      <c r="GZ48" s="625"/>
      <c r="HA48" s="625"/>
      <c r="HB48" s="625"/>
      <c r="HC48" s="624"/>
      <c r="HD48" s="627"/>
      <c r="HE48" s="625"/>
      <c r="HF48" s="625"/>
      <c r="HG48" s="625"/>
      <c r="HH48" s="625"/>
      <c r="HI48" s="624"/>
      <c r="HJ48" s="627"/>
      <c r="HK48" s="625"/>
      <c r="HL48" s="625"/>
      <c r="HM48" s="625"/>
      <c r="HN48" s="625"/>
      <c r="HO48" s="624"/>
      <c r="HP48" s="627"/>
      <c r="HQ48" s="625"/>
      <c r="HR48" s="625"/>
      <c r="HS48" s="625"/>
      <c r="HT48" s="625"/>
      <c r="HU48" s="624"/>
      <c r="HV48" s="627"/>
      <c r="HW48" s="625"/>
      <c r="HX48" s="625"/>
      <c r="HY48" s="625"/>
      <c r="HZ48" s="625"/>
      <c r="IA48" s="624"/>
      <c r="IB48" s="627"/>
      <c r="IC48" s="625"/>
      <c r="ID48" s="625"/>
      <c r="IE48" s="625"/>
      <c r="IF48" s="625"/>
      <c r="IG48" s="624"/>
      <c r="IH48" s="627"/>
      <c r="II48" s="625"/>
      <c r="IJ48" s="625"/>
      <c r="IK48" s="625"/>
    </row>
    <row r="49" spans="2:245" ht="28.5" x14ac:dyDescent="0.2">
      <c r="B49" s="829">
        <v>43</v>
      </c>
      <c r="C49" s="892" t="s">
        <v>696</v>
      </c>
      <c r="D49" s="896" t="s">
        <v>697</v>
      </c>
      <c r="E49" s="896" t="s">
        <v>698</v>
      </c>
      <c r="F49" s="893">
        <v>0</v>
      </c>
      <c r="G49" s="880" t="s">
        <v>574</v>
      </c>
      <c r="H49" s="897">
        <v>0</v>
      </c>
      <c r="I49" s="893">
        <v>3</v>
      </c>
      <c r="J49" s="880" t="s">
        <v>574</v>
      </c>
      <c r="K49" s="894">
        <v>11.584</v>
      </c>
      <c r="L49" s="883">
        <f t="shared" si="3"/>
        <v>71.58</v>
      </c>
      <c r="M49" s="898">
        <v>8</v>
      </c>
      <c r="N49" s="884">
        <f t="shared" si="4"/>
        <v>572.64</v>
      </c>
      <c r="O49" s="895">
        <f>3.45+3.42+3.43+3.43</f>
        <v>13.73</v>
      </c>
      <c r="P49" s="884">
        <f t="shared" si="5"/>
        <v>586.37</v>
      </c>
      <c r="Q49" s="625"/>
      <c r="R49" s="626"/>
      <c r="S49" s="624"/>
      <c r="T49" s="627"/>
      <c r="U49" s="625"/>
      <c r="V49" s="625"/>
      <c r="W49" s="625"/>
      <c r="X49" s="625"/>
      <c r="Y49" s="624"/>
      <c r="Z49" s="627"/>
      <c r="AA49" s="625"/>
      <c r="AB49" s="625"/>
      <c r="AC49" s="625"/>
      <c r="AD49" s="625"/>
      <c r="AE49" s="624"/>
      <c r="AF49" s="627"/>
      <c r="AG49" s="625"/>
      <c r="AH49" s="625"/>
      <c r="AI49" s="625"/>
      <c r="AJ49" s="625"/>
      <c r="AK49" s="624"/>
      <c r="AL49" s="627"/>
      <c r="AM49" s="625"/>
      <c r="AN49" s="625"/>
      <c r="AO49" s="625"/>
      <c r="AP49" s="625"/>
      <c r="AQ49" s="624"/>
      <c r="AR49" s="627"/>
      <c r="AS49" s="625"/>
      <c r="AT49" s="625"/>
      <c r="AU49" s="625"/>
      <c r="AV49" s="625"/>
      <c r="AW49" s="624"/>
      <c r="AX49" s="627"/>
      <c r="AY49" s="625"/>
      <c r="AZ49" s="625"/>
      <c r="BA49" s="625"/>
      <c r="BB49" s="625"/>
      <c r="BC49" s="624"/>
      <c r="BD49" s="627"/>
      <c r="BE49" s="625"/>
      <c r="BF49" s="625"/>
      <c r="BG49" s="625"/>
      <c r="BH49" s="625"/>
      <c r="BI49" s="624"/>
      <c r="BJ49" s="627"/>
      <c r="BK49" s="625"/>
      <c r="BL49" s="625"/>
      <c r="BM49" s="625"/>
      <c r="BN49" s="625"/>
      <c r="BO49" s="624"/>
      <c r="BP49" s="627"/>
      <c r="BQ49" s="625"/>
      <c r="BR49" s="625"/>
      <c r="BS49" s="625"/>
      <c r="BT49" s="625"/>
      <c r="BU49" s="624"/>
      <c r="BV49" s="627"/>
      <c r="BW49" s="625"/>
      <c r="BX49" s="625"/>
      <c r="BY49" s="625"/>
      <c r="BZ49" s="625"/>
      <c r="CA49" s="624"/>
      <c r="CB49" s="627"/>
      <c r="CC49" s="625"/>
      <c r="CD49" s="625"/>
      <c r="CE49" s="625"/>
      <c r="CF49" s="625"/>
      <c r="CG49" s="624"/>
      <c r="CH49" s="627"/>
      <c r="CI49" s="625"/>
      <c r="CJ49" s="625"/>
      <c r="CK49" s="625"/>
      <c r="CL49" s="625"/>
      <c r="CM49" s="624"/>
      <c r="CN49" s="627"/>
      <c r="CO49" s="625"/>
      <c r="CP49" s="625"/>
      <c r="CQ49" s="625"/>
      <c r="CR49" s="625"/>
      <c r="CS49" s="624"/>
      <c r="CT49" s="627"/>
      <c r="CU49" s="625"/>
      <c r="CV49" s="625"/>
      <c r="CW49" s="625"/>
      <c r="CX49" s="625"/>
      <c r="CY49" s="624"/>
      <c r="CZ49" s="627"/>
      <c r="DA49" s="625"/>
      <c r="DB49" s="625"/>
      <c r="DC49" s="625"/>
      <c r="DD49" s="625"/>
      <c r="DE49" s="624"/>
      <c r="DF49" s="627"/>
      <c r="DG49" s="625"/>
      <c r="DH49" s="625"/>
      <c r="DI49" s="625"/>
      <c r="DJ49" s="625"/>
      <c r="DK49" s="624"/>
      <c r="DL49" s="627"/>
      <c r="DM49" s="625"/>
      <c r="DN49" s="625"/>
      <c r="DO49" s="625"/>
      <c r="DP49" s="625"/>
      <c r="DQ49" s="624"/>
      <c r="DR49" s="627"/>
      <c r="DS49" s="625"/>
      <c r="DT49" s="625"/>
      <c r="DU49" s="625"/>
      <c r="DV49" s="625"/>
      <c r="DW49" s="624"/>
      <c r="DX49" s="627"/>
      <c r="DY49" s="625"/>
      <c r="DZ49" s="625"/>
      <c r="EA49" s="625"/>
      <c r="EB49" s="625"/>
      <c r="EC49" s="624"/>
      <c r="ED49" s="627"/>
      <c r="EE49" s="625"/>
      <c r="EF49" s="625"/>
      <c r="EG49" s="625"/>
      <c r="EH49" s="625"/>
      <c r="EI49" s="624"/>
      <c r="EJ49" s="627"/>
      <c r="EK49" s="625"/>
      <c r="EL49" s="625"/>
      <c r="EM49" s="625"/>
      <c r="EN49" s="625"/>
      <c r="EO49" s="624"/>
      <c r="EP49" s="627"/>
      <c r="EQ49" s="625"/>
      <c r="ER49" s="625"/>
      <c r="ES49" s="625"/>
      <c r="ET49" s="625"/>
      <c r="EU49" s="624"/>
      <c r="EV49" s="627"/>
      <c r="EW49" s="625"/>
      <c r="EX49" s="625"/>
      <c r="EY49" s="625"/>
      <c r="EZ49" s="625"/>
      <c r="FA49" s="624"/>
      <c r="FB49" s="627"/>
      <c r="FC49" s="625"/>
      <c r="FD49" s="625"/>
      <c r="FE49" s="625"/>
      <c r="FF49" s="625"/>
      <c r="FG49" s="624"/>
      <c r="FH49" s="627"/>
      <c r="FI49" s="625"/>
      <c r="FJ49" s="625"/>
      <c r="FK49" s="625"/>
      <c r="FL49" s="625"/>
      <c r="FM49" s="624"/>
      <c r="FN49" s="627"/>
      <c r="FO49" s="625"/>
      <c r="FP49" s="625"/>
      <c r="FQ49" s="625"/>
      <c r="FR49" s="625"/>
      <c r="FS49" s="624"/>
      <c r="FT49" s="627"/>
      <c r="FU49" s="625"/>
      <c r="FV49" s="625"/>
      <c r="FW49" s="625"/>
      <c r="FX49" s="625"/>
      <c r="FY49" s="624"/>
      <c r="FZ49" s="627"/>
      <c r="GA49" s="625"/>
      <c r="GB49" s="625"/>
      <c r="GC49" s="625"/>
      <c r="GD49" s="625"/>
      <c r="GE49" s="624"/>
      <c r="GF49" s="627"/>
      <c r="GG49" s="625"/>
      <c r="GH49" s="625"/>
      <c r="GI49" s="625"/>
      <c r="GJ49" s="625"/>
      <c r="GK49" s="624"/>
      <c r="GL49" s="627"/>
      <c r="GM49" s="625"/>
      <c r="GN49" s="625"/>
      <c r="GO49" s="625"/>
      <c r="GP49" s="625"/>
      <c r="GQ49" s="624"/>
      <c r="GR49" s="627"/>
      <c r="GS49" s="625"/>
      <c r="GT49" s="625"/>
      <c r="GU49" s="625"/>
      <c r="GV49" s="625"/>
      <c r="GW49" s="624"/>
      <c r="GX49" s="627"/>
      <c r="GY49" s="625"/>
      <c r="GZ49" s="625"/>
      <c r="HA49" s="625"/>
      <c r="HB49" s="625"/>
      <c r="HC49" s="624"/>
      <c r="HD49" s="627"/>
      <c r="HE49" s="625"/>
      <c r="HF49" s="625"/>
      <c r="HG49" s="625"/>
      <c r="HH49" s="625"/>
      <c r="HI49" s="624"/>
      <c r="HJ49" s="627"/>
      <c r="HK49" s="625"/>
      <c r="HL49" s="625"/>
      <c r="HM49" s="625"/>
      <c r="HN49" s="625"/>
      <c r="HO49" s="624"/>
      <c r="HP49" s="627"/>
      <c r="HQ49" s="625"/>
      <c r="HR49" s="625"/>
      <c r="HS49" s="625"/>
      <c r="HT49" s="625"/>
      <c r="HU49" s="624"/>
      <c r="HV49" s="627"/>
      <c r="HW49" s="625"/>
      <c r="HX49" s="625"/>
      <c r="HY49" s="625"/>
      <c r="HZ49" s="625"/>
      <c r="IA49" s="624"/>
      <c r="IB49" s="627"/>
      <c r="IC49" s="625"/>
      <c r="ID49" s="625"/>
      <c r="IE49" s="625"/>
      <c r="IF49" s="625"/>
      <c r="IG49" s="624"/>
      <c r="IH49" s="627"/>
      <c r="II49" s="625"/>
      <c r="IJ49" s="625"/>
      <c r="IK49" s="625"/>
    </row>
    <row r="50" spans="2:245" ht="28.5" x14ac:dyDescent="0.2">
      <c r="B50" s="829">
        <v>44</v>
      </c>
      <c r="C50" s="892" t="s">
        <v>699</v>
      </c>
      <c r="D50" s="896" t="s">
        <v>700</v>
      </c>
      <c r="E50" s="896" t="s">
        <v>701</v>
      </c>
      <c r="F50" s="893">
        <v>0</v>
      </c>
      <c r="G50" s="880" t="s">
        <v>574</v>
      </c>
      <c r="H50" s="897">
        <v>0</v>
      </c>
      <c r="I50" s="893">
        <v>5</v>
      </c>
      <c r="J50" s="880" t="s">
        <v>574</v>
      </c>
      <c r="K50" s="894">
        <v>6.2949999999999999</v>
      </c>
      <c r="L50" s="883">
        <f t="shared" si="3"/>
        <v>106.29</v>
      </c>
      <c r="M50" s="898">
        <v>8</v>
      </c>
      <c r="N50" s="884">
        <f t="shared" si="4"/>
        <v>850.32</v>
      </c>
      <c r="O50" s="895">
        <f>3.42+3.45+3.43+3.43</f>
        <v>13.73</v>
      </c>
      <c r="P50" s="884">
        <f t="shared" si="5"/>
        <v>864.05000000000007</v>
      </c>
      <c r="Q50" s="625"/>
      <c r="R50" s="626"/>
      <c r="S50" s="624"/>
      <c r="T50" s="627"/>
      <c r="U50" s="625"/>
      <c r="V50" s="625"/>
      <c r="W50" s="625"/>
      <c r="X50" s="625"/>
      <c r="Y50" s="624"/>
      <c r="Z50" s="627"/>
      <c r="AA50" s="625"/>
      <c r="AB50" s="625"/>
      <c r="AC50" s="625"/>
      <c r="AD50" s="625"/>
      <c r="AE50" s="624"/>
      <c r="AF50" s="627"/>
      <c r="AG50" s="625"/>
      <c r="AH50" s="625"/>
      <c r="AI50" s="625"/>
      <c r="AJ50" s="625"/>
      <c r="AK50" s="624"/>
      <c r="AL50" s="627"/>
      <c r="AM50" s="625"/>
      <c r="AN50" s="625"/>
      <c r="AO50" s="625"/>
      <c r="AP50" s="625"/>
      <c r="AQ50" s="624"/>
      <c r="AR50" s="627"/>
      <c r="AS50" s="625"/>
      <c r="AT50" s="625"/>
      <c r="AU50" s="625"/>
      <c r="AV50" s="625"/>
      <c r="AW50" s="624"/>
      <c r="AX50" s="627"/>
      <c r="AY50" s="625"/>
      <c r="AZ50" s="625"/>
      <c r="BA50" s="625"/>
      <c r="BB50" s="625"/>
      <c r="BC50" s="624"/>
      <c r="BD50" s="627"/>
      <c r="BE50" s="625"/>
      <c r="BF50" s="625"/>
      <c r="BG50" s="625"/>
      <c r="BH50" s="625"/>
      <c r="BI50" s="624"/>
      <c r="BJ50" s="627"/>
      <c r="BK50" s="625"/>
      <c r="BL50" s="625"/>
      <c r="BM50" s="625"/>
      <c r="BN50" s="625"/>
      <c r="BO50" s="624"/>
      <c r="BP50" s="627"/>
      <c r="BQ50" s="625"/>
      <c r="BR50" s="625"/>
      <c r="BS50" s="625"/>
      <c r="BT50" s="625"/>
      <c r="BU50" s="624"/>
      <c r="BV50" s="627"/>
      <c r="BW50" s="625"/>
      <c r="BX50" s="625"/>
      <c r="BY50" s="625"/>
      <c r="BZ50" s="625"/>
      <c r="CA50" s="624"/>
      <c r="CB50" s="627"/>
      <c r="CC50" s="625"/>
      <c r="CD50" s="625"/>
      <c r="CE50" s="625"/>
      <c r="CF50" s="625"/>
      <c r="CG50" s="624"/>
      <c r="CH50" s="627"/>
      <c r="CI50" s="625"/>
      <c r="CJ50" s="625"/>
      <c r="CK50" s="625"/>
      <c r="CL50" s="625"/>
      <c r="CM50" s="624"/>
      <c r="CN50" s="627"/>
      <c r="CO50" s="625"/>
      <c r="CP50" s="625"/>
      <c r="CQ50" s="625"/>
      <c r="CR50" s="625"/>
      <c r="CS50" s="624"/>
      <c r="CT50" s="627"/>
      <c r="CU50" s="625"/>
      <c r="CV50" s="625"/>
      <c r="CW50" s="625"/>
      <c r="CX50" s="625"/>
      <c r="CY50" s="624"/>
      <c r="CZ50" s="627"/>
      <c r="DA50" s="625"/>
      <c r="DB50" s="625"/>
      <c r="DC50" s="625"/>
      <c r="DD50" s="625"/>
      <c r="DE50" s="624"/>
      <c r="DF50" s="627"/>
      <c r="DG50" s="625"/>
      <c r="DH50" s="625"/>
      <c r="DI50" s="625"/>
      <c r="DJ50" s="625"/>
      <c r="DK50" s="624"/>
      <c r="DL50" s="627"/>
      <c r="DM50" s="625"/>
      <c r="DN50" s="625"/>
      <c r="DO50" s="625"/>
      <c r="DP50" s="625"/>
      <c r="DQ50" s="624"/>
      <c r="DR50" s="627"/>
      <c r="DS50" s="625"/>
      <c r="DT50" s="625"/>
      <c r="DU50" s="625"/>
      <c r="DV50" s="625"/>
      <c r="DW50" s="624"/>
      <c r="DX50" s="627"/>
      <c r="DY50" s="625"/>
      <c r="DZ50" s="625"/>
      <c r="EA50" s="625"/>
      <c r="EB50" s="625"/>
      <c r="EC50" s="624"/>
      <c r="ED50" s="627"/>
      <c r="EE50" s="625"/>
      <c r="EF50" s="625"/>
      <c r="EG50" s="625"/>
      <c r="EH50" s="625"/>
      <c r="EI50" s="624"/>
      <c r="EJ50" s="627"/>
      <c r="EK50" s="625"/>
      <c r="EL50" s="625"/>
      <c r="EM50" s="625"/>
      <c r="EN50" s="625"/>
      <c r="EO50" s="624"/>
      <c r="EP50" s="627"/>
      <c r="EQ50" s="625"/>
      <c r="ER50" s="625"/>
      <c r="ES50" s="625"/>
      <c r="ET50" s="625"/>
      <c r="EU50" s="624"/>
      <c r="EV50" s="627"/>
      <c r="EW50" s="625"/>
      <c r="EX50" s="625"/>
      <c r="EY50" s="625"/>
      <c r="EZ50" s="625"/>
      <c r="FA50" s="624"/>
      <c r="FB50" s="627"/>
      <c r="FC50" s="625"/>
      <c r="FD50" s="625"/>
      <c r="FE50" s="625"/>
      <c r="FF50" s="625"/>
      <c r="FG50" s="624"/>
      <c r="FH50" s="627"/>
      <c r="FI50" s="625"/>
      <c r="FJ50" s="625"/>
      <c r="FK50" s="625"/>
      <c r="FL50" s="625"/>
      <c r="FM50" s="624"/>
      <c r="FN50" s="627"/>
      <c r="FO50" s="625"/>
      <c r="FP50" s="625"/>
      <c r="FQ50" s="625"/>
      <c r="FR50" s="625"/>
      <c r="FS50" s="624"/>
      <c r="FT50" s="627"/>
      <c r="FU50" s="625"/>
      <c r="FV50" s="625"/>
      <c r="FW50" s="625"/>
      <c r="FX50" s="625"/>
      <c r="FY50" s="624"/>
      <c r="FZ50" s="627"/>
      <c r="GA50" s="625"/>
      <c r="GB50" s="625"/>
      <c r="GC50" s="625"/>
      <c r="GD50" s="625"/>
      <c r="GE50" s="624"/>
      <c r="GF50" s="627"/>
      <c r="GG50" s="625"/>
      <c r="GH50" s="625"/>
      <c r="GI50" s="625"/>
      <c r="GJ50" s="625"/>
      <c r="GK50" s="624"/>
      <c r="GL50" s="627"/>
      <c r="GM50" s="625"/>
      <c r="GN50" s="625"/>
      <c r="GO50" s="625"/>
      <c r="GP50" s="625"/>
      <c r="GQ50" s="624"/>
      <c r="GR50" s="627"/>
      <c r="GS50" s="625"/>
      <c r="GT50" s="625"/>
      <c r="GU50" s="625"/>
      <c r="GV50" s="625"/>
      <c r="GW50" s="624"/>
      <c r="GX50" s="627"/>
      <c r="GY50" s="625"/>
      <c r="GZ50" s="625"/>
      <c r="HA50" s="625"/>
      <c r="HB50" s="625"/>
      <c r="HC50" s="624"/>
      <c r="HD50" s="627"/>
      <c r="HE50" s="625"/>
      <c r="HF50" s="625"/>
      <c r="HG50" s="625"/>
      <c r="HH50" s="625"/>
      <c r="HI50" s="624"/>
      <c r="HJ50" s="627"/>
      <c r="HK50" s="625"/>
      <c r="HL50" s="625"/>
      <c r="HM50" s="625"/>
      <c r="HN50" s="625"/>
      <c r="HO50" s="624"/>
      <c r="HP50" s="627"/>
      <c r="HQ50" s="625"/>
      <c r="HR50" s="625"/>
      <c r="HS50" s="625"/>
      <c r="HT50" s="625"/>
      <c r="HU50" s="624"/>
      <c r="HV50" s="627"/>
      <c r="HW50" s="625"/>
      <c r="HX50" s="625"/>
      <c r="HY50" s="625"/>
      <c r="HZ50" s="625"/>
      <c r="IA50" s="624"/>
      <c r="IB50" s="627"/>
      <c r="IC50" s="625"/>
      <c r="ID50" s="625"/>
      <c r="IE50" s="625"/>
      <c r="IF50" s="625"/>
      <c r="IG50" s="624"/>
      <c r="IH50" s="627"/>
      <c r="II50" s="625"/>
      <c r="IJ50" s="625"/>
      <c r="IK50" s="625"/>
    </row>
    <row r="51" spans="2:245" ht="28.5" x14ac:dyDescent="0.2">
      <c r="B51" s="829">
        <v>45</v>
      </c>
      <c r="C51" s="902" t="s">
        <v>702</v>
      </c>
      <c r="D51" s="903" t="s">
        <v>703</v>
      </c>
      <c r="E51" s="903" t="s">
        <v>704</v>
      </c>
      <c r="F51" s="893">
        <v>0</v>
      </c>
      <c r="G51" s="880" t="s">
        <v>574</v>
      </c>
      <c r="H51" s="897">
        <v>0</v>
      </c>
      <c r="I51" s="904">
        <v>6</v>
      </c>
      <c r="J51" s="905" t="s">
        <v>574</v>
      </c>
      <c r="K51" s="906">
        <v>2.1749999999999998</v>
      </c>
      <c r="L51" s="883">
        <f t="shared" si="3"/>
        <v>122.17</v>
      </c>
      <c r="M51" s="898">
        <v>8</v>
      </c>
      <c r="N51" s="884">
        <f t="shared" si="4"/>
        <v>977.36</v>
      </c>
      <c r="O51" s="907">
        <f>3.39+3.48+3.42+3.45</f>
        <v>13.739999999999998</v>
      </c>
      <c r="P51" s="884">
        <f t="shared" si="5"/>
        <v>991.1</v>
      </c>
      <c r="Q51" s="625"/>
      <c r="R51" s="626"/>
      <c r="S51" s="624"/>
      <c r="T51" s="627"/>
      <c r="U51" s="625"/>
      <c r="V51" s="625"/>
      <c r="W51" s="625"/>
      <c r="X51" s="625"/>
      <c r="Y51" s="624"/>
      <c r="Z51" s="627"/>
      <c r="AA51" s="625"/>
      <c r="AB51" s="625"/>
      <c r="AC51" s="625"/>
      <c r="AD51" s="625"/>
      <c r="AE51" s="624"/>
      <c r="AF51" s="627"/>
      <c r="AG51" s="625"/>
      <c r="AH51" s="625"/>
      <c r="AI51" s="625"/>
      <c r="AJ51" s="625"/>
      <c r="AK51" s="624"/>
      <c r="AL51" s="627"/>
      <c r="AM51" s="625"/>
      <c r="AN51" s="625"/>
      <c r="AO51" s="625"/>
      <c r="AP51" s="625"/>
      <c r="AQ51" s="624"/>
      <c r="AR51" s="627"/>
      <c r="AS51" s="625"/>
      <c r="AT51" s="625"/>
      <c r="AU51" s="625"/>
      <c r="AV51" s="625"/>
      <c r="AW51" s="624"/>
      <c r="AX51" s="627"/>
      <c r="AY51" s="625"/>
      <c r="AZ51" s="625"/>
      <c r="BA51" s="625"/>
      <c r="BB51" s="625"/>
      <c r="BC51" s="624"/>
      <c r="BD51" s="627"/>
      <c r="BE51" s="625"/>
      <c r="BF51" s="625"/>
      <c r="BG51" s="625"/>
      <c r="BH51" s="625"/>
      <c r="BI51" s="624"/>
      <c r="BJ51" s="627"/>
      <c r="BK51" s="625"/>
      <c r="BL51" s="625"/>
      <c r="BM51" s="625"/>
      <c r="BN51" s="625"/>
      <c r="BO51" s="624"/>
      <c r="BP51" s="627"/>
      <c r="BQ51" s="625"/>
      <c r="BR51" s="625"/>
      <c r="BS51" s="625"/>
      <c r="BT51" s="625"/>
      <c r="BU51" s="624"/>
      <c r="BV51" s="627"/>
      <c r="BW51" s="625"/>
      <c r="BX51" s="625"/>
      <c r="BY51" s="625"/>
      <c r="BZ51" s="625"/>
      <c r="CA51" s="624"/>
      <c r="CB51" s="627"/>
      <c r="CC51" s="625"/>
      <c r="CD51" s="625"/>
      <c r="CE51" s="625"/>
      <c r="CF51" s="625"/>
      <c r="CG51" s="624"/>
      <c r="CH51" s="627"/>
      <c r="CI51" s="625"/>
      <c r="CJ51" s="625"/>
      <c r="CK51" s="625"/>
      <c r="CL51" s="625"/>
      <c r="CM51" s="624"/>
      <c r="CN51" s="627"/>
      <c r="CO51" s="625"/>
      <c r="CP51" s="625"/>
      <c r="CQ51" s="625"/>
      <c r="CR51" s="625"/>
      <c r="CS51" s="624"/>
      <c r="CT51" s="627"/>
      <c r="CU51" s="625"/>
      <c r="CV51" s="625"/>
      <c r="CW51" s="625"/>
      <c r="CX51" s="625"/>
      <c r="CY51" s="624"/>
      <c r="CZ51" s="627"/>
      <c r="DA51" s="625"/>
      <c r="DB51" s="625"/>
      <c r="DC51" s="625"/>
      <c r="DD51" s="625"/>
      <c r="DE51" s="624"/>
      <c r="DF51" s="627"/>
      <c r="DG51" s="625"/>
      <c r="DH51" s="625"/>
      <c r="DI51" s="625"/>
      <c r="DJ51" s="625"/>
      <c r="DK51" s="624"/>
      <c r="DL51" s="627"/>
      <c r="DM51" s="625"/>
      <c r="DN51" s="625"/>
      <c r="DO51" s="625"/>
      <c r="DP51" s="625"/>
      <c r="DQ51" s="624"/>
      <c r="DR51" s="627"/>
      <c r="DS51" s="625"/>
      <c r="DT51" s="625"/>
      <c r="DU51" s="625"/>
      <c r="DV51" s="625"/>
      <c r="DW51" s="624"/>
      <c r="DX51" s="627"/>
      <c r="DY51" s="625"/>
      <c r="DZ51" s="625"/>
      <c r="EA51" s="625"/>
      <c r="EB51" s="625"/>
      <c r="EC51" s="624"/>
      <c r="ED51" s="627"/>
      <c r="EE51" s="625"/>
      <c r="EF51" s="625"/>
      <c r="EG51" s="625"/>
      <c r="EH51" s="625"/>
      <c r="EI51" s="624"/>
      <c r="EJ51" s="627"/>
      <c r="EK51" s="625"/>
      <c r="EL51" s="625"/>
      <c r="EM51" s="625"/>
      <c r="EN51" s="625"/>
      <c r="EO51" s="624"/>
      <c r="EP51" s="627"/>
      <c r="EQ51" s="625"/>
      <c r="ER51" s="625"/>
      <c r="ES51" s="625"/>
      <c r="ET51" s="625"/>
      <c r="EU51" s="624"/>
      <c r="EV51" s="627"/>
      <c r="EW51" s="625"/>
      <c r="EX51" s="625"/>
      <c r="EY51" s="625"/>
      <c r="EZ51" s="625"/>
      <c r="FA51" s="624"/>
      <c r="FB51" s="627"/>
      <c r="FC51" s="625"/>
      <c r="FD51" s="625"/>
      <c r="FE51" s="625"/>
      <c r="FF51" s="625"/>
      <c r="FG51" s="624"/>
      <c r="FH51" s="627"/>
      <c r="FI51" s="625"/>
      <c r="FJ51" s="625"/>
      <c r="FK51" s="625"/>
      <c r="FL51" s="625"/>
      <c r="FM51" s="624"/>
      <c r="FN51" s="627"/>
      <c r="FO51" s="625"/>
      <c r="FP51" s="625"/>
      <c r="FQ51" s="625"/>
      <c r="FR51" s="625"/>
      <c r="FS51" s="624"/>
      <c r="FT51" s="627"/>
      <c r="FU51" s="625"/>
      <c r="FV51" s="625"/>
      <c r="FW51" s="625"/>
      <c r="FX51" s="625"/>
      <c r="FY51" s="624"/>
      <c r="FZ51" s="627"/>
      <c r="GA51" s="625"/>
      <c r="GB51" s="625"/>
      <c r="GC51" s="625"/>
      <c r="GD51" s="625"/>
      <c r="GE51" s="624"/>
      <c r="GF51" s="627"/>
      <c r="GG51" s="625"/>
      <c r="GH51" s="625"/>
      <c r="GI51" s="625"/>
      <c r="GJ51" s="625"/>
      <c r="GK51" s="624"/>
      <c r="GL51" s="627"/>
      <c r="GM51" s="625"/>
      <c r="GN51" s="625"/>
      <c r="GO51" s="625"/>
      <c r="GP51" s="625"/>
      <c r="GQ51" s="624"/>
      <c r="GR51" s="627"/>
      <c r="GS51" s="625"/>
      <c r="GT51" s="625"/>
      <c r="GU51" s="625"/>
      <c r="GV51" s="625"/>
      <c r="GW51" s="624"/>
      <c r="GX51" s="627"/>
      <c r="GY51" s="625"/>
      <c r="GZ51" s="625"/>
      <c r="HA51" s="625"/>
      <c r="HB51" s="625"/>
      <c r="HC51" s="624"/>
      <c r="HD51" s="627"/>
      <c r="HE51" s="625"/>
      <c r="HF51" s="625"/>
      <c r="HG51" s="625"/>
      <c r="HH51" s="625"/>
      <c r="HI51" s="624"/>
      <c r="HJ51" s="627"/>
      <c r="HK51" s="625"/>
      <c r="HL51" s="625"/>
      <c r="HM51" s="625"/>
      <c r="HN51" s="625"/>
      <c r="HO51" s="624"/>
      <c r="HP51" s="627"/>
      <c r="HQ51" s="625"/>
      <c r="HR51" s="625"/>
      <c r="HS51" s="625"/>
      <c r="HT51" s="625"/>
      <c r="HU51" s="624"/>
      <c r="HV51" s="627"/>
      <c r="HW51" s="625"/>
      <c r="HX51" s="625"/>
      <c r="HY51" s="625"/>
      <c r="HZ51" s="625"/>
      <c r="IA51" s="624"/>
      <c r="IB51" s="627"/>
      <c r="IC51" s="625"/>
      <c r="ID51" s="625"/>
      <c r="IE51" s="625"/>
      <c r="IF51" s="625"/>
      <c r="IG51" s="624"/>
      <c r="IH51" s="627"/>
      <c r="II51" s="625"/>
      <c r="IJ51" s="625"/>
      <c r="IK51" s="625"/>
    </row>
    <row r="52" spans="2:245" ht="28.5" x14ac:dyDescent="0.2">
      <c r="B52" s="829">
        <v>46</v>
      </c>
      <c r="C52" s="902" t="s">
        <v>705</v>
      </c>
      <c r="D52" s="903" t="s">
        <v>706</v>
      </c>
      <c r="E52" s="903" t="s">
        <v>707</v>
      </c>
      <c r="F52" s="904">
        <v>0</v>
      </c>
      <c r="G52" s="905" t="s">
        <v>574</v>
      </c>
      <c r="H52" s="908">
        <v>0</v>
      </c>
      <c r="I52" s="904">
        <v>5</v>
      </c>
      <c r="J52" s="905" t="s">
        <v>574</v>
      </c>
      <c r="K52" s="906">
        <v>6.4009999999999998</v>
      </c>
      <c r="L52" s="883">
        <f t="shared" si="3"/>
        <v>106.4</v>
      </c>
      <c r="M52" s="909">
        <v>7</v>
      </c>
      <c r="N52" s="884">
        <f t="shared" si="4"/>
        <v>744.8</v>
      </c>
      <c r="O52" s="907">
        <f>3.44+3.43+3.45+3.42</f>
        <v>13.74</v>
      </c>
      <c r="P52" s="884">
        <f t="shared" si="5"/>
        <v>758.54</v>
      </c>
      <c r="Q52" s="625"/>
      <c r="R52" s="626"/>
      <c r="S52" s="624"/>
      <c r="T52" s="627"/>
      <c r="U52" s="625"/>
      <c r="V52" s="625"/>
      <c r="W52" s="625"/>
      <c r="X52" s="625"/>
      <c r="Y52" s="624"/>
      <c r="Z52" s="627"/>
      <c r="AA52" s="625"/>
      <c r="AB52" s="625"/>
      <c r="AC52" s="625"/>
      <c r="AD52" s="625"/>
      <c r="AE52" s="624"/>
      <c r="AF52" s="627"/>
      <c r="AG52" s="625"/>
      <c r="AH52" s="625"/>
      <c r="AI52" s="625"/>
      <c r="AJ52" s="625"/>
      <c r="AK52" s="624"/>
      <c r="AL52" s="627"/>
      <c r="AM52" s="625"/>
      <c r="AN52" s="625"/>
      <c r="AO52" s="625"/>
      <c r="AP52" s="625"/>
      <c r="AQ52" s="624"/>
      <c r="AR52" s="627"/>
      <c r="AS52" s="625"/>
      <c r="AT52" s="625"/>
      <c r="AU52" s="625"/>
      <c r="AV52" s="625"/>
      <c r="AW52" s="624"/>
      <c r="AX52" s="627"/>
      <c r="AY52" s="625"/>
      <c r="AZ52" s="625"/>
      <c r="BA52" s="625"/>
      <c r="BB52" s="625"/>
      <c r="BC52" s="624"/>
      <c r="BD52" s="627"/>
      <c r="BE52" s="625"/>
      <c r="BF52" s="625"/>
      <c r="BG52" s="625"/>
      <c r="BH52" s="625"/>
      <c r="BI52" s="624"/>
      <c r="BJ52" s="627"/>
      <c r="BK52" s="625"/>
      <c r="BL52" s="625"/>
      <c r="BM52" s="625"/>
      <c r="BN52" s="625"/>
      <c r="BO52" s="624"/>
      <c r="BP52" s="627"/>
      <c r="BQ52" s="625"/>
      <c r="BR52" s="625"/>
      <c r="BS52" s="625"/>
      <c r="BT52" s="625"/>
      <c r="BU52" s="624"/>
      <c r="BV52" s="627"/>
      <c r="BW52" s="625"/>
      <c r="BX52" s="625"/>
      <c r="BY52" s="625"/>
      <c r="BZ52" s="625"/>
      <c r="CA52" s="624"/>
      <c r="CB52" s="627"/>
      <c r="CC52" s="625"/>
      <c r="CD52" s="625"/>
      <c r="CE52" s="625"/>
      <c r="CF52" s="625"/>
      <c r="CG52" s="624"/>
      <c r="CH52" s="627"/>
      <c r="CI52" s="625"/>
      <c r="CJ52" s="625"/>
      <c r="CK52" s="625"/>
      <c r="CL52" s="625"/>
      <c r="CM52" s="624"/>
      <c r="CN52" s="627"/>
      <c r="CO52" s="625"/>
      <c r="CP52" s="625"/>
      <c r="CQ52" s="625"/>
      <c r="CR52" s="625"/>
      <c r="CS52" s="624"/>
      <c r="CT52" s="627"/>
      <c r="CU52" s="625"/>
      <c r="CV52" s="625"/>
      <c r="CW52" s="625"/>
      <c r="CX52" s="625"/>
      <c r="CY52" s="624"/>
      <c r="CZ52" s="627"/>
      <c r="DA52" s="625"/>
      <c r="DB52" s="625"/>
      <c r="DC52" s="625"/>
      <c r="DD52" s="625"/>
      <c r="DE52" s="624"/>
      <c r="DF52" s="627"/>
      <c r="DG52" s="625"/>
      <c r="DH52" s="625"/>
      <c r="DI52" s="625"/>
      <c r="DJ52" s="625"/>
      <c r="DK52" s="624"/>
      <c r="DL52" s="627"/>
      <c r="DM52" s="625"/>
      <c r="DN52" s="625"/>
      <c r="DO52" s="625"/>
      <c r="DP52" s="625"/>
      <c r="DQ52" s="624"/>
      <c r="DR52" s="627"/>
      <c r="DS52" s="625"/>
      <c r="DT52" s="625"/>
      <c r="DU52" s="625"/>
      <c r="DV52" s="625"/>
      <c r="DW52" s="624"/>
      <c r="DX52" s="627"/>
      <c r="DY52" s="625"/>
      <c r="DZ52" s="625"/>
      <c r="EA52" s="625"/>
      <c r="EB52" s="625"/>
      <c r="EC52" s="624"/>
      <c r="ED52" s="627"/>
      <c r="EE52" s="625"/>
      <c r="EF52" s="625"/>
      <c r="EG52" s="625"/>
      <c r="EH52" s="625"/>
      <c r="EI52" s="624"/>
      <c r="EJ52" s="627"/>
      <c r="EK52" s="625"/>
      <c r="EL52" s="625"/>
      <c r="EM52" s="625"/>
      <c r="EN52" s="625"/>
      <c r="EO52" s="624"/>
      <c r="EP52" s="627"/>
      <c r="EQ52" s="625"/>
      <c r="ER52" s="625"/>
      <c r="ES52" s="625"/>
      <c r="ET52" s="625"/>
      <c r="EU52" s="624"/>
      <c r="EV52" s="627"/>
      <c r="EW52" s="625"/>
      <c r="EX52" s="625"/>
      <c r="EY52" s="625"/>
      <c r="EZ52" s="625"/>
      <c r="FA52" s="624"/>
      <c r="FB52" s="627"/>
      <c r="FC52" s="625"/>
      <c r="FD52" s="625"/>
      <c r="FE52" s="625"/>
      <c r="FF52" s="625"/>
      <c r="FG52" s="624"/>
      <c r="FH52" s="627"/>
      <c r="FI52" s="625"/>
      <c r="FJ52" s="625"/>
      <c r="FK52" s="625"/>
      <c r="FL52" s="625"/>
      <c r="FM52" s="624"/>
      <c r="FN52" s="627"/>
      <c r="FO52" s="625"/>
      <c r="FP52" s="625"/>
      <c r="FQ52" s="625"/>
      <c r="FR52" s="625"/>
      <c r="FS52" s="624"/>
      <c r="FT52" s="627"/>
      <c r="FU52" s="625"/>
      <c r="FV52" s="625"/>
      <c r="FW52" s="625"/>
      <c r="FX52" s="625"/>
      <c r="FY52" s="624"/>
      <c r="FZ52" s="627"/>
      <c r="GA52" s="625"/>
      <c r="GB52" s="625"/>
      <c r="GC52" s="625"/>
      <c r="GD52" s="625"/>
      <c r="GE52" s="624"/>
      <c r="GF52" s="627"/>
      <c r="GG52" s="625"/>
      <c r="GH52" s="625"/>
      <c r="GI52" s="625"/>
      <c r="GJ52" s="625"/>
      <c r="GK52" s="624"/>
      <c r="GL52" s="627"/>
      <c r="GM52" s="625"/>
      <c r="GN52" s="625"/>
      <c r="GO52" s="625"/>
      <c r="GP52" s="625"/>
      <c r="GQ52" s="624"/>
      <c r="GR52" s="627"/>
      <c r="GS52" s="625"/>
      <c r="GT52" s="625"/>
      <c r="GU52" s="625"/>
      <c r="GV52" s="625"/>
      <c r="GW52" s="624"/>
      <c r="GX52" s="627"/>
      <c r="GY52" s="625"/>
      <c r="GZ52" s="625"/>
      <c r="HA52" s="625"/>
      <c r="HB52" s="625"/>
      <c r="HC52" s="624"/>
      <c r="HD52" s="627"/>
      <c r="HE52" s="625"/>
      <c r="HF52" s="625"/>
      <c r="HG52" s="625"/>
      <c r="HH52" s="625"/>
      <c r="HI52" s="624"/>
      <c r="HJ52" s="627"/>
      <c r="HK52" s="625"/>
      <c r="HL52" s="625"/>
      <c r="HM52" s="625"/>
      <c r="HN52" s="625"/>
      <c r="HO52" s="624"/>
      <c r="HP52" s="627"/>
      <c r="HQ52" s="625"/>
      <c r="HR52" s="625"/>
      <c r="HS52" s="625"/>
      <c r="HT52" s="625"/>
      <c r="HU52" s="624"/>
      <c r="HV52" s="627"/>
      <c r="HW52" s="625"/>
      <c r="HX52" s="625"/>
      <c r="HY52" s="625"/>
      <c r="HZ52" s="625"/>
      <c r="IA52" s="624"/>
      <c r="IB52" s="627"/>
      <c r="IC52" s="625"/>
      <c r="ID52" s="625"/>
      <c r="IE52" s="625"/>
      <c r="IF52" s="625"/>
      <c r="IG52" s="624"/>
      <c r="IH52" s="627"/>
      <c r="II52" s="625"/>
      <c r="IJ52" s="625"/>
      <c r="IK52" s="625"/>
    </row>
    <row r="53" spans="2:245" ht="24.75" customHeight="1" x14ac:dyDescent="0.2">
      <c r="B53" s="1385" t="s">
        <v>708</v>
      </c>
      <c r="C53" s="1386"/>
      <c r="D53" s="1386"/>
      <c r="E53" s="1386"/>
      <c r="F53" s="1386"/>
      <c r="G53" s="1386"/>
      <c r="H53" s="1386"/>
      <c r="I53" s="1386"/>
      <c r="J53" s="1386"/>
      <c r="K53" s="1537"/>
      <c r="L53" s="910">
        <f>TRUNC(SUM(L6:L52),2)</f>
        <v>8019.95</v>
      </c>
      <c r="M53" s="910"/>
      <c r="N53" s="910">
        <f>TRUNC(SUM(N6:N52),2)</f>
        <v>62945.14</v>
      </c>
      <c r="O53" s="910">
        <f>TRUNC(SUM(O6:O52),2)</f>
        <v>1256.49</v>
      </c>
      <c r="P53" s="910">
        <f>TRUNC(SUM(P6:P52),2)</f>
        <v>64201.63</v>
      </c>
    </row>
    <row r="54" spans="2:245" x14ac:dyDescent="0.2">
      <c r="B54" s="593" t="s">
        <v>709</v>
      </c>
    </row>
    <row r="56" spans="2:245" x14ac:dyDescent="0.2">
      <c r="T56" s="593">
        <v>10.685</v>
      </c>
    </row>
    <row r="57" spans="2:245" x14ac:dyDescent="0.2">
      <c r="T57" s="593">
        <f>T56*0.03</f>
        <v>0.32055</v>
      </c>
    </row>
    <row r="58" spans="2:245" x14ac:dyDescent="0.2">
      <c r="T58" s="593">
        <f>417.56-T57</f>
        <v>417.23944999999998</v>
      </c>
    </row>
  </sheetData>
  <mergeCells count="10">
    <mergeCell ref="B5:P5"/>
    <mergeCell ref="B26:P26"/>
    <mergeCell ref="B53:K53"/>
    <mergeCell ref="B2:P2"/>
    <mergeCell ref="B3:B4"/>
    <mergeCell ref="C3:C4"/>
    <mergeCell ref="D3:E3"/>
    <mergeCell ref="F3:K3"/>
    <mergeCell ref="F4:H4"/>
    <mergeCell ref="I4:K4"/>
  </mergeCells>
  <printOptions horizontalCentered="1"/>
  <pageMargins left="0.59055118110236227" right="0.59055118110236227" top="1.7716535433070868" bottom="0.78740157480314965" header="0" footer="0"/>
  <pageSetup paperSize="9" scale="58" fitToHeight="0" orientation="landscape" r:id="rId1"/>
  <headerFooter scaleWithDoc="0">
    <oddHeader>&amp;L&amp;G</oddHeader>
    <oddFooter>&amp;C&amp;"-,Negrito"&amp;12DIONI CAETANEO DE OLIVEIRA
&amp;"-,Regular"ENGENHEIRO CIVIL - CREA /MT 40957
DEPARTAMENTO DE ENGENHARIA</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B5430-92CF-45FB-8A3B-79397622C5BE}">
  <sheetPr codeName="Planilha14">
    <tabColor rgb="FF92D050"/>
  </sheetPr>
  <dimension ref="B2:HX64"/>
  <sheetViews>
    <sheetView showGridLines="0" view="pageLayout" topLeftCell="A4" zoomScaleNormal="85" zoomScaleSheetLayoutView="85" workbookViewId="0">
      <selection activeCell="B6" sqref="B6:R6"/>
    </sheetView>
  </sheetViews>
  <sheetFormatPr defaultRowHeight="14.25" x14ac:dyDescent="0.2"/>
  <cols>
    <col min="1" max="1" width="9.140625" style="593"/>
    <col min="2" max="2" width="6.140625" style="593" customWidth="1"/>
    <col min="3" max="3" width="31.7109375" style="593" customWidth="1"/>
    <col min="4" max="4" width="12.7109375" style="593" bestFit="1" customWidth="1"/>
    <col min="5" max="5" width="11.28515625" style="593" bestFit="1" customWidth="1"/>
    <col min="6" max="8" width="12.7109375" style="593" customWidth="1"/>
    <col min="9" max="9" width="13.85546875" style="593" customWidth="1"/>
    <col min="10" max="10" width="12.7109375" style="593" customWidth="1"/>
    <col min="11" max="11" width="14.28515625" style="593" customWidth="1"/>
    <col min="12" max="12" width="19.7109375" style="593" customWidth="1"/>
    <col min="13" max="13" width="12.7109375" style="593" customWidth="1"/>
    <col min="14" max="14" width="11.7109375" style="593" customWidth="1"/>
    <col min="15" max="18" width="12.7109375" style="593" customWidth="1"/>
    <col min="19" max="16384" width="9.140625" style="593"/>
  </cols>
  <sheetData>
    <row r="2" spans="2:18" ht="24" customHeight="1" x14ac:dyDescent="0.2">
      <c r="B2" s="1538" t="s">
        <v>710</v>
      </c>
      <c r="C2" s="1539"/>
      <c r="D2" s="1539"/>
      <c r="E2" s="1539"/>
      <c r="F2" s="1539"/>
      <c r="G2" s="1539"/>
      <c r="H2" s="1539"/>
      <c r="I2" s="1539"/>
      <c r="J2" s="1539"/>
      <c r="K2" s="1551"/>
      <c r="L2" s="1539"/>
      <c r="M2" s="1539"/>
      <c r="N2" s="1539"/>
      <c r="O2" s="1539"/>
      <c r="P2" s="1539"/>
      <c r="Q2" s="1539"/>
      <c r="R2" s="1540"/>
    </row>
    <row r="3" spans="2:18" ht="21.75" customHeight="1" x14ac:dyDescent="0.2">
      <c r="B3" s="1552" t="s">
        <v>174</v>
      </c>
      <c r="C3" s="1554" t="s">
        <v>559</v>
      </c>
      <c r="D3" s="1556" t="s">
        <v>562</v>
      </c>
      <c r="E3" s="1556" t="s">
        <v>563</v>
      </c>
      <c r="F3" s="1545" t="s">
        <v>711</v>
      </c>
      <c r="G3" s="1546"/>
      <c r="H3" s="1545" t="s">
        <v>712</v>
      </c>
      <c r="I3" s="1546"/>
      <c r="J3" s="1546"/>
      <c r="K3" s="1548" t="s">
        <v>713</v>
      </c>
      <c r="L3" s="1548" t="s">
        <v>714</v>
      </c>
      <c r="M3" s="1559" t="s">
        <v>715</v>
      </c>
      <c r="N3" s="1545" t="s">
        <v>716</v>
      </c>
      <c r="O3" s="1546"/>
      <c r="P3" s="1546"/>
      <c r="Q3" s="1546"/>
      <c r="R3" s="1547"/>
    </row>
    <row r="4" spans="2:18" ht="37.5" customHeight="1" x14ac:dyDescent="0.2">
      <c r="B4" s="1552"/>
      <c r="C4" s="1554"/>
      <c r="D4" s="1557"/>
      <c r="E4" s="1557"/>
      <c r="F4" s="875" t="s">
        <v>717</v>
      </c>
      <c r="G4" s="875" t="s">
        <v>718</v>
      </c>
      <c r="H4" s="875" t="s">
        <v>564</v>
      </c>
      <c r="I4" s="875" t="s">
        <v>719</v>
      </c>
      <c r="J4" s="913" t="s">
        <v>720</v>
      </c>
      <c r="K4" s="1558"/>
      <c r="L4" s="1558"/>
      <c r="M4" s="1560"/>
      <c r="N4" s="1548" t="s">
        <v>721</v>
      </c>
      <c r="O4" s="875" t="s">
        <v>722</v>
      </c>
      <c r="P4" s="875" t="s">
        <v>723</v>
      </c>
      <c r="Q4" s="875" t="s">
        <v>724</v>
      </c>
      <c r="R4" s="875" t="s">
        <v>723</v>
      </c>
    </row>
    <row r="5" spans="2:18" ht="15" x14ac:dyDescent="0.2">
      <c r="B5" s="1553"/>
      <c r="C5" s="1555"/>
      <c r="D5" s="876" t="s">
        <v>569</v>
      </c>
      <c r="E5" s="876" t="s">
        <v>569</v>
      </c>
      <c r="F5" s="876" t="s">
        <v>725</v>
      </c>
      <c r="G5" s="876" t="s">
        <v>725</v>
      </c>
      <c r="H5" s="876" t="s">
        <v>570</v>
      </c>
      <c r="I5" s="876" t="s">
        <v>569</v>
      </c>
      <c r="J5" s="914" t="s">
        <v>725</v>
      </c>
      <c r="K5" s="876" t="s">
        <v>725</v>
      </c>
      <c r="L5" s="876" t="s">
        <v>725</v>
      </c>
      <c r="M5" s="915" t="s">
        <v>725</v>
      </c>
      <c r="N5" s="1549"/>
      <c r="O5" s="876" t="s">
        <v>726</v>
      </c>
      <c r="P5" s="876" t="s">
        <v>727</v>
      </c>
      <c r="Q5" s="876" t="s">
        <v>726</v>
      </c>
      <c r="R5" s="876" t="s">
        <v>727</v>
      </c>
    </row>
    <row r="6" spans="2:18" ht="15" x14ac:dyDescent="0.2">
      <c r="B6" s="1390" t="s">
        <v>538</v>
      </c>
      <c r="C6" s="1391"/>
      <c r="D6" s="1391"/>
      <c r="E6" s="1391"/>
      <c r="F6" s="1391"/>
      <c r="G6" s="1391"/>
      <c r="H6" s="1391"/>
      <c r="I6" s="1391"/>
      <c r="J6" s="1391"/>
      <c r="K6" s="1391"/>
      <c r="L6" s="1391"/>
      <c r="M6" s="1391"/>
      <c r="N6" s="1391"/>
      <c r="O6" s="1391"/>
      <c r="P6" s="1391"/>
      <c r="Q6" s="1391"/>
      <c r="R6" s="1536"/>
    </row>
    <row r="7" spans="2:18" ht="15" x14ac:dyDescent="0.2">
      <c r="B7" s="917">
        <v>1</v>
      </c>
      <c r="C7" s="918" t="s">
        <v>571</v>
      </c>
      <c r="D7" s="919">
        <f>RUAS!L6</f>
        <v>170.42</v>
      </c>
      <c r="E7" s="919">
        <f>RUAS!M6+0.9</f>
        <v>8.9</v>
      </c>
      <c r="F7" s="919">
        <v>530.77</v>
      </c>
      <c r="G7" s="919">
        <v>0</v>
      </c>
      <c r="H7" s="884">
        <f>RUAS!O6</f>
        <v>13.86</v>
      </c>
      <c r="I7" s="920">
        <f>0.25+0.025</f>
        <v>0.27500000000000002</v>
      </c>
      <c r="J7" s="884">
        <f>TRUNC(H7*I7,2)</f>
        <v>3.81</v>
      </c>
      <c r="K7" s="921">
        <f>F7+J7</f>
        <v>534.57999999999993</v>
      </c>
      <c r="L7" s="922">
        <f>G7</f>
        <v>0</v>
      </c>
      <c r="M7" s="921">
        <f>TRUNC(K7-L7,2)</f>
        <v>534.58000000000004</v>
      </c>
      <c r="N7" s="921">
        <v>1.25</v>
      </c>
      <c r="O7" s="923">
        <f>DMT!F6</f>
        <v>0.8</v>
      </c>
      <c r="P7" s="923">
        <f>TRUNC(M7*N7*O7,2)</f>
        <v>534.58000000000004</v>
      </c>
      <c r="Q7" s="923">
        <f>DMT!G6</f>
        <v>1.2</v>
      </c>
      <c r="R7" s="921">
        <f t="shared" ref="R7:R26" si="0">TRUNC(N7*M7*Q7,3)</f>
        <v>801.87</v>
      </c>
    </row>
    <row r="8" spans="2:18" ht="15" x14ac:dyDescent="0.2">
      <c r="B8" s="917">
        <v>2</v>
      </c>
      <c r="C8" s="918" t="s">
        <v>575</v>
      </c>
      <c r="D8" s="919">
        <f>RUAS!L7</f>
        <v>142.33000000000001</v>
      </c>
      <c r="E8" s="919">
        <f>RUAS!M7+0.9</f>
        <v>8.9</v>
      </c>
      <c r="F8" s="919">
        <v>344.05</v>
      </c>
      <c r="G8" s="919">
        <v>0</v>
      </c>
      <c r="H8" s="884">
        <f>RUAS!O7</f>
        <v>13.719999999999999</v>
      </c>
      <c r="I8" s="920">
        <f t="shared" ref="I8:I26" si="1">0.25+0.025</f>
        <v>0.27500000000000002</v>
      </c>
      <c r="J8" s="884">
        <f t="shared" ref="J8:J26" si="2">TRUNC(H8*I8,2)</f>
        <v>3.77</v>
      </c>
      <c r="K8" s="921">
        <f t="shared" ref="K8:K26" si="3">F8+J8</f>
        <v>347.82</v>
      </c>
      <c r="L8" s="922">
        <f t="shared" ref="L8:L26" si="4">G8</f>
        <v>0</v>
      </c>
      <c r="M8" s="921">
        <f t="shared" ref="M8:M26" si="5">TRUNC(K8-L8,2)</f>
        <v>347.82</v>
      </c>
      <c r="N8" s="921">
        <v>1.25</v>
      </c>
      <c r="O8" s="923">
        <f>O7</f>
        <v>0.8</v>
      </c>
      <c r="P8" s="923">
        <f t="shared" ref="P8:P26" si="6">TRUNC(M8*N8*O8,2)</f>
        <v>347.82</v>
      </c>
      <c r="Q8" s="923">
        <f>Q7</f>
        <v>1.2</v>
      </c>
      <c r="R8" s="921">
        <f t="shared" si="0"/>
        <v>521.73</v>
      </c>
    </row>
    <row r="9" spans="2:18" ht="15" x14ac:dyDescent="0.2">
      <c r="B9" s="917">
        <v>3</v>
      </c>
      <c r="C9" s="918" t="s">
        <v>578</v>
      </c>
      <c r="D9" s="919">
        <f>RUAS!L8</f>
        <v>67.040000000000006</v>
      </c>
      <c r="E9" s="919">
        <f>RUAS!M8+0.9</f>
        <v>8.9</v>
      </c>
      <c r="F9" s="919">
        <v>244.77</v>
      </c>
      <c r="G9" s="919">
        <v>0</v>
      </c>
      <c r="H9" s="884">
        <f>RUAS!O8</f>
        <v>13.74</v>
      </c>
      <c r="I9" s="920">
        <f t="shared" si="1"/>
        <v>0.27500000000000002</v>
      </c>
      <c r="J9" s="884">
        <f t="shared" si="2"/>
        <v>3.77</v>
      </c>
      <c r="K9" s="921">
        <f t="shared" si="3"/>
        <v>248.54000000000002</v>
      </c>
      <c r="L9" s="922">
        <f t="shared" si="4"/>
        <v>0</v>
      </c>
      <c r="M9" s="921">
        <f t="shared" si="5"/>
        <v>248.54</v>
      </c>
      <c r="N9" s="921">
        <v>1.25</v>
      </c>
      <c r="O9" s="923">
        <f t="shared" ref="O9:O26" si="7">O8</f>
        <v>0.8</v>
      </c>
      <c r="P9" s="923">
        <f t="shared" si="6"/>
        <v>248.54</v>
      </c>
      <c r="Q9" s="923">
        <f t="shared" ref="Q9:Q26" si="8">Q8</f>
        <v>1.2</v>
      </c>
      <c r="R9" s="921">
        <f t="shared" si="0"/>
        <v>372.81</v>
      </c>
    </row>
    <row r="10" spans="2:18" ht="15" x14ac:dyDescent="0.2">
      <c r="B10" s="917">
        <v>4</v>
      </c>
      <c r="C10" s="918" t="s">
        <v>581</v>
      </c>
      <c r="D10" s="919">
        <f>RUAS!L9</f>
        <v>83.86</v>
      </c>
      <c r="E10" s="919">
        <f>RUAS!M9+0.9</f>
        <v>8.9</v>
      </c>
      <c r="F10" s="919">
        <v>244.49</v>
      </c>
      <c r="G10" s="919">
        <v>0</v>
      </c>
      <c r="H10" s="884">
        <f>RUAS!O9</f>
        <v>13.73</v>
      </c>
      <c r="I10" s="920">
        <f t="shared" si="1"/>
        <v>0.27500000000000002</v>
      </c>
      <c r="J10" s="884">
        <f t="shared" si="2"/>
        <v>3.77</v>
      </c>
      <c r="K10" s="921">
        <f t="shared" si="3"/>
        <v>248.26000000000002</v>
      </c>
      <c r="L10" s="922">
        <f t="shared" si="4"/>
        <v>0</v>
      </c>
      <c r="M10" s="921">
        <f t="shared" si="5"/>
        <v>248.26</v>
      </c>
      <c r="N10" s="921">
        <v>1.25</v>
      </c>
      <c r="O10" s="923">
        <f t="shared" si="7"/>
        <v>0.8</v>
      </c>
      <c r="P10" s="923">
        <f t="shared" si="6"/>
        <v>248.26</v>
      </c>
      <c r="Q10" s="923">
        <f t="shared" si="8"/>
        <v>1.2</v>
      </c>
      <c r="R10" s="921">
        <f t="shared" si="0"/>
        <v>372.39</v>
      </c>
    </row>
    <row r="11" spans="2:18" ht="15" x14ac:dyDescent="0.2">
      <c r="B11" s="917">
        <v>5</v>
      </c>
      <c r="C11" s="918" t="s">
        <v>584</v>
      </c>
      <c r="D11" s="919">
        <f>RUAS!L10</f>
        <v>164.36</v>
      </c>
      <c r="E11" s="919">
        <f>RUAS!M10+0.9</f>
        <v>8.9</v>
      </c>
      <c r="F11" s="919">
        <v>519.79</v>
      </c>
      <c r="G11" s="919">
        <v>0</v>
      </c>
      <c r="H11" s="884">
        <f>RUAS!O10</f>
        <v>13.83</v>
      </c>
      <c r="I11" s="920">
        <f t="shared" si="1"/>
        <v>0.27500000000000002</v>
      </c>
      <c r="J11" s="884">
        <f t="shared" si="2"/>
        <v>3.8</v>
      </c>
      <c r="K11" s="921">
        <f t="shared" si="3"/>
        <v>523.58999999999992</v>
      </c>
      <c r="L11" s="922">
        <f t="shared" si="4"/>
        <v>0</v>
      </c>
      <c r="M11" s="921">
        <f t="shared" si="5"/>
        <v>523.59</v>
      </c>
      <c r="N11" s="921">
        <v>1.25</v>
      </c>
      <c r="O11" s="923">
        <f t="shared" si="7"/>
        <v>0.8</v>
      </c>
      <c r="P11" s="923">
        <f t="shared" si="6"/>
        <v>523.59</v>
      </c>
      <c r="Q11" s="923">
        <f t="shared" si="8"/>
        <v>1.2</v>
      </c>
      <c r="R11" s="921">
        <f t="shared" si="0"/>
        <v>785.38499999999999</v>
      </c>
    </row>
    <row r="12" spans="2:18" ht="15" x14ac:dyDescent="0.2">
      <c r="B12" s="917">
        <v>6</v>
      </c>
      <c r="C12" s="918" t="s">
        <v>587</v>
      </c>
      <c r="D12" s="919">
        <f>RUAS!L11</f>
        <v>142.24</v>
      </c>
      <c r="E12" s="919">
        <f>RUAS!M11+0.9</f>
        <v>8.9</v>
      </c>
      <c r="F12" s="919">
        <v>73.099999999999994</v>
      </c>
      <c r="G12" s="919">
        <v>12.39</v>
      </c>
      <c r="H12" s="884">
        <f>RUAS!O11</f>
        <v>13.74</v>
      </c>
      <c r="I12" s="920">
        <f t="shared" si="1"/>
        <v>0.27500000000000002</v>
      </c>
      <c r="J12" s="884">
        <f t="shared" si="2"/>
        <v>3.77</v>
      </c>
      <c r="K12" s="921">
        <f t="shared" si="3"/>
        <v>76.86999999999999</v>
      </c>
      <c r="L12" s="922">
        <f t="shared" si="4"/>
        <v>12.39</v>
      </c>
      <c r="M12" s="921">
        <f t="shared" si="5"/>
        <v>64.48</v>
      </c>
      <c r="N12" s="921">
        <v>1.25</v>
      </c>
      <c r="O12" s="923">
        <f t="shared" si="7"/>
        <v>0.8</v>
      </c>
      <c r="P12" s="923">
        <f t="shared" si="6"/>
        <v>64.48</v>
      </c>
      <c r="Q12" s="923">
        <f t="shared" si="8"/>
        <v>1.2</v>
      </c>
      <c r="R12" s="921">
        <f t="shared" si="0"/>
        <v>96.72</v>
      </c>
    </row>
    <row r="13" spans="2:18" ht="15" x14ac:dyDescent="0.2">
      <c r="B13" s="917">
        <v>7</v>
      </c>
      <c r="C13" s="918" t="s">
        <v>590</v>
      </c>
      <c r="D13" s="919">
        <f>RUAS!L12</f>
        <v>66.94</v>
      </c>
      <c r="E13" s="919">
        <f>RUAS!M12+0.9</f>
        <v>8.9</v>
      </c>
      <c r="F13" s="919">
        <v>117.16</v>
      </c>
      <c r="G13" s="919">
        <v>0</v>
      </c>
      <c r="H13" s="884">
        <f>RUAS!O12</f>
        <v>13.739999999999998</v>
      </c>
      <c r="I13" s="920">
        <f t="shared" si="1"/>
        <v>0.27500000000000002</v>
      </c>
      <c r="J13" s="884">
        <f t="shared" si="2"/>
        <v>3.77</v>
      </c>
      <c r="K13" s="921">
        <f t="shared" si="3"/>
        <v>120.92999999999999</v>
      </c>
      <c r="L13" s="922">
        <f t="shared" si="4"/>
        <v>0</v>
      </c>
      <c r="M13" s="921">
        <f t="shared" si="5"/>
        <v>120.93</v>
      </c>
      <c r="N13" s="921">
        <v>1.25</v>
      </c>
      <c r="O13" s="923">
        <f t="shared" si="7"/>
        <v>0.8</v>
      </c>
      <c r="P13" s="923">
        <f t="shared" si="6"/>
        <v>120.93</v>
      </c>
      <c r="Q13" s="923">
        <f t="shared" si="8"/>
        <v>1.2</v>
      </c>
      <c r="R13" s="921">
        <f t="shared" si="0"/>
        <v>181.39500000000001</v>
      </c>
    </row>
    <row r="14" spans="2:18" ht="15" x14ac:dyDescent="0.2">
      <c r="B14" s="917">
        <v>8</v>
      </c>
      <c r="C14" s="918" t="s">
        <v>593</v>
      </c>
      <c r="D14" s="919">
        <f>RUAS!L13</f>
        <v>91.27</v>
      </c>
      <c r="E14" s="919">
        <f>RUAS!M13+0.9</f>
        <v>8.9</v>
      </c>
      <c r="F14" s="919">
        <v>159.9</v>
      </c>
      <c r="G14" s="919">
        <v>0</v>
      </c>
      <c r="H14" s="884">
        <f>RUAS!O13</f>
        <v>13.73</v>
      </c>
      <c r="I14" s="920">
        <f t="shared" si="1"/>
        <v>0.27500000000000002</v>
      </c>
      <c r="J14" s="884">
        <f t="shared" si="2"/>
        <v>3.77</v>
      </c>
      <c r="K14" s="921">
        <f t="shared" si="3"/>
        <v>163.67000000000002</v>
      </c>
      <c r="L14" s="922">
        <f t="shared" si="4"/>
        <v>0</v>
      </c>
      <c r="M14" s="921">
        <f t="shared" si="5"/>
        <v>163.66999999999999</v>
      </c>
      <c r="N14" s="921">
        <v>1.25</v>
      </c>
      <c r="O14" s="923">
        <f t="shared" si="7"/>
        <v>0.8</v>
      </c>
      <c r="P14" s="923">
        <f t="shared" si="6"/>
        <v>163.66999999999999</v>
      </c>
      <c r="Q14" s="923">
        <f t="shared" si="8"/>
        <v>1.2</v>
      </c>
      <c r="R14" s="921">
        <f t="shared" si="0"/>
        <v>245.505</v>
      </c>
    </row>
    <row r="15" spans="2:18" ht="15" x14ac:dyDescent="0.2">
      <c r="B15" s="917">
        <v>9</v>
      </c>
      <c r="C15" s="918" t="s">
        <v>596</v>
      </c>
      <c r="D15" s="919">
        <f>RUAS!L14</f>
        <v>158.51</v>
      </c>
      <c r="E15" s="919">
        <f>RUAS!M14+0.9</f>
        <v>8.9</v>
      </c>
      <c r="F15" s="919">
        <v>544.12</v>
      </c>
      <c r="G15" s="919">
        <v>0</v>
      </c>
      <c r="H15" s="884">
        <f>RUAS!O14</f>
        <v>13.850000000000001</v>
      </c>
      <c r="I15" s="920">
        <f t="shared" si="1"/>
        <v>0.27500000000000002</v>
      </c>
      <c r="J15" s="884">
        <f t="shared" si="2"/>
        <v>3.8</v>
      </c>
      <c r="K15" s="921">
        <f t="shared" si="3"/>
        <v>547.91999999999996</v>
      </c>
      <c r="L15" s="922">
        <f t="shared" si="4"/>
        <v>0</v>
      </c>
      <c r="M15" s="921">
        <f t="shared" si="5"/>
        <v>547.91999999999996</v>
      </c>
      <c r="N15" s="921">
        <v>1.25</v>
      </c>
      <c r="O15" s="923">
        <f t="shared" si="7"/>
        <v>0.8</v>
      </c>
      <c r="P15" s="923">
        <f t="shared" si="6"/>
        <v>547.91999999999996</v>
      </c>
      <c r="Q15" s="923">
        <f t="shared" si="8"/>
        <v>1.2</v>
      </c>
      <c r="R15" s="921">
        <f t="shared" si="0"/>
        <v>821.88</v>
      </c>
    </row>
    <row r="16" spans="2:18" ht="15" x14ac:dyDescent="0.2">
      <c r="B16" s="917">
        <v>10</v>
      </c>
      <c r="C16" s="918" t="s">
        <v>599</v>
      </c>
      <c r="D16" s="919">
        <f>RUAS!L15</f>
        <v>142.15</v>
      </c>
      <c r="E16" s="919">
        <f>RUAS!M15+0.9</f>
        <v>8.9</v>
      </c>
      <c r="F16" s="919">
        <v>333.17</v>
      </c>
      <c r="G16" s="919">
        <v>0</v>
      </c>
      <c r="H16" s="884">
        <f>RUAS!O15</f>
        <v>13.739999999999998</v>
      </c>
      <c r="I16" s="920">
        <f t="shared" si="1"/>
        <v>0.27500000000000002</v>
      </c>
      <c r="J16" s="884">
        <f t="shared" si="2"/>
        <v>3.77</v>
      </c>
      <c r="K16" s="921">
        <f t="shared" si="3"/>
        <v>336.94</v>
      </c>
      <c r="L16" s="922">
        <f t="shared" si="4"/>
        <v>0</v>
      </c>
      <c r="M16" s="921">
        <f t="shared" si="5"/>
        <v>336.94</v>
      </c>
      <c r="N16" s="921">
        <v>1.25</v>
      </c>
      <c r="O16" s="923">
        <f t="shared" si="7"/>
        <v>0.8</v>
      </c>
      <c r="P16" s="923">
        <f t="shared" si="6"/>
        <v>336.94</v>
      </c>
      <c r="Q16" s="923">
        <f t="shared" si="8"/>
        <v>1.2</v>
      </c>
      <c r="R16" s="921">
        <f t="shared" si="0"/>
        <v>505.41</v>
      </c>
    </row>
    <row r="17" spans="2:18" ht="15" x14ac:dyDescent="0.2">
      <c r="B17" s="917">
        <v>11</v>
      </c>
      <c r="C17" s="918" t="s">
        <v>602</v>
      </c>
      <c r="D17" s="919">
        <f>RUAS!L16</f>
        <v>66.86</v>
      </c>
      <c r="E17" s="919">
        <f>RUAS!M16+0.9</f>
        <v>8.9</v>
      </c>
      <c r="F17" s="919">
        <v>99.67</v>
      </c>
      <c r="G17" s="919">
        <v>0</v>
      </c>
      <c r="H17" s="884">
        <f>RUAS!O16</f>
        <v>13.74</v>
      </c>
      <c r="I17" s="920">
        <f t="shared" si="1"/>
        <v>0.27500000000000002</v>
      </c>
      <c r="J17" s="884">
        <f t="shared" si="2"/>
        <v>3.77</v>
      </c>
      <c r="K17" s="921">
        <f t="shared" si="3"/>
        <v>103.44</v>
      </c>
      <c r="L17" s="922">
        <f t="shared" si="4"/>
        <v>0</v>
      </c>
      <c r="M17" s="921">
        <f t="shared" si="5"/>
        <v>103.44</v>
      </c>
      <c r="N17" s="921">
        <v>1.25</v>
      </c>
      <c r="O17" s="923">
        <f t="shared" si="7"/>
        <v>0.8</v>
      </c>
      <c r="P17" s="923">
        <f t="shared" si="6"/>
        <v>103.44</v>
      </c>
      <c r="Q17" s="923">
        <f t="shared" si="8"/>
        <v>1.2</v>
      </c>
      <c r="R17" s="921">
        <f t="shared" si="0"/>
        <v>155.16</v>
      </c>
    </row>
    <row r="18" spans="2:18" ht="15" x14ac:dyDescent="0.2">
      <c r="B18" s="917">
        <v>12</v>
      </c>
      <c r="C18" s="918" t="s">
        <v>605</v>
      </c>
      <c r="D18" s="919">
        <f>RUAS!L17</f>
        <v>98.04</v>
      </c>
      <c r="E18" s="919">
        <f>RUAS!M17+0.9</f>
        <v>8.9</v>
      </c>
      <c r="F18" s="919">
        <v>339.01</v>
      </c>
      <c r="G18" s="919">
        <v>0</v>
      </c>
      <c r="H18" s="884">
        <f>RUAS!O17</f>
        <v>13.73</v>
      </c>
      <c r="I18" s="920">
        <f t="shared" si="1"/>
        <v>0.27500000000000002</v>
      </c>
      <c r="J18" s="884">
        <f t="shared" si="2"/>
        <v>3.77</v>
      </c>
      <c r="K18" s="921">
        <f t="shared" si="3"/>
        <v>342.78</v>
      </c>
      <c r="L18" s="922">
        <f t="shared" si="4"/>
        <v>0</v>
      </c>
      <c r="M18" s="921">
        <f t="shared" si="5"/>
        <v>342.78</v>
      </c>
      <c r="N18" s="921">
        <v>1.25</v>
      </c>
      <c r="O18" s="923">
        <f t="shared" si="7"/>
        <v>0.8</v>
      </c>
      <c r="P18" s="923">
        <f t="shared" si="6"/>
        <v>342.78</v>
      </c>
      <c r="Q18" s="923">
        <f t="shared" si="8"/>
        <v>1.2</v>
      </c>
      <c r="R18" s="921">
        <f t="shared" si="0"/>
        <v>514.16999999999996</v>
      </c>
    </row>
    <row r="19" spans="2:18" ht="15" x14ac:dyDescent="0.2">
      <c r="B19" s="917">
        <v>13</v>
      </c>
      <c r="C19" s="918" t="s">
        <v>608</v>
      </c>
      <c r="D19" s="919">
        <f>RUAS!L18</f>
        <v>302.62</v>
      </c>
      <c r="E19" s="919">
        <f>RUAS!M18+0.9</f>
        <v>8.9</v>
      </c>
      <c r="F19" s="919">
        <v>938.45</v>
      </c>
      <c r="G19" s="919">
        <v>0</v>
      </c>
      <c r="H19" s="884">
        <f>RUAS!O18</f>
        <v>87.6</v>
      </c>
      <c r="I19" s="920">
        <f t="shared" si="1"/>
        <v>0.27500000000000002</v>
      </c>
      <c r="J19" s="884">
        <f t="shared" si="2"/>
        <v>24.09</v>
      </c>
      <c r="K19" s="921">
        <f t="shared" si="3"/>
        <v>962.54000000000008</v>
      </c>
      <c r="L19" s="922">
        <f t="shared" si="4"/>
        <v>0</v>
      </c>
      <c r="M19" s="921">
        <f t="shared" si="5"/>
        <v>962.54</v>
      </c>
      <c r="N19" s="921">
        <v>1.25</v>
      </c>
      <c r="O19" s="923">
        <f t="shared" si="7"/>
        <v>0.8</v>
      </c>
      <c r="P19" s="923">
        <f t="shared" si="6"/>
        <v>962.54</v>
      </c>
      <c r="Q19" s="923">
        <f t="shared" si="8"/>
        <v>1.2</v>
      </c>
      <c r="R19" s="921">
        <f t="shared" si="0"/>
        <v>1443.81</v>
      </c>
    </row>
    <row r="20" spans="2:18" ht="15" x14ac:dyDescent="0.2">
      <c r="B20" s="917">
        <v>14</v>
      </c>
      <c r="C20" s="918" t="s">
        <v>611</v>
      </c>
      <c r="D20" s="919">
        <f>RUAS!L19</f>
        <v>66.77</v>
      </c>
      <c r="E20" s="919">
        <f>RUAS!M19+0.9</f>
        <v>8.9</v>
      </c>
      <c r="F20" s="919">
        <v>237.05</v>
      </c>
      <c r="G20" s="919">
        <v>0</v>
      </c>
      <c r="H20" s="884">
        <f>RUAS!O19</f>
        <v>13.74</v>
      </c>
      <c r="I20" s="920">
        <f t="shared" si="1"/>
        <v>0.27500000000000002</v>
      </c>
      <c r="J20" s="884">
        <f t="shared" si="2"/>
        <v>3.77</v>
      </c>
      <c r="K20" s="921">
        <f t="shared" si="3"/>
        <v>240.82000000000002</v>
      </c>
      <c r="L20" s="922">
        <f t="shared" si="4"/>
        <v>0</v>
      </c>
      <c r="M20" s="921">
        <f t="shared" si="5"/>
        <v>240.82</v>
      </c>
      <c r="N20" s="921">
        <v>1.25</v>
      </c>
      <c r="O20" s="923">
        <f t="shared" si="7"/>
        <v>0.8</v>
      </c>
      <c r="P20" s="923">
        <f t="shared" si="6"/>
        <v>240.82</v>
      </c>
      <c r="Q20" s="923">
        <f t="shared" si="8"/>
        <v>1.2</v>
      </c>
      <c r="R20" s="921">
        <f t="shared" si="0"/>
        <v>361.23</v>
      </c>
    </row>
    <row r="21" spans="2:18" ht="15" x14ac:dyDescent="0.2">
      <c r="B21" s="917">
        <v>15</v>
      </c>
      <c r="C21" s="918" t="s">
        <v>614</v>
      </c>
      <c r="D21" s="919">
        <f>RUAS!L20</f>
        <v>104.81</v>
      </c>
      <c r="E21" s="919">
        <f>RUAS!M20+0.9</f>
        <v>8.9</v>
      </c>
      <c r="F21" s="919">
        <v>412.77</v>
      </c>
      <c r="G21" s="919">
        <v>0</v>
      </c>
      <c r="H21" s="884">
        <f>RUAS!O20</f>
        <v>13.73</v>
      </c>
      <c r="I21" s="920">
        <f t="shared" si="1"/>
        <v>0.27500000000000002</v>
      </c>
      <c r="J21" s="884">
        <f t="shared" si="2"/>
        <v>3.77</v>
      </c>
      <c r="K21" s="921">
        <f t="shared" si="3"/>
        <v>416.53999999999996</v>
      </c>
      <c r="L21" s="922">
        <f t="shared" si="4"/>
        <v>0</v>
      </c>
      <c r="M21" s="921">
        <f t="shared" si="5"/>
        <v>416.54</v>
      </c>
      <c r="N21" s="921">
        <v>1.25</v>
      </c>
      <c r="O21" s="923">
        <f t="shared" si="7"/>
        <v>0.8</v>
      </c>
      <c r="P21" s="923">
        <f t="shared" si="6"/>
        <v>416.54</v>
      </c>
      <c r="Q21" s="923">
        <f t="shared" si="8"/>
        <v>1.2</v>
      </c>
      <c r="R21" s="921">
        <f t="shared" si="0"/>
        <v>624.80999999999995</v>
      </c>
    </row>
    <row r="22" spans="2:18" ht="15" x14ac:dyDescent="0.2">
      <c r="B22" s="917">
        <v>16</v>
      </c>
      <c r="C22" s="918" t="s">
        <v>617</v>
      </c>
      <c r="D22" s="919">
        <f>RUAS!L21</f>
        <v>401.18</v>
      </c>
      <c r="E22" s="919">
        <f>RUAS!M21+0.9</f>
        <v>8.9</v>
      </c>
      <c r="F22" s="919">
        <v>1124.7</v>
      </c>
      <c r="G22" s="919">
        <v>1.48</v>
      </c>
      <c r="H22" s="884">
        <f>RUAS!O21</f>
        <v>41.9</v>
      </c>
      <c r="I22" s="920">
        <f t="shared" si="1"/>
        <v>0.27500000000000002</v>
      </c>
      <c r="J22" s="884">
        <f t="shared" si="2"/>
        <v>11.52</v>
      </c>
      <c r="K22" s="921">
        <f t="shared" si="3"/>
        <v>1136.22</v>
      </c>
      <c r="L22" s="922">
        <f t="shared" si="4"/>
        <v>1.48</v>
      </c>
      <c r="M22" s="921">
        <f t="shared" si="5"/>
        <v>1134.74</v>
      </c>
      <c r="N22" s="921">
        <v>1.25</v>
      </c>
      <c r="O22" s="923">
        <f t="shared" si="7"/>
        <v>0.8</v>
      </c>
      <c r="P22" s="923">
        <f t="shared" si="6"/>
        <v>1134.74</v>
      </c>
      <c r="Q22" s="923">
        <f t="shared" si="8"/>
        <v>1.2</v>
      </c>
      <c r="R22" s="921">
        <f t="shared" si="0"/>
        <v>1702.11</v>
      </c>
    </row>
    <row r="23" spans="2:18" ht="15" x14ac:dyDescent="0.2">
      <c r="B23" s="917">
        <v>17</v>
      </c>
      <c r="C23" s="918" t="s">
        <v>620</v>
      </c>
      <c r="D23" s="919">
        <f>RUAS!L22</f>
        <v>292.12</v>
      </c>
      <c r="E23" s="919">
        <f>RUAS!M22+0.9</f>
        <v>8.9</v>
      </c>
      <c r="F23" s="919">
        <v>1032.45</v>
      </c>
      <c r="G23" s="919">
        <v>0</v>
      </c>
      <c r="H23" s="884">
        <f>RUAS!O22</f>
        <v>13.700000000000001</v>
      </c>
      <c r="I23" s="920">
        <f t="shared" si="1"/>
        <v>0.27500000000000002</v>
      </c>
      <c r="J23" s="884">
        <f t="shared" si="2"/>
        <v>3.76</v>
      </c>
      <c r="K23" s="921">
        <f t="shared" si="3"/>
        <v>1036.21</v>
      </c>
      <c r="L23" s="922">
        <f t="shared" si="4"/>
        <v>0</v>
      </c>
      <c r="M23" s="921">
        <f t="shared" si="5"/>
        <v>1036.21</v>
      </c>
      <c r="N23" s="921">
        <v>1.25</v>
      </c>
      <c r="O23" s="923">
        <f t="shared" si="7"/>
        <v>0.8</v>
      </c>
      <c r="P23" s="923">
        <f t="shared" si="6"/>
        <v>1036.21</v>
      </c>
      <c r="Q23" s="923">
        <f t="shared" si="8"/>
        <v>1.2</v>
      </c>
      <c r="R23" s="921">
        <f t="shared" si="0"/>
        <v>1554.3150000000001</v>
      </c>
    </row>
    <row r="24" spans="2:18" ht="15" x14ac:dyDescent="0.2">
      <c r="B24" s="917">
        <v>18</v>
      </c>
      <c r="C24" s="918" t="s">
        <v>623</v>
      </c>
      <c r="D24" s="919">
        <f>RUAS!L23</f>
        <v>80.52</v>
      </c>
      <c r="E24" s="919">
        <f>RUAS!M23+0.9</f>
        <v>7.9</v>
      </c>
      <c r="F24" s="919">
        <v>173.38</v>
      </c>
      <c r="G24" s="919">
        <v>0</v>
      </c>
      <c r="H24" s="884">
        <f>RUAS!O23</f>
        <v>13.52</v>
      </c>
      <c r="I24" s="920">
        <f t="shared" si="1"/>
        <v>0.27500000000000002</v>
      </c>
      <c r="J24" s="884">
        <f t="shared" si="2"/>
        <v>3.71</v>
      </c>
      <c r="K24" s="921">
        <f t="shared" si="3"/>
        <v>177.09</v>
      </c>
      <c r="L24" s="922">
        <f t="shared" si="4"/>
        <v>0</v>
      </c>
      <c r="M24" s="921">
        <f t="shared" si="5"/>
        <v>177.09</v>
      </c>
      <c r="N24" s="921">
        <v>1.25</v>
      </c>
      <c r="O24" s="923">
        <f t="shared" si="7"/>
        <v>0.8</v>
      </c>
      <c r="P24" s="923">
        <f t="shared" si="6"/>
        <v>177.09</v>
      </c>
      <c r="Q24" s="923">
        <f t="shared" si="8"/>
        <v>1.2</v>
      </c>
      <c r="R24" s="921">
        <f t="shared" si="0"/>
        <v>265.63499999999999</v>
      </c>
    </row>
    <row r="25" spans="2:18" ht="15" x14ac:dyDescent="0.2">
      <c r="B25" s="917">
        <v>19</v>
      </c>
      <c r="C25" s="918" t="s">
        <v>626</v>
      </c>
      <c r="D25" s="919">
        <f>RUAS!L24</f>
        <v>381.4</v>
      </c>
      <c r="E25" s="919">
        <f>RUAS!M24+0.9</f>
        <v>8.9</v>
      </c>
      <c r="F25" s="919">
        <v>649.20000000000005</v>
      </c>
      <c r="G25" s="919">
        <v>30.76</v>
      </c>
      <c r="H25" s="884">
        <f>RUAS!O24</f>
        <v>13.620000000000001</v>
      </c>
      <c r="I25" s="920">
        <f t="shared" si="1"/>
        <v>0.27500000000000002</v>
      </c>
      <c r="J25" s="884">
        <f t="shared" si="2"/>
        <v>3.74</v>
      </c>
      <c r="K25" s="921">
        <f t="shared" si="3"/>
        <v>652.94000000000005</v>
      </c>
      <c r="L25" s="922">
        <f t="shared" si="4"/>
        <v>30.76</v>
      </c>
      <c r="M25" s="921">
        <f t="shared" si="5"/>
        <v>622.17999999999995</v>
      </c>
      <c r="N25" s="921">
        <v>1.25</v>
      </c>
      <c r="O25" s="923">
        <f t="shared" si="7"/>
        <v>0.8</v>
      </c>
      <c r="P25" s="923">
        <f t="shared" si="6"/>
        <v>622.17999999999995</v>
      </c>
      <c r="Q25" s="923">
        <f t="shared" si="8"/>
        <v>1.2</v>
      </c>
      <c r="R25" s="921">
        <f t="shared" si="0"/>
        <v>933.27</v>
      </c>
    </row>
    <row r="26" spans="2:18" ht="15" x14ac:dyDescent="0.2">
      <c r="B26" s="917">
        <v>20</v>
      </c>
      <c r="C26" s="918" t="s">
        <v>629</v>
      </c>
      <c r="D26" s="919">
        <f>RUAS!L25</f>
        <v>381.88</v>
      </c>
      <c r="E26" s="919">
        <f>RUAS!M25+0.9</f>
        <v>8.9</v>
      </c>
      <c r="F26" s="919">
        <v>649.32000000000005</v>
      </c>
      <c r="G26" s="919">
        <v>6.16</v>
      </c>
      <c r="H26" s="884">
        <f>RUAS!O25</f>
        <v>13.74</v>
      </c>
      <c r="I26" s="920">
        <f t="shared" si="1"/>
        <v>0.27500000000000002</v>
      </c>
      <c r="J26" s="884">
        <f t="shared" si="2"/>
        <v>3.77</v>
      </c>
      <c r="K26" s="921">
        <f t="shared" si="3"/>
        <v>653.09</v>
      </c>
      <c r="L26" s="922">
        <f t="shared" si="4"/>
        <v>6.16</v>
      </c>
      <c r="M26" s="921">
        <f t="shared" si="5"/>
        <v>646.92999999999995</v>
      </c>
      <c r="N26" s="921">
        <v>1.25</v>
      </c>
      <c r="O26" s="923">
        <f t="shared" si="7"/>
        <v>0.8</v>
      </c>
      <c r="P26" s="923">
        <f t="shared" si="6"/>
        <v>646.92999999999995</v>
      </c>
      <c r="Q26" s="923">
        <f t="shared" si="8"/>
        <v>1.2</v>
      </c>
      <c r="R26" s="921">
        <f t="shared" si="0"/>
        <v>970.39499999999998</v>
      </c>
    </row>
    <row r="27" spans="2:18" ht="15" x14ac:dyDescent="0.2">
      <c r="B27" s="1390" t="s">
        <v>555</v>
      </c>
      <c r="C27" s="1391"/>
      <c r="D27" s="1391"/>
      <c r="E27" s="1391"/>
      <c r="F27" s="1391"/>
      <c r="G27" s="1391"/>
      <c r="H27" s="1391"/>
      <c r="I27" s="1391"/>
      <c r="J27" s="1391"/>
      <c r="K27" s="1391"/>
      <c r="L27" s="1391"/>
      <c r="M27" s="1391"/>
      <c r="N27" s="1391"/>
      <c r="O27" s="1391"/>
      <c r="P27" s="1391"/>
      <c r="Q27" s="1391"/>
      <c r="R27" s="1536"/>
    </row>
    <row r="28" spans="2:18" ht="15.95" customHeight="1" x14ac:dyDescent="0.2">
      <c r="B28" s="917">
        <f>RUAS!B27</f>
        <v>21</v>
      </c>
      <c r="C28" s="918" t="str">
        <f>RUAS!C27</f>
        <v>RUA MIS. DANIEL BERG - T1</v>
      </c>
      <c r="D28" s="919">
        <f>RUAS!L27</f>
        <v>505.16</v>
      </c>
      <c r="E28" s="919">
        <f>RUAS!M27+0.9</f>
        <v>8.9</v>
      </c>
      <c r="F28" s="919">
        <v>1387.14</v>
      </c>
      <c r="G28" s="919">
        <v>20.85</v>
      </c>
      <c r="H28" s="884">
        <f>RUAS!O27</f>
        <v>13.83</v>
      </c>
      <c r="I28" s="924">
        <f>I7</f>
        <v>0.27500000000000002</v>
      </c>
      <c r="J28" s="884">
        <f>TRUNC(H28*I28,2)</f>
        <v>3.8</v>
      </c>
      <c r="K28" s="921">
        <f>F28</f>
        <v>1387.14</v>
      </c>
      <c r="L28" s="922">
        <f t="shared" ref="L28:L53" si="9">G28</f>
        <v>20.85</v>
      </c>
      <c r="M28" s="921">
        <f>TRUNC(K28-L28,2)</f>
        <v>1366.29</v>
      </c>
      <c r="N28" s="921">
        <v>1.25</v>
      </c>
      <c r="O28" s="923">
        <f>DMT!F13</f>
        <v>1</v>
      </c>
      <c r="P28" s="923">
        <f>TRUNC(M28*N28*O28,2)</f>
        <v>1707.86</v>
      </c>
      <c r="Q28" s="923">
        <v>0.8</v>
      </c>
      <c r="R28" s="921">
        <f t="shared" ref="R28:R53" si="10">TRUNC(N28*M28*Q28,3)</f>
        <v>1366.29</v>
      </c>
    </row>
    <row r="29" spans="2:18" ht="15.95" customHeight="1" x14ac:dyDescent="0.2">
      <c r="B29" s="917">
        <f>RUAS!B28</f>
        <v>22</v>
      </c>
      <c r="C29" s="918" t="str">
        <f>RUAS!C28</f>
        <v>RUA MIS. DANIEL BERG - T2</v>
      </c>
      <c r="D29" s="919">
        <f>RUAS!L28</f>
        <v>343.2</v>
      </c>
      <c r="E29" s="919">
        <f>RUAS!M28+0.9</f>
        <v>8.9</v>
      </c>
      <c r="F29" s="919">
        <v>1052.21</v>
      </c>
      <c r="G29" s="919">
        <v>0</v>
      </c>
      <c r="H29" s="884">
        <f>RUAS!O28</f>
        <v>13.72</v>
      </c>
      <c r="I29" s="924">
        <f>I28</f>
        <v>0.27500000000000002</v>
      </c>
      <c r="J29" s="884">
        <f t="shared" ref="J29:J53" si="11">TRUNC(H29*I29,2)</f>
        <v>3.77</v>
      </c>
      <c r="K29" s="921">
        <f t="shared" ref="K29:K53" si="12">F29</f>
        <v>1052.21</v>
      </c>
      <c r="L29" s="922">
        <f t="shared" si="9"/>
        <v>0</v>
      </c>
      <c r="M29" s="921">
        <f t="shared" ref="M29:M53" si="13">TRUNC(K29-L29,2)</f>
        <v>1052.21</v>
      </c>
      <c r="N29" s="921">
        <v>1.25</v>
      </c>
      <c r="O29" s="923">
        <f>O28</f>
        <v>1</v>
      </c>
      <c r="P29" s="923">
        <f t="shared" ref="P29:P53" si="14">TRUNC(M29*N29*O29,2)</f>
        <v>1315.26</v>
      </c>
      <c r="Q29" s="923">
        <f>Q28</f>
        <v>0.8</v>
      </c>
      <c r="R29" s="921">
        <f t="shared" si="10"/>
        <v>1052.21</v>
      </c>
    </row>
    <row r="30" spans="2:18" ht="15.95" customHeight="1" x14ac:dyDescent="0.2">
      <c r="B30" s="917">
        <f>RUAS!B29</f>
        <v>23</v>
      </c>
      <c r="C30" s="918" t="str">
        <f>RUAS!C29</f>
        <v>AV. PAPA JOÃO PAULO II</v>
      </c>
      <c r="D30" s="919">
        <f>RUAS!L29</f>
        <v>497.94</v>
      </c>
      <c r="E30" s="919">
        <f>RUAS!M29+0.9</f>
        <v>8.9</v>
      </c>
      <c r="F30" s="919">
        <v>1642.86</v>
      </c>
      <c r="G30" s="919">
        <v>0</v>
      </c>
      <c r="H30" s="884">
        <f>RUAS!O29</f>
        <v>118.53</v>
      </c>
      <c r="I30" s="924">
        <f t="shared" ref="I30:I53" si="15">I29</f>
        <v>0.27500000000000002</v>
      </c>
      <c r="J30" s="884">
        <f t="shared" si="11"/>
        <v>32.590000000000003</v>
      </c>
      <c r="K30" s="921">
        <f t="shared" si="12"/>
        <v>1642.86</v>
      </c>
      <c r="L30" s="922">
        <f t="shared" si="9"/>
        <v>0</v>
      </c>
      <c r="M30" s="921">
        <f t="shared" si="13"/>
        <v>1642.86</v>
      </c>
      <c r="N30" s="921">
        <v>1.25</v>
      </c>
      <c r="O30" s="923">
        <f t="shared" ref="O30:Q45" si="16">O29</f>
        <v>1</v>
      </c>
      <c r="P30" s="923">
        <f t="shared" si="14"/>
        <v>2053.5700000000002</v>
      </c>
      <c r="Q30" s="923">
        <f t="shared" si="16"/>
        <v>0.8</v>
      </c>
      <c r="R30" s="921">
        <f t="shared" si="10"/>
        <v>1642.86</v>
      </c>
    </row>
    <row r="31" spans="2:18" ht="15.95" customHeight="1" x14ac:dyDescent="0.2">
      <c r="B31" s="917">
        <f>RUAS!B30</f>
        <v>24</v>
      </c>
      <c r="C31" s="918" t="str">
        <f>RUAS!C30</f>
        <v>RUA RIO GRANDE DO SUL - T1</v>
      </c>
      <c r="D31" s="919">
        <f>RUAS!L30</f>
        <v>67.91</v>
      </c>
      <c r="E31" s="919">
        <f>RUAS!M30+0.9</f>
        <v>8.9</v>
      </c>
      <c r="F31" s="919">
        <v>205.88</v>
      </c>
      <c r="G31" s="919">
        <v>0</v>
      </c>
      <c r="H31" s="884">
        <f>RUAS!O30</f>
        <v>6.87</v>
      </c>
      <c r="I31" s="924">
        <f t="shared" si="15"/>
        <v>0.27500000000000002</v>
      </c>
      <c r="J31" s="884">
        <f t="shared" si="11"/>
        <v>1.88</v>
      </c>
      <c r="K31" s="921">
        <f t="shared" si="12"/>
        <v>205.88</v>
      </c>
      <c r="L31" s="922">
        <f t="shared" si="9"/>
        <v>0</v>
      </c>
      <c r="M31" s="921">
        <f t="shared" si="13"/>
        <v>205.88</v>
      </c>
      <c r="N31" s="921">
        <v>1.25</v>
      </c>
      <c r="O31" s="923">
        <f t="shared" si="16"/>
        <v>1</v>
      </c>
      <c r="P31" s="923">
        <f t="shared" si="14"/>
        <v>257.35000000000002</v>
      </c>
      <c r="Q31" s="923">
        <f t="shared" si="16"/>
        <v>0.8</v>
      </c>
      <c r="R31" s="921">
        <f t="shared" si="10"/>
        <v>205.88</v>
      </c>
    </row>
    <row r="32" spans="2:18" ht="15.95" customHeight="1" x14ac:dyDescent="0.2">
      <c r="B32" s="917">
        <f>RUAS!B31</f>
        <v>25</v>
      </c>
      <c r="C32" s="918" t="str">
        <f>RUAS!C31</f>
        <v>RUA RIO GRANDE DO SUL - T2</v>
      </c>
      <c r="D32" s="919">
        <f>RUAS!L31</f>
        <v>355.88</v>
      </c>
      <c r="E32" s="919">
        <f>RUAS!M31+0.9</f>
        <v>8.9</v>
      </c>
      <c r="F32" s="919">
        <v>1265.6600000000001</v>
      </c>
      <c r="G32" s="919">
        <v>0</v>
      </c>
      <c r="H32" s="884">
        <f>RUAS!O31</f>
        <v>91.470000000000013</v>
      </c>
      <c r="I32" s="924">
        <f t="shared" si="15"/>
        <v>0.27500000000000002</v>
      </c>
      <c r="J32" s="884">
        <f t="shared" si="11"/>
        <v>25.15</v>
      </c>
      <c r="K32" s="921">
        <f t="shared" si="12"/>
        <v>1265.6600000000001</v>
      </c>
      <c r="L32" s="922">
        <f t="shared" si="9"/>
        <v>0</v>
      </c>
      <c r="M32" s="921">
        <f t="shared" si="13"/>
        <v>1265.6600000000001</v>
      </c>
      <c r="N32" s="921">
        <v>1.25</v>
      </c>
      <c r="O32" s="923">
        <f t="shared" si="16"/>
        <v>1</v>
      </c>
      <c r="P32" s="923">
        <f t="shared" si="14"/>
        <v>1582.07</v>
      </c>
      <c r="Q32" s="923">
        <f t="shared" si="16"/>
        <v>0.8</v>
      </c>
      <c r="R32" s="921">
        <f t="shared" si="10"/>
        <v>1265.6600000000001</v>
      </c>
    </row>
    <row r="33" spans="2:18" ht="15.95" customHeight="1" x14ac:dyDescent="0.2">
      <c r="B33" s="917">
        <f>RUAS!B32</f>
        <v>26</v>
      </c>
      <c r="C33" s="918" t="str">
        <f>RUAS!C32</f>
        <v xml:space="preserve">RUA CEREJEIRAS </v>
      </c>
      <c r="D33" s="919">
        <f>RUAS!L32</f>
        <v>547.84</v>
      </c>
      <c r="E33" s="919">
        <f>RUAS!M32+0.9</f>
        <v>8.9</v>
      </c>
      <c r="F33" s="919">
        <v>594.42999999999995</v>
      </c>
      <c r="G33" s="919">
        <v>318.39999999999998</v>
      </c>
      <c r="H33" s="884">
        <f>RUAS!O32</f>
        <v>244.12</v>
      </c>
      <c r="I33" s="924">
        <f t="shared" si="15"/>
        <v>0.27500000000000002</v>
      </c>
      <c r="J33" s="884">
        <f t="shared" si="11"/>
        <v>67.13</v>
      </c>
      <c r="K33" s="921">
        <f t="shared" si="12"/>
        <v>594.42999999999995</v>
      </c>
      <c r="L33" s="922">
        <f t="shared" si="9"/>
        <v>318.39999999999998</v>
      </c>
      <c r="M33" s="921">
        <f t="shared" si="13"/>
        <v>276.02999999999997</v>
      </c>
      <c r="N33" s="921">
        <v>1.25</v>
      </c>
      <c r="O33" s="923">
        <f t="shared" si="16"/>
        <v>1</v>
      </c>
      <c r="P33" s="923">
        <f t="shared" si="14"/>
        <v>345.03</v>
      </c>
      <c r="Q33" s="923">
        <f t="shared" si="16"/>
        <v>0.8</v>
      </c>
      <c r="R33" s="921">
        <f t="shared" si="10"/>
        <v>276.02999999999997</v>
      </c>
    </row>
    <row r="34" spans="2:18" ht="15.95" customHeight="1" x14ac:dyDescent="0.2">
      <c r="B34" s="917">
        <f>RUAS!B33</f>
        <v>27</v>
      </c>
      <c r="C34" s="918" t="str">
        <f>RUAS!C33</f>
        <v>RUA ESPÍRITO SANTO</v>
      </c>
      <c r="D34" s="919">
        <f>RUAS!L33</f>
        <v>107.04</v>
      </c>
      <c r="E34" s="919">
        <f>RUAS!M33+0.9</f>
        <v>7.9</v>
      </c>
      <c r="F34" s="919">
        <v>249.27</v>
      </c>
      <c r="G34" s="919">
        <v>0</v>
      </c>
      <c r="H34" s="884">
        <f>RUAS!O33</f>
        <v>13.71</v>
      </c>
      <c r="I34" s="924">
        <f t="shared" si="15"/>
        <v>0.27500000000000002</v>
      </c>
      <c r="J34" s="884">
        <f t="shared" si="11"/>
        <v>3.77</v>
      </c>
      <c r="K34" s="921">
        <f t="shared" si="12"/>
        <v>249.27</v>
      </c>
      <c r="L34" s="922">
        <f t="shared" si="9"/>
        <v>0</v>
      </c>
      <c r="M34" s="921">
        <f t="shared" si="13"/>
        <v>249.27</v>
      </c>
      <c r="N34" s="921">
        <v>1.25</v>
      </c>
      <c r="O34" s="923">
        <f t="shared" si="16"/>
        <v>1</v>
      </c>
      <c r="P34" s="923">
        <f t="shared" si="14"/>
        <v>311.58</v>
      </c>
      <c r="Q34" s="923">
        <f t="shared" si="16"/>
        <v>0.8</v>
      </c>
      <c r="R34" s="921">
        <f t="shared" si="10"/>
        <v>249.27</v>
      </c>
    </row>
    <row r="35" spans="2:18" ht="15.95" customHeight="1" x14ac:dyDescent="0.2">
      <c r="B35" s="917">
        <f>RUAS!B34</f>
        <v>28</v>
      </c>
      <c r="C35" s="918" t="str">
        <f>RUAS!C34</f>
        <v>RUA BAHIA T1</v>
      </c>
      <c r="D35" s="919">
        <f>RUAS!L34</f>
        <v>69.52</v>
      </c>
      <c r="E35" s="919">
        <f>RUAS!M34+0.9</f>
        <v>7.9</v>
      </c>
      <c r="F35" s="919">
        <v>203.23</v>
      </c>
      <c r="G35" s="919">
        <v>0</v>
      </c>
      <c r="H35" s="884">
        <f>RUAS!O34</f>
        <v>13.68</v>
      </c>
      <c r="I35" s="924">
        <f t="shared" si="15"/>
        <v>0.27500000000000002</v>
      </c>
      <c r="J35" s="884">
        <f t="shared" si="11"/>
        <v>3.76</v>
      </c>
      <c r="K35" s="921">
        <f t="shared" si="12"/>
        <v>203.23</v>
      </c>
      <c r="L35" s="922">
        <f t="shared" si="9"/>
        <v>0</v>
      </c>
      <c r="M35" s="921">
        <f t="shared" si="13"/>
        <v>203.23</v>
      </c>
      <c r="N35" s="921">
        <v>1.25</v>
      </c>
      <c r="O35" s="923">
        <f t="shared" si="16"/>
        <v>1</v>
      </c>
      <c r="P35" s="923">
        <f t="shared" si="14"/>
        <v>254.03</v>
      </c>
      <c r="Q35" s="923">
        <f t="shared" si="16"/>
        <v>0.8</v>
      </c>
      <c r="R35" s="921">
        <f t="shared" si="10"/>
        <v>203.23</v>
      </c>
    </row>
    <row r="36" spans="2:18" ht="15.95" customHeight="1" x14ac:dyDescent="0.2">
      <c r="B36" s="917">
        <f>RUAS!B35</f>
        <v>29</v>
      </c>
      <c r="C36" s="918" t="str">
        <f>RUAS!C35</f>
        <v>RUA BAHIA T2</v>
      </c>
      <c r="D36" s="919">
        <f>RUAS!L35</f>
        <v>105.47</v>
      </c>
      <c r="E36" s="919">
        <f>RUAS!M35+0.9</f>
        <v>7.9</v>
      </c>
      <c r="F36" s="919">
        <v>377.4</v>
      </c>
      <c r="G36" s="919">
        <v>0</v>
      </c>
      <c r="H36" s="884">
        <f>RUAS!O35</f>
        <v>13.73</v>
      </c>
      <c r="I36" s="924">
        <f t="shared" si="15"/>
        <v>0.27500000000000002</v>
      </c>
      <c r="J36" s="884">
        <f t="shared" si="11"/>
        <v>3.77</v>
      </c>
      <c r="K36" s="921">
        <f t="shared" si="12"/>
        <v>377.4</v>
      </c>
      <c r="L36" s="922">
        <f t="shared" si="9"/>
        <v>0</v>
      </c>
      <c r="M36" s="921">
        <f t="shared" si="13"/>
        <v>377.4</v>
      </c>
      <c r="N36" s="921">
        <v>1.25</v>
      </c>
      <c r="O36" s="923">
        <f t="shared" si="16"/>
        <v>1</v>
      </c>
      <c r="P36" s="923">
        <f t="shared" si="14"/>
        <v>471.75</v>
      </c>
      <c r="Q36" s="923">
        <f t="shared" si="16"/>
        <v>0.8</v>
      </c>
      <c r="R36" s="921">
        <f t="shared" si="10"/>
        <v>377.4</v>
      </c>
    </row>
    <row r="37" spans="2:18" ht="15.95" customHeight="1" x14ac:dyDescent="0.2">
      <c r="B37" s="917">
        <f>RUAS!B36</f>
        <v>30</v>
      </c>
      <c r="C37" s="918" t="str">
        <f>RUAS!C36</f>
        <v>RUA SERGIPE</v>
      </c>
      <c r="D37" s="919">
        <f>RUAS!L36</f>
        <v>106.26</v>
      </c>
      <c r="E37" s="919">
        <f>RUAS!M36+0.9</f>
        <v>7.9</v>
      </c>
      <c r="F37" s="919">
        <v>332.2</v>
      </c>
      <c r="G37" s="919">
        <v>0</v>
      </c>
      <c r="H37" s="884">
        <f>RUAS!O36</f>
        <v>13.75</v>
      </c>
      <c r="I37" s="924">
        <f t="shared" si="15"/>
        <v>0.27500000000000002</v>
      </c>
      <c r="J37" s="884">
        <f t="shared" si="11"/>
        <v>3.78</v>
      </c>
      <c r="K37" s="921">
        <f t="shared" si="12"/>
        <v>332.2</v>
      </c>
      <c r="L37" s="922">
        <f t="shared" si="9"/>
        <v>0</v>
      </c>
      <c r="M37" s="921">
        <f t="shared" si="13"/>
        <v>332.2</v>
      </c>
      <c r="N37" s="921">
        <v>1.25</v>
      </c>
      <c r="O37" s="923">
        <f t="shared" si="16"/>
        <v>1</v>
      </c>
      <c r="P37" s="923">
        <f t="shared" si="14"/>
        <v>415.25</v>
      </c>
      <c r="Q37" s="923">
        <f t="shared" si="16"/>
        <v>0.8</v>
      </c>
      <c r="R37" s="921">
        <f t="shared" si="10"/>
        <v>332.2</v>
      </c>
    </row>
    <row r="38" spans="2:18" ht="15.95" customHeight="1" x14ac:dyDescent="0.2">
      <c r="B38" s="917">
        <f>RUAS!B37</f>
        <v>31</v>
      </c>
      <c r="C38" s="918" t="str">
        <f>RUAS!C37</f>
        <v>RUA ALAGOAS T1</v>
      </c>
      <c r="D38" s="919">
        <f>RUAS!L37</f>
        <v>70.459999999999994</v>
      </c>
      <c r="E38" s="919">
        <f>RUAS!M37+0.9</f>
        <v>7.9</v>
      </c>
      <c r="F38" s="919">
        <v>195.31</v>
      </c>
      <c r="G38" s="919">
        <v>0.89</v>
      </c>
      <c r="H38" s="884">
        <f>RUAS!O37</f>
        <v>13.74</v>
      </c>
      <c r="I38" s="924">
        <f t="shared" si="15"/>
        <v>0.27500000000000002</v>
      </c>
      <c r="J38" s="884">
        <f t="shared" si="11"/>
        <v>3.77</v>
      </c>
      <c r="K38" s="921">
        <f t="shared" si="12"/>
        <v>195.31</v>
      </c>
      <c r="L38" s="922">
        <f t="shared" si="9"/>
        <v>0.89</v>
      </c>
      <c r="M38" s="921">
        <f t="shared" si="13"/>
        <v>194.42</v>
      </c>
      <c r="N38" s="921">
        <v>1.25</v>
      </c>
      <c r="O38" s="923">
        <f t="shared" si="16"/>
        <v>1</v>
      </c>
      <c r="P38" s="923">
        <f t="shared" si="14"/>
        <v>243.02</v>
      </c>
      <c r="Q38" s="923">
        <f t="shared" si="16"/>
        <v>0.8</v>
      </c>
      <c r="R38" s="921">
        <f t="shared" si="10"/>
        <v>194.42</v>
      </c>
    </row>
    <row r="39" spans="2:18" ht="15.95" customHeight="1" x14ac:dyDescent="0.2">
      <c r="B39" s="917">
        <f>RUAS!B38</f>
        <v>32</v>
      </c>
      <c r="C39" s="918" t="str">
        <f>RUAS!C38</f>
        <v>RUA ALAGOAS T2</v>
      </c>
      <c r="D39" s="919">
        <f>RUAS!L38</f>
        <v>106.21</v>
      </c>
      <c r="E39" s="919">
        <f>RUAS!M38+0.9</f>
        <v>7.9</v>
      </c>
      <c r="F39" s="919">
        <v>255.11</v>
      </c>
      <c r="G39" s="919">
        <v>0</v>
      </c>
      <c r="H39" s="884">
        <f>RUAS!O38</f>
        <v>13.739999999999998</v>
      </c>
      <c r="I39" s="924">
        <f t="shared" si="15"/>
        <v>0.27500000000000002</v>
      </c>
      <c r="J39" s="884">
        <f t="shared" si="11"/>
        <v>3.77</v>
      </c>
      <c r="K39" s="921">
        <f t="shared" si="12"/>
        <v>255.11</v>
      </c>
      <c r="L39" s="922">
        <f t="shared" si="9"/>
        <v>0</v>
      </c>
      <c r="M39" s="921">
        <f t="shared" si="13"/>
        <v>255.11</v>
      </c>
      <c r="N39" s="921">
        <v>1.25</v>
      </c>
      <c r="O39" s="923">
        <f t="shared" si="16"/>
        <v>1</v>
      </c>
      <c r="P39" s="923">
        <f t="shared" si="14"/>
        <v>318.88</v>
      </c>
      <c r="Q39" s="923">
        <f t="shared" si="16"/>
        <v>0.8</v>
      </c>
      <c r="R39" s="921">
        <f t="shared" si="10"/>
        <v>255.11</v>
      </c>
    </row>
    <row r="40" spans="2:18" ht="15.95" customHeight="1" x14ac:dyDescent="0.2">
      <c r="B40" s="917">
        <f>RUAS!B39</f>
        <v>33</v>
      </c>
      <c r="C40" s="918" t="str">
        <f>RUAS!C39</f>
        <v>RUA PERNAMBUCO</v>
      </c>
      <c r="D40" s="919">
        <f>RUAS!L39</f>
        <v>106.28</v>
      </c>
      <c r="E40" s="919">
        <f>RUAS!M39+0.9</f>
        <v>7.9</v>
      </c>
      <c r="F40" s="919">
        <v>438.42</v>
      </c>
      <c r="G40" s="919">
        <v>0</v>
      </c>
      <c r="H40" s="884">
        <f>RUAS!O39</f>
        <v>13.740000000000002</v>
      </c>
      <c r="I40" s="924">
        <f t="shared" si="15"/>
        <v>0.27500000000000002</v>
      </c>
      <c r="J40" s="884">
        <f t="shared" si="11"/>
        <v>3.77</v>
      </c>
      <c r="K40" s="921">
        <f t="shared" si="12"/>
        <v>438.42</v>
      </c>
      <c r="L40" s="922">
        <f t="shared" si="9"/>
        <v>0</v>
      </c>
      <c r="M40" s="921">
        <f t="shared" si="13"/>
        <v>438.42</v>
      </c>
      <c r="N40" s="921">
        <v>1.25</v>
      </c>
      <c r="O40" s="923">
        <f t="shared" si="16"/>
        <v>1</v>
      </c>
      <c r="P40" s="923">
        <f t="shared" si="14"/>
        <v>548.02</v>
      </c>
      <c r="Q40" s="923">
        <f t="shared" si="16"/>
        <v>0.8</v>
      </c>
      <c r="R40" s="921">
        <f t="shared" si="10"/>
        <v>438.42</v>
      </c>
    </row>
    <row r="41" spans="2:18" ht="15.95" customHeight="1" x14ac:dyDescent="0.2">
      <c r="B41" s="917">
        <f>RUAS!B40</f>
        <v>34</v>
      </c>
      <c r="C41" s="918" t="str">
        <f>RUAS!C40</f>
        <v>RUA PARAÍBA T1</v>
      </c>
      <c r="D41" s="919">
        <f>RUAS!L40</f>
        <v>70.17</v>
      </c>
      <c r="E41" s="919">
        <f>RUAS!M40+0.9</f>
        <v>7.9</v>
      </c>
      <c r="F41" s="919">
        <v>169.63</v>
      </c>
      <c r="G41" s="919">
        <v>0</v>
      </c>
      <c r="H41" s="884">
        <f>RUAS!O40</f>
        <v>13.73</v>
      </c>
      <c r="I41" s="924">
        <f t="shared" si="15"/>
        <v>0.27500000000000002</v>
      </c>
      <c r="J41" s="884">
        <f t="shared" si="11"/>
        <v>3.77</v>
      </c>
      <c r="K41" s="921">
        <f t="shared" si="12"/>
        <v>169.63</v>
      </c>
      <c r="L41" s="922">
        <f t="shared" si="9"/>
        <v>0</v>
      </c>
      <c r="M41" s="921">
        <f t="shared" si="13"/>
        <v>169.63</v>
      </c>
      <c r="N41" s="921">
        <v>1.25</v>
      </c>
      <c r="O41" s="923">
        <f t="shared" si="16"/>
        <v>1</v>
      </c>
      <c r="P41" s="923">
        <f t="shared" si="14"/>
        <v>212.03</v>
      </c>
      <c r="Q41" s="923">
        <f t="shared" si="16"/>
        <v>0.8</v>
      </c>
      <c r="R41" s="921">
        <f t="shared" si="10"/>
        <v>169.63</v>
      </c>
    </row>
    <row r="42" spans="2:18" ht="15.95" customHeight="1" x14ac:dyDescent="0.2">
      <c r="B42" s="917">
        <f>RUAS!B41</f>
        <v>35</v>
      </c>
      <c r="C42" s="918" t="str">
        <f>RUAS!C41</f>
        <v>RUA PARAÍBA T2</v>
      </c>
      <c r="D42" s="919">
        <f>RUAS!L41</f>
        <v>106.73</v>
      </c>
      <c r="E42" s="919">
        <f>RUAS!M41+0.9</f>
        <v>7.9</v>
      </c>
      <c r="F42" s="919">
        <v>329.16</v>
      </c>
      <c r="G42" s="919">
        <v>0</v>
      </c>
      <c r="H42" s="884">
        <f>RUAS!O41</f>
        <v>13.73</v>
      </c>
      <c r="I42" s="924">
        <f t="shared" si="15"/>
        <v>0.27500000000000002</v>
      </c>
      <c r="J42" s="884">
        <f t="shared" si="11"/>
        <v>3.77</v>
      </c>
      <c r="K42" s="921">
        <f t="shared" si="12"/>
        <v>329.16</v>
      </c>
      <c r="L42" s="922">
        <f t="shared" si="9"/>
        <v>0</v>
      </c>
      <c r="M42" s="921">
        <f t="shared" si="13"/>
        <v>329.16</v>
      </c>
      <c r="N42" s="921">
        <v>1.25</v>
      </c>
      <c r="O42" s="923">
        <f t="shared" si="16"/>
        <v>1</v>
      </c>
      <c r="P42" s="923">
        <f t="shared" si="14"/>
        <v>411.45</v>
      </c>
      <c r="Q42" s="923">
        <f t="shared" si="16"/>
        <v>0.8</v>
      </c>
      <c r="R42" s="921">
        <f t="shared" si="10"/>
        <v>329.16</v>
      </c>
    </row>
    <row r="43" spans="2:18" ht="15.95" customHeight="1" x14ac:dyDescent="0.2">
      <c r="B43" s="917">
        <f>RUAS!B42</f>
        <v>36</v>
      </c>
      <c r="C43" s="918" t="str">
        <f>RUAS!C42</f>
        <v>AV. SÃO JOSÉ MARELLO</v>
      </c>
      <c r="D43" s="919">
        <f>RUAS!L42</f>
        <v>393.54</v>
      </c>
      <c r="E43" s="919">
        <f>RUAS!M42+0.9</f>
        <v>8.9</v>
      </c>
      <c r="F43" s="919">
        <v>1442.37</v>
      </c>
      <c r="G43" s="919">
        <v>35.32</v>
      </c>
      <c r="H43" s="884">
        <f>RUAS!O42</f>
        <v>130.35999999999999</v>
      </c>
      <c r="I43" s="924">
        <f t="shared" si="15"/>
        <v>0.27500000000000002</v>
      </c>
      <c r="J43" s="884">
        <f>TRUNC(H43*I43,2)</f>
        <v>35.840000000000003</v>
      </c>
      <c r="K43" s="921">
        <f t="shared" si="12"/>
        <v>1442.37</v>
      </c>
      <c r="L43" s="922">
        <f t="shared" si="9"/>
        <v>35.32</v>
      </c>
      <c r="M43" s="921">
        <f t="shared" si="13"/>
        <v>1407.05</v>
      </c>
      <c r="N43" s="921">
        <v>1.25</v>
      </c>
      <c r="O43" s="923">
        <f t="shared" si="16"/>
        <v>1</v>
      </c>
      <c r="P43" s="923">
        <f t="shared" si="14"/>
        <v>1758.81</v>
      </c>
      <c r="Q43" s="923">
        <f t="shared" si="16"/>
        <v>0.8</v>
      </c>
      <c r="R43" s="921">
        <f t="shared" si="10"/>
        <v>1407.05</v>
      </c>
    </row>
    <row r="44" spans="2:18" ht="15.95" customHeight="1" x14ac:dyDescent="0.2">
      <c r="B44" s="917">
        <f>RUAS!B43</f>
        <v>37</v>
      </c>
      <c r="C44" s="918" t="str">
        <f>RUAS!C43</f>
        <v>RUA CEARÁ</v>
      </c>
      <c r="D44" s="919">
        <f>RUAS!L43</f>
        <v>120.41</v>
      </c>
      <c r="E44" s="919">
        <f>RUAS!M43+0.9</f>
        <v>8.9</v>
      </c>
      <c r="F44" s="919">
        <v>397.74</v>
      </c>
      <c r="G44" s="919">
        <v>0</v>
      </c>
      <c r="H44" s="884">
        <f>RUAS!O43</f>
        <v>13.74</v>
      </c>
      <c r="I44" s="924">
        <f t="shared" si="15"/>
        <v>0.27500000000000002</v>
      </c>
      <c r="J44" s="884">
        <f t="shared" si="11"/>
        <v>3.77</v>
      </c>
      <c r="K44" s="921">
        <f t="shared" si="12"/>
        <v>397.74</v>
      </c>
      <c r="L44" s="922">
        <f t="shared" si="9"/>
        <v>0</v>
      </c>
      <c r="M44" s="921">
        <f t="shared" si="13"/>
        <v>397.74</v>
      </c>
      <c r="N44" s="921">
        <v>1.25</v>
      </c>
      <c r="O44" s="923">
        <f t="shared" si="16"/>
        <v>1</v>
      </c>
      <c r="P44" s="923">
        <f t="shared" si="14"/>
        <v>497.17</v>
      </c>
      <c r="Q44" s="923">
        <f t="shared" si="16"/>
        <v>0.8</v>
      </c>
      <c r="R44" s="921">
        <f t="shared" si="10"/>
        <v>397.74</v>
      </c>
    </row>
    <row r="45" spans="2:18" ht="15.95" customHeight="1" x14ac:dyDescent="0.2">
      <c r="B45" s="917">
        <f>RUAS!B44</f>
        <v>38</v>
      </c>
      <c r="C45" s="918" t="str">
        <f>RUAS!C44</f>
        <v>RUA AMAZONAS</v>
      </c>
      <c r="D45" s="919">
        <f>RUAS!L44</f>
        <v>106.05</v>
      </c>
      <c r="E45" s="919">
        <f>RUAS!M44+0.9</f>
        <v>7.9</v>
      </c>
      <c r="F45" s="919">
        <v>296.02999999999997</v>
      </c>
      <c r="G45" s="919">
        <v>0</v>
      </c>
      <c r="H45" s="884">
        <f>RUAS!O44</f>
        <v>13.73</v>
      </c>
      <c r="I45" s="924">
        <f t="shared" si="15"/>
        <v>0.27500000000000002</v>
      </c>
      <c r="J45" s="884">
        <f t="shared" si="11"/>
        <v>3.77</v>
      </c>
      <c r="K45" s="921">
        <f t="shared" si="12"/>
        <v>296.02999999999997</v>
      </c>
      <c r="L45" s="922">
        <f t="shared" si="9"/>
        <v>0</v>
      </c>
      <c r="M45" s="921">
        <f t="shared" si="13"/>
        <v>296.02999999999997</v>
      </c>
      <c r="N45" s="921">
        <v>1.25</v>
      </c>
      <c r="O45" s="923">
        <f t="shared" si="16"/>
        <v>1</v>
      </c>
      <c r="P45" s="923">
        <f t="shared" si="14"/>
        <v>370.03</v>
      </c>
      <c r="Q45" s="923">
        <f t="shared" si="16"/>
        <v>0.8</v>
      </c>
      <c r="R45" s="921">
        <f t="shared" si="10"/>
        <v>296.02999999999997</v>
      </c>
    </row>
    <row r="46" spans="2:18" ht="15.95" customHeight="1" x14ac:dyDescent="0.2">
      <c r="B46" s="917">
        <f>RUAS!B45</f>
        <v>39</v>
      </c>
      <c r="C46" s="918" t="str">
        <f>RUAS!C45</f>
        <v>RUA MATO GROSSO T1</v>
      </c>
      <c r="D46" s="919">
        <f>RUAS!L45</f>
        <v>121.01</v>
      </c>
      <c r="E46" s="919">
        <f>RUAS!M45+0.9</f>
        <v>8.9</v>
      </c>
      <c r="F46" s="919">
        <v>344.63</v>
      </c>
      <c r="G46" s="919">
        <v>0</v>
      </c>
      <c r="H46" s="884">
        <f>RUAS!O45</f>
        <v>13.74</v>
      </c>
      <c r="I46" s="924">
        <f t="shared" si="15"/>
        <v>0.27500000000000002</v>
      </c>
      <c r="J46" s="884">
        <f t="shared" si="11"/>
        <v>3.77</v>
      </c>
      <c r="K46" s="921">
        <f t="shared" si="12"/>
        <v>344.63</v>
      </c>
      <c r="L46" s="922">
        <f t="shared" si="9"/>
        <v>0</v>
      </c>
      <c r="M46" s="921">
        <f t="shared" si="13"/>
        <v>344.63</v>
      </c>
      <c r="N46" s="921">
        <v>1.25</v>
      </c>
      <c r="O46" s="923">
        <f>O45</f>
        <v>1</v>
      </c>
      <c r="P46" s="923">
        <f t="shared" si="14"/>
        <v>430.78</v>
      </c>
      <c r="Q46" s="923">
        <f>Q45</f>
        <v>0.8</v>
      </c>
      <c r="R46" s="921">
        <f t="shared" si="10"/>
        <v>344.63</v>
      </c>
    </row>
    <row r="47" spans="2:18" ht="15.95" customHeight="1" x14ac:dyDescent="0.2">
      <c r="B47" s="829">
        <f>RUAS!B46</f>
        <v>40</v>
      </c>
      <c r="C47" s="918" t="str">
        <f>RUAS!C46</f>
        <v>RUA MATO GROSSO T2</v>
      </c>
      <c r="D47" s="925">
        <f>RUAS!L46</f>
        <v>73.349999999999994</v>
      </c>
      <c r="E47" s="925">
        <f>RUAS!M46+0.9</f>
        <v>7.9</v>
      </c>
      <c r="F47" s="925">
        <v>100.05</v>
      </c>
      <c r="G47" s="925">
        <v>0</v>
      </c>
      <c r="H47" s="884">
        <f>RUAS!O46</f>
        <v>13.73</v>
      </c>
      <c r="I47" s="926">
        <f t="shared" si="15"/>
        <v>0.27500000000000002</v>
      </c>
      <c r="J47" s="884">
        <f t="shared" si="11"/>
        <v>3.77</v>
      </c>
      <c r="K47" s="884">
        <f t="shared" si="12"/>
        <v>100.05</v>
      </c>
      <c r="L47" s="927">
        <f t="shared" si="9"/>
        <v>0</v>
      </c>
      <c r="M47" s="884">
        <f t="shared" si="13"/>
        <v>100.05</v>
      </c>
      <c r="N47" s="884">
        <v>1.25</v>
      </c>
      <c r="O47" s="359">
        <f>O46</f>
        <v>1</v>
      </c>
      <c r="P47" s="359">
        <f t="shared" si="14"/>
        <v>125.06</v>
      </c>
      <c r="Q47" s="359">
        <f>Q46</f>
        <v>0.8</v>
      </c>
      <c r="R47" s="884">
        <f t="shared" si="10"/>
        <v>100.05</v>
      </c>
    </row>
    <row r="48" spans="2:18" ht="15.95" customHeight="1" x14ac:dyDescent="0.2">
      <c r="B48" s="829">
        <f>RUAS!B47</f>
        <v>41</v>
      </c>
      <c r="C48" s="918" t="str">
        <f>RUAS!C47</f>
        <v>RUA MATO GROSSO T3</v>
      </c>
      <c r="D48" s="925">
        <f>RUAS!L47</f>
        <v>106.18</v>
      </c>
      <c r="E48" s="925">
        <f>RUAS!M47+0.9</f>
        <v>8.9</v>
      </c>
      <c r="F48" s="925">
        <v>196.38</v>
      </c>
      <c r="G48" s="925">
        <v>0</v>
      </c>
      <c r="H48" s="884">
        <f>RUAS!O47</f>
        <v>13.73</v>
      </c>
      <c r="I48" s="926">
        <f t="shared" si="15"/>
        <v>0.27500000000000002</v>
      </c>
      <c r="J48" s="884">
        <f t="shared" si="11"/>
        <v>3.77</v>
      </c>
      <c r="K48" s="884">
        <f t="shared" si="12"/>
        <v>196.38</v>
      </c>
      <c r="L48" s="927">
        <f t="shared" si="9"/>
        <v>0</v>
      </c>
      <c r="M48" s="884">
        <f t="shared" si="13"/>
        <v>196.38</v>
      </c>
      <c r="N48" s="884">
        <v>1.25</v>
      </c>
      <c r="O48" s="359">
        <f>O47</f>
        <v>1</v>
      </c>
      <c r="P48" s="359">
        <f t="shared" si="14"/>
        <v>245.47</v>
      </c>
      <c r="Q48" s="359">
        <f>Q47</f>
        <v>0.8</v>
      </c>
      <c r="R48" s="884">
        <f t="shared" si="10"/>
        <v>196.38</v>
      </c>
    </row>
    <row r="49" spans="2:232" ht="15.95" customHeight="1" x14ac:dyDescent="0.2">
      <c r="B49" s="917">
        <f>RUAS!B48</f>
        <v>42</v>
      </c>
      <c r="C49" s="918" t="str">
        <f>RUAS!C48</f>
        <v>RUA MATO GROSSO DO SUL T1</v>
      </c>
      <c r="D49" s="919">
        <f>RUAS!L48</f>
        <v>121.58</v>
      </c>
      <c r="E49" s="919">
        <f>RUAS!M48+0.9</f>
        <v>8.9</v>
      </c>
      <c r="F49" s="919">
        <v>210.68</v>
      </c>
      <c r="G49" s="919">
        <v>0</v>
      </c>
      <c r="H49" s="884">
        <f>RUAS!O48</f>
        <v>13.73</v>
      </c>
      <c r="I49" s="924">
        <f t="shared" si="15"/>
        <v>0.27500000000000002</v>
      </c>
      <c r="J49" s="884">
        <f t="shared" si="11"/>
        <v>3.77</v>
      </c>
      <c r="K49" s="921">
        <f t="shared" si="12"/>
        <v>210.68</v>
      </c>
      <c r="L49" s="922">
        <f t="shared" si="9"/>
        <v>0</v>
      </c>
      <c r="M49" s="921">
        <f t="shared" si="13"/>
        <v>210.68</v>
      </c>
      <c r="N49" s="921">
        <v>1.25</v>
      </c>
      <c r="O49" s="923">
        <f>O48</f>
        <v>1</v>
      </c>
      <c r="P49" s="923">
        <f t="shared" si="14"/>
        <v>263.35000000000002</v>
      </c>
      <c r="Q49" s="923">
        <f>Q48</f>
        <v>0.8</v>
      </c>
      <c r="R49" s="921">
        <f t="shared" si="10"/>
        <v>210.68</v>
      </c>
    </row>
    <row r="50" spans="2:232" ht="15.95" customHeight="1" x14ac:dyDescent="0.2">
      <c r="B50" s="917">
        <f>RUAS!B49</f>
        <v>43</v>
      </c>
      <c r="C50" s="918" t="str">
        <f>RUAS!C49</f>
        <v>RUA MATO GROSSO DO SUL T2</v>
      </c>
      <c r="D50" s="919">
        <f>RUAS!L49</f>
        <v>71.58</v>
      </c>
      <c r="E50" s="919">
        <f>RUAS!M49+0.9</f>
        <v>8.9</v>
      </c>
      <c r="F50" s="919">
        <v>205.9</v>
      </c>
      <c r="G50" s="919">
        <v>0</v>
      </c>
      <c r="H50" s="884">
        <f>RUAS!O49</f>
        <v>13.73</v>
      </c>
      <c r="I50" s="924">
        <f t="shared" si="15"/>
        <v>0.27500000000000002</v>
      </c>
      <c r="J50" s="884">
        <f t="shared" si="11"/>
        <v>3.77</v>
      </c>
      <c r="K50" s="921">
        <f t="shared" si="12"/>
        <v>205.9</v>
      </c>
      <c r="L50" s="922">
        <f t="shared" si="9"/>
        <v>0</v>
      </c>
      <c r="M50" s="921">
        <f t="shared" si="13"/>
        <v>205.9</v>
      </c>
      <c r="N50" s="921">
        <v>1.25</v>
      </c>
      <c r="O50" s="923">
        <f>O34</f>
        <v>1</v>
      </c>
      <c r="P50" s="923">
        <f t="shared" si="14"/>
        <v>257.37</v>
      </c>
      <c r="Q50" s="923">
        <f>Q34</f>
        <v>0.8</v>
      </c>
      <c r="R50" s="921">
        <f t="shared" si="10"/>
        <v>205.9</v>
      </c>
    </row>
    <row r="51" spans="2:232" ht="15.95" customHeight="1" x14ac:dyDescent="0.2">
      <c r="B51" s="917">
        <f>RUAS!B50</f>
        <v>44</v>
      </c>
      <c r="C51" s="918" t="str">
        <f>RUAS!C50</f>
        <v>RUA MATO GROSSO DO SUL T3</v>
      </c>
      <c r="D51" s="919">
        <f>RUAS!L50</f>
        <v>106.29</v>
      </c>
      <c r="E51" s="919">
        <f>RUAS!M50+0.9</f>
        <v>8.9</v>
      </c>
      <c r="F51" s="919">
        <v>282.72000000000003</v>
      </c>
      <c r="G51" s="919">
        <v>0</v>
      </c>
      <c r="H51" s="884">
        <f>RUAS!O50</f>
        <v>13.73</v>
      </c>
      <c r="I51" s="924">
        <f t="shared" si="15"/>
        <v>0.27500000000000002</v>
      </c>
      <c r="J51" s="884">
        <f t="shared" si="11"/>
        <v>3.77</v>
      </c>
      <c r="K51" s="921">
        <f t="shared" si="12"/>
        <v>282.72000000000003</v>
      </c>
      <c r="L51" s="922">
        <f t="shared" si="9"/>
        <v>0</v>
      </c>
      <c r="M51" s="921">
        <f t="shared" si="13"/>
        <v>282.72000000000003</v>
      </c>
      <c r="N51" s="921">
        <v>1.25</v>
      </c>
      <c r="O51" s="923">
        <f t="shared" ref="O51:Q53" si="17">O50</f>
        <v>1</v>
      </c>
      <c r="P51" s="923">
        <f t="shared" si="14"/>
        <v>353.4</v>
      </c>
      <c r="Q51" s="923">
        <f t="shared" si="17"/>
        <v>0.8</v>
      </c>
      <c r="R51" s="921">
        <f t="shared" si="10"/>
        <v>282.72000000000003</v>
      </c>
    </row>
    <row r="52" spans="2:232" ht="15.95" customHeight="1" x14ac:dyDescent="0.2">
      <c r="B52" s="917">
        <f>RUAS!B51</f>
        <v>45</v>
      </c>
      <c r="C52" s="918" t="str">
        <f>RUAS!C51</f>
        <v>RUA PARÁ</v>
      </c>
      <c r="D52" s="919">
        <f>RUAS!L51</f>
        <v>122.17</v>
      </c>
      <c r="E52" s="919">
        <f>RUAS!M51+0.9</f>
        <v>8.9</v>
      </c>
      <c r="F52" s="919">
        <v>520.70000000000005</v>
      </c>
      <c r="G52" s="919">
        <v>0</v>
      </c>
      <c r="H52" s="884">
        <f>RUAS!O51</f>
        <v>13.739999999999998</v>
      </c>
      <c r="I52" s="924">
        <f t="shared" si="15"/>
        <v>0.27500000000000002</v>
      </c>
      <c r="J52" s="884">
        <f t="shared" si="11"/>
        <v>3.77</v>
      </c>
      <c r="K52" s="921">
        <f t="shared" si="12"/>
        <v>520.70000000000005</v>
      </c>
      <c r="L52" s="922">
        <f t="shared" si="9"/>
        <v>0</v>
      </c>
      <c r="M52" s="921">
        <f t="shared" si="13"/>
        <v>520.70000000000005</v>
      </c>
      <c r="N52" s="921">
        <v>1.25</v>
      </c>
      <c r="O52" s="923">
        <f t="shared" si="17"/>
        <v>1</v>
      </c>
      <c r="P52" s="923">
        <f t="shared" si="14"/>
        <v>650.87</v>
      </c>
      <c r="Q52" s="923">
        <f t="shared" si="17"/>
        <v>0.8</v>
      </c>
      <c r="R52" s="921">
        <f t="shared" si="10"/>
        <v>520.70000000000005</v>
      </c>
    </row>
    <row r="53" spans="2:232" ht="15.95" customHeight="1" x14ac:dyDescent="0.2">
      <c r="B53" s="917">
        <f>RUAS!B52</f>
        <v>46</v>
      </c>
      <c r="C53" s="918" t="str">
        <f>RUAS!C52</f>
        <v>RUA MARANHÃO</v>
      </c>
      <c r="D53" s="919">
        <f>RUAS!L52</f>
        <v>106.4</v>
      </c>
      <c r="E53" s="919">
        <f>RUAS!M52+0.9</f>
        <v>7.9</v>
      </c>
      <c r="F53" s="919">
        <v>279.17</v>
      </c>
      <c r="G53" s="919">
        <v>0</v>
      </c>
      <c r="H53" s="884">
        <f>RUAS!O52</f>
        <v>13.74</v>
      </c>
      <c r="I53" s="924">
        <f t="shared" si="15"/>
        <v>0.27500000000000002</v>
      </c>
      <c r="J53" s="884">
        <f t="shared" si="11"/>
        <v>3.77</v>
      </c>
      <c r="K53" s="921">
        <f t="shared" si="12"/>
        <v>279.17</v>
      </c>
      <c r="L53" s="922">
        <f t="shared" si="9"/>
        <v>0</v>
      </c>
      <c r="M53" s="921">
        <f t="shared" si="13"/>
        <v>279.17</v>
      </c>
      <c r="N53" s="921">
        <v>1.25</v>
      </c>
      <c r="O53" s="923">
        <f t="shared" si="17"/>
        <v>1</v>
      </c>
      <c r="P53" s="923">
        <f t="shared" si="14"/>
        <v>348.96</v>
      </c>
      <c r="Q53" s="923">
        <f t="shared" si="17"/>
        <v>0.8</v>
      </c>
      <c r="R53" s="921">
        <f t="shared" si="10"/>
        <v>279.17</v>
      </c>
    </row>
    <row r="54" spans="2:232" ht="30" customHeight="1" x14ac:dyDescent="0.2">
      <c r="B54" s="1385" t="s">
        <v>728</v>
      </c>
      <c r="C54" s="1386"/>
      <c r="D54" s="910">
        <f>TRUNC(SUM(D7:D53),2)</f>
        <v>8019.95</v>
      </c>
      <c r="E54" s="910"/>
      <c r="F54" s="910">
        <f t="shared" ref="F54:M54" si="18">TRUNC(SUM(F7:F53),2)</f>
        <v>21741.599999999999</v>
      </c>
      <c r="G54" s="910">
        <f t="shared" si="18"/>
        <v>426.25</v>
      </c>
      <c r="H54" s="910">
        <f t="shared" si="18"/>
        <v>1256.49</v>
      </c>
      <c r="I54" s="910">
        <f t="shared" si="18"/>
        <v>12.65</v>
      </c>
      <c r="J54" s="910">
        <f t="shared" si="18"/>
        <v>345.26</v>
      </c>
      <c r="K54" s="910">
        <f t="shared" si="18"/>
        <v>21845.07</v>
      </c>
      <c r="L54" s="910">
        <f t="shared" si="18"/>
        <v>426.25</v>
      </c>
      <c r="M54" s="910">
        <f t="shared" si="18"/>
        <v>21418.82</v>
      </c>
      <c r="N54" s="910"/>
      <c r="O54" s="910"/>
      <c r="P54" s="910">
        <f>TRUNC(SUM(P7:P53),2)</f>
        <v>24568.42</v>
      </c>
      <c r="Q54" s="910"/>
      <c r="R54" s="910">
        <f>TRUNC(SUM(R7:R53),2)</f>
        <v>25828.82</v>
      </c>
      <c r="S54" s="627"/>
      <c r="T54" s="625"/>
      <c r="U54" s="625"/>
      <c r="V54" s="625"/>
      <c r="W54" s="625"/>
      <c r="X54" s="624"/>
      <c r="Y54" s="627"/>
      <c r="Z54" s="625"/>
      <c r="AA54" s="625"/>
      <c r="AB54" s="625"/>
      <c r="AC54" s="625"/>
      <c r="AD54" s="624"/>
      <c r="AE54" s="627"/>
      <c r="AF54" s="625"/>
      <c r="AG54" s="625"/>
      <c r="AH54" s="625"/>
      <c r="AI54" s="625"/>
      <c r="AJ54" s="624"/>
      <c r="AK54" s="627"/>
      <c r="AL54" s="625"/>
      <c r="AM54" s="625"/>
      <c r="AN54" s="625"/>
      <c r="AO54" s="625"/>
      <c r="AP54" s="624"/>
      <c r="AQ54" s="627"/>
      <c r="AR54" s="625"/>
      <c r="AS54" s="625"/>
      <c r="AT54" s="625"/>
      <c r="AU54" s="625"/>
      <c r="AV54" s="624"/>
      <c r="AW54" s="627"/>
      <c r="AX54" s="625"/>
      <c r="AY54" s="625"/>
      <c r="AZ54" s="625"/>
      <c r="BA54" s="625"/>
      <c r="BB54" s="624"/>
      <c r="BC54" s="627"/>
      <c r="BD54" s="625"/>
      <c r="BE54" s="625"/>
      <c r="BF54" s="625"/>
      <c r="BG54" s="625"/>
      <c r="BH54" s="624"/>
      <c r="BI54" s="627"/>
      <c r="BJ54" s="625"/>
      <c r="BK54" s="625"/>
      <c r="BL54" s="625"/>
      <c r="BM54" s="625"/>
      <c r="BN54" s="624"/>
      <c r="BO54" s="627"/>
      <c r="BP54" s="625"/>
      <c r="BQ54" s="625"/>
      <c r="BR54" s="625"/>
      <c r="BS54" s="625"/>
      <c r="BT54" s="624"/>
      <c r="BU54" s="627"/>
      <c r="BV54" s="625"/>
      <c r="BW54" s="625"/>
      <c r="BX54" s="625"/>
      <c r="BY54" s="625"/>
      <c r="BZ54" s="624"/>
      <c r="CA54" s="627"/>
      <c r="CB54" s="625"/>
      <c r="CC54" s="625"/>
      <c r="CD54" s="625"/>
      <c r="CE54" s="625"/>
      <c r="CF54" s="624"/>
      <c r="CG54" s="627"/>
      <c r="CH54" s="625"/>
      <c r="CI54" s="625"/>
      <c r="CJ54" s="625"/>
      <c r="CK54" s="625"/>
      <c r="CL54" s="624"/>
      <c r="CM54" s="627"/>
      <c r="CN54" s="625"/>
      <c r="CO54" s="625"/>
      <c r="CP54" s="625"/>
      <c r="CQ54" s="625"/>
      <c r="CR54" s="624"/>
      <c r="CS54" s="627"/>
      <c r="CT54" s="625"/>
      <c r="CU54" s="625"/>
      <c r="CV54" s="625"/>
      <c r="CW54" s="625"/>
      <c r="CX54" s="624"/>
      <c r="CY54" s="627"/>
      <c r="CZ54" s="625"/>
      <c r="DA54" s="625"/>
      <c r="DB54" s="625"/>
      <c r="DC54" s="625"/>
      <c r="DD54" s="624"/>
      <c r="DE54" s="627"/>
      <c r="DF54" s="625"/>
      <c r="DG54" s="625"/>
      <c r="DH54" s="625"/>
      <c r="DI54" s="625"/>
      <c r="DJ54" s="624"/>
      <c r="DK54" s="627"/>
      <c r="DL54" s="625"/>
      <c r="DM54" s="625"/>
      <c r="DN54" s="625"/>
      <c r="DO54" s="625"/>
      <c r="DP54" s="624"/>
      <c r="DQ54" s="627"/>
      <c r="DR54" s="625"/>
      <c r="DS54" s="625"/>
      <c r="DT54" s="625"/>
      <c r="DU54" s="625"/>
      <c r="DV54" s="624"/>
      <c r="DW54" s="627"/>
      <c r="DX54" s="625"/>
      <c r="DY54" s="625"/>
      <c r="DZ54" s="625"/>
      <c r="EA54" s="625"/>
      <c r="EB54" s="624"/>
      <c r="EC54" s="627"/>
      <c r="ED54" s="625"/>
      <c r="EE54" s="625"/>
      <c r="EF54" s="625"/>
      <c r="EG54" s="625"/>
      <c r="EH54" s="624"/>
      <c r="EI54" s="627"/>
      <c r="EJ54" s="625"/>
      <c r="EK54" s="625"/>
      <c r="EL54" s="625"/>
      <c r="EM54" s="625"/>
      <c r="EN54" s="624"/>
      <c r="EO54" s="627"/>
      <c r="EP54" s="625"/>
      <c r="EQ54" s="625"/>
      <c r="ER54" s="625"/>
      <c r="ES54" s="625"/>
      <c r="ET54" s="624"/>
      <c r="EU54" s="627"/>
      <c r="EV54" s="625"/>
      <c r="EW54" s="625"/>
      <c r="EX54" s="625"/>
      <c r="EY54" s="625"/>
      <c r="EZ54" s="624"/>
      <c r="FA54" s="627"/>
      <c r="FB54" s="625"/>
      <c r="FC54" s="625"/>
      <c r="FD54" s="625"/>
      <c r="FE54" s="625"/>
      <c r="FF54" s="624"/>
      <c r="FG54" s="627"/>
      <c r="FH54" s="625"/>
      <c r="FI54" s="625"/>
      <c r="FJ54" s="625"/>
      <c r="FK54" s="625"/>
      <c r="FL54" s="624"/>
      <c r="FM54" s="627"/>
      <c r="FN54" s="625"/>
      <c r="FO54" s="625"/>
      <c r="FP54" s="625"/>
      <c r="FQ54" s="625"/>
      <c r="FR54" s="624"/>
      <c r="FS54" s="627"/>
      <c r="FT54" s="625"/>
      <c r="FU54" s="625"/>
      <c r="FV54" s="625"/>
      <c r="FW54" s="625"/>
      <c r="FX54" s="624"/>
      <c r="FY54" s="627"/>
      <c r="FZ54" s="625"/>
      <c r="GA54" s="625"/>
      <c r="GB54" s="625"/>
      <c r="GC54" s="625"/>
      <c r="GD54" s="624"/>
      <c r="GE54" s="627"/>
      <c r="GF54" s="625"/>
      <c r="GG54" s="625"/>
      <c r="GH54" s="625"/>
      <c r="GI54" s="625"/>
      <c r="GJ54" s="624"/>
      <c r="GK54" s="627"/>
      <c r="GL54" s="625"/>
      <c r="GM54" s="625"/>
      <c r="GN54" s="625"/>
      <c r="GO54" s="625"/>
      <c r="GP54" s="624"/>
      <c r="GQ54" s="627"/>
      <c r="GR54" s="625"/>
      <c r="GS54" s="625"/>
      <c r="GT54" s="625"/>
      <c r="GU54" s="625"/>
      <c r="GV54" s="624"/>
      <c r="GW54" s="627"/>
      <c r="GX54" s="625"/>
      <c r="GY54" s="625"/>
      <c r="GZ54" s="625"/>
      <c r="HA54" s="625"/>
      <c r="HB54" s="624"/>
      <c r="HC54" s="627"/>
      <c r="HD54" s="625"/>
      <c r="HE54" s="625"/>
      <c r="HF54" s="625"/>
      <c r="HG54" s="625"/>
      <c r="HH54" s="624"/>
      <c r="HI54" s="627"/>
      <c r="HJ54" s="625"/>
      <c r="HK54" s="625"/>
      <c r="HL54" s="625"/>
      <c r="HM54" s="625"/>
      <c r="HN54" s="624"/>
      <c r="HO54" s="627"/>
      <c r="HP54" s="625"/>
      <c r="HQ54" s="625"/>
      <c r="HR54" s="625"/>
      <c r="HS54" s="625"/>
      <c r="HT54" s="624"/>
      <c r="HU54" s="627"/>
      <c r="HV54" s="625"/>
      <c r="HW54" s="625"/>
      <c r="HX54" s="625"/>
    </row>
    <row r="55" spans="2:232" x14ac:dyDescent="0.2">
      <c r="B55" s="1550" t="s">
        <v>729</v>
      </c>
      <c r="C55" s="1550"/>
      <c r="D55" s="1550"/>
      <c r="E55" s="1550"/>
      <c r="F55" s="1550"/>
      <c r="G55" s="1550"/>
      <c r="H55" s="1550"/>
      <c r="I55" s="1550"/>
      <c r="J55" s="1550"/>
      <c r="K55" s="1550"/>
      <c r="L55" s="1550"/>
      <c r="M55" s="1550"/>
      <c r="N55" s="611"/>
      <c r="O55" s="611"/>
      <c r="P55" s="611"/>
      <c r="Q55" s="611"/>
      <c r="R55" s="611"/>
    </row>
    <row r="56" spans="2:232" x14ac:dyDescent="0.2">
      <c r="B56" s="1544" t="s">
        <v>730</v>
      </c>
      <c r="C56" s="1544"/>
      <c r="D56" s="1544"/>
      <c r="E56" s="1544"/>
      <c r="F56" s="1544"/>
      <c r="G56" s="1544"/>
      <c r="H56" s="1544"/>
      <c r="I56" s="1544"/>
      <c r="J56" s="1544"/>
      <c r="K56" s="1544"/>
      <c r="L56" s="1544"/>
      <c r="M56" s="1544"/>
    </row>
    <row r="57" spans="2:232" x14ac:dyDescent="0.2">
      <c r="B57" s="1544" t="s">
        <v>731</v>
      </c>
      <c r="C57" s="1544"/>
      <c r="D57" s="1544"/>
      <c r="E57" s="1544"/>
      <c r="F57" s="1544"/>
      <c r="G57" s="1544"/>
      <c r="H57" s="1544"/>
      <c r="I57" s="1544"/>
      <c r="J57" s="1544"/>
      <c r="K57" s="1544"/>
      <c r="L57" s="1544"/>
      <c r="M57" s="1544"/>
    </row>
    <row r="61" spans="2:232" x14ac:dyDescent="0.2">
      <c r="K61" s="611"/>
    </row>
    <row r="64" spans="2:232" x14ac:dyDescent="0.2">
      <c r="P64" s="929">
        <f>Q28+O28</f>
        <v>1.8</v>
      </c>
    </row>
  </sheetData>
  <mergeCells count="18">
    <mergeCell ref="B2:R2"/>
    <mergeCell ref="B3:B5"/>
    <mergeCell ref="C3:C5"/>
    <mergeCell ref="D3:D4"/>
    <mergeCell ref="E3:E4"/>
    <mergeCell ref="F3:G3"/>
    <mergeCell ref="H3:J3"/>
    <mergeCell ref="K3:K4"/>
    <mergeCell ref="L3:L4"/>
    <mergeCell ref="M3:M4"/>
    <mergeCell ref="B56:M56"/>
    <mergeCell ref="B57:M57"/>
    <mergeCell ref="N3:R3"/>
    <mergeCell ref="N4:N5"/>
    <mergeCell ref="B6:R6"/>
    <mergeCell ref="B27:R27"/>
    <mergeCell ref="B54:C54"/>
    <mergeCell ref="B55:M55"/>
  </mergeCells>
  <printOptions horizontalCentered="1"/>
  <pageMargins left="0.59055118110236227" right="0.59055118110236227" top="1.7716535433070868" bottom="0.78740157480314965" header="0" footer="0"/>
  <pageSetup paperSize="9" scale="44" orientation="landscape" r:id="rId1"/>
  <headerFooter scaleWithDoc="0">
    <oddHeader>&amp;L&amp;G</oddHeader>
    <oddFooter>&amp;C&amp;"-,Negrito"&amp;12DIONI CAETANEO DE OLIVEIRA
&amp;"-,Regular"ENGENHEIRO CIVIL - CREA /MT 40957
DEPARTAMENTO DE ENGENHARIA</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03872-BAB3-4CE3-AED4-C82784CEC253}">
  <sheetPr codeName="Planilha5">
    <tabColor rgb="FF92D050"/>
  </sheetPr>
  <dimension ref="B2:H20"/>
  <sheetViews>
    <sheetView view="pageLayout" zoomScaleNormal="100" zoomScaleSheetLayoutView="100" workbookViewId="0">
      <selection activeCell="N63" sqref="N63"/>
    </sheetView>
  </sheetViews>
  <sheetFormatPr defaultColWidth="8.85546875" defaultRowHeight="14.25" x14ac:dyDescent="0.25"/>
  <cols>
    <col min="1" max="1" width="8.85546875" style="54"/>
    <col min="2" max="2" width="45.85546875" style="54" customWidth="1"/>
    <col min="3" max="3" width="22.5703125" style="54" customWidth="1"/>
    <col min="4" max="4" width="37.7109375" style="54" customWidth="1"/>
    <col min="5" max="5" width="13.28515625" style="54" customWidth="1"/>
    <col min="6" max="8" width="11.7109375" style="54" customWidth="1"/>
    <col min="9" max="16384" width="8.85546875" style="54"/>
  </cols>
  <sheetData>
    <row r="2" spans="2:8" ht="30" customHeight="1" x14ac:dyDescent="0.25">
      <c r="B2" s="1530" t="s">
        <v>534</v>
      </c>
      <c r="C2" s="1531"/>
      <c r="D2" s="1531"/>
      <c r="E2" s="1531"/>
      <c r="F2" s="1531"/>
      <c r="G2" s="1531"/>
      <c r="H2" s="1532"/>
    </row>
    <row r="3" spans="2:8" ht="42" customHeight="1" x14ac:dyDescent="0.25">
      <c r="B3" s="1533" t="s">
        <v>224</v>
      </c>
      <c r="C3" s="1534" t="s">
        <v>535</v>
      </c>
      <c r="D3" s="1534" t="s">
        <v>536</v>
      </c>
      <c r="E3" s="1534"/>
      <c r="F3" s="1535" t="s">
        <v>537</v>
      </c>
      <c r="G3" s="1535"/>
      <c r="H3" s="1535"/>
    </row>
    <row r="4" spans="2:8" ht="20.100000000000001" customHeight="1" x14ac:dyDescent="0.25">
      <c r="B4" s="1533"/>
      <c r="C4" s="1534"/>
      <c r="D4" s="855" t="s">
        <v>66</v>
      </c>
      <c r="E4" s="855" t="s">
        <v>72</v>
      </c>
      <c r="F4" s="856" t="s">
        <v>161</v>
      </c>
      <c r="G4" s="856" t="s">
        <v>162</v>
      </c>
      <c r="H4" s="856" t="s">
        <v>435</v>
      </c>
    </row>
    <row r="5" spans="2:8" ht="20.100000000000001" customHeight="1" x14ac:dyDescent="0.25">
      <c r="B5" s="1526" t="s">
        <v>538</v>
      </c>
      <c r="C5" s="1527"/>
      <c r="D5" s="1527"/>
      <c r="E5" s="1527"/>
      <c r="F5" s="1527"/>
      <c r="G5" s="1527"/>
      <c r="H5" s="1528"/>
    </row>
    <row r="6" spans="2:8" ht="20.100000000000001" customHeight="1" x14ac:dyDescent="0.25">
      <c r="B6" s="857" t="s">
        <v>539</v>
      </c>
      <c r="C6" s="858" t="s">
        <v>540</v>
      </c>
      <c r="D6" s="858" t="s">
        <v>541</v>
      </c>
      <c r="E6" s="859" t="s">
        <v>542</v>
      </c>
      <c r="F6" s="860">
        <v>0.8</v>
      </c>
      <c r="G6" s="860">
        <v>1.2</v>
      </c>
      <c r="H6" s="861">
        <f t="shared" ref="H6:H11" si="0">G6+F6</f>
        <v>2</v>
      </c>
    </row>
    <row r="7" spans="2:8" ht="20.100000000000001" customHeight="1" x14ac:dyDescent="0.25">
      <c r="B7" s="862" t="s">
        <v>543</v>
      </c>
      <c r="C7" s="859" t="s">
        <v>544</v>
      </c>
      <c r="D7" s="859" t="s">
        <v>545</v>
      </c>
      <c r="E7" s="859" t="s">
        <v>541</v>
      </c>
      <c r="F7" s="860">
        <v>7.2</v>
      </c>
      <c r="G7" s="861">
        <v>1.2</v>
      </c>
      <c r="H7" s="861">
        <f t="shared" si="0"/>
        <v>8.4</v>
      </c>
    </row>
    <row r="8" spans="2:8" ht="20.100000000000001" customHeight="1" x14ac:dyDescent="0.25">
      <c r="B8" s="863" t="s">
        <v>546</v>
      </c>
      <c r="C8" s="864" t="s">
        <v>547</v>
      </c>
      <c r="D8" s="864" t="s">
        <v>548</v>
      </c>
      <c r="E8" s="865" t="s">
        <v>541</v>
      </c>
      <c r="F8" s="866">
        <v>95.58</v>
      </c>
      <c r="G8" s="860">
        <v>905.5</v>
      </c>
      <c r="H8" s="867">
        <f t="shared" si="0"/>
        <v>1001.08</v>
      </c>
    </row>
    <row r="9" spans="2:8" ht="20.100000000000001" customHeight="1" x14ac:dyDescent="0.25">
      <c r="B9" s="1525" t="s">
        <v>549</v>
      </c>
      <c r="C9" s="864" t="s">
        <v>550</v>
      </c>
      <c r="D9" s="864" t="s">
        <v>548</v>
      </c>
      <c r="E9" s="865" t="s">
        <v>541</v>
      </c>
      <c r="F9" s="866">
        <f>F8</f>
        <v>95.58</v>
      </c>
      <c r="G9" s="860">
        <f>G8</f>
        <v>905.5</v>
      </c>
      <c r="H9" s="867">
        <f t="shared" si="0"/>
        <v>1001.08</v>
      </c>
    </row>
    <row r="10" spans="2:8" ht="20.100000000000001" customHeight="1" x14ac:dyDescent="0.25">
      <c r="B10" s="1525"/>
      <c r="C10" s="864" t="s">
        <v>551</v>
      </c>
      <c r="D10" s="864" t="s">
        <v>552</v>
      </c>
      <c r="E10" s="864" t="s">
        <v>541</v>
      </c>
      <c r="F10" s="860">
        <v>101.01</v>
      </c>
      <c r="G10" s="860">
        <v>153.5</v>
      </c>
      <c r="H10" s="867">
        <f t="shared" si="0"/>
        <v>254.51</v>
      </c>
    </row>
    <row r="11" spans="2:8" ht="20.100000000000001" hidden="1" customHeight="1" x14ac:dyDescent="0.25">
      <c r="B11" s="863" t="s">
        <v>553</v>
      </c>
      <c r="C11" s="864" t="s">
        <v>554</v>
      </c>
      <c r="D11" s="864"/>
      <c r="E11" s="865" t="s">
        <v>541</v>
      </c>
      <c r="F11" s="860">
        <v>206</v>
      </c>
      <c r="G11" s="860"/>
      <c r="H11" s="867">
        <f t="shared" si="0"/>
        <v>206</v>
      </c>
    </row>
    <row r="12" spans="2:8" ht="20.100000000000001" customHeight="1" x14ac:dyDescent="0.25">
      <c r="B12" s="1526" t="s">
        <v>555</v>
      </c>
      <c r="C12" s="1527"/>
      <c r="D12" s="1527"/>
      <c r="E12" s="1527"/>
      <c r="F12" s="1527"/>
      <c r="G12" s="1527"/>
      <c r="H12" s="1528"/>
    </row>
    <row r="13" spans="2:8" ht="20.100000000000001" customHeight="1" x14ac:dyDescent="0.25">
      <c r="B13" s="857" t="s">
        <v>539</v>
      </c>
      <c r="C13" s="858" t="s">
        <v>540</v>
      </c>
      <c r="D13" s="858" t="s">
        <v>541</v>
      </c>
      <c r="E13" s="859" t="s">
        <v>542</v>
      </c>
      <c r="F13" s="860">
        <v>1</v>
      </c>
      <c r="G13" s="860">
        <v>0.8</v>
      </c>
      <c r="H13" s="861">
        <f>G13+F13</f>
        <v>1.8</v>
      </c>
    </row>
    <row r="14" spans="2:8" ht="20.100000000000001" customHeight="1" x14ac:dyDescent="0.25">
      <c r="B14" s="862" t="s">
        <v>543</v>
      </c>
      <c r="C14" s="859" t="s">
        <v>544</v>
      </c>
      <c r="D14" s="859" t="s">
        <v>545</v>
      </c>
      <c r="E14" s="859" t="s">
        <v>541</v>
      </c>
      <c r="F14" s="861">
        <v>7.2</v>
      </c>
      <c r="G14" s="861">
        <v>0.8</v>
      </c>
      <c r="H14" s="861">
        <f>G14+F14</f>
        <v>8</v>
      </c>
    </row>
    <row r="15" spans="2:8" ht="20.100000000000001" customHeight="1" x14ac:dyDescent="0.25">
      <c r="B15" s="863" t="s">
        <v>546</v>
      </c>
      <c r="C15" s="864" t="s">
        <v>547</v>
      </c>
      <c r="D15" s="864" t="s">
        <v>548</v>
      </c>
      <c r="E15" s="865" t="s">
        <v>541</v>
      </c>
      <c r="F15" s="868">
        <v>95.58</v>
      </c>
      <c r="G15" s="868">
        <v>905.7</v>
      </c>
      <c r="H15" s="869">
        <f>G15+F15</f>
        <v>1001.2800000000001</v>
      </c>
    </row>
    <row r="16" spans="2:8" ht="20.100000000000001" customHeight="1" x14ac:dyDescent="0.25">
      <c r="B16" s="1525" t="s">
        <v>549</v>
      </c>
      <c r="C16" s="864" t="s">
        <v>550</v>
      </c>
      <c r="D16" s="864" t="s">
        <v>548</v>
      </c>
      <c r="E16" s="865" t="s">
        <v>541</v>
      </c>
      <c r="F16" s="868">
        <f>F15</f>
        <v>95.58</v>
      </c>
      <c r="G16" s="868">
        <f>G15</f>
        <v>905.7</v>
      </c>
      <c r="H16" s="869">
        <f>G16+F16</f>
        <v>1001.2800000000001</v>
      </c>
    </row>
    <row r="17" spans="2:8" ht="20.100000000000001" customHeight="1" x14ac:dyDescent="0.25">
      <c r="B17" s="1525"/>
      <c r="C17" s="864" t="s">
        <v>551</v>
      </c>
      <c r="D17" s="864" t="s">
        <v>552</v>
      </c>
      <c r="E17" s="864" t="s">
        <v>541</v>
      </c>
      <c r="F17" s="868">
        <v>101.01</v>
      </c>
      <c r="G17" s="868">
        <v>153.69999999999999</v>
      </c>
      <c r="H17" s="869">
        <f>G17+F17</f>
        <v>254.70999999999998</v>
      </c>
    </row>
    <row r="18" spans="2:8" ht="20.100000000000001" hidden="1" customHeight="1" x14ac:dyDescent="0.25">
      <c r="B18" s="863" t="s">
        <v>553</v>
      </c>
      <c r="C18" s="864" t="s">
        <v>554</v>
      </c>
      <c r="D18" s="864"/>
      <c r="E18" s="865" t="s">
        <v>541</v>
      </c>
      <c r="F18" s="870"/>
      <c r="G18" s="868"/>
      <c r="H18" s="869"/>
    </row>
    <row r="19" spans="2:8" x14ac:dyDescent="0.25">
      <c r="B19" s="1529" t="s">
        <v>556</v>
      </c>
      <c r="C19" s="1529"/>
      <c r="D19" s="1529"/>
      <c r="E19" s="1529"/>
      <c r="F19" s="1529"/>
      <c r="G19" s="1529"/>
      <c r="H19" s="1529"/>
    </row>
    <row r="20" spans="2:8" x14ac:dyDescent="0.25">
      <c r="B20" s="871" t="s">
        <v>557</v>
      </c>
      <c r="C20" s="871"/>
      <c r="D20" s="871"/>
      <c r="E20" s="871"/>
      <c r="F20" s="871"/>
      <c r="G20" s="871"/>
      <c r="H20" s="871"/>
    </row>
  </sheetData>
  <mergeCells count="10">
    <mergeCell ref="B9:B10"/>
    <mergeCell ref="B12:H12"/>
    <mergeCell ref="B16:B17"/>
    <mergeCell ref="B19:H19"/>
    <mergeCell ref="B2:H2"/>
    <mergeCell ref="B3:B4"/>
    <mergeCell ref="C3:C4"/>
    <mergeCell ref="D3:E3"/>
    <mergeCell ref="F3:H3"/>
    <mergeCell ref="B5:H5"/>
  </mergeCells>
  <printOptions horizontalCentered="1"/>
  <pageMargins left="0.59055118110236227" right="0.59055118110236227" top="1.7716535433070868" bottom="0.78740157480314965" header="0" footer="0"/>
  <pageSetup paperSize="9" scale="80" orientation="landscape" r:id="rId1"/>
  <headerFooter scaleWithDoc="0">
    <oddHeader>&amp;L&amp;G</oddHeader>
    <oddFooter>&amp;C&amp;"-,Negrito"&amp;12DIONI CAETANEO DE OLIVEIRA
&amp;"-,Regular"ENGENHEIRO CIVIL - CREA /MT 40957
DEPARTAMENTO DE ENGENHARIA</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921D6-F0D0-4862-A5A5-E9D209F305FA}">
  <sheetPr codeName="Planilha24">
    <tabColor rgb="FF92D050"/>
  </sheetPr>
  <dimension ref="B2:R68"/>
  <sheetViews>
    <sheetView showGridLines="0" view="pageBreakPreview" zoomScale="85" zoomScaleNormal="70" zoomScaleSheetLayoutView="85" workbookViewId="0">
      <selection activeCell="C35" sqref="C35"/>
    </sheetView>
  </sheetViews>
  <sheetFormatPr defaultColWidth="9.140625" defaultRowHeight="14.25" x14ac:dyDescent="0.2"/>
  <cols>
    <col min="1" max="1" width="9.140625" style="930"/>
    <col min="2" max="2" width="10.85546875" style="930" bestFit="1" customWidth="1"/>
    <col min="3" max="3" width="71.5703125" style="930" bestFit="1" customWidth="1"/>
    <col min="4" max="4" width="12.28515625" style="930" bestFit="1" customWidth="1"/>
    <col min="5" max="5" width="13.42578125" style="930" bestFit="1" customWidth="1"/>
    <col min="6" max="6" width="6" style="930" bestFit="1" customWidth="1"/>
    <col min="7" max="7" width="9.85546875" style="930" bestFit="1" customWidth="1"/>
    <col min="8" max="8" width="9.42578125" style="930" customWidth="1"/>
    <col min="9" max="9" width="16.7109375" style="930" customWidth="1"/>
    <col min="10" max="10" width="8.5703125" style="930" bestFit="1" customWidth="1"/>
    <col min="11" max="11" width="16.42578125" style="930" bestFit="1" customWidth="1"/>
    <col min="12" max="12" width="11.5703125" style="930" customWidth="1"/>
    <col min="13" max="13" width="9.140625" style="930"/>
    <col min="14" max="14" width="10.42578125" style="930" bestFit="1" customWidth="1"/>
    <col min="15" max="15" width="11.5703125" style="930" bestFit="1" customWidth="1"/>
    <col min="16" max="16" width="9.140625" style="930"/>
    <col min="17" max="17" width="11.5703125" style="930" bestFit="1" customWidth="1"/>
    <col min="18" max="16384" width="9.140625" style="930"/>
  </cols>
  <sheetData>
    <row r="2" spans="2:12" ht="24.95" customHeight="1" x14ac:dyDescent="0.2">
      <c r="B2" s="1592" t="s">
        <v>248</v>
      </c>
      <c r="C2" s="1592"/>
      <c r="D2" s="1592"/>
      <c r="E2" s="1592"/>
      <c r="F2" s="1592"/>
      <c r="G2" s="1592"/>
      <c r="H2" s="1592"/>
      <c r="I2" s="1592"/>
      <c r="J2" s="1592"/>
      <c r="K2" s="1592"/>
      <c r="L2" s="1592"/>
    </row>
    <row r="3" spans="2:12" s="593" customFormat="1" ht="17.25" customHeight="1" x14ac:dyDescent="0.2">
      <c r="B3" s="1593" t="s">
        <v>34</v>
      </c>
      <c r="C3" s="859" t="s">
        <v>791</v>
      </c>
      <c r="D3" s="1593" t="s">
        <v>535</v>
      </c>
      <c r="E3" s="1594" t="s">
        <v>792</v>
      </c>
      <c r="F3" s="1593" t="s">
        <v>793</v>
      </c>
      <c r="G3" s="1595" t="s">
        <v>794</v>
      </c>
      <c r="H3" s="1595"/>
      <c r="I3" s="961" t="s">
        <v>795</v>
      </c>
      <c r="J3" s="961" t="s">
        <v>159</v>
      </c>
      <c r="K3" s="961" t="s">
        <v>796</v>
      </c>
      <c r="L3" s="1596" t="s">
        <v>16</v>
      </c>
    </row>
    <row r="4" spans="2:12" s="593" customFormat="1" ht="27" customHeight="1" x14ac:dyDescent="0.2">
      <c r="B4" s="1593"/>
      <c r="C4" s="859" t="s">
        <v>175</v>
      </c>
      <c r="D4" s="1593"/>
      <c r="E4" s="1594"/>
      <c r="F4" s="1593"/>
      <c r="G4" s="960" t="s">
        <v>797</v>
      </c>
      <c r="H4" s="859" t="s">
        <v>793</v>
      </c>
      <c r="I4" s="962" t="s">
        <v>798</v>
      </c>
      <c r="J4" s="962" t="s">
        <v>799</v>
      </c>
      <c r="K4" s="963" t="s">
        <v>800</v>
      </c>
      <c r="L4" s="1597"/>
    </row>
    <row r="5" spans="2:12" s="593" customFormat="1" ht="27" customHeight="1" x14ac:dyDescent="0.2">
      <c r="B5" s="1585" t="s">
        <v>801</v>
      </c>
      <c r="C5" s="1586"/>
      <c r="D5" s="1586"/>
      <c r="E5" s="1586"/>
      <c r="F5" s="1586"/>
      <c r="G5" s="1586"/>
      <c r="H5" s="1586"/>
      <c r="I5" s="1586"/>
      <c r="J5" s="1586"/>
      <c r="K5" s="1586"/>
      <c r="L5" s="1587"/>
    </row>
    <row r="6" spans="2:12" s="54" customFormat="1" ht="15" x14ac:dyDescent="0.25">
      <c r="B6" s="964">
        <v>93589</v>
      </c>
      <c r="C6" s="1589" t="s">
        <v>262</v>
      </c>
      <c r="D6" s="1589"/>
      <c r="E6" s="1589"/>
      <c r="F6" s="1589"/>
      <c r="G6" s="1589"/>
      <c r="H6" s="1589"/>
      <c r="I6" s="1589"/>
      <c r="J6" s="1589"/>
      <c r="K6" s="1589"/>
      <c r="L6" s="1590"/>
    </row>
    <row r="7" spans="2:12" s="54" customFormat="1" ht="15" x14ac:dyDescent="0.25">
      <c r="B7" s="1585" t="s">
        <v>538</v>
      </c>
      <c r="C7" s="1586"/>
      <c r="D7" s="1586"/>
      <c r="E7" s="1586"/>
      <c r="F7" s="1586"/>
      <c r="G7" s="1586"/>
      <c r="H7" s="1586"/>
      <c r="I7" s="1586"/>
      <c r="J7" s="1586"/>
      <c r="K7" s="1586"/>
      <c r="L7" s="1587"/>
    </row>
    <row r="8" spans="2:12" s="54" customFormat="1" hidden="1" x14ac:dyDescent="0.25">
      <c r="B8" s="859"/>
      <c r="C8" s="965" t="s">
        <v>802</v>
      </c>
      <c r="D8" s="859" t="s">
        <v>803</v>
      </c>
      <c r="E8" s="966">
        <v>0</v>
      </c>
      <c r="F8" s="862" t="s">
        <v>804</v>
      </c>
      <c r="G8" s="862">
        <v>1.1499999999999999</v>
      </c>
      <c r="H8" s="862" t="s">
        <v>805</v>
      </c>
      <c r="I8" s="967">
        <f>TRUNC(E8*G8,2)</f>
        <v>0</v>
      </c>
      <c r="J8" s="968">
        <v>206</v>
      </c>
      <c r="K8" s="969">
        <f>TRUNC(I8*J8,3)</f>
        <v>0</v>
      </c>
      <c r="L8" s="970" t="s">
        <v>806</v>
      </c>
    </row>
    <row r="9" spans="2:12" s="54" customFormat="1" ht="28.5" x14ac:dyDescent="0.25">
      <c r="B9" s="859">
        <v>4011219</v>
      </c>
      <c r="C9" s="965" t="s">
        <v>807</v>
      </c>
      <c r="D9" s="859" t="s">
        <v>803</v>
      </c>
      <c r="E9" s="966">
        <f>'SUBLEITO-BASE-SUB.'!N27</f>
        <v>7650.85</v>
      </c>
      <c r="F9" s="862" t="s">
        <v>804</v>
      </c>
      <c r="G9" s="862">
        <v>1.1499999999999999</v>
      </c>
      <c r="H9" s="862" t="s">
        <v>805</v>
      </c>
      <c r="I9" s="967">
        <f>TRUNC(E9*G9,2)</f>
        <v>8798.4699999999993</v>
      </c>
      <c r="J9" s="968">
        <f>DMT!F7</f>
        <v>7.2</v>
      </c>
      <c r="K9" s="969">
        <f>TRUNC(I9*J9,2)</f>
        <v>63348.98</v>
      </c>
      <c r="L9" s="970" t="s">
        <v>806</v>
      </c>
    </row>
    <row r="10" spans="2:12" s="54" customFormat="1" ht="15" x14ac:dyDescent="0.25">
      <c r="B10" s="1585" t="s">
        <v>555</v>
      </c>
      <c r="C10" s="1586"/>
      <c r="D10" s="1586"/>
      <c r="E10" s="1586"/>
      <c r="F10" s="1586"/>
      <c r="G10" s="1586"/>
      <c r="H10" s="1586"/>
      <c r="I10" s="1586"/>
      <c r="J10" s="1586"/>
      <c r="K10" s="1586"/>
      <c r="L10" s="1587"/>
    </row>
    <row r="11" spans="2:12" s="593" customFormat="1" hidden="1" x14ac:dyDescent="0.2">
      <c r="B11" s="859"/>
      <c r="C11" s="965" t="s">
        <v>802</v>
      </c>
      <c r="D11" s="859" t="s">
        <v>803</v>
      </c>
      <c r="E11" s="966">
        <f>'SUBLEITO-BASE-SUB.'!K56</f>
        <v>0</v>
      </c>
      <c r="F11" s="862" t="s">
        <v>804</v>
      </c>
      <c r="G11" s="862">
        <v>1.1499999999999999</v>
      </c>
      <c r="H11" s="862" t="s">
        <v>805</v>
      </c>
      <c r="I11" s="967">
        <f>TRUNC(E11*G11,2)</f>
        <v>0</v>
      </c>
      <c r="J11" s="968">
        <v>7.5</v>
      </c>
      <c r="K11" s="969">
        <f>TRUNC(I11*J11,3)</f>
        <v>0</v>
      </c>
      <c r="L11" s="970" t="s">
        <v>806</v>
      </c>
    </row>
    <row r="12" spans="2:12" s="593" customFormat="1" ht="28.5" x14ac:dyDescent="0.2">
      <c r="B12" s="859">
        <v>4011219</v>
      </c>
      <c r="C12" s="965" t="s">
        <v>807</v>
      </c>
      <c r="D12" s="859" t="s">
        <v>803</v>
      </c>
      <c r="E12" s="966">
        <f>'SUBLEITO-BASE-SUB.'!N55</f>
        <v>10203.98</v>
      </c>
      <c r="F12" s="862" t="s">
        <v>804</v>
      </c>
      <c r="G12" s="862">
        <v>1.1499999999999999</v>
      </c>
      <c r="H12" s="862" t="s">
        <v>805</v>
      </c>
      <c r="I12" s="967">
        <f>TRUNC(E12*G12,2)</f>
        <v>11734.57</v>
      </c>
      <c r="J12" s="968">
        <f>DMT!F14</f>
        <v>7.2</v>
      </c>
      <c r="K12" s="969">
        <f>TRUNC(I12*J12,2)</f>
        <v>84488.9</v>
      </c>
      <c r="L12" s="970" t="s">
        <v>806</v>
      </c>
    </row>
    <row r="13" spans="2:12" s="593" customFormat="1" ht="20.25" customHeight="1" x14ac:dyDescent="0.2">
      <c r="B13" s="1588" t="s">
        <v>808</v>
      </c>
      <c r="C13" s="1588"/>
      <c r="D13" s="1588"/>
      <c r="E13" s="1588"/>
      <c r="F13" s="1588"/>
      <c r="G13" s="1588"/>
      <c r="H13" s="1588"/>
      <c r="I13" s="1588"/>
      <c r="J13" s="1588"/>
      <c r="K13" s="971">
        <f>K9+K12</f>
        <v>147837.88</v>
      </c>
      <c r="L13" s="972" t="s">
        <v>806</v>
      </c>
    </row>
    <row r="14" spans="2:12" s="54" customFormat="1" ht="15" x14ac:dyDescent="0.25">
      <c r="B14" s="964">
        <v>95875</v>
      </c>
      <c r="C14" s="1589" t="s">
        <v>264</v>
      </c>
      <c r="D14" s="1589"/>
      <c r="E14" s="1589"/>
      <c r="F14" s="1589"/>
      <c r="G14" s="1589"/>
      <c r="H14" s="1589"/>
      <c r="I14" s="1589"/>
      <c r="J14" s="1589"/>
      <c r="K14" s="1589"/>
      <c r="L14" s="1591"/>
    </row>
    <row r="15" spans="2:12" s="54" customFormat="1" ht="15" x14ac:dyDescent="0.25">
      <c r="B15" s="1585" t="s">
        <v>538</v>
      </c>
      <c r="C15" s="1586"/>
      <c r="D15" s="1586"/>
      <c r="E15" s="1586"/>
      <c r="F15" s="1586"/>
      <c r="G15" s="1586"/>
      <c r="H15" s="1586"/>
      <c r="I15" s="1586"/>
      <c r="J15" s="1586"/>
      <c r="K15" s="1586"/>
      <c r="L15" s="1587"/>
    </row>
    <row r="16" spans="2:12" s="593" customFormat="1" ht="28.5" x14ac:dyDescent="0.2">
      <c r="B16" s="859">
        <v>4011219</v>
      </c>
      <c r="C16" s="965" t="s">
        <v>807</v>
      </c>
      <c r="D16" s="859" t="s">
        <v>803</v>
      </c>
      <c r="E16" s="966">
        <f>'SUBLEITO-BASE-SUB.'!M27</f>
        <v>7650.85</v>
      </c>
      <c r="F16" s="862" t="s">
        <v>804</v>
      </c>
      <c r="G16" s="862">
        <v>1.1499999999999999</v>
      </c>
      <c r="H16" s="862" t="s">
        <v>805</v>
      </c>
      <c r="I16" s="967">
        <f>TRUNC(E16*G16,2)</f>
        <v>8798.4699999999993</v>
      </c>
      <c r="J16" s="968">
        <f>DMT!G7</f>
        <v>1.2</v>
      </c>
      <c r="K16" s="969">
        <f>TRUNC(I16*J16,3)</f>
        <v>10558.164000000001</v>
      </c>
      <c r="L16" s="970" t="s">
        <v>806</v>
      </c>
    </row>
    <row r="17" spans="2:18" s="593" customFormat="1" ht="20.100000000000001" customHeight="1" x14ac:dyDescent="0.2">
      <c r="B17" s="1585" t="s">
        <v>555</v>
      </c>
      <c r="C17" s="1586"/>
      <c r="D17" s="1586"/>
      <c r="E17" s="1586"/>
      <c r="F17" s="1586"/>
      <c r="G17" s="1586"/>
      <c r="H17" s="1586"/>
      <c r="I17" s="1586"/>
      <c r="J17" s="1586"/>
      <c r="K17" s="1586"/>
      <c r="L17" s="1587"/>
    </row>
    <row r="18" spans="2:18" s="593" customFormat="1" ht="28.5" x14ac:dyDescent="0.2">
      <c r="B18" s="859">
        <v>4011219</v>
      </c>
      <c r="C18" s="965" t="s">
        <v>807</v>
      </c>
      <c r="D18" s="859" t="s">
        <v>803</v>
      </c>
      <c r="E18" s="966">
        <f>'SUBLEITO-BASE-SUB.'!M55</f>
        <v>10203.98</v>
      </c>
      <c r="F18" s="862" t="s">
        <v>804</v>
      </c>
      <c r="G18" s="862">
        <v>1.1499999999999999</v>
      </c>
      <c r="H18" s="862" t="s">
        <v>805</v>
      </c>
      <c r="I18" s="967">
        <f>TRUNC(E18*G18,2)</f>
        <v>11734.57</v>
      </c>
      <c r="J18" s="968">
        <f>DMT!G14</f>
        <v>0.8</v>
      </c>
      <c r="K18" s="969">
        <f>TRUNC(I18*J18,2)</f>
        <v>9387.65</v>
      </c>
      <c r="L18" s="970" t="s">
        <v>806</v>
      </c>
    </row>
    <row r="19" spans="2:18" s="593" customFormat="1" ht="21.75" customHeight="1" x14ac:dyDescent="0.2">
      <c r="B19" s="1588" t="s">
        <v>808</v>
      </c>
      <c r="C19" s="1588"/>
      <c r="D19" s="1588"/>
      <c r="E19" s="1588"/>
      <c r="F19" s="1588"/>
      <c r="G19" s="1588"/>
      <c r="H19" s="1588"/>
      <c r="I19" s="1588"/>
      <c r="J19" s="1588"/>
      <c r="K19" s="971">
        <f>SUM(K16:K18)</f>
        <v>19945.813999999998</v>
      </c>
      <c r="L19" s="972" t="s">
        <v>806</v>
      </c>
    </row>
    <row r="20" spans="2:18" s="593" customFormat="1" ht="21.75" customHeight="1" x14ac:dyDescent="0.2">
      <c r="B20" s="973"/>
      <c r="C20" s="974"/>
      <c r="D20" s="974"/>
      <c r="E20" s="974"/>
      <c r="F20" s="974"/>
      <c r="G20" s="974"/>
      <c r="H20" s="974"/>
      <c r="I20" s="974"/>
      <c r="J20" s="974"/>
      <c r="K20" s="975"/>
      <c r="L20" s="976"/>
    </row>
    <row r="21" spans="2:18" s="54" customFormat="1" ht="30" customHeight="1" x14ac:dyDescent="0.25">
      <c r="B21" s="964">
        <v>93589</v>
      </c>
      <c r="C21" s="1589" t="s">
        <v>262</v>
      </c>
      <c r="D21" s="1589"/>
      <c r="E21" s="1589"/>
      <c r="F21" s="1589"/>
      <c r="G21" s="1589"/>
      <c r="H21" s="1589"/>
      <c r="I21" s="1589"/>
      <c r="J21" s="1589"/>
      <c r="K21" s="1589"/>
      <c r="L21" s="1590"/>
    </row>
    <row r="22" spans="2:18" s="54" customFormat="1" ht="30" customHeight="1" x14ac:dyDescent="0.25">
      <c r="B22" s="1585" t="s">
        <v>538</v>
      </c>
      <c r="C22" s="1586"/>
      <c r="D22" s="1586"/>
      <c r="E22" s="1586"/>
      <c r="F22" s="1586"/>
      <c r="G22" s="1586"/>
      <c r="H22" s="1586"/>
      <c r="I22" s="1586"/>
      <c r="J22" s="1586"/>
      <c r="K22" s="1586"/>
      <c r="L22" s="1587"/>
    </row>
    <row r="23" spans="2:18" s="54" customFormat="1" ht="30" customHeight="1" x14ac:dyDescent="0.25">
      <c r="B23" s="977" t="s">
        <v>56</v>
      </c>
      <c r="C23" s="965" t="s">
        <v>55</v>
      </c>
      <c r="D23" s="859" t="s">
        <v>320</v>
      </c>
      <c r="E23" s="966">
        <f>PAVIMENTO!H26</f>
        <v>27538.74</v>
      </c>
      <c r="F23" s="978" t="s">
        <v>809</v>
      </c>
      <c r="G23" s="862">
        <v>7.3000000000000001E-3</v>
      </c>
      <c r="H23" s="862" t="s">
        <v>810</v>
      </c>
      <c r="I23" s="967">
        <f>TRUNC(E23*G23,2)</f>
        <v>201.03</v>
      </c>
      <c r="J23" s="979">
        <f>DMT!F10</f>
        <v>101.01</v>
      </c>
      <c r="K23" s="969">
        <f>TRUNC(I23*J23,2)</f>
        <v>20306.04</v>
      </c>
      <c r="L23" s="970" t="s">
        <v>806</v>
      </c>
      <c r="N23" s="578">
        <f>I23+I24+I26+I27</f>
        <v>1431.68</v>
      </c>
    </row>
    <row r="24" spans="2:18" s="54" customFormat="1" ht="30" customHeight="1" x14ac:dyDescent="0.25">
      <c r="B24" s="977" t="str">
        <f>B23</f>
        <v>CPAV005-1</v>
      </c>
      <c r="C24" s="965" t="str">
        <f>C23</f>
        <v>PAVIMENTO COM TRATAMENTO SUPERFICIAL DUPLO, COM EMULSÃO ASFÁLTICA RR-2C. AF_01/2020</v>
      </c>
      <c r="D24" s="859" t="s">
        <v>316</v>
      </c>
      <c r="E24" s="966">
        <f>E23</f>
        <v>27538.74</v>
      </c>
      <c r="F24" s="978" t="s">
        <v>809</v>
      </c>
      <c r="G24" s="980">
        <v>1.4999999999999999E-2</v>
      </c>
      <c r="H24" s="862" t="s">
        <v>810</v>
      </c>
      <c r="I24" s="967">
        <f>TRUNC(E24*G24,2)</f>
        <v>413.08</v>
      </c>
      <c r="J24" s="979">
        <f>J23</f>
        <v>101.01</v>
      </c>
      <c r="K24" s="969">
        <f>TRUNC(I24*J24,2)</f>
        <v>41725.21</v>
      </c>
      <c r="L24" s="970" t="s">
        <v>806</v>
      </c>
      <c r="Q24" s="981"/>
    </row>
    <row r="25" spans="2:18" s="54" customFormat="1" ht="19.5" customHeight="1" x14ac:dyDescent="0.25">
      <c r="B25" s="1585" t="s">
        <v>555</v>
      </c>
      <c r="C25" s="1586"/>
      <c r="D25" s="1586"/>
      <c r="E25" s="1586"/>
      <c r="F25" s="1586"/>
      <c r="G25" s="1586"/>
      <c r="H25" s="1586"/>
      <c r="I25" s="1586"/>
      <c r="J25" s="1586"/>
      <c r="K25" s="1586"/>
      <c r="L25" s="1587"/>
    </row>
    <row r="26" spans="2:18" s="593" customFormat="1" ht="28.5" x14ac:dyDescent="0.2">
      <c r="B26" s="977" t="str">
        <f>B24</f>
        <v>CPAV005-1</v>
      </c>
      <c r="C26" s="965" t="str">
        <f>C23</f>
        <v>PAVIMENTO COM TRATAMENTO SUPERFICIAL DUPLO, COM EMULSÃO ASFÁLTICA RR-2C. AF_01/2020</v>
      </c>
      <c r="D26" s="859" t="s">
        <v>320</v>
      </c>
      <c r="E26" s="966">
        <f>PAVIMENTO!H54</f>
        <v>36662.89</v>
      </c>
      <c r="F26" s="978" t="s">
        <v>809</v>
      </c>
      <c r="G26" s="862">
        <v>7.3000000000000001E-3</v>
      </c>
      <c r="H26" s="862" t="s">
        <v>810</v>
      </c>
      <c r="I26" s="967">
        <f>TRUNC(E26*G26,2)</f>
        <v>267.63</v>
      </c>
      <c r="J26" s="982">
        <f>DMT!F17</f>
        <v>101.01</v>
      </c>
      <c r="K26" s="969">
        <f>TRUNC(I26*J26,2)</f>
        <v>27033.3</v>
      </c>
      <c r="L26" s="970" t="s">
        <v>806</v>
      </c>
      <c r="R26" s="611"/>
    </row>
    <row r="27" spans="2:18" s="593" customFormat="1" ht="28.5" x14ac:dyDescent="0.2">
      <c r="B27" s="977" t="str">
        <f>B26</f>
        <v>CPAV005-1</v>
      </c>
      <c r="C27" s="965" t="str">
        <f>C24</f>
        <v>PAVIMENTO COM TRATAMENTO SUPERFICIAL DUPLO, COM EMULSÃO ASFÁLTICA RR-2C. AF_01/2020</v>
      </c>
      <c r="D27" s="859" t="s">
        <v>316</v>
      </c>
      <c r="E27" s="966">
        <f>E26</f>
        <v>36662.89</v>
      </c>
      <c r="F27" s="978" t="s">
        <v>809</v>
      </c>
      <c r="G27" s="980">
        <v>1.4999999999999999E-2</v>
      </c>
      <c r="H27" s="862" t="s">
        <v>810</v>
      </c>
      <c r="I27" s="967">
        <f>TRUNC(E27*G27,2)</f>
        <v>549.94000000000005</v>
      </c>
      <c r="J27" s="968">
        <f>J26</f>
        <v>101.01</v>
      </c>
      <c r="K27" s="969">
        <f>TRUNC(I27*J27,2)</f>
        <v>55549.43</v>
      </c>
      <c r="L27" s="970" t="s">
        <v>806</v>
      </c>
      <c r="R27" s="611"/>
    </row>
    <row r="28" spans="2:18" s="593" customFormat="1" ht="30" customHeight="1" x14ac:dyDescent="0.2">
      <c r="B28" s="1588" t="s">
        <v>808</v>
      </c>
      <c r="C28" s="1588"/>
      <c r="D28" s="1588"/>
      <c r="E28" s="1588"/>
      <c r="F28" s="1588"/>
      <c r="G28" s="1588"/>
      <c r="H28" s="1588"/>
      <c r="I28" s="1588"/>
      <c r="J28" s="1588"/>
      <c r="K28" s="971">
        <f>SUM(K23:K27)</f>
        <v>144613.98000000001</v>
      </c>
      <c r="L28" s="972" t="s">
        <v>806</v>
      </c>
    </row>
    <row r="29" spans="2:18" s="54" customFormat="1" ht="30" customHeight="1" x14ac:dyDescent="0.25">
      <c r="B29" s="964">
        <v>95875</v>
      </c>
      <c r="C29" s="1589" t="s">
        <v>264</v>
      </c>
      <c r="D29" s="1589"/>
      <c r="E29" s="1589"/>
      <c r="F29" s="1589"/>
      <c r="G29" s="1589"/>
      <c r="H29" s="1589"/>
      <c r="I29" s="1589"/>
      <c r="J29" s="1589"/>
      <c r="K29" s="1589"/>
      <c r="L29" s="1591"/>
    </row>
    <row r="30" spans="2:18" s="54" customFormat="1" ht="30" customHeight="1" x14ac:dyDescent="0.25">
      <c r="B30" s="1585" t="s">
        <v>538</v>
      </c>
      <c r="C30" s="1586"/>
      <c r="D30" s="1586"/>
      <c r="E30" s="1586"/>
      <c r="F30" s="1586"/>
      <c r="G30" s="1586"/>
      <c r="H30" s="1586"/>
      <c r="I30" s="1586"/>
      <c r="J30" s="1586"/>
      <c r="K30" s="1586"/>
      <c r="L30" s="1587"/>
    </row>
    <row r="31" spans="2:18" s="54" customFormat="1" ht="30" customHeight="1" x14ac:dyDescent="0.25">
      <c r="B31" s="977" t="s">
        <v>56</v>
      </c>
      <c r="C31" s="965" t="s">
        <v>55</v>
      </c>
      <c r="D31" s="859" t="s">
        <v>320</v>
      </c>
      <c r="E31" s="966">
        <f>E23</f>
        <v>27538.74</v>
      </c>
      <c r="F31" s="978" t="s">
        <v>809</v>
      </c>
      <c r="G31" s="862">
        <f>G23</f>
        <v>7.3000000000000001E-3</v>
      </c>
      <c r="H31" s="862" t="s">
        <v>810</v>
      </c>
      <c r="I31" s="967">
        <f>TRUNC(E31*G31,2)</f>
        <v>201.03</v>
      </c>
      <c r="J31" s="979">
        <v>30</v>
      </c>
      <c r="K31" s="969">
        <f>TRUNC(I31*J31,2)</f>
        <v>6030.9</v>
      </c>
      <c r="L31" s="970" t="s">
        <v>806</v>
      </c>
      <c r="N31" s="578">
        <f>PAVIMENTO!H26</f>
        <v>27538.74</v>
      </c>
    </row>
    <row r="32" spans="2:18" s="54" customFormat="1" ht="30" customHeight="1" x14ac:dyDescent="0.25">
      <c r="B32" s="977" t="str">
        <f>B31</f>
        <v>CPAV005-1</v>
      </c>
      <c r="C32" s="965" t="str">
        <f>C31</f>
        <v>PAVIMENTO COM TRATAMENTO SUPERFICIAL DUPLO, COM EMULSÃO ASFÁLTICA RR-2C. AF_01/2020</v>
      </c>
      <c r="D32" s="859" t="s">
        <v>316</v>
      </c>
      <c r="E32" s="966">
        <f>E24</f>
        <v>27538.74</v>
      </c>
      <c r="F32" s="978" t="s">
        <v>809</v>
      </c>
      <c r="G32" s="980">
        <f>G24</f>
        <v>1.4999999999999999E-2</v>
      </c>
      <c r="H32" s="862" t="s">
        <v>810</v>
      </c>
      <c r="I32" s="967">
        <f>TRUNC(E32*G32,2)</f>
        <v>413.08</v>
      </c>
      <c r="J32" s="979">
        <f>J31</f>
        <v>30</v>
      </c>
      <c r="K32" s="969">
        <f>TRUNC(I32*J32,2)</f>
        <v>12392.4</v>
      </c>
      <c r="L32" s="970" t="s">
        <v>806</v>
      </c>
    </row>
    <row r="33" spans="2:14" s="54" customFormat="1" ht="16.5" customHeight="1" x14ac:dyDescent="0.25">
      <c r="B33" s="1585" t="s">
        <v>555</v>
      </c>
      <c r="C33" s="1586"/>
      <c r="D33" s="1586"/>
      <c r="E33" s="1586"/>
      <c r="F33" s="1586"/>
      <c r="G33" s="1586"/>
      <c r="H33" s="1586"/>
      <c r="I33" s="1586"/>
      <c r="J33" s="1586"/>
      <c r="K33" s="1586"/>
      <c r="L33" s="1587"/>
    </row>
    <row r="34" spans="2:14" s="593" customFormat="1" ht="28.5" x14ac:dyDescent="0.2">
      <c r="B34" s="977" t="str">
        <f>B26</f>
        <v>CPAV005-1</v>
      </c>
      <c r="C34" s="965" t="s">
        <v>55</v>
      </c>
      <c r="D34" s="859" t="s">
        <v>320</v>
      </c>
      <c r="E34" s="966">
        <f>E26</f>
        <v>36662.89</v>
      </c>
      <c r="F34" s="978" t="s">
        <v>809</v>
      </c>
      <c r="G34" s="862">
        <f>G26</f>
        <v>7.3000000000000001E-3</v>
      </c>
      <c r="H34" s="862" t="s">
        <v>810</v>
      </c>
      <c r="I34" s="967">
        <f>TRUNC(E34*G34,2)</f>
        <v>267.63</v>
      </c>
      <c r="J34" s="979">
        <v>30</v>
      </c>
      <c r="K34" s="969">
        <f>TRUNC(I34*J34,2)</f>
        <v>8028.9</v>
      </c>
      <c r="L34" s="970" t="s">
        <v>806</v>
      </c>
      <c r="N34" s="611">
        <f>PAVIMENTO!H54</f>
        <v>36662.89</v>
      </c>
    </row>
    <row r="35" spans="2:14" s="593" customFormat="1" ht="28.5" x14ac:dyDescent="0.2">
      <c r="B35" s="977" t="str">
        <f>B27</f>
        <v>CPAV005-1</v>
      </c>
      <c r="C35" s="965" t="str">
        <f>C34</f>
        <v>PAVIMENTO COM TRATAMENTO SUPERFICIAL DUPLO, COM EMULSÃO ASFÁLTICA RR-2C. AF_01/2020</v>
      </c>
      <c r="D35" s="859" t="s">
        <v>316</v>
      </c>
      <c r="E35" s="966">
        <f>E27</f>
        <v>36662.89</v>
      </c>
      <c r="F35" s="978" t="s">
        <v>809</v>
      </c>
      <c r="G35" s="980">
        <f>G27</f>
        <v>1.4999999999999999E-2</v>
      </c>
      <c r="H35" s="862" t="s">
        <v>810</v>
      </c>
      <c r="I35" s="967">
        <f>TRUNC(E35*G35,2)</f>
        <v>549.94000000000005</v>
      </c>
      <c r="J35" s="979">
        <f>J34</f>
        <v>30</v>
      </c>
      <c r="K35" s="969">
        <f>TRUNC(I35*J35,2)</f>
        <v>16498.2</v>
      </c>
      <c r="L35" s="970" t="s">
        <v>806</v>
      </c>
    </row>
    <row r="36" spans="2:14" s="593" customFormat="1" ht="30" customHeight="1" x14ac:dyDescent="0.2">
      <c r="B36" s="1588" t="s">
        <v>808</v>
      </c>
      <c r="C36" s="1588"/>
      <c r="D36" s="1588"/>
      <c r="E36" s="1588"/>
      <c r="F36" s="1588"/>
      <c r="G36" s="1588"/>
      <c r="H36" s="1588"/>
      <c r="I36" s="1588"/>
      <c r="J36" s="1588"/>
      <c r="K36" s="971">
        <f>SUM(K31:K35)</f>
        <v>42950.399999999994</v>
      </c>
      <c r="L36" s="972" t="s">
        <v>806</v>
      </c>
    </row>
    <row r="37" spans="2:14" s="54" customFormat="1" ht="30" customHeight="1" x14ac:dyDescent="0.25">
      <c r="B37" s="964">
        <v>93590</v>
      </c>
      <c r="C37" s="1589" t="s">
        <v>811</v>
      </c>
      <c r="D37" s="1589"/>
      <c r="E37" s="1589"/>
      <c r="F37" s="1589"/>
      <c r="G37" s="1589"/>
      <c r="H37" s="1589"/>
      <c r="I37" s="1589"/>
      <c r="J37" s="1589"/>
      <c r="K37" s="1589"/>
      <c r="L37" s="1591"/>
    </row>
    <row r="38" spans="2:14" s="54" customFormat="1" ht="30" customHeight="1" x14ac:dyDescent="0.25">
      <c r="B38" s="1585" t="s">
        <v>538</v>
      </c>
      <c r="C38" s="1586"/>
      <c r="D38" s="1586"/>
      <c r="E38" s="1586"/>
      <c r="F38" s="1586"/>
      <c r="G38" s="1586"/>
      <c r="H38" s="1586"/>
      <c r="I38" s="1586"/>
      <c r="J38" s="1586"/>
      <c r="K38" s="1586"/>
      <c r="L38" s="1587"/>
    </row>
    <row r="39" spans="2:14" s="54" customFormat="1" ht="30" customHeight="1" x14ac:dyDescent="0.25">
      <c r="B39" s="977" t="s">
        <v>56</v>
      </c>
      <c r="C39" s="965" t="s">
        <v>55</v>
      </c>
      <c r="D39" s="859" t="s">
        <v>320</v>
      </c>
      <c r="E39" s="966">
        <f>E31</f>
        <v>27538.74</v>
      </c>
      <c r="F39" s="978" t="s">
        <v>809</v>
      </c>
      <c r="G39" s="862">
        <f>G31</f>
        <v>7.3000000000000001E-3</v>
      </c>
      <c r="H39" s="862" t="s">
        <v>810</v>
      </c>
      <c r="I39" s="967">
        <f>TRUNC(E39*G39,2)</f>
        <v>201.03</v>
      </c>
      <c r="J39" s="979">
        <f>DMT!G10-30</f>
        <v>123.5</v>
      </c>
      <c r="K39" s="969">
        <f>TRUNC(I39*J39,2)</f>
        <v>24827.200000000001</v>
      </c>
      <c r="L39" s="970" t="s">
        <v>806</v>
      </c>
    </row>
    <row r="40" spans="2:14" s="54" customFormat="1" ht="30" customHeight="1" x14ac:dyDescent="0.25">
      <c r="B40" s="977" t="str">
        <f>B39</f>
        <v>CPAV005-1</v>
      </c>
      <c r="C40" s="965" t="str">
        <f>C39</f>
        <v>PAVIMENTO COM TRATAMENTO SUPERFICIAL DUPLO, COM EMULSÃO ASFÁLTICA RR-2C. AF_01/2020</v>
      </c>
      <c r="D40" s="859" t="s">
        <v>316</v>
      </c>
      <c r="E40" s="966">
        <f>E32</f>
        <v>27538.74</v>
      </c>
      <c r="F40" s="978" t="s">
        <v>809</v>
      </c>
      <c r="G40" s="980">
        <f>G32</f>
        <v>1.4999999999999999E-2</v>
      </c>
      <c r="H40" s="862" t="s">
        <v>810</v>
      </c>
      <c r="I40" s="967">
        <f>TRUNC(E40*G40,2)</f>
        <v>413.08</v>
      </c>
      <c r="J40" s="979">
        <f>J39</f>
        <v>123.5</v>
      </c>
      <c r="K40" s="969">
        <f>TRUNC(I40*J40,2)</f>
        <v>51015.38</v>
      </c>
      <c r="L40" s="970" t="s">
        <v>806</v>
      </c>
    </row>
    <row r="41" spans="2:14" s="54" customFormat="1" ht="20.25" customHeight="1" x14ac:dyDescent="0.25">
      <c r="B41" s="1585" t="s">
        <v>555</v>
      </c>
      <c r="C41" s="1586"/>
      <c r="D41" s="1586"/>
      <c r="E41" s="1586"/>
      <c r="F41" s="1586"/>
      <c r="G41" s="1586"/>
      <c r="H41" s="1586"/>
      <c r="I41" s="1586"/>
      <c r="J41" s="1586"/>
      <c r="K41" s="1586"/>
      <c r="L41" s="1587"/>
    </row>
    <row r="42" spans="2:14" s="593" customFormat="1" ht="28.5" x14ac:dyDescent="0.2">
      <c r="B42" s="977" t="str">
        <f>B35</f>
        <v>CPAV005-1</v>
      </c>
      <c r="C42" s="965" t="str">
        <f>C34</f>
        <v>PAVIMENTO COM TRATAMENTO SUPERFICIAL DUPLO, COM EMULSÃO ASFÁLTICA RR-2C. AF_01/2020</v>
      </c>
      <c r="D42" s="859" t="s">
        <v>320</v>
      </c>
      <c r="E42" s="966">
        <f>E34</f>
        <v>36662.89</v>
      </c>
      <c r="F42" s="978" t="s">
        <v>809</v>
      </c>
      <c r="G42" s="862">
        <f>G34</f>
        <v>7.3000000000000001E-3</v>
      </c>
      <c r="H42" s="862" t="s">
        <v>810</v>
      </c>
      <c r="I42" s="967">
        <f>TRUNC(E42*G42,2)</f>
        <v>267.63</v>
      </c>
      <c r="J42" s="979">
        <f>DMT!G17-30</f>
        <v>123.69999999999999</v>
      </c>
      <c r="K42" s="969">
        <f>TRUNC(I42*J42,2)</f>
        <v>33105.83</v>
      </c>
      <c r="L42" s="970" t="s">
        <v>806</v>
      </c>
    </row>
    <row r="43" spans="2:14" s="593" customFormat="1" ht="28.5" x14ac:dyDescent="0.2">
      <c r="B43" s="977" t="str">
        <f>B35</f>
        <v>CPAV005-1</v>
      </c>
      <c r="C43" s="965" t="str">
        <f>C35</f>
        <v>PAVIMENTO COM TRATAMENTO SUPERFICIAL DUPLO, COM EMULSÃO ASFÁLTICA RR-2C. AF_01/2020</v>
      </c>
      <c r="D43" s="859" t="s">
        <v>316</v>
      </c>
      <c r="E43" s="966">
        <f>E35</f>
        <v>36662.89</v>
      </c>
      <c r="F43" s="978" t="s">
        <v>809</v>
      </c>
      <c r="G43" s="980">
        <f>G35</f>
        <v>1.4999999999999999E-2</v>
      </c>
      <c r="H43" s="862" t="s">
        <v>810</v>
      </c>
      <c r="I43" s="967">
        <f>TRUNC(E43*G43,2)</f>
        <v>549.94000000000005</v>
      </c>
      <c r="J43" s="979">
        <f>J42</f>
        <v>123.69999999999999</v>
      </c>
      <c r="K43" s="969">
        <f>TRUNC(I43*J43,2)</f>
        <v>68027.570000000007</v>
      </c>
      <c r="L43" s="970" t="s">
        <v>806</v>
      </c>
    </row>
    <row r="44" spans="2:14" s="593" customFormat="1" ht="30" customHeight="1" x14ac:dyDescent="0.2">
      <c r="B44" s="1588" t="s">
        <v>808</v>
      </c>
      <c r="C44" s="1588"/>
      <c r="D44" s="1588"/>
      <c r="E44" s="1588"/>
      <c r="F44" s="1588"/>
      <c r="G44" s="1588"/>
      <c r="H44" s="1588"/>
      <c r="I44" s="1588"/>
      <c r="J44" s="1588"/>
      <c r="K44" s="971">
        <f>SUM(K39:K43)</f>
        <v>176975.98</v>
      </c>
      <c r="L44" s="972" t="s">
        <v>806</v>
      </c>
    </row>
    <row r="45" spans="2:14" s="54" customFormat="1" ht="30" customHeight="1" x14ac:dyDescent="0.25">
      <c r="B45" s="964">
        <v>100966</v>
      </c>
      <c r="C45" s="1589" t="s">
        <v>812</v>
      </c>
      <c r="D45" s="1589"/>
      <c r="E45" s="1589"/>
      <c r="F45" s="1589"/>
      <c r="G45" s="1589"/>
      <c r="H45" s="1589"/>
      <c r="I45" s="1589"/>
      <c r="J45" s="1589"/>
      <c r="K45" s="1589"/>
      <c r="L45" s="1590"/>
      <c r="M45" s="936"/>
      <c r="N45" s="936"/>
    </row>
    <row r="46" spans="2:14" s="54" customFormat="1" ht="23.25" customHeight="1" x14ac:dyDescent="0.25">
      <c r="B46" s="1585" t="s">
        <v>538</v>
      </c>
      <c r="C46" s="1586"/>
      <c r="D46" s="1586"/>
      <c r="E46" s="1586"/>
      <c r="F46" s="1586"/>
      <c r="G46" s="1586"/>
      <c r="H46" s="1586"/>
      <c r="I46" s="1586"/>
      <c r="J46" s="1586"/>
      <c r="K46" s="1586"/>
      <c r="L46" s="1587"/>
      <c r="M46" s="936"/>
      <c r="N46" s="936"/>
    </row>
    <row r="47" spans="2:14" s="54" customFormat="1" ht="30" customHeight="1" x14ac:dyDescent="0.25">
      <c r="B47" s="983" t="s">
        <v>50</v>
      </c>
      <c r="C47" s="984" t="s">
        <v>813</v>
      </c>
      <c r="D47" s="985" t="s">
        <v>547</v>
      </c>
      <c r="E47" s="986">
        <f>PAVIMENTO!H26</f>
        <v>27538.74</v>
      </c>
      <c r="F47" s="978" t="s">
        <v>809</v>
      </c>
      <c r="G47" s="987">
        <f>G50</f>
        <v>1.1999999999999999E-3</v>
      </c>
      <c r="H47" s="988" t="s">
        <v>814</v>
      </c>
      <c r="I47" s="967">
        <f>TRUNC(E47*G47,2)</f>
        <v>33.04</v>
      </c>
      <c r="J47" s="982">
        <f>DMT!F8</f>
        <v>95.58</v>
      </c>
      <c r="K47" s="969">
        <f>TRUNC(I47*J47,2)</f>
        <v>3157.96</v>
      </c>
      <c r="L47" s="970" t="s">
        <v>815</v>
      </c>
      <c r="M47" s="936"/>
      <c r="N47" s="936"/>
    </row>
    <row r="48" spans="2:14" s="54" customFormat="1" ht="30" customHeight="1" x14ac:dyDescent="0.25">
      <c r="B48" s="983" t="str">
        <f>B51</f>
        <v>CPAV005-1</v>
      </c>
      <c r="C48" s="984" t="str">
        <f>C51</f>
        <v>PAVIMENTO COM TRATAMENTO SUPERFICIAL DUPLO, COM EMULSÃO ASFÁLTICA RR-2C. AF_01/2020</v>
      </c>
      <c r="D48" s="985" t="s">
        <v>550</v>
      </c>
      <c r="E48" s="986">
        <f>E47</f>
        <v>27538.74</v>
      </c>
      <c r="F48" s="978" t="s">
        <v>809</v>
      </c>
      <c r="G48" s="987">
        <f>G51</f>
        <v>3.5000000000000001E-3</v>
      </c>
      <c r="H48" s="988" t="s">
        <v>814</v>
      </c>
      <c r="I48" s="967">
        <f>TRUNC(E48*G48,2)</f>
        <v>96.38</v>
      </c>
      <c r="J48" s="989">
        <f>J47</f>
        <v>95.58</v>
      </c>
      <c r="K48" s="969">
        <f>TRUNC(I48*J48,2)</f>
        <v>9212</v>
      </c>
      <c r="L48" s="970" t="s">
        <v>815</v>
      </c>
      <c r="M48" s="936"/>
      <c r="N48" s="936"/>
    </row>
    <row r="49" spans="2:14" s="54" customFormat="1" ht="20.25" customHeight="1" x14ac:dyDescent="0.25">
      <c r="B49" s="1585" t="s">
        <v>555</v>
      </c>
      <c r="C49" s="1586"/>
      <c r="D49" s="1586"/>
      <c r="E49" s="1586"/>
      <c r="F49" s="1586"/>
      <c r="G49" s="1586"/>
      <c r="H49" s="1586"/>
      <c r="I49" s="1586"/>
      <c r="J49" s="1586"/>
      <c r="K49" s="1586"/>
      <c r="L49" s="1587"/>
      <c r="M49" s="936"/>
      <c r="N49" s="936"/>
    </row>
    <row r="50" spans="2:14" s="593" customFormat="1" ht="20.100000000000001" customHeight="1" x14ac:dyDescent="0.2">
      <c r="B50" s="983" t="s">
        <v>50</v>
      </c>
      <c r="C50" s="984" t="s">
        <v>813</v>
      </c>
      <c r="D50" s="985" t="s">
        <v>547</v>
      </c>
      <c r="E50" s="986">
        <f>PAVIMENTO!H54</f>
        <v>36662.89</v>
      </c>
      <c r="F50" s="978" t="s">
        <v>809</v>
      </c>
      <c r="G50" s="987">
        <v>1.1999999999999999E-3</v>
      </c>
      <c r="H50" s="988" t="s">
        <v>814</v>
      </c>
      <c r="I50" s="967">
        <f>TRUNC(E50*G50,2)</f>
        <v>43.99</v>
      </c>
      <c r="J50" s="982">
        <f>DMT!F15</f>
        <v>95.58</v>
      </c>
      <c r="K50" s="969">
        <f>TRUNC(I50*J50,2)</f>
        <v>4204.5600000000004</v>
      </c>
      <c r="L50" s="970" t="s">
        <v>815</v>
      </c>
      <c r="M50" s="930"/>
      <c r="N50" s="930"/>
    </row>
    <row r="51" spans="2:14" s="593" customFormat="1" ht="28.5" x14ac:dyDescent="0.2">
      <c r="B51" s="983" t="str">
        <f>B27</f>
        <v>CPAV005-1</v>
      </c>
      <c r="C51" s="984" t="str">
        <f>C42</f>
        <v>PAVIMENTO COM TRATAMENTO SUPERFICIAL DUPLO, COM EMULSÃO ASFÁLTICA RR-2C. AF_01/2020</v>
      </c>
      <c r="D51" s="985" t="s">
        <v>550</v>
      </c>
      <c r="E51" s="986">
        <f>E50</f>
        <v>36662.89</v>
      </c>
      <c r="F51" s="978" t="s">
        <v>809</v>
      </c>
      <c r="G51" s="987">
        <v>3.5000000000000001E-3</v>
      </c>
      <c r="H51" s="988" t="s">
        <v>814</v>
      </c>
      <c r="I51" s="967">
        <f>TRUNC(E51*G51,2)</f>
        <v>128.32</v>
      </c>
      <c r="J51" s="989">
        <f>J50</f>
        <v>95.58</v>
      </c>
      <c r="K51" s="969">
        <f>TRUNC(I51*J51,2)</f>
        <v>12264.82</v>
      </c>
      <c r="L51" s="970" t="s">
        <v>815</v>
      </c>
      <c r="M51" s="930"/>
      <c r="N51" s="930"/>
    </row>
    <row r="52" spans="2:14" s="593" customFormat="1" ht="30" customHeight="1" x14ac:dyDescent="0.2">
      <c r="B52" s="1588" t="s">
        <v>808</v>
      </c>
      <c r="C52" s="1588"/>
      <c r="D52" s="1588"/>
      <c r="E52" s="1588"/>
      <c r="F52" s="1588"/>
      <c r="G52" s="1588"/>
      <c r="H52" s="1588"/>
      <c r="I52" s="1588"/>
      <c r="J52" s="1588"/>
      <c r="K52" s="990">
        <f>TRUNC((SUM(K47:K51)),2)</f>
        <v>28839.34</v>
      </c>
      <c r="L52" s="972" t="s">
        <v>815</v>
      </c>
      <c r="M52" s="930"/>
      <c r="N52" s="930"/>
    </row>
    <row r="53" spans="2:14" s="54" customFormat="1" ht="30" customHeight="1" x14ac:dyDescent="0.25">
      <c r="B53" s="964">
        <v>102330</v>
      </c>
      <c r="C53" s="1589" t="s">
        <v>816</v>
      </c>
      <c r="D53" s="1589"/>
      <c r="E53" s="1589"/>
      <c r="F53" s="1589"/>
      <c r="G53" s="1589"/>
      <c r="H53" s="1589"/>
      <c r="I53" s="1589"/>
      <c r="J53" s="1589"/>
      <c r="K53" s="1589"/>
      <c r="L53" s="1590"/>
      <c r="M53" s="936"/>
      <c r="N53" s="936"/>
    </row>
    <row r="54" spans="2:14" s="54" customFormat="1" ht="18" customHeight="1" x14ac:dyDescent="0.25">
      <c r="B54" s="1585" t="s">
        <v>538</v>
      </c>
      <c r="C54" s="1586"/>
      <c r="D54" s="1586"/>
      <c r="E54" s="1586"/>
      <c r="F54" s="1586"/>
      <c r="G54" s="1586"/>
      <c r="H54" s="1586"/>
      <c r="I54" s="1586"/>
      <c r="J54" s="1586"/>
      <c r="K54" s="1586"/>
      <c r="L54" s="1587"/>
      <c r="M54" s="936"/>
      <c r="N54" s="936"/>
    </row>
    <row r="55" spans="2:14" s="54" customFormat="1" ht="30" customHeight="1" x14ac:dyDescent="0.25">
      <c r="B55" s="983" t="s">
        <v>50</v>
      </c>
      <c r="C55" s="984" t="s">
        <v>813</v>
      </c>
      <c r="D55" s="985" t="s">
        <v>547</v>
      </c>
      <c r="E55" s="986">
        <f>E47</f>
        <v>27538.74</v>
      </c>
      <c r="F55" s="978" t="s">
        <v>809</v>
      </c>
      <c r="G55" s="987">
        <f>G66</f>
        <v>1.1999999999999999E-3</v>
      </c>
      <c r="H55" s="988" t="s">
        <v>814</v>
      </c>
      <c r="I55" s="967">
        <f>TRUNC(E55*G55,2)</f>
        <v>33.04</v>
      </c>
      <c r="J55" s="982">
        <v>30</v>
      </c>
      <c r="K55" s="969">
        <f>TRUNC(I55*J55,2)</f>
        <v>991.2</v>
      </c>
      <c r="L55" s="970" t="s">
        <v>815</v>
      </c>
      <c r="M55" s="936"/>
      <c r="N55" s="936"/>
    </row>
    <row r="56" spans="2:14" s="54" customFormat="1" ht="30" customHeight="1" x14ac:dyDescent="0.25">
      <c r="B56" s="983" t="str">
        <f>B48</f>
        <v>CPAV005-1</v>
      </c>
      <c r="C56" s="984" t="str">
        <f>C48</f>
        <v>PAVIMENTO COM TRATAMENTO SUPERFICIAL DUPLO, COM EMULSÃO ASFÁLTICA RR-2C. AF_01/2020</v>
      </c>
      <c r="D56" s="985" t="s">
        <v>550</v>
      </c>
      <c r="E56" s="986">
        <f>E55</f>
        <v>27538.74</v>
      </c>
      <c r="F56" s="978" t="s">
        <v>809</v>
      </c>
      <c r="G56" s="987">
        <f>G67</f>
        <v>3.5000000000000001E-3</v>
      </c>
      <c r="H56" s="988" t="s">
        <v>814</v>
      </c>
      <c r="I56" s="967">
        <f>TRUNC(E56*G56,2)</f>
        <v>96.38</v>
      </c>
      <c r="J56" s="989">
        <v>30</v>
      </c>
      <c r="K56" s="969">
        <f>TRUNC(I56*J56,2)</f>
        <v>2891.4</v>
      </c>
      <c r="L56" s="970" t="s">
        <v>815</v>
      </c>
      <c r="M56" s="936"/>
      <c r="N56" s="936"/>
    </row>
    <row r="57" spans="2:14" s="54" customFormat="1" ht="18.75" customHeight="1" x14ac:dyDescent="0.25">
      <c r="B57" s="1585" t="s">
        <v>555</v>
      </c>
      <c r="C57" s="1586"/>
      <c r="D57" s="1586"/>
      <c r="E57" s="1586"/>
      <c r="F57" s="1586"/>
      <c r="G57" s="1586"/>
      <c r="H57" s="1586"/>
      <c r="I57" s="1586"/>
      <c r="J57" s="1586"/>
      <c r="K57" s="1586"/>
      <c r="L57" s="1587"/>
      <c r="M57" s="936"/>
      <c r="N57" s="936"/>
    </row>
    <row r="58" spans="2:14" s="593" customFormat="1" ht="28.5" x14ac:dyDescent="0.2">
      <c r="B58" s="983" t="s">
        <v>50</v>
      </c>
      <c r="C58" s="984" t="s">
        <v>813</v>
      </c>
      <c r="D58" s="985" t="s">
        <v>547</v>
      </c>
      <c r="E58" s="986">
        <f>E50</f>
        <v>36662.89</v>
      </c>
      <c r="F58" s="978" t="s">
        <v>809</v>
      </c>
      <c r="G58" s="987">
        <f>G50</f>
        <v>1.1999999999999999E-3</v>
      </c>
      <c r="H58" s="988" t="s">
        <v>814</v>
      </c>
      <c r="I58" s="967">
        <f>TRUNC(E58*G58,2)</f>
        <v>43.99</v>
      </c>
      <c r="J58" s="991">
        <v>30</v>
      </c>
      <c r="K58" s="969">
        <f>TRUNC(I58*J58,2)</f>
        <v>1319.7</v>
      </c>
      <c r="L58" s="970" t="s">
        <v>815</v>
      </c>
      <c r="M58" s="930"/>
      <c r="N58" s="930"/>
    </row>
    <row r="59" spans="2:14" s="593" customFormat="1" ht="28.5" x14ac:dyDescent="0.2">
      <c r="B59" s="983" t="str">
        <f>B51</f>
        <v>CPAV005-1</v>
      </c>
      <c r="C59" s="984" t="str">
        <f>C51</f>
        <v>PAVIMENTO COM TRATAMENTO SUPERFICIAL DUPLO, COM EMULSÃO ASFÁLTICA RR-2C. AF_01/2020</v>
      </c>
      <c r="D59" s="985" t="s">
        <v>550</v>
      </c>
      <c r="E59" s="986">
        <f>E51</f>
        <v>36662.89</v>
      </c>
      <c r="F59" s="978" t="s">
        <v>809</v>
      </c>
      <c r="G59" s="987">
        <f>G51</f>
        <v>3.5000000000000001E-3</v>
      </c>
      <c r="H59" s="988" t="s">
        <v>814</v>
      </c>
      <c r="I59" s="967">
        <f>TRUNC(E59*G59,2)</f>
        <v>128.32</v>
      </c>
      <c r="J59" s="992">
        <f>J58</f>
        <v>30</v>
      </c>
      <c r="K59" s="969">
        <f>TRUNC(I59*J59,2)</f>
        <v>3849.6</v>
      </c>
      <c r="L59" s="970" t="s">
        <v>815</v>
      </c>
      <c r="M59" s="930"/>
      <c r="N59" s="930"/>
    </row>
    <row r="60" spans="2:14" s="593" customFormat="1" ht="30" customHeight="1" x14ac:dyDescent="0.2">
      <c r="B60" s="1588" t="s">
        <v>808</v>
      </c>
      <c r="C60" s="1588"/>
      <c r="D60" s="1588"/>
      <c r="E60" s="1588"/>
      <c r="F60" s="1588"/>
      <c r="G60" s="1588"/>
      <c r="H60" s="1588"/>
      <c r="I60" s="1588"/>
      <c r="J60" s="1588"/>
      <c r="K60" s="990">
        <f>TRUNC((SUM(K55:K59)),2)</f>
        <v>9051.9</v>
      </c>
      <c r="L60" s="972" t="s">
        <v>815</v>
      </c>
      <c r="M60" s="930"/>
      <c r="N60" s="930"/>
    </row>
    <row r="61" spans="2:14" s="54" customFormat="1" ht="30" customHeight="1" x14ac:dyDescent="0.25">
      <c r="B61" s="964">
        <v>102331</v>
      </c>
      <c r="C61" s="1589" t="s">
        <v>817</v>
      </c>
      <c r="D61" s="1589"/>
      <c r="E61" s="1589"/>
      <c r="F61" s="1589"/>
      <c r="G61" s="1589"/>
      <c r="H61" s="1589"/>
      <c r="I61" s="1589"/>
      <c r="J61" s="1589"/>
      <c r="K61" s="1589"/>
      <c r="L61" s="1590"/>
      <c r="M61" s="936"/>
      <c r="N61" s="936"/>
    </row>
    <row r="62" spans="2:14" s="54" customFormat="1" ht="30" customHeight="1" x14ac:dyDescent="0.25">
      <c r="B62" s="1585" t="s">
        <v>538</v>
      </c>
      <c r="C62" s="1586"/>
      <c r="D62" s="1586"/>
      <c r="E62" s="1586"/>
      <c r="F62" s="1586"/>
      <c r="G62" s="1586"/>
      <c r="H62" s="1586"/>
      <c r="I62" s="1586"/>
      <c r="J62" s="1586"/>
      <c r="K62" s="1586"/>
      <c r="L62" s="1587"/>
      <c r="M62" s="936"/>
      <c r="N62" s="936"/>
    </row>
    <row r="63" spans="2:14" s="54" customFormat="1" ht="30" customHeight="1" x14ac:dyDescent="0.25">
      <c r="B63" s="983" t="s">
        <v>50</v>
      </c>
      <c r="C63" s="984" t="s">
        <v>813</v>
      </c>
      <c r="D63" s="985" t="s">
        <v>547</v>
      </c>
      <c r="E63" s="986">
        <f>E55</f>
        <v>27538.74</v>
      </c>
      <c r="F63" s="978" t="s">
        <v>809</v>
      </c>
      <c r="G63" s="987">
        <f>G55</f>
        <v>1.1999999999999999E-3</v>
      </c>
      <c r="H63" s="988" t="s">
        <v>814</v>
      </c>
      <c r="I63" s="967">
        <f>TRUNC(E63*G63,2)</f>
        <v>33.04</v>
      </c>
      <c r="J63" s="982">
        <f>DMT!G8-30</f>
        <v>875.5</v>
      </c>
      <c r="K63" s="969">
        <f>TRUNC(I63*J63,2)</f>
        <v>28926.52</v>
      </c>
      <c r="L63" s="970" t="s">
        <v>815</v>
      </c>
      <c r="M63" s="936"/>
      <c r="N63" s="936"/>
    </row>
    <row r="64" spans="2:14" s="54" customFormat="1" ht="30" customHeight="1" x14ac:dyDescent="0.25">
      <c r="B64" s="983" t="str">
        <f>B56</f>
        <v>CPAV005-1</v>
      </c>
      <c r="C64" s="984" t="str">
        <f>C56</f>
        <v>PAVIMENTO COM TRATAMENTO SUPERFICIAL DUPLO, COM EMULSÃO ASFÁLTICA RR-2C. AF_01/2020</v>
      </c>
      <c r="D64" s="985" t="s">
        <v>550</v>
      </c>
      <c r="E64" s="986">
        <f>E63</f>
        <v>27538.74</v>
      </c>
      <c r="F64" s="978" t="s">
        <v>809</v>
      </c>
      <c r="G64" s="987">
        <f>G56</f>
        <v>3.5000000000000001E-3</v>
      </c>
      <c r="H64" s="988" t="s">
        <v>814</v>
      </c>
      <c r="I64" s="967">
        <f>TRUNC(E64*G64,2)</f>
        <v>96.38</v>
      </c>
      <c r="J64" s="989">
        <f>J63</f>
        <v>875.5</v>
      </c>
      <c r="K64" s="969">
        <f>TRUNC(I64*J64,2)</f>
        <v>84380.69</v>
      </c>
      <c r="L64" s="970" t="s">
        <v>815</v>
      </c>
      <c r="M64" s="936"/>
      <c r="N64" s="936"/>
    </row>
    <row r="65" spans="2:15" s="54" customFormat="1" ht="30" customHeight="1" x14ac:dyDescent="0.25">
      <c r="B65" s="1585" t="s">
        <v>555</v>
      </c>
      <c r="C65" s="1586"/>
      <c r="D65" s="1586"/>
      <c r="E65" s="1586"/>
      <c r="F65" s="1586"/>
      <c r="G65" s="1586"/>
      <c r="H65" s="1586"/>
      <c r="I65" s="1586"/>
      <c r="J65" s="1586"/>
      <c r="K65" s="1586"/>
      <c r="L65" s="1587"/>
      <c r="M65" s="936"/>
      <c r="N65" s="936"/>
    </row>
    <row r="66" spans="2:15" s="593" customFormat="1" ht="28.5" x14ac:dyDescent="0.2">
      <c r="B66" s="983" t="s">
        <v>50</v>
      </c>
      <c r="C66" s="984" t="s">
        <v>813</v>
      </c>
      <c r="D66" s="985" t="s">
        <v>547</v>
      </c>
      <c r="E66" s="986">
        <f>E50</f>
        <v>36662.89</v>
      </c>
      <c r="F66" s="978" t="s">
        <v>809</v>
      </c>
      <c r="G66" s="987">
        <f>G58</f>
        <v>1.1999999999999999E-3</v>
      </c>
      <c r="H66" s="988" t="s">
        <v>814</v>
      </c>
      <c r="I66" s="967">
        <f>TRUNC(E66*G66,2)</f>
        <v>43.99</v>
      </c>
      <c r="J66" s="993">
        <f>DMT!G16-30</f>
        <v>875.7</v>
      </c>
      <c r="K66" s="969">
        <f>TRUNC(I66*J66,2)</f>
        <v>38522.04</v>
      </c>
      <c r="L66" s="970" t="s">
        <v>815</v>
      </c>
      <c r="M66" s="930"/>
      <c r="N66" s="930"/>
    </row>
    <row r="67" spans="2:15" ht="28.5" x14ac:dyDescent="0.2">
      <c r="B67" s="983" t="str">
        <f>B59</f>
        <v>CPAV005-1</v>
      </c>
      <c r="C67" s="984" t="str">
        <f>C59</f>
        <v>PAVIMENTO COM TRATAMENTO SUPERFICIAL DUPLO, COM EMULSÃO ASFÁLTICA RR-2C. AF_01/2020</v>
      </c>
      <c r="D67" s="985" t="s">
        <v>550</v>
      </c>
      <c r="E67" s="986">
        <f>E51</f>
        <v>36662.89</v>
      </c>
      <c r="F67" s="978" t="s">
        <v>809</v>
      </c>
      <c r="G67" s="987">
        <f>G59</f>
        <v>3.5000000000000001E-3</v>
      </c>
      <c r="H67" s="988" t="s">
        <v>814</v>
      </c>
      <c r="I67" s="967">
        <f>TRUNC(E67*G67,2)</f>
        <v>128.32</v>
      </c>
      <c r="J67" s="994">
        <f>J66</f>
        <v>875.7</v>
      </c>
      <c r="K67" s="969">
        <f>TRUNC(I67*J67,2)</f>
        <v>112369.82</v>
      </c>
      <c r="L67" s="970" t="s">
        <v>815</v>
      </c>
      <c r="O67" s="995">
        <f>SUM(K68+K60+K52+K44+K36+K28+K19+K13)</f>
        <v>834414.36400000006</v>
      </c>
    </row>
    <row r="68" spans="2:15" ht="30" customHeight="1" x14ac:dyDescent="0.2">
      <c r="B68" s="1588" t="s">
        <v>808</v>
      </c>
      <c r="C68" s="1588"/>
      <c r="D68" s="1588"/>
      <c r="E68" s="1588"/>
      <c r="F68" s="1588"/>
      <c r="G68" s="1588"/>
      <c r="H68" s="1588"/>
      <c r="I68" s="1588"/>
      <c r="J68" s="1588"/>
      <c r="K68" s="990">
        <f>TRUNC((SUM(K63:K67)),2)</f>
        <v>264199.07</v>
      </c>
      <c r="L68" s="972" t="s">
        <v>815</v>
      </c>
    </row>
  </sheetData>
  <mergeCells count="40">
    <mergeCell ref="B2:L2"/>
    <mergeCell ref="B3:B4"/>
    <mergeCell ref="D3:D4"/>
    <mergeCell ref="E3:E4"/>
    <mergeCell ref="F3:F4"/>
    <mergeCell ref="G3:H3"/>
    <mergeCell ref="L3:L4"/>
    <mergeCell ref="B25:L25"/>
    <mergeCell ref="B5:L5"/>
    <mergeCell ref="C6:L6"/>
    <mergeCell ref="B7:L7"/>
    <mergeCell ref="B10:L10"/>
    <mergeCell ref="B13:J13"/>
    <mergeCell ref="C14:L14"/>
    <mergeCell ref="B15:L15"/>
    <mergeCell ref="B17:L17"/>
    <mergeCell ref="B19:J19"/>
    <mergeCell ref="C21:L21"/>
    <mergeCell ref="B22:L22"/>
    <mergeCell ref="B49:L49"/>
    <mergeCell ref="B28:J28"/>
    <mergeCell ref="C29:L29"/>
    <mergeCell ref="B30:L30"/>
    <mergeCell ref="B33:L33"/>
    <mergeCell ref="B36:J36"/>
    <mergeCell ref="C37:L37"/>
    <mergeCell ref="B38:L38"/>
    <mergeCell ref="B41:L41"/>
    <mergeCell ref="B44:J44"/>
    <mergeCell ref="C45:L45"/>
    <mergeCell ref="B46:L46"/>
    <mergeCell ref="B62:L62"/>
    <mergeCell ref="B65:L65"/>
    <mergeCell ref="B68:J68"/>
    <mergeCell ref="B52:J52"/>
    <mergeCell ref="C53:L53"/>
    <mergeCell ref="B54:L54"/>
    <mergeCell ref="B57:L57"/>
    <mergeCell ref="B60:J60"/>
    <mergeCell ref="C61:L61"/>
  </mergeCells>
  <printOptions horizontalCentered="1"/>
  <pageMargins left="0.59055118110236227" right="0.59055118110236227" top="1.7716535433070868" bottom="0.78740157480314965" header="0" footer="0"/>
  <pageSetup paperSize="9" scale="54" orientation="landscape" r:id="rId1"/>
  <headerFooter scaleWithDoc="0">
    <oddHeader>&amp;L&amp;G</oddHeader>
    <oddFooter>&amp;C&amp;"-,Negrito"&amp;12DIONI CAETANEO DE OLIVEIRA
&amp;"-,Regular"ENGENHEIRO CIVIL - CREA /MT 40957
DEPARTAMENTO DE ENGENHARIA</oddFooter>
  </headerFooter>
  <rowBreaks count="2" manualBreakCount="2">
    <brk id="36" min="1" max="11" man="1"/>
    <brk id="52" min="1" max="11" man="1"/>
  </row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596A9-4938-4EA6-81E3-235A8935474C}">
  <sheetPr codeName="Planilha22">
    <tabColor rgb="FF92D050"/>
  </sheetPr>
  <dimension ref="B2:M63"/>
  <sheetViews>
    <sheetView showGridLines="0" view="pageLayout" topLeftCell="D34" zoomScaleNormal="85" zoomScaleSheetLayoutView="85" workbookViewId="0">
      <selection activeCell="Q34" activeCellId="1" sqref="P49 Q34"/>
    </sheetView>
  </sheetViews>
  <sheetFormatPr defaultColWidth="9.140625" defaultRowHeight="14.25" x14ac:dyDescent="0.2"/>
  <cols>
    <col min="1" max="1" width="9.140625" style="930"/>
    <col min="2" max="2" width="10.7109375" style="930" customWidth="1"/>
    <col min="3" max="3" width="43" style="930" customWidth="1"/>
    <col min="4" max="6" width="12.7109375" style="930" customWidth="1"/>
    <col min="7" max="7" width="15.5703125" style="930" customWidth="1"/>
    <col min="8" max="8" width="12.7109375" style="930" customWidth="1"/>
    <col min="9" max="9" width="12.5703125" style="930" customWidth="1"/>
    <col min="10" max="10" width="9.5703125" style="930" customWidth="1"/>
    <col min="11" max="11" width="12.5703125" style="930" customWidth="1"/>
    <col min="12" max="12" width="9.5703125" style="930" customWidth="1"/>
    <col min="13" max="13" width="5.85546875" style="930" customWidth="1"/>
    <col min="14" max="16384" width="9.140625" style="930"/>
  </cols>
  <sheetData>
    <row r="2" spans="2:13" ht="24.95" customHeight="1" x14ac:dyDescent="0.2">
      <c r="B2" s="1568" t="s">
        <v>787</v>
      </c>
      <c r="C2" s="1569"/>
      <c r="D2" s="1569"/>
      <c r="E2" s="1569"/>
      <c r="F2" s="1569"/>
      <c r="G2" s="1569"/>
      <c r="H2" s="1569"/>
      <c r="I2" s="1569"/>
      <c r="J2" s="1569"/>
      <c r="K2" s="1569"/>
      <c r="L2" s="1570"/>
      <c r="M2" s="951"/>
    </row>
    <row r="3" spans="2:13" ht="50.25" customHeight="1" x14ac:dyDescent="0.2">
      <c r="B3" s="1572" t="s">
        <v>174</v>
      </c>
      <c r="C3" s="1572" t="s">
        <v>559</v>
      </c>
      <c r="D3" s="952" t="s">
        <v>733</v>
      </c>
      <c r="E3" s="953" t="s">
        <v>563</v>
      </c>
      <c r="F3" s="952" t="s">
        <v>564</v>
      </c>
      <c r="G3" s="953" t="s">
        <v>736</v>
      </c>
      <c r="H3" s="953" t="s">
        <v>566</v>
      </c>
      <c r="I3" s="1583" t="s">
        <v>788</v>
      </c>
      <c r="J3" s="1584"/>
      <c r="K3" s="1583" t="s">
        <v>789</v>
      </c>
      <c r="L3" s="1584"/>
      <c r="M3" s="947"/>
    </row>
    <row r="4" spans="2:13" ht="15" x14ac:dyDescent="0.2">
      <c r="B4" s="1572"/>
      <c r="C4" s="1572"/>
      <c r="D4" s="931" t="s">
        <v>569</v>
      </c>
      <c r="E4" s="931" t="s">
        <v>569</v>
      </c>
      <c r="F4" s="931" t="s">
        <v>570</v>
      </c>
      <c r="G4" s="931" t="s">
        <v>570</v>
      </c>
      <c r="H4" s="931" t="s">
        <v>570</v>
      </c>
      <c r="I4" s="954" t="s">
        <v>790</v>
      </c>
      <c r="J4" s="935" t="s">
        <v>435</v>
      </c>
      <c r="K4" s="954" t="s">
        <v>790</v>
      </c>
      <c r="L4" s="935" t="s">
        <v>435</v>
      </c>
      <c r="M4" s="947"/>
    </row>
    <row r="5" spans="2:13" ht="15" x14ac:dyDescent="0.2">
      <c r="B5" s="1578" t="s">
        <v>538</v>
      </c>
      <c r="C5" s="1579"/>
      <c r="D5" s="1579"/>
      <c r="E5" s="1579"/>
      <c r="F5" s="1579"/>
      <c r="G5" s="1579"/>
      <c r="H5" s="1579"/>
      <c r="I5" s="1579"/>
      <c r="J5" s="1579"/>
      <c r="K5" s="1579"/>
      <c r="L5" s="1580"/>
      <c r="M5" s="947"/>
    </row>
    <row r="6" spans="2:13" x14ac:dyDescent="0.2">
      <c r="B6" s="955">
        <v>1</v>
      </c>
      <c r="C6" s="956" t="s">
        <v>740</v>
      </c>
      <c r="D6" s="939">
        <v>170.42</v>
      </c>
      <c r="E6" s="939">
        <v>8</v>
      </c>
      <c r="F6" s="921">
        <f>TRUNC(E6*D6,2)</f>
        <v>1363.36</v>
      </c>
      <c r="G6" s="940">
        <v>13.86</v>
      </c>
      <c r="H6" s="940">
        <f>F6+G6</f>
        <v>1377.2199999999998</v>
      </c>
      <c r="I6" s="957">
        <v>1.1999999999999999E-3</v>
      </c>
      <c r="J6" s="958">
        <f>H6*I6</f>
        <v>1.6526639999999997</v>
      </c>
      <c r="K6" s="957">
        <v>3.5000000000000001E-3</v>
      </c>
      <c r="L6" s="958">
        <f>H6*K6</f>
        <v>4.8202699999999998</v>
      </c>
      <c r="M6" s="947"/>
    </row>
    <row r="7" spans="2:13" x14ac:dyDescent="0.2">
      <c r="B7" s="955">
        <v>2</v>
      </c>
      <c r="C7" s="956" t="s">
        <v>741</v>
      </c>
      <c r="D7" s="939">
        <v>142.33000000000001</v>
      </c>
      <c r="E7" s="939">
        <v>8</v>
      </c>
      <c r="F7" s="921">
        <f t="shared" ref="F7:F25" si="0">TRUNC(E7*D7,2)</f>
        <v>1138.6400000000001</v>
      </c>
      <c r="G7" s="940">
        <v>13.719999999999999</v>
      </c>
      <c r="H7" s="940">
        <f t="shared" ref="H7:H25" si="1">F7+G7</f>
        <v>1152.3600000000001</v>
      </c>
      <c r="I7" s="957">
        <f>I6</f>
        <v>1.1999999999999999E-3</v>
      </c>
      <c r="J7" s="958">
        <f t="shared" ref="J7:J25" si="2">H7*I7</f>
        <v>1.3828320000000001</v>
      </c>
      <c r="K7" s="957">
        <f>K6</f>
        <v>3.5000000000000001E-3</v>
      </c>
      <c r="L7" s="958">
        <f t="shared" ref="L7:L25" si="3">H7*K7</f>
        <v>4.0332600000000003</v>
      </c>
      <c r="M7" s="947"/>
    </row>
    <row r="8" spans="2:13" x14ac:dyDescent="0.2">
      <c r="B8" s="955">
        <v>3</v>
      </c>
      <c r="C8" s="956" t="s">
        <v>742</v>
      </c>
      <c r="D8" s="939">
        <v>67.040000000000006</v>
      </c>
      <c r="E8" s="939">
        <v>8</v>
      </c>
      <c r="F8" s="921">
        <f t="shared" si="0"/>
        <v>536.32000000000005</v>
      </c>
      <c r="G8" s="940">
        <v>13.74</v>
      </c>
      <c r="H8" s="940">
        <f t="shared" si="1"/>
        <v>550.06000000000006</v>
      </c>
      <c r="I8" s="957">
        <f t="shared" ref="I8:I25" si="4">I7</f>
        <v>1.1999999999999999E-3</v>
      </c>
      <c r="J8" s="958">
        <f t="shared" si="2"/>
        <v>0.66007199999999999</v>
      </c>
      <c r="K8" s="957">
        <f t="shared" ref="K8:K25" si="5">K7</f>
        <v>3.5000000000000001E-3</v>
      </c>
      <c r="L8" s="958">
        <f t="shared" si="3"/>
        <v>1.9252100000000003</v>
      </c>
      <c r="M8" s="947"/>
    </row>
    <row r="9" spans="2:13" x14ac:dyDescent="0.2">
      <c r="B9" s="955">
        <v>4</v>
      </c>
      <c r="C9" s="956" t="s">
        <v>743</v>
      </c>
      <c r="D9" s="939">
        <v>83.86</v>
      </c>
      <c r="E9" s="939">
        <v>8</v>
      </c>
      <c r="F9" s="921">
        <f t="shared" si="0"/>
        <v>670.88</v>
      </c>
      <c r="G9" s="940">
        <v>13.73</v>
      </c>
      <c r="H9" s="940">
        <f t="shared" si="1"/>
        <v>684.61</v>
      </c>
      <c r="I9" s="957">
        <f t="shared" si="4"/>
        <v>1.1999999999999999E-3</v>
      </c>
      <c r="J9" s="958">
        <f t="shared" si="2"/>
        <v>0.82153199999999993</v>
      </c>
      <c r="K9" s="957">
        <f t="shared" si="5"/>
        <v>3.5000000000000001E-3</v>
      </c>
      <c r="L9" s="958">
        <f t="shared" si="3"/>
        <v>2.3961350000000001</v>
      </c>
      <c r="M9" s="947"/>
    </row>
    <row r="10" spans="2:13" x14ac:dyDescent="0.2">
      <c r="B10" s="955">
        <v>5</v>
      </c>
      <c r="C10" s="956" t="s">
        <v>744</v>
      </c>
      <c r="D10" s="939">
        <v>164.36</v>
      </c>
      <c r="E10" s="939">
        <v>8</v>
      </c>
      <c r="F10" s="921">
        <f t="shared" si="0"/>
        <v>1314.88</v>
      </c>
      <c r="G10" s="940">
        <v>13.83</v>
      </c>
      <c r="H10" s="940">
        <f t="shared" si="1"/>
        <v>1328.71</v>
      </c>
      <c r="I10" s="957">
        <f t="shared" si="4"/>
        <v>1.1999999999999999E-3</v>
      </c>
      <c r="J10" s="958">
        <f t="shared" si="2"/>
        <v>1.594452</v>
      </c>
      <c r="K10" s="957">
        <f t="shared" si="5"/>
        <v>3.5000000000000001E-3</v>
      </c>
      <c r="L10" s="958">
        <f t="shared" si="3"/>
        <v>4.6504850000000006</v>
      </c>
      <c r="M10" s="947"/>
    </row>
    <row r="11" spans="2:13" x14ac:dyDescent="0.2">
      <c r="B11" s="955">
        <v>6</v>
      </c>
      <c r="C11" s="956" t="s">
        <v>745</v>
      </c>
      <c r="D11" s="939">
        <v>142.24</v>
      </c>
      <c r="E11" s="939">
        <v>8</v>
      </c>
      <c r="F11" s="921">
        <f t="shared" si="0"/>
        <v>1137.92</v>
      </c>
      <c r="G11" s="940">
        <v>13.74</v>
      </c>
      <c r="H11" s="940">
        <f t="shared" si="1"/>
        <v>1151.6600000000001</v>
      </c>
      <c r="I11" s="957">
        <f t="shared" si="4"/>
        <v>1.1999999999999999E-3</v>
      </c>
      <c r="J11" s="958">
        <f t="shared" si="2"/>
        <v>1.3819919999999999</v>
      </c>
      <c r="K11" s="957">
        <f t="shared" si="5"/>
        <v>3.5000000000000001E-3</v>
      </c>
      <c r="L11" s="958">
        <f t="shared" si="3"/>
        <v>4.0308100000000007</v>
      </c>
      <c r="M11" s="947"/>
    </row>
    <row r="12" spans="2:13" x14ac:dyDescent="0.2">
      <c r="B12" s="955">
        <v>7</v>
      </c>
      <c r="C12" s="956" t="s">
        <v>746</v>
      </c>
      <c r="D12" s="939">
        <v>66.94</v>
      </c>
      <c r="E12" s="939">
        <v>8</v>
      </c>
      <c r="F12" s="921">
        <f t="shared" si="0"/>
        <v>535.52</v>
      </c>
      <c r="G12" s="940">
        <v>13.739999999999998</v>
      </c>
      <c r="H12" s="940">
        <f t="shared" si="1"/>
        <v>549.26</v>
      </c>
      <c r="I12" s="957">
        <f t="shared" si="4"/>
        <v>1.1999999999999999E-3</v>
      </c>
      <c r="J12" s="958">
        <f t="shared" si="2"/>
        <v>0.65911199999999992</v>
      </c>
      <c r="K12" s="957">
        <f t="shared" si="5"/>
        <v>3.5000000000000001E-3</v>
      </c>
      <c r="L12" s="958">
        <f t="shared" si="3"/>
        <v>1.92241</v>
      </c>
      <c r="M12" s="947"/>
    </row>
    <row r="13" spans="2:13" x14ac:dyDescent="0.2">
      <c r="B13" s="955">
        <v>8</v>
      </c>
      <c r="C13" s="956" t="s">
        <v>747</v>
      </c>
      <c r="D13" s="939">
        <v>91.27</v>
      </c>
      <c r="E13" s="939">
        <v>8</v>
      </c>
      <c r="F13" s="921">
        <f t="shared" si="0"/>
        <v>730.16</v>
      </c>
      <c r="G13" s="940">
        <v>13.73</v>
      </c>
      <c r="H13" s="940">
        <f t="shared" si="1"/>
        <v>743.89</v>
      </c>
      <c r="I13" s="957">
        <f t="shared" si="4"/>
        <v>1.1999999999999999E-3</v>
      </c>
      <c r="J13" s="958">
        <f t="shared" si="2"/>
        <v>0.89266799999999991</v>
      </c>
      <c r="K13" s="957">
        <f t="shared" si="5"/>
        <v>3.5000000000000001E-3</v>
      </c>
      <c r="L13" s="958">
        <f t="shared" si="3"/>
        <v>2.603615</v>
      </c>
      <c r="M13" s="947"/>
    </row>
    <row r="14" spans="2:13" x14ac:dyDescent="0.2">
      <c r="B14" s="955">
        <v>9</v>
      </c>
      <c r="C14" s="956" t="s">
        <v>748</v>
      </c>
      <c r="D14" s="939">
        <v>158.51</v>
      </c>
      <c r="E14" s="939">
        <v>8</v>
      </c>
      <c r="F14" s="921">
        <f t="shared" si="0"/>
        <v>1268.08</v>
      </c>
      <c r="G14" s="940">
        <v>13.850000000000001</v>
      </c>
      <c r="H14" s="940">
        <f t="shared" si="1"/>
        <v>1281.9299999999998</v>
      </c>
      <c r="I14" s="957">
        <f t="shared" si="4"/>
        <v>1.1999999999999999E-3</v>
      </c>
      <c r="J14" s="958">
        <f t="shared" si="2"/>
        <v>1.5383159999999996</v>
      </c>
      <c r="K14" s="957">
        <f t="shared" si="5"/>
        <v>3.5000000000000001E-3</v>
      </c>
      <c r="L14" s="958">
        <f t="shared" si="3"/>
        <v>4.4867549999999996</v>
      </c>
      <c r="M14" s="947"/>
    </row>
    <row r="15" spans="2:13" x14ac:dyDescent="0.2">
      <c r="B15" s="955">
        <v>10</v>
      </c>
      <c r="C15" s="956" t="s">
        <v>749</v>
      </c>
      <c r="D15" s="939">
        <v>142.15</v>
      </c>
      <c r="E15" s="939">
        <v>8</v>
      </c>
      <c r="F15" s="921">
        <f t="shared" si="0"/>
        <v>1137.2</v>
      </c>
      <c r="G15" s="940">
        <v>13.739999999999998</v>
      </c>
      <c r="H15" s="940">
        <f t="shared" si="1"/>
        <v>1150.94</v>
      </c>
      <c r="I15" s="957">
        <f t="shared" si="4"/>
        <v>1.1999999999999999E-3</v>
      </c>
      <c r="J15" s="958">
        <f t="shared" si="2"/>
        <v>1.3811279999999999</v>
      </c>
      <c r="K15" s="957">
        <f t="shared" si="5"/>
        <v>3.5000000000000001E-3</v>
      </c>
      <c r="L15" s="958">
        <f t="shared" si="3"/>
        <v>4.0282900000000001</v>
      </c>
      <c r="M15" s="947"/>
    </row>
    <row r="16" spans="2:13" x14ac:dyDescent="0.2">
      <c r="B16" s="955">
        <v>11</v>
      </c>
      <c r="C16" s="956" t="s">
        <v>750</v>
      </c>
      <c r="D16" s="939">
        <v>66.86</v>
      </c>
      <c r="E16" s="939">
        <v>8</v>
      </c>
      <c r="F16" s="921">
        <f t="shared" si="0"/>
        <v>534.88</v>
      </c>
      <c r="G16" s="940">
        <v>13.74</v>
      </c>
      <c r="H16" s="940">
        <f t="shared" si="1"/>
        <v>548.62</v>
      </c>
      <c r="I16" s="957">
        <f t="shared" si="4"/>
        <v>1.1999999999999999E-3</v>
      </c>
      <c r="J16" s="958">
        <f t="shared" si="2"/>
        <v>0.65834399999999993</v>
      </c>
      <c r="K16" s="957">
        <f t="shared" si="5"/>
        <v>3.5000000000000001E-3</v>
      </c>
      <c r="L16" s="958">
        <f t="shared" si="3"/>
        <v>1.9201700000000002</v>
      </c>
      <c r="M16" s="947"/>
    </row>
    <row r="17" spans="2:13" x14ac:dyDescent="0.2">
      <c r="B17" s="955">
        <v>12</v>
      </c>
      <c r="C17" s="956" t="s">
        <v>751</v>
      </c>
      <c r="D17" s="939">
        <v>98.04</v>
      </c>
      <c r="E17" s="939">
        <v>8</v>
      </c>
      <c r="F17" s="921">
        <f t="shared" si="0"/>
        <v>784.32</v>
      </c>
      <c r="G17" s="940">
        <v>13.73</v>
      </c>
      <c r="H17" s="940">
        <f t="shared" si="1"/>
        <v>798.05000000000007</v>
      </c>
      <c r="I17" s="957">
        <f t="shared" si="4"/>
        <v>1.1999999999999999E-3</v>
      </c>
      <c r="J17" s="958">
        <f t="shared" si="2"/>
        <v>0.95765999999999996</v>
      </c>
      <c r="K17" s="957">
        <f t="shared" si="5"/>
        <v>3.5000000000000001E-3</v>
      </c>
      <c r="L17" s="958">
        <f t="shared" si="3"/>
        <v>2.7931750000000002</v>
      </c>
      <c r="M17" s="947"/>
    </row>
    <row r="18" spans="2:13" x14ac:dyDescent="0.2">
      <c r="B18" s="955">
        <v>13</v>
      </c>
      <c r="C18" s="956" t="s">
        <v>752</v>
      </c>
      <c r="D18" s="939">
        <v>302.62</v>
      </c>
      <c r="E18" s="939">
        <v>8</v>
      </c>
      <c r="F18" s="921">
        <f t="shared" si="0"/>
        <v>2420.96</v>
      </c>
      <c r="G18" s="940">
        <v>87.6</v>
      </c>
      <c r="H18" s="940">
        <f t="shared" si="1"/>
        <v>2508.56</v>
      </c>
      <c r="I18" s="957">
        <f t="shared" si="4"/>
        <v>1.1999999999999999E-3</v>
      </c>
      <c r="J18" s="958">
        <f t="shared" si="2"/>
        <v>3.0102719999999996</v>
      </c>
      <c r="K18" s="957">
        <f t="shared" si="5"/>
        <v>3.5000000000000001E-3</v>
      </c>
      <c r="L18" s="958">
        <f t="shared" si="3"/>
        <v>8.7799600000000009</v>
      </c>
      <c r="M18" s="947"/>
    </row>
    <row r="19" spans="2:13" x14ac:dyDescent="0.2">
      <c r="B19" s="955">
        <v>14</v>
      </c>
      <c r="C19" s="956" t="s">
        <v>753</v>
      </c>
      <c r="D19" s="939">
        <v>66.77</v>
      </c>
      <c r="E19" s="939">
        <v>8</v>
      </c>
      <c r="F19" s="921">
        <f t="shared" si="0"/>
        <v>534.16</v>
      </c>
      <c r="G19" s="940">
        <v>13.74</v>
      </c>
      <c r="H19" s="940">
        <f t="shared" si="1"/>
        <v>547.9</v>
      </c>
      <c r="I19" s="957">
        <f t="shared" si="4"/>
        <v>1.1999999999999999E-3</v>
      </c>
      <c r="J19" s="958">
        <f t="shared" si="2"/>
        <v>0.65747999999999995</v>
      </c>
      <c r="K19" s="957">
        <f t="shared" si="5"/>
        <v>3.5000000000000001E-3</v>
      </c>
      <c r="L19" s="958">
        <f t="shared" si="3"/>
        <v>1.9176499999999999</v>
      </c>
      <c r="M19" s="947"/>
    </row>
    <row r="20" spans="2:13" x14ac:dyDescent="0.2">
      <c r="B20" s="955">
        <v>15</v>
      </c>
      <c r="C20" s="956" t="s">
        <v>754</v>
      </c>
      <c r="D20" s="939">
        <v>104.81</v>
      </c>
      <c r="E20" s="939">
        <v>8</v>
      </c>
      <c r="F20" s="921">
        <f t="shared" si="0"/>
        <v>838.48</v>
      </c>
      <c r="G20" s="940">
        <v>13.73</v>
      </c>
      <c r="H20" s="940">
        <f t="shared" si="1"/>
        <v>852.21</v>
      </c>
      <c r="I20" s="957">
        <f t="shared" si="4"/>
        <v>1.1999999999999999E-3</v>
      </c>
      <c r="J20" s="958">
        <f t="shared" si="2"/>
        <v>1.0226519999999999</v>
      </c>
      <c r="K20" s="957">
        <f t="shared" si="5"/>
        <v>3.5000000000000001E-3</v>
      </c>
      <c r="L20" s="958">
        <f t="shared" si="3"/>
        <v>2.9827350000000004</v>
      </c>
      <c r="M20" s="947"/>
    </row>
    <row r="21" spans="2:13" x14ac:dyDescent="0.2">
      <c r="B21" s="955">
        <v>16</v>
      </c>
      <c r="C21" s="956" t="s">
        <v>755</v>
      </c>
      <c r="D21" s="939">
        <v>401.18</v>
      </c>
      <c r="E21" s="939">
        <v>8</v>
      </c>
      <c r="F21" s="921">
        <f t="shared" si="0"/>
        <v>3209.44</v>
      </c>
      <c r="G21" s="940">
        <v>41.9</v>
      </c>
      <c r="H21" s="940">
        <f t="shared" si="1"/>
        <v>3251.34</v>
      </c>
      <c r="I21" s="957">
        <f t="shared" si="4"/>
        <v>1.1999999999999999E-3</v>
      </c>
      <c r="J21" s="958">
        <f t="shared" si="2"/>
        <v>3.901608</v>
      </c>
      <c r="K21" s="957">
        <f t="shared" si="5"/>
        <v>3.5000000000000001E-3</v>
      </c>
      <c r="L21" s="958">
        <f t="shared" si="3"/>
        <v>11.37969</v>
      </c>
      <c r="M21" s="947"/>
    </row>
    <row r="22" spans="2:13" x14ac:dyDescent="0.2">
      <c r="B22" s="955">
        <v>17</v>
      </c>
      <c r="C22" s="956" t="s">
        <v>756</v>
      </c>
      <c r="D22" s="939">
        <v>292.12</v>
      </c>
      <c r="E22" s="939">
        <v>8</v>
      </c>
      <c r="F22" s="921">
        <f t="shared" si="0"/>
        <v>2336.96</v>
      </c>
      <c r="G22" s="940">
        <v>13.700000000000001</v>
      </c>
      <c r="H22" s="940">
        <f t="shared" si="1"/>
        <v>2350.66</v>
      </c>
      <c r="I22" s="957">
        <f t="shared" si="4"/>
        <v>1.1999999999999999E-3</v>
      </c>
      <c r="J22" s="958">
        <f t="shared" si="2"/>
        <v>2.8207919999999995</v>
      </c>
      <c r="K22" s="957">
        <f t="shared" si="5"/>
        <v>3.5000000000000001E-3</v>
      </c>
      <c r="L22" s="958">
        <f t="shared" si="3"/>
        <v>8.2273099999999992</v>
      </c>
      <c r="M22" s="947"/>
    </row>
    <row r="23" spans="2:13" x14ac:dyDescent="0.2">
      <c r="B23" s="955">
        <v>18</v>
      </c>
      <c r="C23" s="956" t="s">
        <v>757</v>
      </c>
      <c r="D23" s="939">
        <v>80.52</v>
      </c>
      <c r="E23" s="939">
        <v>7</v>
      </c>
      <c r="F23" s="921">
        <f t="shared" si="0"/>
        <v>563.64</v>
      </c>
      <c r="G23" s="940">
        <v>13.52</v>
      </c>
      <c r="H23" s="940">
        <f t="shared" si="1"/>
        <v>577.16</v>
      </c>
      <c r="I23" s="957">
        <f t="shared" si="4"/>
        <v>1.1999999999999999E-3</v>
      </c>
      <c r="J23" s="958">
        <f t="shared" si="2"/>
        <v>0.69259199999999987</v>
      </c>
      <c r="K23" s="957">
        <f t="shared" si="5"/>
        <v>3.5000000000000001E-3</v>
      </c>
      <c r="L23" s="958">
        <f t="shared" si="3"/>
        <v>2.02006</v>
      </c>
      <c r="M23" s="947"/>
    </row>
    <row r="24" spans="2:13" x14ac:dyDescent="0.2">
      <c r="B24" s="955">
        <v>19</v>
      </c>
      <c r="C24" s="956" t="s">
        <v>758</v>
      </c>
      <c r="D24" s="939">
        <v>381.4</v>
      </c>
      <c r="E24" s="939">
        <v>8</v>
      </c>
      <c r="F24" s="921">
        <f t="shared" si="0"/>
        <v>3051.2</v>
      </c>
      <c r="G24" s="940">
        <v>13.620000000000001</v>
      </c>
      <c r="H24" s="940">
        <f t="shared" si="1"/>
        <v>3064.8199999999997</v>
      </c>
      <c r="I24" s="957">
        <f t="shared" si="4"/>
        <v>1.1999999999999999E-3</v>
      </c>
      <c r="J24" s="958">
        <f t="shared" si="2"/>
        <v>3.6777839999999995</v>
      </c>
      <c r="K24" s="957">
        <f t="shared" si="5"/>
        <v>3.5000000000000001E-3</v>
      </c>
      <c r="L24" s="958">
        <f t="shared" si="3"/>
        <v>10.72687</v>
      </c>
      <c r="M24" s="947"/>
    </row>
    <row r="25" spans="2:13" x14ac:dyDescent="0.2">
      <c r="B25" s="955">
        <v>20</v>
      </c>
      <c r="C25" s="956" t="s">
        <v>759</v>
      </c>
      <c r="D25" s="939">
        <v>381.88</v>
      </c>
      <c r="E25" s="939">
        <v>8</v>
      </c>
      <c r="F25" s="921">
        <f t="shared" si="0"/>
        <v>3055.04</v>
      </c>
      <c r="G25" s="940">
        <v>13.74</v>
      </c>
      <c r="H25" s="940">
        <f t="shared" si="1"/>
        <v>3068.7799999999997</v>
      </c>
      <c r="I25" s="957">
        <f t="shared" si="4"/>
        <v>1.1999999999999999E-3</v>
      </c>
      <c r="J25" s="958">
        <f t="shared" si="2"/>
        <v>3.6825359999999994</v>
      </c>
      <c r="K25" s="957">
        <f t="shared" si="5"/>
        <v>3.5000000000000001E-3</v>
      </c>
      <c r="L25" s="958">
        <f t="shared" si="3"/>
        <v>10.740729999999999</v>
      </c>
      <c r="M25" s="947"/>
    </row>
    <row r="26" spans="2:13" ht="15" x14ac:dyDescent="0.2">
      <c r="B26" s="1578" t="s">
        <v>760</v>
      </c>
      <c r="C26" s="1579"/>
      <c r="D26" s="942">
        <f>TRUNC(SUM(D6:D25),2)</f>
        <v>3405.32</v>
      </c>
      <c r="E26" s="942"/>
      <c r="F26" s="942">
        <f>TRUNC(SUM(F6:F25),2)</f>
        <v>27162.04</v>
      </c>
      <c r="G26" s="942">
        <f>TRUNC(SUM(G6:G25),2)</f>
        <v>376.7</v>
      </c>
      <c r="H26" s="942">
        <f>TRUNC(SUM(H6:H25),2)</f>
        <v>27538.74</v>
      </c>
      <c r="I26" s="942"/>
      <c r="J26" s="942">
        <f>TRUNC(SUM(J6:J25),2)</f>
        <v>33.04</v>
      </c>
      <c r="K26" s="942"/>
      <c r="L26" s="942">
        <f>TRUNC(SUM(L6:L25),2)</f>
        <v>96.38</v>
      </c>
      <c r="M26" s="947"/>
    </row>
    <row r="27" spans="2:13" ht="15" x14ac:dyDescent="0.2">
      <c r="B27" s="1578" t="s">
        <v>555</v>
      </c>
      <c r="C27" s="1579"/>
      <c r="D27" s="1579"/>
      <c r="E27" s="1579"/>
      <c r="F27" s="1579"/>
      <c r="G27" s="1579"/>
      <c r="H27" s="1579"/>
      <c r="I27" s="1579"/>
      <c r="J27" s="1579"/>
      <c r="K27" s="1579"/>
      <c r="L27" s="1580"/>
      <c r="M27" s="947"/>
    </row>
    <row r="28" spans="2:13" s="936" customFormat="1" ht="20.100000000000001" customHeight="1" x14ac:dyDescent="0.25">
      <c r="B28" s="955">
        <v>21</v>
      </c>
      <c r="C28" s="956" t="s">
        <v>761</v>
      </c>
      <c r="D28" s="939">
        <v>505.16</v>
      </c>
      <c r="E28" s="939">
        <v>8</v>
      </c>
      <c r="F28" s="921">
        <f>TRUNC(E28*D28,2)</f>
        <v>4041.28</v>
      </c>
      <c r="G28" s="940">
        <v>13.83</v>
      </c>
      <c r="H28" s="940">
        <f>F28+G28</f>
        <v>4055.11</v>
      </c>
      <c r="I28" s="957">
        <v>1.1999999999999999E-3</v>
      </c>
      <c r="J28" s="958">
        <f>H28*I28</f>
        <v>4.8661319999999995</v>
      </c>
      <c r="K28" s="957">
        <v>3.5000000000000001E-3</v>
      </c>
      <c r="L28" s="958">
        <f>H28*K28</f>
        <v>14.192885</v>
      </c>
      <c r="M28" s="947"/>
    </row>
    <row r="29" spans="2:13" s="936" customFormat="1" ht="20.100000000000001" customHeight="1" x14ac:dyDescent="0.25">
      <c r="B29" s="955">
        <v>22</v>
      </c>
      <c r="C29" s="956" t="s">
        <v>762</v>
      </c>
      <c r="D29" s="939">
        <v>343.2</v>
      </c>
      <c r="E29" s="939">
        <v>8</v>
      </c>
      <c r="F29" s="921">
        <f t="shared" ref="F29:F53" si="6">TRUNC(E29*D29,2)</f>
        <v>2745.6</v>
      </c>
      <c r="G29" s="940">
        <v>13.72</v>
      </c>
      <c r="H29" s="940">
        <f t="shared" ref="H29:H53" si="7">F29+G29</f>
        <v>2759.3199999999997</v>
      </c>
      <c r="I29" s="957">
        <f>I28</f>
        <v>1.1999999999999999E-3</v>
      </c>
      <c r="J29" s="958">
        <f t="shared" ref="J29:J53" si="8">H29*I29</f>
        <v>3.3111839999999995</v>
      </c>
      <c r="K29" s="957">
        <f>K28</f>
        <v>3.5000000000000001E-3</v>
      </c>
      <c r="L29" s="958">
        <f t="shared" ref="L29:L53" si="9">H29*K29</f>
        <v>9.6576199999999996</v>
      </c>
      <c r="M29" s="947"/>
    </row>
    <row r="30" spans="2:13" s="936" customFormat="1" ht="20.100000000000001" customHeight="1" x14ac:dyDescent="0.25">
      <c r="B30" s="955">
        <v>23</v>
      </c>
      <c r="C30" s="956" t="s">
        <v>763</v>
      </c>
      <c r="D30" s="939">
        <v>497.94</v>
      </c>
      <c r="E30" s="939">
        <v>8</v>
      </c>
      <c r="F30" s="921">
        <f t="shared" si="6"/>
        <v>3983.52</v>
      </c>
      <c r="G30" s="940">
        <v>118.53</v>
      </c>
      <c r="H30" s="940">
        <f t="shared" si="7"/>
        <v>4102.05</v>
      </c>
      <c r="I30" s="957">
        <f t="shared" ref="I30:K45" si="10">I29</f>
        <v>1.1999999999999999E-3</v>
      </c>
      <c r="J30" s="958">
        <f t="shared" si="8"/>
        <v>4.9224600000000001</v>
      </c>
      <c r="K30" s="957">
        <f t="shared" si="10"/>
        <v>3.5000000000000001E-3</v>
      </c>
      <c r="L30" s="958">
        <f t="shared" si="9"/>
        <v>14.357175000000002</v>
      </c>
      <c r="M30" s="947"/>
    </row>
    <row r="31" spans="2:13" s="936" customFormat="1" ht="20.100000000000001" customHeight="1" x14ac:dyDescent="0.25">
      <c r="B31" s="955">
        <v>24</v>
      </c>
      <c r="C31" s="956" t="s">
        <v>764</v>
      </c>
      <c r="D31" s="939">
        <v>67.91</v>
      </c>
      <c r="E31" s="939">
        <v>8</v>
      </c>
      <c r="F31" s="921">
        <f t="shared" si="6"/>
        <v>543.28</v>
      </c>
      <c r="G31" s="940">
        <v>6.87</v>
      </c>
      <c r="H31" s="940">
        <f t="shared" si="7"/>
        <v>550.15</v>
      </c>
      <c r="I31" s="957">
        <f t="shared" si="10"/>
        <v>1.1999999999999999E-3</v>
      </c>
      <c r="J31" s="958">
        <f t="shared" si="8"/>
        <v>0.66017999999999988</v>
      </c>
      <c r="K31" s="957">
        <f t="shared" si="10"/>
        <v>3.5000000000000001E-3</v>
      </c>
      <c r="L31" s="958">
        <f t="shared" si="9"/>
        <v>1.9255249999999999</v>
      </c>
      <c r="M31" s="947"/>
    </row>
    <row r="32" spans="2:13" s="936" customFormat="1" ht="20.100000000000001" customHeight="1" x14ac:dyDescent="0.25">
      <c r="B32" s="955">
        <v>25</v>
      </c>
      <c r="C32" s="956" t="s">
        <v>765</v>
      </c>
      <c r="D32" s="939">
        <v>355.88</v>
      </c>
      <c r="E32" s="939">
        <v>8</v>
      </c>
      <c r="F32" s="921">
        <f t="shared" si="6"/>
        <v>2847.04</v>
      </c>
      <c r="G32" s="940">
        <v>91.470000000000013</v>
      </c>
      <c r="H32" s="940">
        <f t="shared" si="7"/>
        <v>2938.5099999999998</v>
      </c>
      <c r="I32" s="957">
        <f t="shared" si="10"/>
        <v>1.1999999999999999E-3</v>
      </c>
      <c r="J32" s="958">
        <f t="shared" si="8"/>
        <v>3.5262119999999992</v>
      </c>
      <c r="K32" s="957">
        <f t="shared" si="10"/>
        <v>3.5000000000000001E-3</v>
      </c>
      <c r="L32" s="958">
        <f t="shared" si="9"/>
        <v>10.284784999999999</v>
      </c>
      <c r="M32" s="947"/>
    </row>
    <row r="33" spans="2:13" s="936" customFormat="1" ht="20.100000000000001" customHeight="1" x14ac:dyDescent="0.25">
      <c r="B33" s="955">
        <v>26</v>
      </c>
      <c r="C33" s="956" t="s">
        <v>766</v>
      </c>
      <c r="D33" s="939">
        <v>547.84</v>
      </c>
      <c r="E33" s="939">
        <v>8</v>
      </c>
      <c r="F33" s="921">
        <f t="shared" si="6"/>
        <v>4382.72</v>
      </c>
      <c r="G33" s="940">
        <v>244.12</v>
      </c>
      <c r="H33" s="940">
        <f t="shared" si="7"/>
        <v>4626.84</v>
      </c>
      <c r="I33" s="957">
        <f t="shared" si="10"/>
        <v>1.1999999999999999E-3</v>
      </c>
      <c r="J33" s="958">
        <f t="shared" si="8"/>
        <v>5.5522079999999994</v>
      </c>
      <c r="K33" s="957">
        <f t="shared" si="10"/>
        <v>3.5000000000000001E-3</v>
      </c>
      <c r="L33" s="958">
        <f t="shared" si="9"/>
        <v>16.193940000000001</v>
      </c>
      <c r="M33" s="947"/>
    </row>
    <row r="34" spans="2:13" s="936" customFormat="1" ht="20.100000000000001" customHeight="1" x14ac:dyDescent="0.25">
      <c r="B34" s="955">
        <v>27</v>
      </c>
      <c r="C34" s="956" t="s">
        <v>767</v>
      </c>
      <c r="D34" s="939">
        <v>107.04</v>
      </c>
      <c r="E34" s="939">
        <v>7</v>
      </c>
      <c r="F34" s="921">
        <f t="shared" si="6"/>
        <v>749.28</v>
      </c>
      <c r="G34" s="940">
        <v>13.71</v>
      </c>
      <c r="H34" s="940">
        <f t="shared" si="7"/>
        <v>762.99</v>
      </c>
      <c r="I34" s="957">
        <f t="shared" si="10"/>
        <v>1.1999999999999999E-3</v>
      </c>
      <c r="J34" s="958">
        <f t="shared" si="8"/>
        <v>0.91558799999999996</v>
      </c>
      <c r="K34" s="957">
        <f t="shared" si="10"/>
        <v>3.5000000000000001E-3</v>
      </c>
      <c r="L34" s="958">
        <f t="shared" si="9"/>
        <v>2.6704650000000001</v>
      </c>
      <c r="M34" s="947"/>
    </row>
    <row r="35" spans="2:13" s="936" customFormat="1" ht="20.100000000000001" customHeight="1" x14ac:dyDescent="0.25">
      <c r="B35" s="955">
        <v>28</v>
      </c>
      <c r="C35" s="956" t="s">
        <v>768</v>
      </c>
      <c r="D35" s="939">
        <v>69.52</v>
      </c>
      <c r="E35" s="939">
        <v>7</v>
      </c>
      <c r="F35" s="921">
        <f t="shared" si="6"/>
        <v>486.64</v>
      </c>
      <c r="G35" s="940">
        <v>13.68</v>
      </c>
      <c r="H35" s="940">
        <f t="shared" si="7"/>
        <v>500.32</v>
      </c>
      <c r="I35" s="957">
        <f t="shared" si="10"/>
        <v>1.1999999999999999E-3</v>
      </c>
      <c r="J35" s="958">
        <f t="shared" si="8"/>
        <v>0.60038399999999992</v>
      </c>
      <c r="K35" s="957">
        <f t="shared" si="10"/>
        <v>3.5000000000000001E-3</v>
      </c>
      <c r="L35" s="958">
        <f t="shared" si="9"/>
        <v>1.75112</v>
      </c>
      <c r="M35" s="947"/>
    </row>
    <row r="36" spans="2:13" s="936" customFormat="1" ht="20.100000000000001" customHeight="1" x14ac:dyDescent="0.25">
      <c r="B36" s="955">
        <v>29</v>
      </c>
      <c r="C36" s="956" t="s">
        <v>769</v>
      </c>
      <c r="D36" s="939">
        <v>105.47</v>
      </c>
      <c r="E36" s="939">
        <v>7</v>
      </c>
      <c r="F36" s="884">
        <f t="shared" si="6"/>
        <v>738.29</v>
      </c>
      <c r="G36" s="940">
        <v>13.73</v>
      </c>
      <c r="H36" s="940">
        <f t="shared" si="7"/>
        <v>752.02</v>
      </c>
      <c r="I36" s="957">
        <f t="shared" si="10"/>
        <v>1.1999999999999999E-3</v>
      </c>
      <c r="J36" s="958">
        <f t="shared" si="8"/>
        <v>0.90242399999999989</v>
      </c>
      <c r="K36" s="957">
        <f t="shared" si="10"/>
        <v>3.5000000000000001E-3</v>
      </c>
      <c r="L36" s="958">
        <f t="shared" si="9"/>
        <v>2.6320700000000001</v>
      </c>
      <c r="M36" s="947"/>
    </row>
    <row r="37" spans="2:13" s="936" customFormat="1" ht="20.100000000000001" customHeight="1" x14ac:dyDescent="0.25">
      <c r="B37" s="955">
        <v>30</v>
      </c>
      <c r="C37" s="956" t="s">
        <v>770</v>
      </c>
      <c r="D37" s="939">
        <v>106.26</v>
      </c>
      <c r="E37" s="939">
        <v>7</v>
      </c>
      <c r="F37" s="884">
        <f t="shared" si="6"/>
        <v>743.82</v>
      </c>
      <c r="G37" s="940">
        <v>13.75</v>
      </c>
      <c r="H37" s="940">
        <f t="shared" si="7"/>
        <v>757.57</v>
      </c>
      <c r="I37" s="957">
        <f t="shared" si="10"/>
        <v>1.1999999999999999E-3</v>
      </c>
      <c r="J37" s="958">
        <f t="shared" si="8"/>
        <v>0.909084</v>
      </c>
      <c r="K37" s="957">
        <f t="shared" si="10"/>
        <v>3.5000000000000001E-3</v>
      </c>
      <c r="L37" s="958">
        <f t="shared" si="9"/>
        <v>2.6514950000000002</v>
      </c>
      <c r="M37" s="947"/>
    </row>
    <row r="38" spans="2:13" s="936" customFormat="1" ht="20.100000000000001" customHeight="1" x14ac:dyDescent="0.25">
      <c r="B38" s="955">
        <v>31</v>
      </c>
      <c r="C38" s="956" t="s">
        <v>771</v>
      </c>
      <c r="D38" s="939">
        <v>70.459999999999994</v>
      </c>
      <c r="E38" s="939">
        <v>7</v>
      </c>
      <c r="F38" s="921">
        <f t="shared" si="6"/>
        <v>493.22</v>
      </c>
      <c r="G38" s="940">
        <v>13.74</v>
      </c>
      <c r="H38" s="940">
        <f t="shared" si="7"/>
        <v>506.96000000000004</v>
      </c>
      <c r="I38" s="957">
        <f t="shared" si="10"/>
        <v>1.1999999999999999E-3</v>
      </c>
      <c r="J38" s="958">
        <f t="shared" si="8"/>
        <v>0.608352</v>
      </c>
      <c r="K38" s="957">
        <f t="shared" si="10"/>
        <v>3.5000000000000001E-3</v>
      </c>
      <c r="L38" s="958">
        <f t="shared" si="9"/>
        <v>1.7743600000000002</v>
      </c>
      <c r="M38" s="947"/>
    </row>
    <row r="39" spans="2:13" s="936" customFormat="1" ht="19.5" customHeight="1" x14ac:dyDescent="0.25">
      <c r="B39" s="955">
        <v>32</v>
      </c>
      <c r="C39" s="956" t="s">
        <v>772</v>
      </c>
      <c r="D39" s="939">
        <v>106.21</v>
      </c>
      <c r="E39" s="939">
        <v>7</v>
      </c>
      <c r="F39" s="921">
        <f t="shared" si="6"/>
        <v>743.47</v>
      </c>
      <c r="G39" s="940">
        <v>13.739999999999998</v>
      </c>
      <c r="H39" s="940">
        <f t="shared" si="7"/>
        <v>757.21</v>
      </c>
      <c r="I39" s="957">
        <f t="shared" si="10"/>
        <v>1.1999999999999999E-3</v>
      </c>
      <c r="J39" s="958">
        <f t="shared" si="8"/>
        <v>0.90865200000000002</v>
      </c>
      <c r="K39" s="957">
        <f t="shared" si="10"/>
        <v>3.5000000000000001E-3</v>
      </c>
      <c r="L39" s="958">
        <f t="shared" si="9"/>
        <v>2.6502350000000003</v>
      </c>
      <c r="M39" s="947"/>
    </row>
    <row r="40" spans="2:13" s="936" customFormat="1" ht="20.100000000000001" customHeight="1" x14ac:dyDescent="0.25">
      <c r="B40" s="955">
        <v>33</v>
      </c>
      <c r="C40" s="956" t="s">
        <v>773</v>
      </c>
      <c r="D40" s="939">
        <v>106.28</v>
      </c>
      <c r="E40" s="939">
        <v>7</v>
      </c>
      <c r="F40" s="921">
        <f t="shared" si="6"/>
        <v>743.96</v>
      </c>
      <c r="G40" s="940">
        <v>13.740000000000002</v>
      </c>
      <c r="H40" s="940">
        <f t="shared" si="7"/>
        <v>757.7</v>
      </c>
      <c r="I40" s="957">
        <f t="shared" si="10"/>
        <v>1.1999999999999999E-3</v>
      </c>
      <c r="J40" s="958">
        <f t="shared" si="8"/>
        <v>0.90923999999999994</v>
      </c>
      <c r="K40" s="957">
        <f t="shared" si="10"/>
        <v>3.5000000000000001E-3</v>
      </c>
      <c r="L40" s="958">
        <f t="shared" si="9"/>
        <v>2.6519500000000003</v>
      </c>
      <c r="M40" s="947"/>
    </row>
    <row r="41" spans="2:13" s="936" customFormat="1" ht="20.100000000000001" customHeight="1" x14ac:dyDescent="0.25">
      <c r="B41" s="955">
        <v>34</v>
      </c>
      <c r="C41" s="956" t="s">
        <v>774</v>
      </c>
      <c r="D41" s="939">
        <v>70.17</v>
      </c>
      <c r="E41" s="939">
        <v>7</v>
      </c>
      <c r="F41" s="921">
        <f t="shared" si="6"/>
        <v>491.19</v>
      </c>
      <c r="G41" s="940">
        <v>13.73</v>
      </c>
      <c r="H41" s="940">
        <f t="shared" si="7"/>
        <v>504.92</v>
      </c>
      <c r="I41" s="957">
        <f t="shared" si="10"/>
        <v>1.1999999999999999E-3</v>
      </c>
      <c r="J41" s="958">
        <f t="shared" si="8"/>
        <v>0.605904</v>
      </c>
      <c r="K41" s="957">
        <f t="shared" si="10"/>
        <v>3.5000000000000001E-3</v>
      </c>
      <c r="L41" s="958">
        <f t="shared" si="9"/>
        <v>1.76722</v>
      </c>
      <c r="M41" s="947"/>
    </row>
    <row r="42" spans="2:13" s="936" customFormat="1" ht="20.100000000000001" customHeight="1" x14ac:dyDescent="0.25">
      <c r="B42" s="955">
        <v>35</v>
      </c>
      <c r="C42" s="956" t="s">
        <v>775</v>
      </c>
      <c r="D42" s="939">
        <v>106.73</v>
      </c>
      <c r="E42" s="939">
        <v>7</v>
      </c>
      <c r="F42" s="921">
        <f t="shared" si="6"/>
        <v>747.11</v>
      </c>
      <c r="G42" s="940">
        <v>13.73</v>
      </c>
      <c r="H42" s="940">
        <f t="shared" si="7"/>
        <v>760.84</v>
      </c>
      <c r="I42" s="957">
        <f t="shared" si="10"/>
        <v>1.1999999999999999E-3</v>
      </c>
      <c r="J42" s="958">
        <f t="shared" si="8"/>
        <v>0.91300799999999993</v>
      </c>
      <c r="K42" s="957">
        <f t="shared" si="10"/>
        <v>3.5000000000000001E-3</v>
      </c>
      <c r="L42" s="958">
        <f t="shared" si="9"/>
        <v>2.6629400000000003</v>
      </c>
      <c r="M42" s="947"/>
    </row>
    <row r="43" spans="2:13" s="936" customFormat="1" ht="20.100000000000001" customHeight="1" x14ac:dyDescent="0.25">
      <c r="B43" s="955">
        <v>36</v>
      </c>
      <c r="C43" s="956" t="s">
        <v>776</v>
      </c>
      <c r="D43" s="939">
        <v>393.54</v>
      </c>
      <c r="E43" s="939">
        <v>8</v>
      </c>
      <c r="F43" s="921">
        <f t="shared" si="6"/>
        <v>3148.32</v>
      </c>
      <c r="G43" s="940">
        <v>130.35999999999999</v>
      </c>
      <c r="H43" s="940">
        <f t="shared" si="7"/>
        <v>3278.6800000000003</v>
      </c>
      <c r="I43" s="957">
        <f t="shared" si="10"/>
        <v>1.1999999999999999E-3</v>
      </c>
      <c r="J43" s="958">
        <f t="shared" si="8"/>
        <v>3.9344160000000001</v>
      </c>
      <c r="K43" s="957">
        <f t="shared" si="10"/>
        <v>3.5000000000000001E-3</v>
      </c>
      <c r="L43" s="958">
        <f t="shared" si="9"/>
        <v>11.475380000000001</v>
      </c>
      <c r="M43" s="947"/>
    </row>
    <row r="44" spans="2:13" s="936" customFormat="1" ht="20.100000000000001" customHeight="1" x14ac:dyDescent="0.25">
      <c r="B44" s="955">
        <v>37</v>
      </c>
      <c r="C44" s="956" t="s">
        <v>777</v>
      </c>
      <c r="D44" s="939">
        <v>120.41</v>
      </c>
      <c r="E44" s="939">
        <v>8</v>
      </c>
      <c r="F44" s="921">
        <f t="shared" si="6"/>
        <v>963.28</v>
      </c>
      <c r="G44" s="940">
        <v>13.74</v>
      </c>
      <c r="H44" s="940">
        <f t="shared" si="7"/>
        <v>977.02</v>
      </c>
      <c r="I44" s="957">
        <f t="shared" si="10"/>
        <v>1.1999999999999999E-3</v>
      </c>
      <c r="J44" s="958">
        <f t="shared" si="8"/>
        <v>1.1724239999999999</v>
      </c>
      <c r="K44" s="957">
        <f t="shared" si="10"/>
        <v>3.5000000000000001E-3</v>
      </c>
      <c r="L44" s="958">
        <f t="shared" si="9"/>
        <v>3.4195700000000002</v>
      </c>
      <c r="M44" s="947"/>
    </row>
    <row r="45" spans="2:13" s="936" customFormat="1" ht="20.100000000000001" customHeight="1" x14ac:dyDescent="0.25">
      <c r="B45" s="955">
        <v>38</v>
      </c>
      <c r="C45" s="956" t="s">
        <v>757</v>
      </c>
      <c r="D45" s="939">
        <v>106.05</v>
      </c>
      <c r="E45" s="939">
        <v>7</v>
      </c>
      <c r="F45" s="921">
        <f t="shared" si="6"/>
        <v>742.35</v>
      </c>
      <c r="G45" s="940">
        <v>13.73</v>
      </c>
      <c r="H45" s="940">
        <f t="shared" si="7"/>
        <v>756.08</v>
      </c>
      <c r="I45" s="957">
        <f t="shared" si="10"/>
        <v>1.1999999999999999E-3</v>
      </c>
      <c r="J45" s="958">
        <f t="shared" si="8"/>
        <v>0.90729599999999999</v>
      </c>
      <c r="K45" s="957">
        <f t="shared" si="10"/>
        <v>3.5000000000000001E-3</v>
      </c>
      <c r="L45" s="958">
        <f t="shared" si="9"/>
        <v>2.6462800000000004</v>
      </c>
      <c r="M45" s="947"/>
    </row>
    <row r="46" spans="2:13" s="936" customFormat="1" ht="20.100000000000001" customHeight="1" x14ac:dyDescent="0.25">
      <c r="B46" s="955">
        <v>39</v>
      </c>
      <c r="C46" s="956" t="s">
        <v>778</v>
      </c>
      <c r="D46" s="939">
        <v>121.01</v>
      </c>
      <c r="E46" s="939">
        <v>8</v>
      </c>
      <c r="F46" s="921">
        <f t="shared" si="6"/>
        <v>968.08</v>
      </c>
      <c r="G46" s="940">
        <v>13.74</v>
      </c>
      <c r="H46" s="940">
        <f t="shared" si="7"/>
        <v>981.82</v>
      </c>
      <c r="I46" s="957">
        <f t="shared" ref="I46:I53" si="11">I45</f>
        <v>1.1999999999999999E-3</v>
      </c>
      <c r="J46" s="958">
        <f t="shared" si="8"/>
        <v>1.1781839999999999</v>
      </c>
      <c r="K46" s="957">
        <f>K45</f>
        <v>3.5000000000000001E-3</v>
      </c>
      <c r="L46" s="958">
        <f t="shared" si="9"/>
        <v>3.4363700000000001</v>
      </c>
      <c r="M46" s="947"/>
    </row>
    <row r="47" spans="2:13" s="936" customFormat="1" ht="20.100000000000001" customHeight="1" x14ac:dyDescent="0.25">
      <c r="B47" s="955">
        <v>40</v>
      </c>
      <c r="C47" s="956" t="s">
        <v>779</v>
      </c>
      <c r="D47" s="939">
        <v>73.349999999999994</v>
      </c>
      <c r="E47" s="939">
        <v>7</v>
      </c>
      <c r="F47" s="921">
        <f t="shared" si="6"/>
        <v>513.45000000000005</v>
      </c>
      <c r="G47" s="940">
        <v>13.73</v>
      </c>
      <c r="H47" s="940">
        <f t="shared" si="7"/>
        <v>527.18000000000006</v>
      </c>
      <c r="I47" s="957">
        <f t="shared" si="11"/>
        <v>1.1999999999999999E-3</v>
      </c>
      <c r="J47" s="958">
        <f t="shared" si="8"/>
        <v>0.63261600000000007</v>
      </c>
      <c r="K47" s="957">
        <f>K46</f>
        <v>3.5000000000000001E-3</v>
      </c>
      <c r="L47" s="958">
        <f t="shared" si="9"/>
        <v>1.8451300000000002</v>
      </c>
      <c r="M47" s="947"/>
    </row>
    <row r="48" spans="2:13" s="936" customFormat="1" ht="20.100000000000001" customHeight="1" x14ac:dyDescent="0.25">
      <c r="B48" s="955">
        <v>41</v>
      </c>
      <c r="C48" s="956" t="s">
        <v>780</v>
      </c>
      <c r="D48" s="939">
        <v>106.18</v>
      </c>
      <c r="E48" s="939">
        <v>8</v>
      </c>
      <c r="F48" s="921">
        <f t="shared" si="6"/>
        <v>849.44</v>
      </c>
      <c r="G48" s="940">
        <v>13.73</v>
      </c>
      <c r="H48" s="940">
        <f t="shared" si="7"/>
        <v>863.17000000000007</v>
      </c>
      <c r="I48" s="957">
        <f t="shared" si="11"/>
        <v>1.1999999999999999E-3</v>
      </c>
      <c r="J48" s="958">
        <f t="shared" si="8"/>
        <v>1.0358039999999999</v>
      </c>
      <c r="K48" s="957">
        <f>K47</f>
        <v>3.5000000000000001E-3</v>
      </c>
      <c r="L48" s="958">
        <f t="shared" si="9"/>
        <v>3.0210950000000003</v>
      </c>
      <c r="M48" s="947"/>
    </row>
    <row r="49" spans="2:13" s="936" customFormat="1" ht="20.100000000000001" customHeight="1" x14ac:dyDescent="0.25">
      <c r="B49" s="955">
        <v>42</v>
      </c>
      <c r="C49" s="956" t="s">
        <v>781</v>
      </c>
      <c r="D49" s="939">
        <v>121.58</v>
      </c>
      <c r="E49" s="939">
        <v>8</v>
      </c>
      <c r="F49" s="921">
        <f t="shared" si="6"/>
        <v>972.64</v>
      </c>
      <c r="G49" s="940">
        <v>13.73</v>
      </c>
      <c r="H49" s="940">
        <f t="shared" si="7"/>
        <v>986.37</v>
      </c>
      <c r="I49" s="957">
        <f t="shared" si="11"/>
        <v>1.1999999999999999E-3</v>
      </c>
      <c r="J49" s="958">
        <f t="shared" si="8"/>
        <v>1.1836439999999999</v>
      </c>
      <c r="K49" s="957">
        <f>K34</f>
        <v>3.5000000000000001E-3</v>
      </c>
      <c r="L49" s="958">
        <f t="shared" si="9"/>
        <v>3.4522949999999999</v>
      </c>
      <c r="M49" s="947"/>
    </row>
    <row r="50" spans="2:13" s="936" customFormat="1" ht="20.100000000000001" customHeight="1" x14ac:dyDescent="0.25">
      <c r="B50" s="955">
        <v>43</v>
      </c>
      <c r="C50" s="956" t="s">
        <v>782</v>
      </c>
      <c r="D50" s="939">
        <v>71.58</v>
      </c>
      <c r="E50" s="939">
        <v>8</v>
      </c>
      <c r="F50" s="921">
        <f t="shared" si="6"/>
        <v>572.64</v>
      </c>
      <c r="G50" s="940">
        <v>13.73</v>
      </c>
      <c r="H50" s="940">
        <f t="shared" si="7"/>
        <v>586.37</v>
      </c>
      <c r="I50" s="957">
        <f t="shared" si="11"/>
        <v>1.1999999999999999E-3</v>
      </c>
      <c r="J50" s="958">
        <f t="shared" si="8"/>
        <v>0.70364399999999994</v>
      </c>
      <c r="K50" s="957">
        <f>K49</f>
        <v>3.5000000000000001E-3</v>
      </c>
      <c r="L50" s="958">
        <f t="shared" si="9"/>
        <v>2.052295</v>
      </c>
      <c r="M50" s="947"/>
    </row>
    <row r="51" spans="2:13" s="936" customFormat="1" ht="20.100000000000001" customHeight="1" x14ac:dyDescent="0.25">
      <c r="B51" s="955">
        <v>44</v>
      </c>
      <c r="C51" s="956" t="s">
        <v>783</v>
      </c>
      <c r="D51" s="939">
        <v>106.29</v>
      </c>
      <c r="E51" s="939">
        <v>8</v>
      </c>
      <c r="F51" s="921">
        <f t="shared" si="6"/>
        <v>850.32</v>
      </c>
      <c r="G51" s="940">
        <v>13.73</v>
      </c>
      <c r="H51" s="940">
        <f t="shared" si="7"/>
        <v>864.05000000000007</v>
      </c>
      <c r="I51" s="957">
        <f t="shared" si="11"/>
        <v>1.1999999999999999E-3</v>
      </c>
      <c r="J51" s="958">
        <f t="shared" si="8"/>
        <v>1.0368599999999999</v>
      </c>
      <c r="K51" s="957">
        <f>K50</f>
        <v>3.5000000000000001E-3</v>
      </c>
      <c r="L51" s="958">
        <f t="shared" si="9"/>
        <v>3.0241750000000005</v>
      </c>
      <c r="M51" s="947"/>
    </row>
    <row r="52" spans="2:13" s="936" customFormat="1" ht="20.100000000000001" customHeight="1" x14ac:dyDescent="0.25">
      <c r="B52" s="955">
        <v>45</v>
      </c>
      <c r="C52" s="956" t="s">
        <v>784</v>
      </c>
      <c r="D52" s="939">
        <v>122.17</v>
      </c>
      <c r="E52" s="939">
        <v>8</v>
      </c>
      <c r="F52" s="921">
        <f t="shared" si="6"/>
        <v>977.36</v>
      </c>
      <c r="G52" s="940">
        <v>13.739999999999998</v>
      </c>
      <c r="H52" s="940">
        <f t="shared" si="7"/>
        <v>991.1</v>
      </c>
      <c r="I52" s="957">
        <f t="shared" si="11"/>
        <v>1.1999999999999999E-3</v>
      </c>
      <c r="J52" s="958">
        <f t="shared" si="8"/>
        <v>1.1893199999999999</v>
      </c>
      <c r="K52" s="957">
        <f>K51</f>
        <v>3.5000000000000001E-3</v>
      </c>
      <c r="L52" s="958">
        <f t="shared" si="9"/>
        <v>3.4688500000000002</v>
      </c>
      <c r="M52" s="947"/>
    </row>
    <row r="53" spans="2:13" s="936" customFormat="1" ht="20.100000000000001" customHeight="1" x14ac:dyDescent="0.25">
      <c r="B53" s="955">
        <v>46</v>
      </c>
      <c r="C53" s="956" t="s">
        <v>785</v>
      </c>
      <c r="D53" s="939">
        <v>106.4</v>
      </c>
      <c r="E53" s="939">
        <v>7</v>
      </c>
      <c r="F53" s="921">
        <f t="shared" si="6"/>
        <v>744.8</v>
      </c>
      <c r="G53" s="940">
        <v>13.74</v>
      </c>
      <c r="H53" s="940">
        <f t="shared" si="7"/>
        <v>758.54</v>
      </c>
      <c r="I53" s="957">
        <f t="shared" si="11"/>
        <v>1.1999999999999999E-3</v>
      </c>
      <c r="J53" s="958">
        <f t="shared" si="8"/>
        <v>0.91024799999999984</v>
      </c>
      <c r="K53" s="957">
        <f>K52</f>
        <v>3.5000000000000001E-3</v>
      </c>
      <c r="L53" s="958">
        <f t="shared" si="9"/>
        <v>2.65489</v>
      </c>
      <c r="M53" s="947"/>
    </row>
    <row r="54" spans="2:13" s="936" customFormat="1" ht="20.100000000000001" customHeight="1" x14ac:dyDescent="0.25">
      <c r="B54" s="1578" t="s">
        <v>760</v>
      </c>
      <c r="C54" s="1579"/>
      <c r="D54" s="942">
        <f>TRUNC(SUM(D28:D53),2)</f>
        <v>4614.63</v>
      </c>
      <c r="E54" s="942"/>
      <c r="F54" s="942">
        <f>TRUNC(SUM(F28:F53),2)</f>
        <v>35783.1</v>
      </c>
      <c r="G54" s="942">
        <f>TRUNC(SUM(G28:G53),2)</f>
        <v>879.79</v>
      </c>
      <c r="H54" s="942">
        <f>TRUNC(SUM(H28:H53),2)</f>
        <v>36662.89</v>
      </c>
      <c r="I54" s="942"/>
      <c r="J54" s="942">
        <f>TRUNC(SUM(J28:J53),2)</f>
        <v>43.99</v>
      </c>
      <c r="K54" s="942"/>
      <c r="L54" s="942">
        <f>TRUNC(SUM(L28:L53),2)</f>
        <v>128.32</v>
      </c>
      <c r="M54" s="947"/>
    </row>
    <row r="55" spans="2:13" ht="30" customHeight="1" x14ac:dyDescent="0.2">
      <c r="B55" s="1581" t="s">
        <v>786</v>
      </c>
      <c r="C55" s="1582"/>
      <c r="D55" s="944">
        <f>D54+D26</f>
        <v>8019.9500000000007</v>
      </c>
      <c r="E55" s="944"/>
      <c r="F55" s="944">
        <f>F54+F26</f>
        <v>62945.14</v>
      </c>
      <c r="G55" s="944">
        <f>G54+G26</f>
        <v>1256.49</v>
      </c>
      <c r="H55" s="944">
        <f>H54+H26</f>
        <v>64201.630000000005</v>
      </c>
      <c r="I55" s="944"/>
      <c r="J55" s="944">
        <f>J54+J26</f>
        <v>77.03</v>
      </c>
      <c r="K55" s="944"/>
      <c r="L55" s="944">
        <f>L54+L26</f>
        <v>224.7</v>
      </c>
      <c r="M55" s="945"/>
    </row>
    <row r="56" spans="2:13" x14ac:dyDescent="0.2">
      <c r="D56" s="945"/>
      <c r="E56" s="946"/>
      <c r="F56" s="946"/>
      <c r="G56" s="946"/>
      <c r="H56" s="946"/>
      <c r="I56" s="945"/>
      <c r="J56" s="945"/>
      <c r="K56" s="945"/>
      <c r="L56" s="945"/>
      <c r="M56" s="945"/>
    </row>
    <row r="57" spans="2:13" x14ac:dyDescent="0.2">
      <c r="D57" s="945"/>
      <c r="E57" s="946"/>
      <c r="F57" s="946"/>
      <c r="G57" s="946"/>
      <c r="H57" s="946"/>
      <c r="I57" s="945"/>
      <c r="J57" s="947"/>
      <c r="K57" s="945"/>
      <c r="L57" s="947"/>
      <c r="M57" s="945"/>
    </row>
    <row r="58" spans="2:13" x14ac:dyDescent="0.2">
      <c r="D58" s="948"/>
      <c r="E58" s="949"/>
      <c r="F58" s="959">
        <v>5294.1500000000015</v>
      </c>
      <c r="G58" s="949"/>
      <c r="H58" s="949"/>
      <c r="I58" s="948"/>
      <c r="J58" s="950"/>
      <c r="K58" s="948"/>
      <c r="L58" s="950"/>
      <c r="M58" s="948"/>
    </row>
    <row r="59" spans="2:13" x14ac:dyDescent="0.2">
      <c r="D59" s="948"/>
      <c r="E59" s="949"/>
      <c r="F59" s="949"/>
      <c r="G59" s="949"/>
      <c r="H59" s="949"/>
      <c r="I59" s="948"/>
      <c r="J59" s="950"/>
      <c r="K59" s="948"/>
      <c r="L59" s="950"/>
      <c r="M59" s="948"/>
    </row>
    <row r="60" spans="2:13" x14ac:dyDescent="0.2">
      <c r="D60" s="948"/>
      <c r="E60" s="949"/>
      <c r="F60" s="949"/>
      <c r="G60" s="949"/>
      <c r="H60" s="949"/>
      <c r="I60" s="948"/>
      <c r="J60" s="950"/>
      <c r="K60" s="948"/>
      <c r="L60" s="950"/>
      <c r="M60" s="948"/>
    </row>
    <row r="61" spans="2:13" x14ac:dyDescent="0.2">
      <c r="D61" s="948"/>
      <c r="E61" s="949"/>
      <c r="F61" s="949"/>
      <c r="G61" s="949"/>
      <c r="H61" s="949"/>
      <c r="I61" s="948"/>
      <c r="J61" s="950"/>
      <c r="K61" s="948"/>
      <c r="L61" s="950"/>
      <c r="M61" s="948"/>
    </row>
    <row r="62" spans="2:13" x14ac:dyDescent="0.2">
      <c r="D62" s="948"/>
      <c r="E62" s="949"/>
      <c r="F62" s="949"/>
      <c r="G62" s="949"/>
      <c r="H62" s="949"/>
      <c r="I62" s="948"/>
      <c r="J62" s="950"/>
      <c r="K62" s="948"/>
      <c r="L62" s="950"/>
      <c r="M62" s="948"/>
    </row>
    <row r="63" spans="2:13" x14ac:dyDescent="0.2">
      <c r="D63" s="948"/>
      <c r="E63" s="949"/>
      <c r="F63" s="949"/>
      <c r="G63" s="949"/>
      <c r="H63" s="949"/>
      <c r="I63" s="948"/>
      <c r="J63" s="950"/>
      <c r="K63" s="948"/>
      <c r="L63" s="950"/>
      <c r="M63" s="948"/>
    </row>
  </sheetData>
  <mergeCells count="10">
    <mergeCell ref="B26:C26"/>
    <mergeCell ref="B27:L27"/>
    <mergeCell ref="B54:C54"/>
    <mergeCell ref="B55:C55"/>
    <mergeCell ref="B2:L2"/>
    <mergeCell ref="B3:B4"/>
    <mergeCell ref="C3:C4"/>
    <mergeCell ref="I3:J3"/>
    <mergeCell ref="K3:L3"/>
    <mergeCell ref="B5:L5"/>
  </mergeCells>
  <printOptions horizontalCentered="1"/>
  <pageMargins left="0.59055118110236227" right="0.59055118110236227" top="1.7716535433070868" bottom="0.78740157480314965" header="0" footer="0"/>
  <pageSetup paperSize="9" scale="69" orientation="landscape" r:id="rId1"/>
  <headerFooter scaleWithDoc="0">
    <oddHeader>&amp;L&amp;G</oddHeader>
    <oddFooter>&amp;C&amp;"-,Negrito"&amp;12DIONI CAETANEO DE OLIVEIRA
&amp;"-,Regular"ENGENHEIRO CIVIL - CREA /MT 40957
DEPARTAMENTO DE ENGENHARIA</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2931D-D2B3-4CFA-893D-73FD513BB251}">
  <sheetPr codeName="Planilha18">
    <tabColor rgb="FF92D050"/>
  </sheetPr>
  <dimension ref="B2:N64"/>
  <sheetViews>
    <sheetView showGridLines="0" view="pageLayout" topLeftCell="A40" zoomScaleNormal="85" zoomScaleSheetLayoutView="100" workbookViewId="0">
      <selection activeCell="Q34" activeCellId="1" sqref="P49 Q34"/>
    </sheetView>
  </sheetViews>
  <sheetFormatPr defaultColWidth="9.140625" defaultRowHeight="14.25" x14ac:dyDescent="0.2"/>
  <cols>
    <col min="1" max="1" width="9.140625" style="930"/>
    <col min="2" max="2" width="10.7109375" style="930" customWidth="1"/>
    <col min="3" max="3" width="41" style="930" customWidth="1"/>
    <col min="4" max="6" width="12.7109375" style="930" customWidth="1"/>
    <col min="7" max="7" width="15.85546875" style="930" customWidth="1"/>
    <col min="8" max="8" width="12.7109375" style="930" customWidth="1"/>
    <col min="9" max="9" width="0.85546875" style="930" customWidth="1"/>
    <col min="10" max="10" width="5.85546875" style="930" bestFit="1" customWidth="1"/>
    <col min="11" max="11" width="12.7109375" style="930" customWidth="1"/>
    <col min="12" max="12" width="5.85546875" style="930" bestFit="1" customWidth="1"/>
    <col min="13" max="13" width="12.7109375" style="930" customWidth="1"/>
    <col min="14" max="14" width="11.7109375" style="930" customWidth="1"/>
    <col min="15" max="16384" width="9.140625" style="930"/>
  </cols>
  <sheetData>
    <row r="2" spans="2:14" ht="24.95" customHeight="1" x14ac:dyDescent="0.2">
      <c r="B2" s="1568" t="s">
        <v>732</v>
      </c>
      <c r="C2" s="1569"/>
      <c r="D2" s="1569"/>
      <c r="E2" s="1569"/>
      <c r="F2" s="1569"/>
      <c r="G2" s="1569"/>
      <c r="H2" s="1569"/>
      <c r="I2" s="1569"/>
      <c r="J2" s="1569"/>
      <c r="K2" s="1569"/>
      <c r="L2" s="1569"/>
      <c r="M2" s="1569"/>
      <c r="N2" s="1570"/>
    </row>
    <row r="3" spans="2:14" ht="31.5" customHeight="1" x14ac:dyDescent="0.2">
      <c r="B3" s="1571" t="s">
        <v>174</v>
      </c>
      <c r="C3" s="1571" t="s">
        <v>559</v>
      </c>
      <c r="D3" s="1573" t="s">
        <v>733</v>
      </c>
      <c r="E3" s="1574" t="s">
        <v>734</v>
      </c>
      <c r="F3" s="1574" t="s">
        <v>735</v>
      </c>
      <c r="G3" s="1574" t="s">
        <v>736</v>
      </c>
      <c r="H3" s="1574" t="s">
        <v>566</v>
      </c>
      <c r="I3" s="933"/>
      <c r="J3" s="1575" t="s">
        <v>737</v>
      </c>
      <c r="K3" s="1575"/>
      <c r="L3" s="1576" t="s">
        <v>738</v>
      </c>
      <c r="M3" s="1577"/>
      <c r="N3" s="934" t="s">
        <v>435</v>
      </c>
    </row>
    <row r="4" spans="2:14" ht="15" x14ac:dyDescent="0.2">
      <c r="B4" s="1572"/>
      <c r="C4" s="1572"/>
      <c r="D4" s="1573"/>
      <c r="E4" s="1574"/>
      <c r="F4" s="1574"/>
      <c r="G4" s="1574"/>
      <c r="H4" s="1574"/>
      <c r="I4" s="933"/>
      <c r="J4" s="932" t="s">
        <v>739</v>
      </c>
      <c r="K4" s="932" t="s">
        <v>720</v>
      </c>
      <c r="L4" s="932" t="s">
        <v>739</v>
      </c>
      <c r="M4" s="932" t="s">
        <v>720</v>
      </c>
      <c r="N4" s="932" t="s">
        <v>720</v>
      </c>
    </row>
    <row r="5" spans="2:14" s="936" customFormat="1" ht="15" customHeight="1" x14ac:dyDescent="0.2">
      <c r="B5" s="1572"/>
      <c r="C5" s="1572"/>
      <c r="D5" s="931" t="s">
        <v>569</v>
      </c>
      <c r="E5" s="931" t="s">
        <v>569</v>
      </c>
      <c r="F5" s="931" t="s">
        <v>570</v>
      </c>
      <c r="G5" s="931" t="s">
        <v>570</v>
      </c>
      <c r="H5" s="931" t="s">
        <v>570</v>
      </c>
      <c r="I5" s="933"/>
      <c r="J5" s="931" t="s">
        <v>569</v>
      </c>
      <c r="K5" s="931" t="s">
        <v>725</v>
      </c>
      <c r="L5" s="931" t="s">
        <v>569</v>
      </c>
      <c r="M5" s="931" t="s">
        <v>725</v>
      </c>
      <c r="N5" s="931" t="s">
        <v>725</v>
      </c>
    </row>
    <row r="6" spans="2:14" s="936" customFormat="1" ht="15" customHeight="1" x14ac:dyDescent="0.25">
      <c r="B6" s="1561" t="s">
        <v>538</v>
      </c>
      <c r="C6" s="1562"/>
      <c r="D6" s="1562"/>
      <c r="E6" s="1562"/>
      <c r="F6" s="1562"/>
      <c r="G6" s="1562"/>
      <c r="H6" s="1562"/>
      <c r="I6" s="1562"/>
      <c r="J6" s="1562"/>
      <c r="K6" s="1562"/>
      <c r="L6" s="1562"/>
      <c r="M6" s="1562"/>
      <c r="N6" s="1563"/>
    </row>
    <row r="7" spans="2:14" s="936" customFormat="1" ht="15" customHeight="1" x14ac:dyDescent="0.2">
      <c r="B7" s="937">
        <v>1</v>
      </c>
      <c r="C7" s="938" t="s">
        <v>740</v>
      </c>
      <c r="D7" s="939">
        <v>170.42</v>
      </c>
      <c r="E7" s="939">
        <v>8.9</v>
      </c>
      <c r="F7" s="884">
        <f>TRUNC(E7*D7,2)</f>
        <v>1516.73</v>
      </c>
      <c r="G7" s="884">
        <v>13.86</v>
      </c>
      <c r="H7" s="940">
        <f>F7+G7</f>
        <v>1530.59</v>
      </c>
      <c r="I7" s="941"/>
      <c r="J7" s="939">
        <v>0</v>
      </c>
      <c r="K7" s="939">
        <f t="shared" ref="K7:K26" si="0">H7*J7</f>
        <v>0</v>
      </c>
      <c r="L7" s="939">
        <v>0.25</v>
      </c>
      <c r="M7" s="939">
        <f>H7*L7</f>
        <v>382.64749999999998</v>
      </c>
      <c r="N7" s="939">
        <f>K7+M7</f>
        <v>382.64749999999998</v>
      </c>
    </row>
    <row r="8" spans="2:14" s="936" customFormat="1" ht="15" customHeight="1" x14ac:dyDescent="0.2">
      <c r="B8" s="937">
        <v>2</v>
      </c>
      <c r="C8" s="938" t="s">
        <v>741</v>
      </c>
      <c r="D8" s="939">
        <v>142.33000000000001</v>
      </c>
      <c r="E8" s="939">
        <v>8.9</v>
      </c>
      <c r="F8" s="884">
        <f t="shared" ref="F8:F26" si="1">TRUNC(E8*D8,2)</f>
        <v>1266.73</v>
      </c>
      <c r="G8" s="884">
        <v>13.719999999999999</v>
      </c>
      <c r="H8" s="940">
        <f t="shared" ref="H8:H26" si="2">F8+G8</f>
        <v>1280.45</v>
      </c>
      <c r="I8" s="933"/>
      <c r="J8" s="939">
        <v>0</v>
      </c>
      <c r="K8" s="939">
        <f t="shared" si="0"/>
        <v>0</v>
      </c>
      <c r="L8" s="939">
        <v>0.25</v>
      </c>
      <c r="M8" s="939">
        <f t="shared" ref="M8:M26" si="3">H8*L8</f>
        <v>320.11250000000001</v>
      </c>
      <c r="N8" s="939">
        <f t="shared" ref="N8:N26" si="4">K8+M8</f>
        <v>320.11250000000001</v>
      </c>
    </row>
    <row r="9" spans="2:14" s="936" customFormat="1" ht="15" customHeight="1" x14ac:dyDescent="0.2">
      <c r="B9" s="937">
        <v>3</v>
      </c>
      <c r="C9" s="938" t="s">
        <v>742</v>
      </c>
      <c r="D9" s="939">
        <v>67.040000000000006</v>
      </c>
      <c r="E9" s="939">
        <v>8.9</v>
      </c>
      <c r="F9" s="884">
        <f t="shared" si="1"/>
        <v>596.65</v>
      </c>
      <c r="G9" s="884">
        <v>13.74</v>
      </c>
      <c r="H9" s="940">
        <f t="shared" si="2"/>
        <v>610.39</v>
      </c>
      <c r="I9" s="933"/>
      <c r="J9" s="939">
        <v>0</v>
      </c>
      <c r="K9" s="939">
        <f t="shared" si="0"/>
        <v>0</v>
      </c>
      <c r="L9" s="939">
        <v>0.25</v>
      </c>
      <c r="M9" s="939">
        <f t="shared" si="3"/>
        <v>152.5975</v>
      </c>
      <c r="N9" s="939">
        <f t="shared" si="4"/>
        <v>152.5975</v>
      </c>
    </row>
    <row r="10" spans="2:14" s="936" customFormat="1" ht="15" customHeight="1" x14ac:dyDescent="0.2">
      <c r="B10" s="937">
        <v>4</v>
      </c>
      <c r="C10" s="938" t="s">
        <v>743</v>
      </c>
      <c r="D10" s="939">
        <v>83.86</v>
      </c>
      <c r="E10" s="939">
        <v>8.9</v>
      </c>
      <c r="F10" s="884">
        <f t="shared" si="1"/>
        <v>746.35</v>
      </c>
      <c r="G10" s="884">
        <v>13.73</v>
      </c>
      <c r="H10" s="940">
        <f t="shared" si="2"/>
        <v>760.08</v>
      </c>
      <c r="I10" s="933"/>
      <c r="J10" s="939">
        <v>0</v>
      </c>
      <c r="K10" s="939">
        <f t="shared" si="0"/>
        <v>0</v>
      </c>
      <c r="L10" s="939">
        <v>0.25</v>
      </c>
      <c r="M10" s="939">
        <f t="shared" si="3"/>
        <v>190.02</v>
      </c>
      <c r="N10" s="939">
        <f t="shared" si="4"/>
        <v>190.02</v>
      </c>
    </row>
    <row r="11" spans="2:14" s="936" customFormat="1" ht="15" customHeight="1" x14ac:dyDescent="0.2">
      <c r="B11" s="937">
        <v>5</v>
      </c>
      <c r="C11" s="938" t="s">
        <v>744</v>
      </c>
      <c r="D11" s="939">
        <v>164.36</v>
      </c>
      <c r="E11" s="939">
        <v>8.9</v>
      </c>
      <c r="F11" s="884">
        <f t="shared" si="1"/>
        <v>1462.8</v>
      </c>
      <c r="G11" s="884">
        <v>13.83</v>
      </c>
      <c r="H11" s="940">
        <f t="shared" si="2"/>
        <v>1476.6299999999999</v>
      </c>
      <c r="I11" s="933"/>
      <c r="J11" s="939">
        <v>0</v>
      </c>
      <c r="K11" s="939">
        <f t="shared" si="0"/>
        <v>0</v>
      </c>
      <c r="L11" s="939">
        <v>0.25</v>
      </c>
      <c r="M11" s="939">
        <f t="shared" si="3"/>
        <v>369.15749999999997</v>
      </c>
      <c r="N11" s="939">
        <f t="shared" si="4"/>
        <v>369.15749999999997</v>
      </c>
    </row>
    <row r="12" spans="2:14" s="936" customFormat="1" ht="15" customHeight="1" x14ac:dyDescent="0.2">
      <c r="B12" s="937">
        <v>6</v>
      </c>
      <c r="C12" s="938" t="s">
        <v>745</v>
      </c>
      <c r="D12" s="939">
        <v>142.24</v>
      </c>
      <c r="E12" s="939">
        <v>8.9</v>
      </c>
      <c r="F12" s="884">
        <f t="shared" si="1"/>
        <v>1265.93</v>
      </c>
      <c r="G12" s="884">
        <v>13.74</v>
      </c>
      <c r="H12" s="940">
        <f t="shared" si="2"/>
        <v>1279.67</v>
      </c>
      <c r="I12" s="933"/>
      <c r="J12" s="939">
        <v>0</v>
      </c>
      <c r="K12" s="939">
        <f t="shared" si="0"/>
        <v>0</v>
      </c>
      <c r="L12" s="939">
        <v>0.25</v>
      </c>
      <c r="M12" s="939">
        <f t="shared" si="3"/>
        <v>319.91750000000002</v>
      </c>
      <c r="N12" s="939">
        <f t="shared" si="4"/>
        <v>319.91750000000002</v>
      </c>
    </row>
    <row r="13" spans="2:14" s="936" customFormat="1" ht="15" customHeight="1" x14ac:dyDescent="0.2">
      <c r="B13" s="937">
        <v>7</v>
      </c>
      <c r="C13" s="938" t="s">
        <v>746</v>
      </c>
      <c r="D13" s="939">
        <v>66.94</v>
      </c>
      <c r="E13" s="939">
        <v>8.9</v>
      </c>
      <c r="F13" s="884">
        <f t="shared" si="1"/>
        <v>595.76</v>
      </c>
      <c r="G13" s="884">
        <v>13.739999999999998</v>
      </c>
      <c r="H13" s="940">
        <f t="shared" si="2"/>
        <v>609.5</v>
      </c>
      <c r="I13" s="933"/>
      <c r="J13" s="939">
        <v>0</v>
      </c>
      <c r="K13" s="939">
        <f t="shared" si="0"/>
        <v>0</v>
      </c>
      <c r="L13" s="939">
        <v>0.25</v>
      </c>
      <c r="M13" s="939">
        <f t="shared" si="3"/>
        <v>152.375</v>
      </c>
      <c r="N13" s="939">
        <f t="shared" si="4"/>
        <v>152.375</v>
      </c>
    </row>
    <row r="14" spans="2:14" s="936" customFormat="1" ht="15" customHeight="1" x14ac:dyDescent="0.2">
      <c r="B14" s="937">
        <v>8</v>
      </c>
      <c r="C14" s="938" t="s">
        <v>747</v>
      </c>
      <c r="D14" s="939">
        <v>91.27</v>
      </c>
      <c r="E14" s="939">
        <v>8.9</v>
      </c>
      <c r="F14" s="884">
        <f t="shared" si="1"/>
        <v>812.3</v>
      </c>
      <c r="G14" s="884">
        <v>13.73</v>
      </c>
      <c r="H14" s="940">
        <f t="shared" si="2"/>
        <v>826.03</v>
      </c>
      <c r="I14" s="933"/>
      <c r="J14" s="939">
        <v>0</v>
      </c>
      <c r="K14" s="939">
        <f t="shared" si="0"/>
        <v>0</v>
      </c>
      <c r="L14" s="939">
        <v>0.25</v>
      </c>
      <c r="M14" s="939">
        <f t="shared" si="3"/>
        <v>206.50749999999999</v>
      </c>
      <c r="N14" s="939">
        <f t="shared" si="4"/>
        <v>206.50749999999999</v>
      </c>
    </row>
    <row r="15" spans="2:14" s="936" customFormat="1" ht="15" customHeight="1" x14ac:dyDescent="0.2">
      <c r="B15" s="937">
        <v>9</v>
      </c>
      <c r="C15" s="938" t="s">
        <v>748</v>
      </c>
      <c r="D15" s="939">
        <v>158.51</v>
      </c>
      <c r="E15" s="939">
        <v>8.9</v>
      </c>
      <c r="F15" s="884">
        <f t="shared" si="1"/>
        <v>1410.73</v>
      </c>
      <c r="G15" s="884">
        <v>13.850000000000001</v>
      </c>
      <c r="H15" s="940">
        <f t="shared" si="2"/>
        <v>1424.58</v>
      </c>
      <c r="I15" s="933"/>
      <c r="J15" s="939">
        <v>0</v>
      </c>
      <c r="K15" s="939">
        <f t="shared" si="0"/>
        <v>0</v>
      </c>
      <c r="L15" s="939">
        <v>0.25</v>
      </c>
      <c r="M15" s="939">
        <f t="shared" si="3"/>
        <v>356.14499999999998</v>
      </c>
      <c r="N15" s="939">
        <f t="shared" si="4"/>
        <v>356.14499999999998</v>
      </c>
    </row>
    <row r="16" spans="2:14" s="936" customFormat="1" ht="15" customHeight="1" x14ac:dyDescent="0.2">
      <c r="B16" s="937">
        <v>10</v>
      </c>
      <c r="C16" s="938" t="s">
        <v>749</v>
      </c>
      <c r="D16" s="939">
        <v>142.15</v>
      </c>
      <c r="E16" s="939">
        <v>8.9</v>
      </c>
      <c r="F16" s="884">
        <f t="shared" si="1"/>
        <v>1265.1300000000001</v>
      </c>
      <c r="G16" s="884">
        <v>13.739999999999998</v>
      </c>
      <c r="H16" s="940">
        <f t="shared" si="2"/>
        <v>1278.8700000000001</v>
      </c>
      <c r="I16" s="933"/>
      <c r="J16" s="939">
        <v>0</v>
      </c>
      <c r="K16" s="939">
        <f t="shared" si="0"/>
        <v>0</v>
      </c>
      <c r="L16" s="939">
        <v>0.25</v>
      </c>
      <c r="M16" s="939">
        <f t="shared" si="3"/>
        <v>319.71750000000003</v>
      </c>
      <c r="N16" s="939">
        <f t="shared" si="4"/>
        <v>319.71750000000003</v>
      </c>
    </row>
    <row r="17" spans="2:14" s="936" customFormat="1" ht="15" customHeight="1" x14ac:dyDescent="0.2">
      <c r="B17" s="937">
        <v>11</v>
      </c>
      <c r="C17" s="938" t="s">
        <v>750</v>
      </c>
      <c r="D17" s="939">
        <v>66.86</v>
      </c>
      <c r="E17" s="939">
        <v>8.9</v>
      </c>
      <c r="F17" s="884">
        <f t="shared" si="1"/>
        <v>595.04999999999995</v>
      </c>
      <c r="G17" s="884">
        <v>13.74</v>
      </c>
      <c r="H17" s="940">
        <f t="shared" si="2"/>
        <v>608.79</v>
      </c>
      <c r="I17" s="933"/>
      <c r="J17" s="939">
        <v>0</v>
      </c>
      <c r="K17" s="939">
        <f t="shared" si="0"/>
        <v>0</v>
      </c>
      <c r="L17" s="939">
        <v>0.25</v>
      </c>
      <c r="M17" s="939">
        <f t="shared" si="3"/>
        <v>152.19749999999999</v>
      </c>
      <c r="N17" s="939">
        <f t="shared" si="4"/>
        <v>152.19749999999999</v>
      </c>
    </row>
    <row r="18" spans="2:14" s="936" customFormat="1" ht="15" customHeight="1" x14ac:dyDescent="0.2">
      <c r="B18" s="937">
        <v>12</v>
      </c>
      <c r="C18" s="938" t="s">
        <v>751</v>
      </c>
      <c r="D18" s="939">
        <v>98.04</v>
      </c>
      <c r="E18" s="939">
        <v>8.9</v>
      </c>
      <c r="F18" s="884">
        <f t="shared" si="1"/>
        <v>872.55</v>
      </c>
      <c r="G18" s="884">
        <v>13.73</v>
      </c>
      <c r="H18" s="940">
        <f t="shared" si="2"/>
        <v>886.28</v>
      </c>
      <c r="I18" s="933"/>
      <c r="J18" s="939">
        <v>0</v>
      </c>
      <c r="K18" s="939">
        <f t="shared" si="0"/>
        <v>0</v>
      </c>
      <c r="L18" s="939">
        <v>0.25</v>
      </c>
      <c r="M18" s="939">
        <f t="shared" si="3"/>
        <v>221.57</v>
      </c>
      <c r="N18" s="939">
        <f t="shared" si="4"/>
        <v>221.57</v>
      </c>
    </row>
    <row r="19" spans="2:14" s="936" customFormat="1" ht="15" customHeight="1" x14ac:dyDescent="0.2">
      <c r="B19" s="937">
        <v>13</v>
      </c>
      <c r="C19" s="938" t="s">
        <v>752</v>
      </c>
      <c r="D19" s="939">
        <v>302.62</v>
      </c>
      <c r="E19" s="939">
        <v>8.9</v>
      </c>
      <c r="F19" s="884">
        <f t="shared" si="1"/>
        <v>2693.31</v>
      </c>
      <c r="G19" s="884">
        <v>87.6</v>
      </c>
      <c r="H19" s="940">
        <f t="shared" si="2"/>
        <v>2780.91</v>
      </c>
      <c r="I19" s="933"/>
      <c r="J19" s="939">
        <v>0</v>
      </c>
      <c r="K19" s="939">
        <f t="shared" si="0"/>
        <v>0</v>
      </c>
      <c r="L19" s="939">
        <v>0.25</v>
      </c>
      <c r="M19" s="939">
        <f t="shared" si="3"/>
        <v>695.22749999999996</v>
      </c>
      <c r="N19" s="939">
        <f t="shared" si="4"/>
        <v>695.22749999999996</v>
      </c>
    </row>
    <row r="20" spans="2:14" s="936" customFormat="1" ht="15" customHeight="1" x14ac:dyDescent="0.2">
      <c r="B20" s="937">
        <v>14</v>
      </c>
      <c r="C20" s="938" t="s">
        <v>753</v>
      </c>
      <c r="D20" s="939">
        <v>66.77</v>
      </c>
      <c r="E20" s="939">
        <v>8.9</v>
      </c>
      <c r="F20" s="884">
        <f t="shared" si="1"/>
        <v>594.25</v>
      </c>
      <c r="G20" s="884">
        <v>13.74</v>
      </c>
      <c r="H20" s="940">
        <f t="shared" si="2"/>
        <v>607.99</v>
      </c>
      <c r="I20" s="933"/>
      <c r="J20" s="939">
        <v>0</v>
      </c>
      <c r="K20" s="939">
        <f t="shared" si="0"/>
        <v>0</v>
      </c>
      <c r="L20" s="939">
        <v>0.25</v>
      </c>
      <c r="M20" s="939">
        <f t="shared" si="3"/>
        <v>151.9975</v>
      </c>
      <c r="N20" s="939">
        <f t="shared" si="4"/>
        <v>151.9975</v>
      </c>
    </row>
    <row r="21" spans="2:14" s="936" customFormat="1" ht="15" customHeight="1" x14ac:dyDescent="0.2">
      <c r="B21" s="937">
        <v>15</v>
      </c>
      <c r="C21" s="938" t="s">
        <v>754</v>
      </c>
      <c r="D21" s="939">
        <v>104.81</v>
      </c>
      <c r="E21" s="939">
        <v>8.9</v>
      </c>
      <c r="F21" s="884">
        <f t="shared" si="1"/>
        <v>932.8</v>
      </c>
      <c r="G21" s="884">
        <v>13.73</v>
      </c>
      <c r="H21" s="940">
        <f t="shared" si="2"/>
        <v>946.53</v>
      </c>
      <c r="I21" s="933"/>
      <c r="J21" s="939">
        <v>0</v>
      </c>
      <c r="K21" s="939">
        <f t="shared" si="0"/>
        <v>0</v>
      </c>
      <c r="L21" s="939">
        <v>0.25</v>
      </c>
      <c r="M21" s="939">
        <f t="shared" si="3"/>
        <v>236.63249999999999</v>
      </c>
      <c r="N21" s="939">
        <f t="shared" si="4"/>
        <v>236.63249999999999</v>
      </c>
    </row>
    <row r="22" spans="2:14" s="936" customFormat="1" ht="15" customHeight="1" x14ac:dyDescent="0.2">
      <c r="B22" s="937">
        <v>16</v>
      </c>
      <c r="C22" s="938" t="s">
        <v>755</v>
      </c>
      <c r="D22" s="939">
        <v>401.18</v>
      </c>
      <c r="E22" s="939">
        <v>8.9</v>
      </c>
      <c r="F22" s="884">
        <f t="shared" si="1"/>
        <v>3570.5</v>
      </c>
      <c r="G22" s="884">
        <v>41.9</v>
      </c>
      <c r="H22" s="940">
        <f t="shared" si="2"/>
        <v>3612.4</v>
      </c>
      <c r="I22" s="933"/>
      <c r="J22" s="939">
        <v>0</v>
      </c>
      <c r="K22" s="939">
        <f t="shared" si="0"/>
        <v>0</v>
      </c>
      <c r="L22" s="939">
        <v>0.25</v>
      </c>
      <c r="M22" s="939">
        <f t="shared" si="3"/>
        <v>903.1</v>
      </c>
      <c r="N22" s="939">
        <f t="shared" si="4"/>
        <v>903.1</v>
      </c>
    </row>
    <row r="23" spans="2:14" s="936" customFormat="1" ht="15" customHeight="1" x14ac:dyDescent="0.2">
      <c r="B23" s="937">
        <v>17</v>
      </c>
      <c r="C23" s="938" t="s">
        <v>756</v>
      </c>
      <c r="D23" s="939">
        <v>292.12</v>
      </c>
      <c r="E23" s="939">
        <v>8.9</v>
      </c>
      <c r="F23" s="884">
        <f t="shared" si="1"/>
        <v>2599.86</v>
      </c>
      <c r="G23" s="884">
        <v>13.700000000000001</v>
      </c>
      <c r="H23" s="940">
        <f t="shared" si="2"/>
        <v>2613.56</v>
      </c>
      <c r="I23" s="933"/>
      <c r="J23" s="939">
        <v>0</v>
      </c>
      <c r="K23" s="939">
        <f t="shared" si="0"/>
        <v>0</v>
      </c>
      <c r="L23" s="939">
        <v>0.25</v>
      </c>
      <c r="M23" s="939">
        <f t="shared" si="3"/>
        <v>653.39</v>
      </c>
      <c r="N23" s="939">
        <f t="shared" si="4"/>
        <v>653.39</v>
      </c>
    </row>
    <row r="24" spans="2:14" s="936" customFormat="1" ht="15" customHeight="1" x14ac:dyDescent="0.2">
      <c r="B24" s="937">
        <v>18</v>
      </c>
      <c r="C24" s="938" t="s">
        <v>757</v>
      </c>
      <c r="D24" s="939">
        <v>80.52</v>
      </c>
      <c r="E24" s="939">
        <v>7.9</v>
      </c>
      <c r="F24" s="884">
        <f t="shared" si="1"/>
        <v>636.1</v>
      </c>
      <c r="G24" s="884">
        <v>13.52</v>
      </c>
      <c r="H24" s="940">
        <f t="shared" si="2"/>
        <v>649.62</v>
      </c>
      <c r="I24" s="933"/>
      <c r="J24" s="939">
        <v>0</v>
      </c>
      <c r="K24" s="939">
        <f t="shared" si="0"/>
        <v>0</v>
      </c>
      <c r="L24" s="939">
        <v>0.25</v>
      </c>
      <c r="M24" s="939">
        <f t="shared" si="3"/>
        <v>162.405</v>
      </c>
      <c r="N24" s="939">
        <f t="shared" si="4"/>
        <v>162.405</v>
      </c>
    </row>
    <row r="25" spans="2:14" s="936" customFormat="1" ht="15" customHeight="1" x14ac:dyDescent="0.2">
      <c r="B25" s="937">
        <v>19</v>
      </c>
      <c r="C25" s="938" t="s">
        <v>758</v>
      </c>
      <c r="D25" s="939">
        <v>381.4</v>
      </c>
      <c r="E25" s="939">
        <v>8.9</v>
      </c>
      <c r="F25" s="884">
        <f t="shared" si="1"/>
        <v>3394.46</v>
      </c>
      <c r="G25" s="884">
        <v>13.620000000000001</v>
      </c>
      <c r="H25" s="940">
        <f t="shared" si="2"/>
        <v>3408.08</v>
      </c>
      <c r="I25" s="933"/>
      <c r="J25" s="939">
        <v>0</v>
      </c>
      <c r="K25" s="939">
        <f t="shared" si="0"/>
        <v>0</v>
      </c>
      <c r="L25" s="939">
        <v>0.25</v>
      </c>
      <c r="M25" s="939">
        <f t="shared" si="3"/>
        <v>852.02</v>
      </c>
      <c r="N25" s="939">
        <f t="shared" si="4"/>
        <v>852.02</v>
      </c>
    </row>
    <row r="26" spans="2:14" s="936" customFormat="1" ht="15" customHeight="1" x14ac:dyDescent="0.2">
      <c r="B26" s="937">
        <v>20</v>
      </c>
      <c r="C26" s="938" t="s">
        <v>759</v>
      </c>
      <c r="D26" s="939">
        <v>381.88</v>
      </c>
      <c r="E26" s="939">
        <v>8.9</v>
      </c>
      <c r="F26" s="884">
        <f t="shared" si="1"/>
        <v>3398.73</v>
      </c>
      <c r="G26" s="884">
        <v>13.74</v>
      </c>
      <c r="H26" s="940">
        <f t="shared" si="2"/>
        <v>3412.47</v>
      </c>
      <c r="I26" s="933"/>
      <c r="J26" s="939">
        <v>0</v>
      </c>
      <c r="K26" s="939">
        <f t="shared" si="0"/>
        <v>0</v>
      </c>
      <c r="L26" s="939">
        <v>0.25</v>
      </c>
      <c r="M26" s="939">
        <f t="shared" si="3"/>
        <v>853.11749999999995</v>
      </c>
      <c r="N26" s="939">
        <f t="shared" si="4"/>
        <v>853.11749999999995</v>
      </c>
    </row>
    <row r="27" spans="2:14" s="936" customFormat="1" ht="15" customHeight="1" x14ac:dyDescent="0.25">
      <c r="B27" s="1564" t="s">
        <v>760</v>
      </c>
      <c r="C27" s="1565"/>
      <c r="D27" s="942">
        <f>TRUNC(SUM(D7:D26),2)</f>
        <v>3405.32</v>
      </c>
      <c r="E27" s="942"/>
      <c r="F27" s="942">
        <f t="shared" ref="F27:N27" si="5">TRUNC(SUM(F7:F26),2)</f>
        <v>30226.720000000001</v>
      </c>
      <c r="G27" s="942">
        <f t="shared" si="5"/>
        <v>376.7</v>
      </c>
      <c r="H27" s="942">
        <f t="shared" si="5"/>
        <v>30603.42</v>
      </c>
      <c r="I27" s="942">
        <f t="shared" si="5"/>
        <v>0</v>
      </c>
      <c r="J27" s="942"/>
      <c r="K27" s="942">
        <f t="shared" si="5"/>
        <v>0</v>
      </c>
      <c r="L27" s="942"/>
      <c r="M27" s="942">
        <f t="shared" si="5"/>
        <v>7650.85</v>
      </c>
      <c r="N27" s="942">
        <f t="shared" si="5"/>
        <v>7650.85</v>
      </c>
    </row>
    <row r="28" spans="2:14" s="936" customFormat="1" ht="15" customHeight="1" x14ac:dyDescent="0.25">
      <c r="B28" s="1561" t="s">
        <v>555</v>
      </c>
      <c r="C28" s="1562"/>
      <c r="D28" s="1562"/>
      <c r="E28" s="1562"/>
      <c r="F28" s="1562"/>
      <c r="G28" s="1562"/>
      <c r="H28" s="1562"/>
      <c r="I28" s="1562"/>
      <c r="J28" s="1562"/>
      <c r="K28" s="1562"/>
      <c r="L28" s="1562"/>
      <c r="M28" s="1562"/>
      <c r="N28" s="1563"/>
    </row>
    <row r="29" spans="2:14" s="936" customFormat="1" ht="15" customHeight="1" x14ac:dyDescent="0.25">
      <c r="B29" s="937">
        <v>21</v>
      </c>
      <c r="C29" s="938" t="s">
        <v>761</v>
      </c>
      <c r="D29" s="939">
        <v>505.16</v>
      </c>
      <c r="E29" s="939">
        <v>8.9</v>
      </c>
      <c r="F29" s="884">
        <f t="shared" ref="F29:F54" si="6">TRUNC(E29*D29,2)</f>
        <v>4495.92</v>
      </c>
      <c r="G29" s="884">
        <v>13.83</v>
      </c>
      <c r="H29" s="940">
        <f t="shared" ref="H29:H54" si="7">F29+G29</f>
        <v>4509.75</v>
      </c>
      <c r="J29" s="939">
        <v>0</v>
      </c>
      <c r="K29" s="939">
        <f>H29*J29</f>
        <v>0</v>
      </c>
      <c r="L29" s="939">
        <v>0.25</v>
      </c>
      <c r="M29" s="939">
        <f>H29*L29</f>
        <v>1127.4375</v>
      </c>
      <c r="N29" s="939">
        <f>K29+M29</f>
        <v>1127.4375</v>
      </c>
    </row>
    <row r="30" spans="2:14" s="936" customFormat="1" ht="15" customHeight="1" x14ac:dyDescent="0.25">
      <c r="B30" s="937">
        <v>22</v>
      </c>
      <c r="C30" s="938" t="s">
        <v>762</v>
      </c>
      <c r="D30" s="939">
        <v>343.2</v>
      </c>
      <c r="E30" s="939">
        <v>8.9</v>
      </c>
      <c r="F30" s="884">
        <f t="shared" si="6"/>
        <v>3054.48</v>
      </c>
      <c r="G30" s="884">
        <v>13.72</v>
      </c>
      <c r="H30" s="940">
        <f t="shared" si="7"/>
        <v>3068.2</v>
      </c>
      <c r="J30" s="939">
        <f>J29</f>
        <v>0</v>
      </c>
      <c r="K30" s="939">
        <f t="shared" ref="K30:K54" si="8">H30*J30</f>
        <v>0</v>
      </c>
      <c r="L30" s="939">
        <f>L29</f>
        <v>0.25</v>
      </c>
      <c r="M30" s="939">
        <f t="shared" ref="M30:M54" si="9">H30*L30</f>
        <v>767.05</v>
      </c>
      <c r="N30" s="939">
        <f t="shared" ref="N30:N54" si="10">K30+M30</f>
        <v>767.05</v>
      </c>
    </row>
    <row r="31" spans="2:14" s="936" customFormat="1" ht="15" customHeight="1" x14ac:dyDescent="0.25">
      <c r="B31" s="937">
        <v>23</v>
      </c>
      <c r="C31" s="938" t="s">
        <v>763</v>
      </c>
      <c r="D31" s="939">
        <v>497.94</v>
      </c>
      <c r="E31" s="939">
        <v>8.9</v>
      </c>
      <c r="F31" s="884">
        <f t="shared" si="6"/>
        <v>4431.66</v>
      </c>
      <c r="G31" s="884">
        <v>118.53</v>
      </c>
      <c r="H31" s="940">
        <f t="shared" si="7"/>
        <v>4550.1899999999996</v>
      </c>
      <c r="J31" s="939">
        <f t="shared" ref="J31:J54" si="11">J30</f>
        <v>0</v>
      </c>
      <c r="K31" s="939">
        <f t="shared" si="8"/>
        <v>0</v>
      </c>
      <c r="L31" s="939">
        <f t="shared" ref="L31:L54" si="12">L30</f>
        <v>0.25</v>
      </c>
      <c r="M31" s="939">
        <f t="shared" si="9"/>
        <v>1137.5474999999999</v>
      </c>
      <c r="N31" s="939">
        <f t="shared" si="10"/>
        <v>1137.5474999999999</v>
      </c>
    </row>
    <row r="32" spans="2:14" s="936" customFormat="1" ht="15" customHeight="1" x14ac:dyDescent="0.2">
      <c r="B32" s="937">
        <v>24</v>
      </c>
      <c r="C32" s="938" t="s">
        <v>764</v>
      </c>
      <c r="D32" s="939">
        <v>67.91</v>
      </c>
      <c r="E32" s="939">
        <v>8.9</v>
      </c>
      <c r="F32" s="884">
        <f t="shared" si="6"/>
        <v>604.39</v>
      </c>
      <c r="G32" s="884">
        <v>6.87</v>
      </c>
      <c r="H32" s="940">
        <f t="shared" si="7"/>
        <v>611.26</v>
      </c>
      <c r="I32" s="943"/>
      <c r="J32" s="939">
        <f t="shared" si="11"/>
        <v>0</v>
      </c>
      <c r="K32" s="939">
        <f t="shared" si="8"/>
        <v>0</v>
      </c>
      <c r="L32" s="939">
        <f t="shared" si="12"/>
        <v>0.25</v>
      </c>
      <c r="M32" s="939">
        <f t="shared" si="9"/>
        <v>152.815</v>
      </c>
      <c r="N32" s="939">
        <f t="shared" si="10"/>
        <v>152.815</v>
      </c>
    </row>
    <row r="33" spans="2:14" s="936" customFormat="1" ht="15" customHeight="1" x14ac:dyDescent="0.2">
      <c r="B33" s="937">
        <v>25</v>
      </c>
      <c r="C33" s="938" t="s">
        <v>765</v>
      </c>
      <c r="D33" s="939">
        <v>355.88</v>
      </c>
      <c r="E33" s="939">
        <v>8.9</v>
      </c>
      <c r="F33" s="884">
        <f t="shared" si="6"/>
        <v>3167.33</v>
      </c>
      <c r="G33" s="884">
        <v>91.470000000000013</v>
      </c>
      <c r="H33" s="940">
        <f t="shared" si="7"/>
        <v>3258.7999999999997</v>
      </c>
      <c r="I33" s="930"/>
      <c r="J33" s="939">
        <f t="shared" si="11"/>
        <v>0</v>
      </c>
      <c r="K33" s="939">
        <f t="shared" si="8"/>
        <v>0</v>
      </c>
      <c r="L33" s="939">
        <f t="shared" si="12"/>
        <v>0.25</v>
      </c>
      <c r="M33" s="939">
        <f t="shared" si="9"/>
        <v>814.69999999999993</v>
      </c>
      <c r="N33" s="939">
        <f t="shared" si="10"/>
        <v>814.69999999999993</v>
      </c>
    </row>
    <row r="34" spans="2:14" s="936" customFormat="1" ht="15" customHeight="1" x14ac:dyDescent="0.2">
      <c r="B34" s="937">
        <v>26</v>
      </c>
      <c r="C34" s="938" t="s">
        <v>766</v>
      </c>
      <c r="D34" s="939">
        <v>547.84</v>
      </c>
      <c r="E34" s="939">
        <v>8.9</v>
      </c>
      <c r="F34" s="884">
        <f t="shared" si="6"/>
        <v>4875.7700000000004</v>
      </c>
      <c r="G34" s="884">
        <v>244.12</v>
      </c>
      <c r="H34" s="940">
        <f t="shared" si="7"/>
        <v>5119.8900000000003</v>
      </c>
      <c r="I34" s="930"/>
      <c r="J34" s="939">
        <f t="shared" si="11"/>
        <v>0</v>
      </c>
      <c r="K34" s="939">
        <f t="shared" si="8"/>
        <v>0</v>
      </c>
      <c r="L34" s="939">
        <f t="shared" si="12"/>
        <v>0.25</v>
      </c>
      <c r="M34" s="939">
        <f t="shared" si="9"/>
        <v>1279.9725000000001</v>
      </c>
      <c r="N34" s="939">
        <f t="shared" si="10"/>
        <v>1279.9725000000001</v>
      </c>
    </row>
    <row r="35" spans="2:14" s="936" customFormat="1" ht="15" customHeight="1" x14ac:dyDescent="0.2">
      <c r="B35" s="937">
        <v>27</v>
      </c>
      <c r="C35" s="938" t="s">
        <v>767</v>
      </c>
      <c r="D35" s="939">
        <v>107.04</v>
      </c>
      <c r="E35" s="939">
        <v>7.9</v>
      </c>
      <c r="F35" s="884">
        <f t="shared" si="6"/>
        <v>845.61</v>
      </c>
      <c r="G35" s="884">
        <v>13.71</v>
      </c>
      <c r="H35" s="940">
        <f t="shared" si="7"/>
        <v>859.32</v>
      </c>
      <c r="I35" s="930"/>
      <c r="J35" s="939">
        <f t="shared" si="11"/>
        <v>0</v>
      </c>
      <c r="K35" s="939">
        <f t="shared" si="8"/>
        <v>0</v>
      </c>
      <c r="L35" s="939">
        <f t="shared" si="12"/>
        <v>0.25</v>
      </c>
      <c r="M35" s="939">
        <f t="shared" si="9"/>
        <v>214.83</v>
      </c>
      <c r="N35" s="939">
        <f t="shared" si="10"/>
        <v>214.83</v>
      </c>
    </row>
    <row r="36" spans="2:14" s="936" customFormat="1" ht="15" customHeight="1" x14ac:dyDescent="0.2">
      <c r="B36" s="937">
        <v>28</v>
      </c>
      <c r="C36" s="938" t="s">
        <v>768</v>
      </c>
      <c r="D36" s="939">
        <v>69.52</v>
      </c>
      <c r="E36" s="939">
        <v>7.9</v>
      </c>
      <c r="F36" s="884">
        <f t="shared" si="6"/>
        <v>549.20000000000005</v>
      </c>
      <c r="G36" s="884">
        <v>13.68</v>
      </c>
      <c r="H36" s="940">
        <f t="shared" si="7"/>
        <v>562.88</v>
      </c>
      <c r="I36" s="930"/>
      <c r="J36" s="939">
        <f t="shared" si="11"/>
        <v>0</v>
      </c>
      <c r="K36" s="939">
        <f t="shared" si="8"/>
        <v>0</v>
      </c>
      <c r="L36" s="939">
        <f t="shared" si="12"/>
        <v>0.25</v>
      </c>
      <c r="M36" s="939">
        <f t="shared" si="9"/>
        <v>140.72</v>
      </c>
      <c r="N36" s="939">
        <f t="shared" si="10"/>
        <v>140.72</v>
      </c>
    </row>
    <row r="37" spans="2:14" s="936" customFormat="1" ht="15" customHeight="1" x14ac:dyDescent="0.2">
      <c r="B37" s="937">
        <v>29</v>
      </c>
      <c r="C37" s="938" t="s">
        <v>769</v>
      </c>
      <c r="D37" s="939">
        <v>105.47</v>
      </c>
      <c r="E37" s="939">
        <v>7.9</v>
      </c>
      <c r="F37" s="884">
        <f t="shared" si="6"/>
        <v>833.21</v>
      </c>
      <c r="G37" s="884">
        <v>13.73</v>
      </c>
      <c r="H37" s="940">
        <f t="shared" si="7"/>
        <v>846.94</v>
      </c>
      <c r="I37" s="930"/>
      <c r="J37" s="939">
        <f t="shared" si="11"/>
        <v>0</v>
      </c>
      <c r="K37" s="939">
        <f t="shared" si="8"/>
        <v>0</v>
      </c>
      <c r="L37" s="939">
        <f t="shared" si="12"/>
        <v>0.25</v>
      </c>
      <c r="M37" s="939">
        <f t="shared" si="9"/>
        <v>211.73500000000001</v>
      </c>
      <c r="N37" s="939">
        <f t="shared" si="10"/>
        <v>211.73500000000001</v>
      </c>
    </row>
    <row r="38" spans="2:14" s="936" customFormat="1" ht="15" customHeight="1" x14ac:dyDescent="0.2">
      <c r="B38" s="937">
        <v>30</v>
      </c>
      <c r="C38" s="938" t="s">
        <v>770</v>
      </c>
      <c r="D38" s="939">
        <v>106.26</v>
      </c>
      <c r="E38" s="939">
        <v>7.9</v>
      </c>
      <c r="F38" s="884">
        <f t="shared" si="6"/>
        <v>839.45</v>
      </c>
      <c r="G38" s="884">
        <v>13.75</v>
      </c>
      <c r="H38" s="940">
        <f t="shared" si="7"/>
        <v>853.2</v>
      </c>
      <c r="I38" s="930"/>
      <c r="J38" s="939">
        <f t="shared" si="11"/>
        <v>0</v>
      </c>
      <c r="K38" s="939">
        <f t="shared" si="8"/>
        <v>0</v>
      </c>
      <c r="L38" s="939">
        <f t="shared" si="12"/>
        <v>0.25</v>
      </c>
      <c r="M38" s="939">
        <f t="shared" si="9"/>
        <v>213.3</v>
      </c>
      <c r="N38" s="939">
        <f t="shared" si="10"/>
        <v>213.3</v>
      </c>
    </row>
    <row r="39" spans="2:14" s="936" customFormat="1" ht="15" customHeight="1" x14ac:dyDescent="0.2">
      <c r="B39" s="937">
        <v>31</v>
      </c>
      <c r="C39" s="938" t="s">
        <v>771</v>
      </c>
      <c r="D39" s="939">
        <v>70.459999999999994</v>
      </c>
      <c r="E39" s="939">
        <v>7.9</v>
      </c>
      <c r="F39" s="884">
        <f t="shared" si="6"/>
        <v>556.63</v>
      </c>
      <c r="G39" s="884">
        <v>13.74</v>
      </c>
      <c r="H39" s="940">
        <f t="shared" si="7"/>
        <v>570.37</v>
      </c>
      <c r="I39" s="930"/>
      <c r="J39" s="939">
        <f t="shared" si="11"/>
        <v>0</v>
      </c>
      <c r="K39" s="939">
        <f t="shared" si="8"/>
        <v>0</v>
      </c>
      <c r="L39" s="939">
        <f t="shared" si="12"/>
        <v>0.25</v>
      </c>
      <c r="M39" s="939">
        <f t="shared" si="9"/>
        <v>142.5925</v>
      </c>
      <c r="N39" s="939">
        <f t="shared" si="10"/>
        <v>142.5925</v>
      </c>
    </row>
    <row r="40" spans="2:14" s="936" customFormat="1" ht="15" customHeight="1" x14ac:dyDescent="0.2">
      <c r="B40" s="937">
        <v>32</v>
      </c>
      <c r="C40" s="938" t="s">
        <v>772</v>
      </c>
      <c r="D40" s="939">
        <v>106.21</v>
      </c>
      <c r="E40" s="939">
        <v>7.9</v>
      </c>
      <c r="F40" s="884">
        <f t="shared" si="6"/>
        <v>839.05</v>
      </c>
      <c r="G40" s="884">
        <v>13.739999999999998</v>
      </c>
      <c r="H40" s="940">
        <f t="shared" si="7"/>
        <v>852.79</v>
      </c>
      <c r="I40" s="930"/>
      <c r="J40" s="939">
        <f t="shared" si="11"/>
        <v>0</v>
      </c>
      <c r="K40" s="939">
        <f t="shared" si="8"/>
        <v>0</v>
      </c>
      <c r="L40" s="939">
        <f t="shared" si="12"/>
        <v>0.25</v>
      </c>
      <c r="M40" s="939">
        <f t="shared" si="9"/>
        <v>213.19749999999999</v>
      </c>
      <c r="N40" s="939">
        <f t="shared" si="10"/>
        <v>213.19749999999999</v>
      </c>
    </row>
    <row r="41" spans="2:14" s="936" customFormat="1" ht="15" customHeight="1" x14ac:dyDescent="0.2">
      <c r="B41" s="937">
        <v>33</v>
      </c>
      <c r="C41" s="938" t="s">
        <v>773</v>
      </c>
      <c r="D41" s="939">
        <v>106.28</v>
      </c>
      <c r="E41" s="939">
        <v>7.9</v>
      </c>
      <c r="F41" s="884">
        <f t="shared" si="6"/>
        <v>839.61</v>
      </c>
      <c r="G41" s="884">
        <v>13.740000000000002</v>
      </c>
      <c r="H41" s="940">
        <f t="shared" si="7"/>
        <v>853.35</v>
      </c>
      <c r="I41" s="930"/>
      <c r="J41" s="939">
        <f t="shared" si="11"/>
        <v>0</v>
      </c>
      <c r="K41" s="939">
        <f t="shared" si="8"/>
        <v>0</v>
      </c>
      <c r="L41" s="939">
        <f t="shared" si="12"/>
        <v>0.25</v>
      </c>
      <c r="M41" s="939">
        <f t="shared" si="9"/>
        <v>213.33750000000001</v>
      </c>
      <c r="N41" s="939">
        <f t="shared" si="10"/>
        <v>213.33750000000001</v>
      </c>
    </row>
    <row r="42" spans="2:14" s="936" customFormat="1" ht="15" customHeight="1" x14ac:dyDescent="0.2">
      <c r="B42" s="937">
        <v>34</v>
      </c>
      <c r="C42" s="938" t="s">
        <v>774</v>
      </c>
      <c r="D42" s="939">
        <v>70.17</v>
      </c>
      <c r="E42" s="939">
        <v>7.9</v>
      </c>
      <c r="F42" s="884">
        <f t="shared" si="6"/>
        <v>554.34</v>
      </c>
      <c r="G42" s="884">
        <v>13.73</v>
      </c>
      <c r="H42" s="940">
        <f t="shared" si="7"/>
        <v>568.07000000000005</v>
      </c>
      <c r="I42" s="930"/>
      <c r="J42" s="939">
        <f t="shared" si="11"/>
        <v>0</v>
      </c>
      <c r="K42" s="939">
        <f t="shared" si="8"/>
        <v>0</v>
      </c>
      <c r="L42" s="939">
        <f t="shared" si="12"/>
        <v>0.25</v>
      </c>
      <c r="M42" s="939">
        <f t="shared" si="9"/>
        <v>142.01750000000001</v>
      </c>
      <c r="N42" s="939">
        <f t="shared" si="10"/>
        <v>142.01750000000001</v>
      </c>
    </row>
    <row r="43" spans="2:14" s="936" customFormat="1" ht="15" customHeight="1" x14ac:dyDescent="0.2">
      <c r="B43" s="937">
        <v>35</v>
      </c>
      <c r="C43" s="938" t="s">
        <v>775</v>
      </c>
      <c r="D43" s="939">
        <v>106.73</v>
      </c>
      <c r="E43" s="939">
        <v>7.9</v>
      </c>
      <c r="F43" s="884">
        <f t="shared" si="6"/>
        <v>843.16</v>
      </c>
      <c r="G43" s="884">
        <v>13.73</v>
      </c>
      <c r="H43" s="940">
        <f t="shared" si="7"/>
        <v>856.89</v>
      </c>
      <c r="I43" s="930"/>
      <c r="J43" s="939">
        <f t="shared" si="11"/>
        <v>0</v>
      </c>
      <c r="K43" s="939">
        <f t="shared" si="8"/>
        <v>0</v>
      </c>
      <c r="L43" s="939">
        <f t="shared" si="12"/>
        <v>0.25</v>
      </c>
      <c r="M43" s="939">
        <f t="shared" si="9"/>
        <v>214.2225</v>
      </c>
      <c r="N43" s="939">
        <f t="shared" si="10"/>
        <v>214.2225</v>
      </c>
    </row>
    <row r="44" spans="2:14" s="936" customFormat="1" ht="15" customHeight="1" x14ac:dyDescent="0.2">
      <c r="B44" s="937">
        <v>36</v>
      </c>
      <c r="C44" s="938" t="s">
        <v>776</v>
      </c>
      <c r="D44" s="939">
        <v>393.54</v>
      </c>
      <c r="E44" s="939">
        <v>8.9</v>
      </c>
      <c r="F44" s="884">
        <f t="shared" si="6"/>
        <v>3502.5</v>
      </c>
      <c r="G44" s="884">
        <v>130.35999999999999</v>
      </c>
      <c r="H44" s="940">
        <f t="shared" si="7"/>
        <v>3632.86</v>
      </c>
      <c r="I44" s="930"/>
      <c r="J44" s="939">
        <f t="shared" si="11"/>
        <v>0</v>
      </c>
      <c r="K44" s="939">
        <f t="shared" si="8"/>
        <v>0</v>
      </c>
      <c r="L44" s="939">
        <f t="shared" si="12"/>
        <v>0.25</v>
      </c>
      <c r="M44" s="939">
        <f t="shared" si="9"/>
        <v>908.21500000000003</v>
      </c>
      <c r="N44" s="939">
        <f t="shared" si="10"/>
        <v>908.21500000000003</v>
      </c>
    </row>
    <row r="45" spans="2:14" s="936" customFormat="1" ht="15" customHeight="1" x14ac:dyDescent="0.2">
      <c r="B45" s="937">
        <v>37</v>
      </c>
      <c r="C45" s="938" t="s">
        <v>777</v>
      </c>
      <c r="D45" s="939">
        <v>120.41</v>
      </c>
      <c r="E45" s="939">
        <v>8.9</v>
      </c>
      <c r="F45" s="884">
        <f t="shared" si="6"/>
        <v>1071.6400000000001</v>
      </c>
      <c r="G45" s="884">
        <v>13.74</v>
      </c>
      <c r="H45" s="940">
        <f t="shared" si="7"/>
        <v>1085.3800000000001</v>
      </c>
      <c r="I45" s="930"/>
      <c r="J45" s="939">
        <f t="shared" si="11"/>
        <v>0</v>
      </c>
      <c r="K45" s="939">
        <f t="shared" si="8"/>
        <v>0</v>
      </c>
      <c r="L45" s="939">
        <f t="shared" si="12"/>
        <v>0.25</v>
      </c>
      <c r="M45" s="939">
        <f t="shared" si="9"/>
        <v>271.34500000000003</v>
      </c>
      <c r="N45" s="939">
        <f t="shared" si="10"/>
        <v>271.34500000000003</v>
      </c>
    </row>
    <row r="46" spans="2:14" s="936" customFormat="1" ht="15" customHeight="1" x14ac:dyDescent="0.2">
      <c r="B46" s="937">
        <v>38</v>
      </c>
      <c r="C46" s="938" t="s">
        <v>757</v>
      </c>
      <c r="D46" s="939">
        <v>106.05</v>
      </c>
      <c r="E46" s="939">
        <v>7.9</v>
      </c>
      <c r="F46" s="884">
        <f t="shared" si="6"/>
        <v>837.79</v>
      </c>
      <c r="G46" s="884">
        <v>13.73</v>
      </c>
      <c r="H46" s="940">
        <f t="shared" si="7"/>
        <v>851.52</v>
      </c>
      <c r="I46" s="930"/>
      <c r="J46" s="939">
        <f t="shared" si="11"/>
        <v>0</v>
      </c>
      <c r="K46" s="939">
        <f t="shared" si="8"/>
        <v>0</v>
      </c>
      <c r="L46" s="939">
        <f t="shared" si="12"/>
        <v>0.25</v>
      </c>
      <c r="M46" s="939">
        <f t="shared" si="9"/>
        <v>212.88</v>
      </c>
      <c r="N46" s="939">
        <f t="shared" si="10"/>
        <v>212.88</v>
      </c>
    </row>
    <row r="47" spans="2:14" s="936" customFormat="1" ht="15" customHeight="1" x14ac:dyDescent="0.2">
      <c r="B47" s="937">
        <v>39</v>
      </c>
      <c r="C47" s="938" t="s">
        <v>778</v>
      </c>
      <c r="D47" s="939">
        <v>121.01</v>
      </c>
      <c r="E47" s="939">
        <v>8.9</v>
      </c>
      <c r="F47" s="884">
        <f t="shared" si="6"/>
        <v>1076.98</v>
      </c>
      <c r="G47" s="884">
        <v>13.74</v>
      </c>
      <c r="H47" s="940">
        <f t="shared" si="7"/>
        <v>1090.72</v>
      </c>
      <c r="I47" s="930"/>
      <c r="J47" s="939">
        <f t="shared" si="11"/>
        <v>0</v>
      </c>
      <c r="K47" s="939">
        <f t="shared" si="8"/>
        <v>0</v>
      </c>
      <c r="L47" s="939">
        <f t="shared" si="12"/>
        <v>0.25</v>
      </c>
      <c r="M47" s="939">
        <f t="shared" si="9"/>
        <v>272.68</v>
      </c>
      <c r="N47" s="939">
        <f t="shared" si="10"/>
        <v>272.68</v>
      </c>
    </row>
    <row r="48" spans="2:14" s="936" customFormat="1" ht="15" customHeight="1" x14ac:dyDescent="0.2">
      <c r="B48" s="937">
        <v>40</v>
      </c>
      <c r="C48" s="938" t="s">
        <v>779</v>
      </c>
      <c r="D48" s="939">
        <v>73.349999999999994</v>
      </c>
      <c r="E48" s="939">
        <v>7.9</v>
      </c>
      <c r="F48" s="884">
        <f t="shared" si="6"/>
        <v>579.46</v>
      </c>
      <c r="G48" s="884">
        <v>13.73</v>
      </c>
      <c r="H48" s="940">
        <f t="shared" si="7"/>
        <v>593.19000000000005</v>
      </c>
      <c r="I48" s="930"/>
      <c r="J48" s="939">
        <f t="shared" si="11"/>
        <v>0</v>
      </c>
      <c r="K48" s="939">
        <f t="shared" si="8"/>
        <v>0</v>
      </c>
      <c r="L48" s="939">
        <f t="shared" si="12"/>
        <v>0.25</v>
      </c>
      <c r="M48" s="939">
        <f t="shared" si="9"/>
        <v>148.29750000000001</v>
      </c>
      <c r="N48" s="939">
        <f t="shared" si="10"/>
        <v>148.29750000000001</v>
      </c>
    </row>
    <row r="49" spans="2:14" s="936" customFormat="1" ht="15" customHeight="1" x14ac:dyDescent="0.2">
      <c r="B49" s="937">
        <v>41</v>
      </c>
      <c r="C49" s="938" t="s">
        <v>780</v>
      </c>
      <c r="D49" s="939">
        <v>106.18</v>
      </c>
      <c r="E49" s="939">
        <v>8.9</v>
      </c>
      <c r="F49" s="884">
        <f t="shared" si="6"/>
        <v>945</v>
      </c>
      <c r="G49" s="884">
        <v>13.73</v>
      </c>
      <c r="H49" s="940">
        <f t="shared" si="7"/>
        <v>958.73</v>
      </c>
      <c r="I49" s="930"/>
      <c r="J49" s="939">
        <f t="shared" si="11"/>
        <v>0</v>
      </c>
      <c r="K49" s="939">
        <f t="shared" si="8"/>
        <v>0</v>
      </c>
      <c r="L49" s="939">
        <f t="shared" si="12"/>
        <v>0.25</v>
      </c>
      <c r="M49" s="939">
        <f t="shared" si="9"/>
        <v>239.6825</v>
      </c>
      <c r="N49" s="939">
        <f t="shared" si="10"/>
        <v>239.6825</v>
      </c>
    </row>
    <row r="50" spans="2:14" s="936" customFormat="1" ht="15" customHeight="1" x14ac:dyDescent="0.2">
      <c r="B50" s="937">
        <v>42</v>
      </c>
      <c r="C50" s="938" t="s">
        <v>781</v>
      </c>
      <c r="D50" s="939">
        <v>121.58</v>
      </c>
      <c r="E50" s="939">
        <v>8.9</v>
      </c>
      <c r="F50" s="884">
        <f t="shared" si="6"/>
        <v>1082.06</v>
      </c>
      <c r="G50" s="884">
        <v>13.73</v>
      </c>
      <c r="H50" s="940">
        <f t="shared" si="7"/>
        <v>1095.79</v>
      </c>
      <c r="I50" s="930"/>
      <c r="J50" s="939">
        <f t="shared" si="11"/>
        <v>0</v>
      </c>
      <c r="K50" s="939">
        <f t="shared" si="8"/>
        <v>0</v>
      </c>
      <c r="L50" s="939">
        <f t="shared" si="12"/>
        <v>0.25</v>
      </c>
      <c r="M50" s="939">
        <f t="shared" si="9"/>
        <v>273.94749999999999</v>
      </c>
      <c r="N50" s="939">
        <f t="shared" si="10"/>
        <v>273.94749999999999</v>
      </c>
    </row>
    <row r="51" spans="2:14" s="936" customFormat="1" ht="15" customHeight="1" x14ac:dyDescent="0.2">
      <c r="B51" s="937">
        <v>43</v>
      </c>
      <c r="C51" s="938" t="s">
        <v>782</v>
      </c>
      <c r="D51" s="939">
        <v>71.58</v>
      </c>
      <c r="E51" s="939">
        <v>8.9</v>
      </c>
      <c r="F51" s="884">
        <f t="shared" si="6"/>
        <v>637.05999999999995</v>
      </c>
      <c r="G51" s="884">
        <v>13.73</v>
      </c>
      <c r="H51" s="940">
        <f t="shared" si="7"/>
        <v>650.79</v>
      </c>
      <c r="I51" s="930"/>
      <c r="J51" s="939">
        <f t="shared" si="11"/>
        <v>0</v>
      </c>
      <c r="K51" s="939">
        <f t="shared" si="8"/>
        <v>0</v>
      </c>
      <c r="L51" s="939">
        <f t="shared" si="12"/>
        <v>0.25</v>
      </c>
      <c r="M51" s="939">
        <f t="shared" si="9"/>
        <v>162.69749999999999</v>
      </c>
      <c r="N51" s="939">
        <f t="shared" si="10"/>
        <v>162.69749999999999</v>
      </c>
    </row>
    <row r="52" spans="2:14" s="936" customFormat="1" ht="15" customHeight="1" x14ac:dyDescent="0.2">
      <c r="B52" s="937">
        <v>44</v>
      </c>
      <c r="C52" s="938" t="s">
        <v>783</v>
      </c>
      <c r="D52" s="939">
        <v>106.29</v>
      </c>
      <c r="E52" s="939">
        <v>8.9</v>
      </c>
      <c r="F52" s="884">
        <f t="shared" si="6"/>
        <v>945.98</v>
      </c>
      <c r="G52" s="884">
        <v>13.73</v>
      </c>
      <c r="H52" s="940">
        <f t="shared" si="7"/>
        <v>959.71</v>
      </c>
      <c r="I52" s="930"/>
      <c r="J52" s="939">
        <f t="shared" si="11"/>
        <v>0</v>
      </c>
      <c r="K52" s="939">
        <f t="shared" si="8"/>
        <v>0</v>
      </c>
      <c r="L52" s="939">
        <f t="shared" si="12"/>
        <v>0.25</v>
      </c>
      <c r="M52" s="939">
        <f t="shared" si="9"/>
        <v>239.92750000000001</v>
      </c>
      <c r="N52" s="939">
        <f t="shared" si="10"/>
        <v>239.92750000000001</v>
      </c>
    </row>
    <row r="53" spans="2:14" s="936" customFormat="1" ht="15" customHeight="1" x14ac:dyDescent="0.2">
      <c r="B53" s="937">
        <v>45</v>
      </c>
      <c r="C53" s="938" t="s">
        <v>784</v>
      </c>
      <c r="D53" s="939">
        <v>122.17</v>
      </c>
      <c r="E53" s="939">
        <v>8.9</v>
      </c>
      <c r="F53" s="884">
        <f t="shared" si="6"/>
        <v>1087.31</v>
      </c>
      <c r="G53" s="884">
        <v>13.739999999999998</v>
      </c>
      <c r="H53" s="940">
        <f t="shared" si="7"/>
        <v>1101.05</v>
      </c>
      <c r="I53" s="930"/>
      <c r="J53" s="939">
        <f t="shared" si="11"/>
        <v>0</v>
      </c>
      <c r="K53" s="939">
        <f t="shared" si="8"/>
        <v>0</v>
      </c>
      <c r="L53" s="939">
        <f t="shared" si="12"/>
        <v>0.25</v>
      </c>
      <c r="M53" s="939">
        <f t="shared" si="9"/>
        <v>275.26249999999999</v>
      </c>
      <c r="N53" s="939">
        <f t="shared" si="10"/>
        <v>275.26249999999999</v>
      </c>
    </row>
    <row r="54" spans="2:14" s="936" customFormat="1" ht="15" customHeight="1" x14ac:dyDescent="0.2">
      <c r="B54" s="937">
        <v>46</v>
      </c>
      <c r="C54" s="938" t="s">
        <v>785</v>
      </c>
      <c r="D54" s="939">
        <v>106.4</v>
      </c>
      <c r="E54" s="939">
        <v>7.9</v>
      </c>
      <c r="F54" s="884">
        <f t="shared" si="6"/>
        <v>840.56</v>
      </c>
      <c r="G54" s="884">
        <v>13.74</v>
      </c>
      <c r="H54" s="940">
        <f t="shared" si="7"/>
        <v>854.3</v>
      </c>
      <c r="I54" s="930"/>
      <c r="J54" s="939">
        <f t="shared" si="11"/>
        <v>0</v>
      </c>
      <c r="K54" s="939">
        <f t="shared" si="8"/>
        <v>0</v>
      </c>
      <c r="L54" s="939">
        <f t="shared" si="12"/>
        <v>0.25</v>
      </c>
      <c r="M54" s="939">
        <f t="shared" si="9"/>
        <v>213.57499999999999</v>
      </c>
      <c r="N54" s="939">
        <f t="shared" si="10"/>
        <v>213.57499999999999</v>
      </c>
    </row>
    <row r="55" spans="2:14" s="936" customFormat="1" ht="15" customHeight="1" x14ac:dyDescent="0.25">
      <c r="B55" s="1564" t="s">
        <v>760</v>
      </c>
      <c r="C55" s="1565"/>
      <c r="D55" s="942">
        <f>TRUNC(SUM(D29:D54),2)</f>
        <v>4614.63</v>
      </c>
      <c r="E55" s="942"/>
      <c r="F55" s="942">
        <f>TRUNC(SUM(F29:F54),2)</f>
        <v>39936.15</v>
      </c>
      <c r="G55" s="942">
        <f>TRUNC(SUM(G29:G54),2)</f>
        <v>879.79</v>
      </c>
      <c r="H55" s="942">
        <f>TRUNC(SUM(H29:H54),2)</f>
        <v>40815.94</v>
      </c>
      <c r="I55" s="942">
        <f>TRUNC(SUM(I35:I54),2)</f>
        <v>0</v>
      </c>
      <c r="J55" s="942"/>
      <c r="K55" s="942">
        <f>TRUNC(SUM(K29:K54),2)</f>
        <v>0</v>
      </c>
      <c r="L55" s="942"/>
      <c r="M55" s="942">
        <f>TRUNC(SUM(M29:M54),2)</f>
        <v>10203.98</v>
      </c>
      <c r="N55" s="942">
        <f>TRUNC(SUM(N29:N54),2)</f>
        <v>10203.98</v>
      </c>
    </row>
    <row r="56" spans="2:14" ht="30" customHeight="1" x14ac:dyDescent="0.2">
      <c r="B56" s="1566" t="s">
        <v>786</v>
      </c>
      <c r="C56" s="1567"/>
      <c r="D56" s="944">
        <f>D55+D27</f>
        <v>8019.9500000000007</v>
      </c>
      <c r="E56" s="944"/>
      <c r="F56" s="944">
        <f t="shared" ref="F56:N56" si="13">F55+F27</f>
        <v>70162.87</v>
      </c>
      <c r="G56" s="944">
        <f t="shared" si="13"/>
        <v>1256.49</v>
      </c>
      <c r="H56" s="944">
        <f t="shared" si="13"/>
        <v>71419.360000000001</v>
      </c>
      <c r="I56" s="944">
        <f t="shared" si="13"/>
        <v>0</v>
      </c>
      <c r="J56" s="944"/>
      <c r="K56" s="944">
        <f t="shared" si="13"/>
        <v>0</v>
      </c>
      <c r="L56" s="944"/>
      <c r="M56" s="944">
        <f t="shared" si="13"/>
        <v>17854.830000000002</v>
      </c>
      <c r="N56" s="944">
        <f t="shared" si="13"/>
        <v>17854.830000000002</v>
      </c>
    </row>
    <row r="57" spans="2:14" x14ac:dyDescent="0.2">
      <c r="D57" s="945"/>
      <c r="E57" s="946"/>
      <c r="F57" s="946"/>
      <c r="G57" s="946"/>
      <c r="H57" s="945"/>
      <c r="J57" s="945"/>
      <c r="K57" s="945"/>
      <c r="L57" s="945"/>
      <c r="M57" s="945"/>
      <c r="N57" s="945"/>
    </row>
    <row r="58" spans="2:14" x14ac:dyDescent="0.2">
      <c r="D58" s="945"/>
      <c r="E58" s="946"/>
      <c r="F58" s="946"/>
      <c r="G58" s="946"/>
      <c r="H58" s="947"/>
      <c r="J58" s="947"/>
      <c r="K58" s="947"/>
      <c r="L58" s="947"/>
      <c r="M58" s="947"/>
      <c r="N58" s="947"/>
    </row>
    <row r="59" spans="2:14" x14ac:dyDescent="0.2">
      <c r="D59" s="948"/>
      <c r="E59" s="949"/>
      <c r="F59" s="949"/>
      <c r="G59" s="949"/>
      <c r="H59" s="950"/>
      <c r="J59" s="950"/>
      <c r="K59" s="950"/>
      <c r="L59" s="950"/>
      <c r="M59" s="950"/>
      <c r="N59" s="950"/>
    </row>
    <row r="60" spans="2:14" x14ac:dyDescent="0.2">
      <c r="D60" s="948"/>
      <c r="E60" s="949"/>
      <c r="F60" s="949"/>
      <c r="G60" s="949"/>
      <c r="H60" s="950"/>
      <c r="J60" s="950"/>
      <c r="K60" s="950"/>
      <c r="L60" s="950"/>
      <c r="M60" s="950"/>
      <c r="N60" s="950"/>
    </row>
    <row r="61" spans="2:14" x14ac:dyDescent="0.2">
      <c r="D61" s="948"/>
      <c r="E61" s="949"/>
      <c r="F61" s="949"/>
      <c r="G61" s="949"/>
      <c r="H61" s="950"/>
      <c r="J61" s="950"/>
      <c r="K61" s="950"/>
      <c r="L61" s="950"/>
      <c r="M61" s="950"/>
      <c r="N61" s="950"/>
    </row>
    <row r="62" spans="2:14" x14ac:dyDescent="0.2">
      <c r="D62" s="948"/>
      <c r="E62" s="949"/>
      <c r="F62" s="949"/>
      <c r="G62" s="949"/>
      <c r="H62" s="950"/>
      <c r="J62" s="950"/>
      <c r="K62" s="950"/>
      <c r="L62" s="950"/>
      <c r="M62" s="950"/>
      <c r="N62" s="950"/>
    </row>
    <row r="63" spans="2:14" x14ac:dyDescent="0.2">
      <c r="D63" s="948"/>
      <c r="E63" s="949"/>
      <c r="F63" s="949"/>
      <c r="G63" s="949"/>
      <c r="H63" s="950"/>
      <c r="J63" s="950"/>
      <c r="K63" s="950"/>
      <c r="L63" s="950"/>
      <c r="M63" s="950"/>
      <c r="N63" s="950"/>
    </row>
    <row r="64" spans="2:14" x14ac:dyDescent="0.2">
      <c r="D64" s="948"/>
      <c r="E64" s="949"/>
      <c r="F64" s="949"/>
      <c r="G64" s="949"/>
      <c r="H64" s="950"/>
      <c r="J64" s="950"/>
      <c r="K64" s="950"/>
      <c r="L64" s="950"/>
      <c r="M64" s="950"/>
      <c r="N64" s="950"/>
    </row>
  </sheetData>
  <mergeCells count="15">
    <mergeCell ref="B2:N2"/>
    <mergeCell ref="B3:B5"/>
    <mergeCell ref="C3:C5"/>
    <mergeCell ref="D3:D4"/>
    <mergeCell ref="E3:E4"/>
    <mergeCell ref="F3:F4"/>
    <mergeCell ref="G3:G4"/>
    <mergeCell ref="H3:H4"/>
    <mergeCell ref="J3:K3"/>
    <mergeCell ref="L3:M3"/>
    <mergeCell ref="B6:N6"/>
    <mergeCell ref="B27:C27"/>
    <mergeCell ref="B28:N28"/>
    <mergeCell ref="B55:C55"/>
    <mergeCell ref="B56:C56"/>
  </mergeCells>
  <printOptions horizontalCentered="1"/>
  <pageMargins left="0.59055118110236227" right="0.59055118110236227" top="1.7716535433070868" bottom="0.78740157480314965" header="0" footer="0"/>
  <pageSetup paperSize="9" scale="69" orientation="landscape" r:id="rId1"/>
  <headerFooter scaleWithDoc="0">
    <oddHeader>&amp;L&amp;G</oddHeader>
    <oddFooter>&amp;C&amp;"-,Negrito"&amp;12DIONI CAETANEO DE OLIVEIRA
&amp;"-,Regular"ENGENHEIRO CIVIL - CREA /MT 40957
DEPARTAMENTO DE ENGENHARIA</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8BC0B-5B30-4A8B-85AB-AA02AE9DD8C7}">
  <sheetPr codeName="Planilha26">
    <tabColor rgb="FF92D050"/>
  </sheetPr>
  <dimension ref="A1:P65"/>
  <sheetViews>
    <sheetView showGridLines="0" view="pageLayout" zoomScaleNormal="85" zoomScaleSheetLayoutView="85" workbookViewId="0">
      <selection activeCell="B7" sqref="B7"/>
    </sheetView>
  </sheetViews>
  <sheetFormatPr defaultColWidth="9.140625" defaultRowHeight="14.25" x14ac:dyDescent="0.2"/>
  <cols>
    <col min="1" max="1" width="9.140625" style="996"/>
    <col min="2" max="2" width="41.42578125" style="996" customWidth="1"/>
    <col min="3" max="3" width="25.7109375" style="996" customWidth="1"/>
    <col min="4" max="4" width="15.42578125" style="996" customWidth="1"/>
    <col min="5" max="5" width="25.85546875" style="996" customWidth="1"/>
    <col min="6" max="6" width="15.42578125" style="996" customWidth="1"/>
    <col min="7" max="7" width="13.42578125" style="996" customWidth="1"/>
    <col min="8" max="8" width="10.5703125" style="996" customWidth="1"/>
    <col min="9" max="9" width="11.7109375" style="996" customWidth="1"/>
    <col min="10" max="10" width="15.140625" style="996" hidden="1" customWidth="1"/>
    <col min="11" max="11" width="15.42578125" style="996" customWidth="1"/>
    <col min="12" max="12" width="13.42578125" style="996" customWidth="1"/>
    <col min="13" max="13" width="9.140625" style="996"/>
    <col min="14" max="14" width="13" style="996" customWidth="1"/>
    <col min="15" max="15" width="12.42578125" style="996" customWidth="1"/>
    <col min="16" max="16384" width="9.140625" style="996"/>
  </cols>
  <sheetData>
    <row r="1" spans="1:14" ht="22.5" customHeight="1" x14ac:dyDescent="0.2">
      <c r="A1" s="1430" t="s">
        <v>818</v>
      </c>
      <c r="B1" s="1431"/>
      <c r="C1" s="1431"/>
      <c r="D1" s="1431"/>
      <c r="E1" s="1431"/>
      <c r="F1" s="1431"/>
      <c r="G1" s="1431"/>
      <c r="H1" s="1431"/>
      <c r="I1" s="1431"/>
      <c r="J1" s="1431"/>
      <c r="K1" s="1431"/>
      <c r="L1" s="1431"/>
      <c r="M1" s="1431"/>
      <c r="N1" s="1432"/>
    </row>
    <row r="2" spans="1:14" ht="24.95" customHeight="1" x14ac:dyDescent="0.2">
      <c r="A2" s="1541" t="s">
        <v>174</v>
      </c>
      <c r="B2" s="1541" t="s">
        <v>819</v>
      </c>
      <c r="C2" s="1599" t="s">
        <v>820</v>
      </c>
      <c r="D2" s="1601"/>
      <c r="E2" s="1601"/>
      <c r="F2" s="1600"/>
      <c r="G2" s="1548" t="s">
        <v>821</v>
      </c>
      <c r="H2" s="1548" t="s">
        <v>563</v>
      </c>
      <c r="I2" s="1548" t="s">
        <v>566</v>
      </c>
      <c r="J2" s="1548" t="s">
        <v>822</v>
      </c>
      <c r="K2" s="1548" t="s">
        <v>823</v>
      </c>
      <c r="L2" s="1548" t="s">
        <v>824</v>
      </c>
      <c r="M2" s="1391" t="s">
        <v>825</v>
      </c>
      <c r="N2" s="1536"/>
    </row>
    <row r="3" spans="1:14" ht="24.95" customHeight="1" x14ac:dyDescent="0.2">
      <c r="A3" s="1541"/>
      <c r="B3" s="1541"/>
      <c r="C3" s="1599" t="s">
        <v>826</v>
      </c>
      <c r="D3" s="1600"/>
      <c r="E3" s="1599" t="s">
        <v>827</v>
      </c>
      <c r="F3" s="1600"/>
      <c r="G3" s="1558"/>
      <c r="H3" s="1558"/>
      <c r="I3" s="1558"/>
      <c r="J3" s="1558"/>
      <c r="K3" s="1558"/>
      <c r="L3" s="1558"/>
      <c r="M3" s="997" t="s">
        <v>563</v>
      </c>
      <c r="N3" s="997" t="s">
        <v>720</v>
      </c>
    </row>
    <row r="4" spans="1:14" ht="19.5" customHeight="1" x14ac:dyDescent="0.2">
      <c r="A4" s="1541"/>
      <c r="B4" s="1541"/>
      <c r="C4" s="876" t="s">
        <v>828</v>
      </c>
      <c r="D4" s="876" t="s">
        <v>569</v>
      </c>
      <c r="E4" s="876" t="s">
        <v>828</v>
      </c>
      <c r="F4" s="876" t="s">
        <v>569</v>
      </c>
      <c r="G4" s="876" t="s">
        <v>569</v>
      </c>
      <c r="H4" s="876" t="s">
        <v>569</v>
      </c>
      <c r="I4" s="876" t="s">
        <v>570</v>
      </c>
      <c r="J4" s="916" t="s">
        <v>569</v>
      </c>
      <c r="K4" s="916" t="s">
        <v>569</v>
      </c>
      <c r="L4" s="876" t="s">
        <v>725</v>
      </c>
      <c r="M4" s="876" t="s">
        <v>569</v>
      </c>
      <c r="N4" s="876" t="s">
        <v>725</v>
      </c>
    </row>
    <row r="5" spans="1:14" ht="19.5" customHeight="1" x14ac:dyDescent="0.2">
      <c r="A5" s="1390" t="s">
        <v>538</v>
      </c>
      <c r="B5" s="1391"/>
      <c r="C5" s="1391"/>
      <c r="D5" s="1391"/>
      <c r="E5" s="1391"/>
      <c r="F5" s="1391"/>
      <c r="G5" s="1391"/>
      <c r="H5" s="1391"/>
      <c r="I5" s="1391"/>
      <c r="J5" s="1391"/>
      <c r="K5" s="1391"/>
      <c r="L5" s="1391"/>
      <c r="M5" s="1391"/>
      <c r="N5" s="1536"/>
    </row>
    <row r="6" spans="1:14" ht="19.5" customHeight="1" x14ac:dyDescent="0.2">
      <c r="A6" s="829">
        <v>1</v>
      </c>
      <c r="B6" s="998" t="s">
        <v>740</v>
      </c>
      <c r="C6" s="884" t="s">
        <v>829</v>
      </c>
      <c r="D6" s="884">
        <f>4.65+161.78+4.37</f>
        <v>170.8</v>
      </c>
      <c r="E6" s="884" t="s">
        <v>830</v>
      </c>
      <c r="F6" s="884">
        <f>4.15+163.04+4.45</f>
        <v>171.64</v>
      </c>
      <c r="G6" s="884">
        <f>D6+F6</f>
        <v>342.44</v>
      </c>
      <c r="H6" s="840">
        <v>1.5</v>
      </c>
      <c r="I6" s="884">
        <f>TRUNC((G6*H6),2)</f>
        <v>513.66</v>
      </c>
      <c r="J6" s="840">
        <v>0.1</v>
      </c>
      <c r="K6" s="840">
        <v>0.06</v>
      </c>
      <c r="L6" s="840">
        <f>TRUNC(I6*K6,2)</f>
        <v>30.81</v>
      </c>
      <c r="M6" s="999">
        <v>0.05</v>
      </c>
      <c r="N6" s="999">
        <f>I6*M6</f>
        <v>25.683</v>
      </c>
    </row>
    <row r="7" spans="1:14" ht="19.5" customHeight="1" x14ac:dyDescent="0.2">
      <c r="A7" s="829">
        <v>2</v>
      </c>
      <c r="B7" s="998" t="s">
        <v>741</v>
      </c>
      <c r="C7" s="1000" t="s">
        <v>831</v>
      </c>
      <c r="D7" s="1000">
        <f>4.4+134.33+4.4</f>
        <v>143.13000000000002</v>
      </c>
      <c r="E7" s="1001" t="s">
        <v>832</v>
      </c>
      <c r="F7" s="1001">
        <f>4.43+134.35+4.4</f>
        <v>143.18</v>
      </c>
      <c r="G7" s="884">
        <f t="shared" ref="G7:G25" si="0">D7+F7</f>
        <v>286.31000000000006</v>
      </c>
      <c r="H7" s="840">
        <v>1.5</v>
      </c>
      <c r="I7" s="884">
        <f t="shared" ref="I7:I25" si="1">TRUNC((G7*H7),2)</f>
        <v>429.46</v>
      </c>
      <c r="J7" s="840">
        <v>0.1</v>
      </c>
      <c r="K7" s="840">
        <f>K6</f>
        <v>0.06</v>
      </c>
      <c r="L7" s="840">
        <f t="shared" ref="L7:L25" si="2">TRUNC(I7*K7,2)</f>
        <v>25.76</v>
      </c>
      <c r="M7" s="999">
        <v>0.05</v>
      </c>
      <c r="N7" s="999">
        <f t="shared" ref="N7:N25" si="3">I7*M7</f>
        <v>21.472999999999999</v>
      </c>
    </row>
    <row r="8" spans="1:14" ht="19.5" customHeight="1" x14ac:dyDescent="0.2">
      <c r="A8" s="829">
        <v>3</v>
      </c>
      <c r="B8" s="998" t="s">
        <v>742</v>
      </c>
      <c r="C8" s="1000" t="s">
        <v>833</v>
      </c>
      <c r="D8" s="1000">
        <f>4.44+59.03+4.36</f>
        <v>67.83</v>
      </c>
      <c r="E8" s="1001" t="s">
        <v>834</v>
      </c>
      <c r="F8" s="1001">
        <f>4.35+59.05+4.44</f>
        <v>67.84</v>
      </c>
      <c r="G8" s="884">
        <f t="shared" si="0"/>
        <v>135.67000000000002</v>
      </c>
      <c r="H8" s="840">
        <v>1.5</v>
      </c>
      <c r="I8" s="884">
        <f t="shared" si="1"/>
        <v>203.5</v>
      </c>
      <c r="J8" s="840">
        <v>0.1</v>
      </c>
      <c r="K8" s="840">
        <f t="shared" ref="K8:K25" si="4">K7</f>
        <v>0.06</v>
      </c>
      <c r="L8" s="840">
        <f>TRUNC(I8*K8,2)</f>
        <v>12.21</v>
      </c>
      <c r="M8" s="999">
        <v>0.05</v>
      </c>
      <c r="N8" s="999">
        <f t="shared" si="3"/>
        <v>10.175000000000001</v>
      </c>
    </row>
    <row r="9" spans="1:14" ht="19.5" customHeight="1" x14ac:dyDescent="0.2">
      <c r="A9" s="829">
        <v>4</v>
      </c>
      <c r="B9" s="998" t="s">
        <v>743</v>
      </c>
      <c r="C9" s="1000" t="s">
        <v>835</v>
      </c>
      <c r="D9" s="1000">
        <f>4.35+76.01+4.4</f>
        <v>84.76</v>
      </c>
      <c r="E9" s="1001" t="s">
        <v>836</v>
      </c>
      <c r="F9" s="1001">
        <f>4.45+75.72+4.4</f>
        <v>84.570000000000007</v>
      </c>
      <c r="G9" s="884">
        <f t="shared" si="0"/>
        <v>169.33</v>
      </c>
      <c r="H9" s="840">
        <v>1.5</v>
      </c>
      <c r="I9" s="884">
        <f t="shared" si="1"/>
        <v>253.99</v>
      </c>
      <c r="J9" s="840">
        <v>0.1</v>
      </c>
      <c r="K9" s="840">
        <f t="shared" si="4"/>
        <v>0.06</v>
      </c>
      <c r="L9" s="840">
        <f t="shared" si="2"/>
        <v>15.23</v>
      </c>
      <c r="M9" s="999">
        <v>0.05</v>
      </c>
      <c r="N9" s="999">
        <f t="shared" si="3"/>
        <v>12.6995</v>
      </c>
    </row>
    <row r="10" spans="1:14" ht="19.5" customHeight="1" x14ac:dyDescent="0.2">
      <c r="A10" s="829">
        <v>5</v>
      </c>
      <c r="B10" s="998" t="s">
        <v>744</v>
      </c>
      <c r="C10" s="1000" t="s">
        <v>837</v>
      </c>
      <c r="D10" s="1000">
        <f>4.61+155.72+4.41</f>
        <v>164.74</v>
      </c>
      <c r="E10" s="1001" t="s">
        <v>838</v>
      </c>
      <c r="F10" s="1001">
        <f>4.19+156.98+4.39</f>
        <v>165.55999999999997</v>
      </c>
      <c r="G10" s="884">
        <f t="shared" si="0"/>
        <v>330.29999999999995</v>
      </c>
      <c r="H10" s="840">
        <v>1.5</v>
      </c>
      <c r="I10" s="884">
        <f t="shared" si="1"/>
        <v>495.45</v>
      </c>
      <c r="J10" s="840">
        <v>0.1</v>
      </c>
      <c r="K10" s="840">
        <f t="shared" si="4"/>
        <v>0.06</v>
      </c>
      <c r="L10" s="840">
        <f t="shared" si="2"/>
        <v>29.72</v>
      </c>
      <c r="M10" s="999">
        <v>0.05</v>
      </c>
      <c r="N10" s="999">
        <f t="shared" si="3"/>
        <v>24.772500000000001</v>
      </c>
    </row>
    <row r="11" spans="1:14" ht="19.5" customHeight="1" x14ac:dyDescent="0.2">
      <c r="A11" s="829">
        <v>6</v>
      </c>
      <c r="B11" s="998" t="s">
        <v>745</v>
      </c>
      <c r="C11" s="1000" t="s">
        <v>839</v>
      </c>
      <c r="D11" s="1000">
        <f>4.4+134.23+4.4</f>
        <v>143.03</v>
      </c>
      <c r="E11" s="1001" t="s">
        <v>840</v>
      </c>
      <c r="F11" s="1001">
        <f>4.4+134.25+4.39</f>
        <v>143.04</v>
      </c>
      <c r="G11" s="884">
        <f t="shared" si="0"/>
        <v>286.07</v>
      </c>
      <c r="H11" s="840">
        <v>1.5</v>
      </c>
      <c r="I11" s="884">
        <f t="shared" si="1"/>
        <v>429.1</v>
      </c>
      <c r="J11" s="840">
        <v>0.1</v>
      </c>
      <c r="K11" s="840">
        <f t="shared" si="4"/>
        <v>0.06</v>
      </c>
      <c r="L11" s="840">
        <f t="shared" si="2"/>
        <v>25.74</v>
      </c>
      <c r="M11" s="999">
        <v>0.05</v>
      </c>
      <c r="N11" s="999">
        <f t="shared" si="3"/>
        <v>21.455000000000002</v>
      </c>
    </row>
    <row r="12" spans="1:14" ht="19.5" customHeight="1" x14ac:dyDescent="0.2">
      <c r="A12" s="829">
        <v>7</v>
      </c>
      <c r="B12" s="998" t="s">
        <v>746</v>
      </c>
      <c r="C12" s="1000" t="s">
        <v>841</v>
      </c>
      <c r="D12" s="1000">
        <f>4.41+58.94+4.39</f>
        <v>67.739999999999995</v>
      </c>
      <c r="E12" s="1001" t="s">
        <v>842</v>
      </c>
      <c r="F12" s="1001">
        <f>4.39+58.96+4.4</f>
        <v>67.75</v>
      </c>
      <c r="G12" s="884">
        <f t="shared" si="0"/>
        <v>135.49</v>
      </c>
      <c r="H12" s="840">
        <v>1.5</v>
      </c>
      <c r="I12" s="884">
        <f t="shared" si="1"/>
        <v>203.23</v>
      </c>
      <c r="J12" s="840">
        <v>0.1</v>
      </c>
      <c r="K12" s="840">
        <f t="shared" si="4"/>
        <v>0.06</v>
      </c>
      <c r="L12" s="840">
        <f t="shared" si="2"/>
        <v>12.19</v>
      </c>
      <c r="M12" s="999">
        <v>0.05</v>
      </c>
      <c r="N12" s="999">
        <f t="shared" si="3"/>
        <v>10.1615</v>
      </c>
    </row>
    <row r="13" spans="1:14" ht="19.5" customHeight="1" x14ac:dyDescent="0.2">
      <c r="A13" s="829">
        <v>8</v>
      </c>
      <c r="B13" s="998" t="s">
        <v>747</v>
      </c>
      <c r="C13" s="1000" t="s">
        <v>843</v>
      </c>
      <c r="D13" s="1000">
        <f>4.4+83.26+4.4</f>
        <v>92.060000000000016</v>
      </c>
      <c r="E13" s="1001" t="s">
        <v>844</v>
      </c>
      <c r="F13" s="1001">
        <f>4.39+83.29+4.4</f>
        <v>92.080000000000013</v>
      </c>
      <c r="G13" s="884">
        <f t="shared" si="0"/>
        <v>184.14000000000004</v>
      </c>
      <c r="H13" s="840">
        <v>1.5</v>
      </c>
      <c r="I13" s="884">
        <f t="shared" si="1"/>
        <v>276.20999999999998</v>
      </c>
      <c r="J13" s="840">
        <v>0.1</v>
      </c>
      <c r="K13" s="840">
        <f t="shared" si="4"/>
        <v>0.06</v>
      </c>
      <c r="L13" s="840">
        <f t="shared" si="2"/>
        <v>16.57</v>
      </c>
      <c r="M13" s="999">
        <v>0.05</v>
      </c>
      <c r="N13" s="999">
        <f t="shared" si="3"/>
        <v>13.810499999999999</v>
      </c>
    </row>
    <row r="14" spans="1:14" ht="19.5" customHeight="1" x14ac:dyDescent="0.2">
      <c r="A14" s="829">
        <v>9</v>
      </c>
      <c r="B14" s="998" t="s">
        <v>748</v>
      </c>
      <c r="C14" s="1000" t="s">
        <v>845</v>
      </c>
      <c r="D14" s="1000">
        <f>4.63+149.87+4.39</f>
        <v>158.88999999999999</v>
      </c>
      <c r="E14" s="1001" t="s">
        <v>846</v>
      </c>
      <c r="F14" s="1001">
        <f>4.17+151.13+4.63</f>
        <v>159.92999999999998</v>
      </c>
      <c r="G14" s="884">
        <f t="shared" si="0"/>
        <v>318.81999999999994</v>
      </c>
      <c r="H14" s="840">
        <v>1.5</v>
      </c>
      <c r="I14" s="884">
        <f t="shared" si="1"/>
        <v>478.23</v>
      </c>
      <c r="J14" s="840">
        <v>0.1</v>
      </c>
      <c r="K14" s="840">
        <f t="shared" si="4"/>
        <v>0.06</v>
      </c>
      <c r="L14" s="840">
        <f t="shared" si="2"/>
        <v>28.69</v>
      </c>
      <c r="M14" s="999">
        <v>0.05</v>
      </c>
      <c r="N14" s="999">
        <f t="shared" si="3"/>
        <v>23.911500000000004</v>
      </c>
    </row>
    <row r="15" spans="1:14" ht="19.5" customHeight="1" x14ac:dyDescent="0.2">
      <c r="A15" s="829">
        <v>10</v>
      </c>
      <c r="B15" s="998" t="s">
        <v>749</v>
      </c>
      <c r="C15" s="1000" t="s">
        <v>847</v>
      </c>
      <c r="D15" s="1000">
        <f>4.41+134.14+4.39</f>
        <v>142.93999999999997</v>
      </c>
      <c r="E15" s="1001" t="s">
        <v>848</v>
      </c>
      <c r="F15" s="1001">
        <f>4.39+134.16+4.4</f>
        <v>142.94999999999999</v>
      </c>
      <c r="G15" s="884">
        <f t="shared" si="0"/>
        <v>285.89</v>
      </c>
      <c r="H15" s="840">
        <v>1.5</v>
      </c>
      <c r="I15" s="884">
        <f t="shared" si="1"/>
        <v>428.83</v>
      </c>
      <c r="J15" s="840">
        <v>0.1</v>
      </c>
      <c r="K15" s="840">
        <f t="shared" si="4"/>
        <v>0.06</v>
      </c>
      <c r="L15" s="840">
        <f t="shared" si="2"/>
        <v>25.72</v>
      </c>
      <c r="M15" s="999">
        <v>0.05</v>
      </c>
      <c r="N15" s="999">
        <f t="shared" si="3"/>
        <v>21.441500000000001</v>
      </c>
    </row>
    <row r="16" spans="1:14" ht="19.5" customHeight="1" x14ac:dyDescent="0.2">
      <c r="A16" s="829">
        <v>11</v>
      </c>
      <c r="B16" s="998" t="s">
        <v>750</v>
      </c>
      <c r="C16" s="1000" t="s">
        <v>849</v>
      </c>
      <c r="D16" s="1000">
        <f>4.4+58.85+4.4</f>
        <v>67.650000000000006</v>
      </c>
      <c r="E16" s="1001" t="s">
        <v>850</v>
      </c>
      <c r="F16" s="1001">
        <f>4.39+58.87+5.58</f>
        <v>68.84</v>
      </c>
      <c r="G16" s="884">
        <f t="shared" si="0"/>
        <v>136.49</v>
      </c>
      <c r="H16" s="840">
        <v>1.5</v>
      </c>
      <c r="I16" s="884">
        <f t="shared" si="1"/>
        <v>204.73</v>
      </c>
      <c r="J16" s="840">
        <v>0.1</v>
      </c>
      <c r="K16" s="840">
        <f t="shared" si="4"/>
        <v>0.06</v>
      </c>
      <c r="L16" s="840">
        <f t="shared" si="2"/>
        <v>12.28</v>
      </c>
      <c r="M16" s="999">
        <v>0.05</v>
      </c>
      <c r="N16" s="999">
        <f t="shared" si="3"/>
        <v>10.236499999999999</v>
      </c>
    </row>
    <row r="17" spans="1:16" ht="19.5" customHeight="1" x14ac:dyDescent="0.2">
      <c r="A17" s="829">
        <v>12</v>
      </c>
      <c r="B17" s="998" t="s">
        <v>751</v>
      </c>
      <c r="C17" s="1000" t="s">
        <v>851</v>
      </c>
      <c r="D17" s="1000">
        <f>4.4+90.04+4.4</f>
        <v>98.840000000000018</v>
      </c>
      <c r="E17" s="1001" t="s">
        <v>852</v>
      </c>
      <c r="F17" s="1001">
        <f>4.4+90.05+4.4</f>
        <v>98.850000000000009</v>
      </c>
      <c r="G17" s="884">
        <f t="shared" si="0"/>
        <v>197.69000000000003</v>
      </c>
      <c r="H17" s="840">
        <v>1.5</v>
      </c>
      <c r="I17" s="884">
        <f t="shared" si="1"/>
        <v>296.52999999999997</v>
      </c>
      <c r="J17" s="840">
        <v>0.1</v>
      </c>
      <c r="K17" s="840">
        <f t="shared" si="4"/>
        <v>0.06</v>
      </c>
      <c r="L17" s="840">
        <f t="shared" si="2"/>
        <v>17.79</v>
      </c>
      <c r="M17" s="999">
        <v>0.05</v>
      </c>
      <c r="N17" s="999">
        <f t="shared" si="3"/>
        <v>14.826499999999999</v>
      </c>
    </row>
    <row r="18" spans="1:16" ht="42.75" x14ac:dyDescent="0.2">
      <c r="A18" s="829">
        <v>13</v>
      </c>
      <c r="B18" s="998" t="s">
        <v>752</v>
      </c>
      <c r="C18" s="1000" t="s">
        <v>853</v>
      </c>
      <c r="D18" s="1000">
        <f>4.62+68.88+4.4+4.4+59.92+4.45+4.29+60.54+58.64+4.4</f>
        <v>274.53999999999996</v>
      </c>
      <c r="E18" s="1001" t="s">
        <v>854</v>
      </c>
      <c r="F18" s="1001">
        <f>4.18+145.19+134.07+4.39</f>
        <v>287.83</v>
      </c>
      <c r="G18" s="884">
        <f t="shared" si="0"/>
        <v>562.36999999999989</v>
      </c>
      <c r="H18" s="840">
        <v>1.5</v>
      </c>
      <c r="I18" s="884">
        <f t="shared" si="1"/>
        <v>843.55</v>
      </c>
      <c r="J18" s="840">
        <v>0.1</v>
      </c>
      <c r="K18" s="840">
        <f t="shared" si="4"/>
        <v>0.06</v>
      </c>
      <c r="L18" s="840">
        <f t="shared" si="2"/>
        <v>50.61</v>
      </c>
      <c r="M18" s="999">
        <v>0.05</v>
      </c>
      <c r="N18" s="999">
        <f t="shared" si="3"/>
        <v>42.177500000000002</v>
      </c>
    </row>
    <row r="19" spans="1:16" ht="19.5" customHeight="1" x14ac:dyDescent="0.2">
      <c r="A19" s="829">
        <v>14</v>
      </c>
      <c r="B19" s="998" t="s">
        <v>753</v>
      </c>
      <c r="C19" s="1000" t="s">
        <v>855</v>
      </c>
      <c r="D19" s="1000">
        <f>4.4+58.77+4.44</f>
        <v>67.61</v>
      </c>
      <c r="E19" s="1001" t="s">
        <v>856</v>
      </c>
      <c r="F19" s="1001">
        <f>4.44+58.79+4.4</f>
        <v>67.63</v>
      </c>
      <c r="G19" s="884">
        <f t="shared" si="0"/>
        <v>135.24</v>
      </c>
      <c r="H19" s="840">
        <v>1.5</v>
      </c>
      <c r="I19" s="884">
        <f t="shared" si="1"/>
        <v>202.86</v>
      </c>
      <c r="J19" s="840">
        <v>0.1</v>
      </c>
      <c r="K19" s="840">
        <f t="shared" si="4"/>
        <v>0.06</v>
      </c>
      <c r="L19" s="840">
        <f t="shared" si="2"/>
        <v>12.17</v>
      </c>
      <c r="M19" s="999">
        <v>0.05</v>
      </c>
      <c r="N19" s="999">
        <f t="shared" si="3"/>
        <v>10.143000000000001</v>
      </c>
    </row>
    <row r="20" spans="1:16" ht="19.5" customHeight="1" x14ac:dyDescent="0.2">
      <c r="A20" s="829">
        <v>15</v>
      </c>
      <c r="B20" s="998" t="s">
        <v>754</v>
      </c>
      <c r="C20" s="1000" t="s">
        <v>857</v>
      </c>
      <c r="D20" s="1000">
        <f>4.42+96.76+4.4</f>
        <v>105.58000000000001</v>
      </c>
      <c r="E20" s="1001" t="s">
        <v>858</v>
      </c>
      <c r="F20" s="1001">
        <f>4.38+96.87+4.4</f>
        <v>105.65</v>
      </c>
      <c r="G20" s="884">
        <f t="shared" si="0"/>
        <v>211.23000000000002</v>
      </c>
      <c r="H20" s="840">
        <v>1.5</v>
      </c>
      <c r="I20" s="884">
        <f t="shared" si="1"/>
        <v>316.83999999999997</v>
      </c>
      <c r="J20" s="840">
        <v>0.1</v>
      </c>
      <c r="K20" s="840">
        <f t="shared" si="4"/>
        <v>0.06</v>
      </c>
      <c r="L20" s="840">
        <f t="shared" si="2"/>
        <v>19.010000000000002</v>
      </c>
      <c r="M20" s="999">
        <v>0.05</v>
      </c>
      <c r="N20" s="999">
        <f t="shared" si="3"/>
        <v>15.841999999999999</v>
      </c>
    </row>
    <row r="21" spans="1:16" ht="42.75" x14ac:dyDescent="0.2">
      <c r="A21" s="829">
        <v>16</v>
      </c>
      <c r="B21" s="998" t="s">
        <v>755</v>
      </c>
      <c r="C21" s="1000" t="s">
        <v>859</v>
      </c>
      <c r="D21" s="1000">
        <f>4.4+70.82+59.48+58.37+60.89+57.57+5.91+4.17+10.82</f>
        <v>332.43</v>
      </c>
      <c r="E21" s="1001" t="s">
        <v>860</v>
      </c>
      <c r="F21" s="1001">
        <f>4.4+397.19</f>
        <v>401.59</v>
      </c>
      <c r="G21" s="884">
        <f t="shared" si="0"/>
        <v>734.02</v>
      </c>
      <c r="H21" s="840">
        <v>1.5</v>
      </c>
      <c r="I21" s="884">
        <f t="shared" si="1"/>
        <v>1101.03</v>
      </c>
      <c r="J21" s="840">
        <v>0.1</v>
      </c>
      <c r="K21" s="840">
        <f t="shared" si="4"/>
        <v>0.06</v>
      </c>
      <c r="L21" s="840">
        <f t="shared" si="2"/>
        <v>66.06</v>
      </c>
      <c r="M21" s="999">
        <v>0.05</v>
      </c>
      <c r="N21" s="999">
        <f t="shared" si="3"/>
        <v>55.051500000000004</v>
      </c>
    </row>
    <row r="22" spans="1:16" ht="28.5" x14ac:dyDescent="0.2">
      <c r="A22" s="829">
        <v>17</v>
      </c>
      <c r="B22" s="998" t="s">
        <v>756</v>
      </c>
      <c r="C22" s="1000" t="s">
        <v>861</v>
      </c>
      <c r="D22" s="1000">
        <f>4.4+58.46+59.05+58.77+59.8+4.39</f>
        <v>244.87</v>
      </c>
      <c r="E22" s="1001" t="s">
        <v>862</v>
      </c>
      <c r="F22" s="1001">
        <f>4.4+58.62+59.18+58.64+59.69+4.4</f>
        <v>244.92999999999998</v>
      </c>
      <c r="G22" s="884">
        <f t="shared" si="0"/>
        <v>489.79999999999995</v>
      </c>
      <c r="H22" s="840">
        <v>1.5</v>
      </c>
      <c r="I22" s="884">
        <f t="shared" si="1"/>
        <v>734.7</v>
      </c>
      <c r="J22" s="840">
        <v>0.1</v>
      </c>
      <c r="K22" s="840">
        <f t="shared" si="4"/>
        <v>0.06</v>
      </c>
      <c r="L22" s="840">
        <f t="shared" si="2"/>
        <v>44.08</v>
      </c>
      <c r="M22" s="999">
        <v>0.05</v>
      </c>
      <c r="N22" s="999">
        <f t="shared" si="3"/>
        <v>36.735000000000007</v>
      </c>
    </row>
    <row r="23" spans="1:16" ht="19.5" customHeight="1" x14ac:dyDescent="0.2">
      <c r="A23" s="829">
        <v>18</v>
      </c>
      <c r="B23" s="998" t="s">
        <v>757</v>
      </c>
      <c r="C23" s="1000" t="s">
        <v>863</v>
      </c>
      <c r="D23" s="1000">
        <f>4.4+72.54+4.39</f>
        <v>81.330000000000013</v>
      </c>
      <c r="E23" s="1001" t="s">
        <v>864</v>
      </c>
      <c r="F23" s="1001">
        <f>4.42+72.53+4.4</f>
        <v>81.350000000000009</v>
      </c>
      <c r="G23" s="884">
        <f t="shared" si="0"/>
        <v>162.68</v>
      </c>
      <c r="H23" s="840">
        <v>1.5</v>
      </c>
      <c r="I23" s="884">
        <f t="shared" si="1"/>
        <v>244.02</v>
      </c>
      <c r="J23" s="840">
        <v>0.1</v>
      </c>
      <c r="K23" s="840">
        <f t="shared" si="4"/>
        <v>0.06</v>
      </c>
      <c r="L23" s="840">
        <f t="shared" si="2"/>
        <v>14.64</v>
      </c>
      <c r="M23" s="999">
        <v>0.05</v>
      </c>
      <c r="N23" s="999">
        <f t="shared" si="3"/>
        <v>12.201000000000001</v>
      </c>
    </row>
    <row r="24" spans="1:16" ht="28.5" x14ac:dyDescent="0.2">
      <c r="A24" s="829">
        <v>19</v>
      </c>
      <c r="B24" s="998" t="s">
        <v>758</v>
      </c>
      <c r="C24" s="1000" t="s">
        <v>865</v>
      </c>
      <c r="D24" s="1000">
        <f>4.4+72.73+58.03+59.41+58.94+60.36+4.38</f>
        <v>318.25</v>
      </c>
      <c r="E24" s="1001" t="s">
        <v>866</v>
      </c>
      <c r="F24" s="1001">
        <f>4.4+72.71+58.07+59.5+58.55+60.57+4.06</f>
        <v>317.86</v>
      </c>
      <c r="G24" s="884">
        <f t="shared" si="0"/>
        <v>636.11</v>
      </c>
      <c r="H24" s="840">
        <v>1.5</v>
      </c>
      <c r="I24" s="884">
        <f t="shared" si="1"/>
        <v>954.16</v>
      </c>
      <c r="J24" s="840">
        <v>0.1</v>
      </c>
      <c r="K24" s="840">
        <f t="shared" si="4"/>
        <v>0.06</v>
      </c>
      <c r="L24" s="840">
        <f t="shared" si="2"/>
        <v>57.24</v>
      </c>
      <c r="M24" s="999">
        <v>0.05</v>
      </c>
      <c r="N24" s="999">
        <f t="shared" si="3"/>
        <v>47.707999999999998</v>
      </c>
    </row>
    <row r="25" spans="1:16" ht="28.5" x14ac:dyDescent="0.2">
      <c r="A25" s="829">
        <v>20</v>
      </c>
      <c r="B25" s="998" t="s">
        <v>759</v>
      </c>
      <c r="C25" s="1000" t="s">
        <v>867</v>
      </c>
      <c r="D25" s="1000">
        <f>4.4+72.49+58.2+59.34+58.64+61.27+4.38</f>
        <v>318.71999999999997</v>
      </c>
      <c r="E25" s="1001" t="s">
        <v>868</v>
      </c>
      <c r="F25" s="1001">
        <f>4.4+72.76+57.95+59.35+58.19+61.59+4.42</f>
        <v>318.66000000000003</v>
      </c>
      <c r="G25" s="884">
        <f t="shared" si="0"/>
        <v>637.38</v>
      </c>
      <c r="H25" s="1002">
        <v>1.5</v>
      </c>
      <c r="I25" s="884">
        <f t="shared" si="1"/>
        <v>956.07</v>
      </c>
      <c r="J25" s="840">
        <v>0.1</v>
      </c>
      <c r="K25" s="840">
        <f t="shared" si="4"/>
        <v>0.06</v>
      </c>
      <c r="L25" s="840">
        <f t="shared" si="2"/>
        <v>57.36</v>
      </c>
      <c r="M25" s="999">
        <v>0.05</v>
      </c>
      <c r="N25" s="999">
        <f t="shared" si="3"/>
        <v>47.803500000000007</v>
      </c>
    </row>
    <row r="26" spans="1:16" ht="19.5" customHeight="1" x14ac:dyDescent="0.2">
      <c r="A26" s="1390" t="s">
        <v>555</v>
      </c>
      <c r="B26" s="1391"/>
      <c r="C26" s="1391"/>
      <c r="D26" s="1391"/>
      <c r="E26" s="1391"/>
      <c r="F26" s="1391"/>
      <c r="G26" s="1391"/>
      <c r="H26" s="1391"/>
      <c r="I26" s="1391"/>
      <c r="J26" s="1391"/>
      <c r="K26" s="1391"/>
      <c r="L26" s="1391"/>
      <c r="M26" s="1391"/>
      <c r="N26" s="1536"/>
    </row>
    <row r="27" spans="1:16" ht="42.75" x14ac:dyDescent="0.2">
      <c r="A27" s="829">
        <v>21</v>
      </c>
      <c r="B27" s="998" t="s">
        <v>761</v>
      </c>
      <c r="C27" s="1000" t="s">
        <v>869</v>
      </c>
      <c r="D27" s="1000">
        <f>5.88+136.72+130.73+4.31+133.27+26.54+19.82+4.4</f>
        <v>461.66999999999996</v>
      </c>
      <c r="E27" s="1000" t="s">
        <v>870</v>
      </c>
      <c r="F27" s="884">
        <f>4.14+63.87+59.35+59.95+59.43+61.19+57.81+26.47+19.85+4.39</f>
        <v>416.45000000000005</v>
      </c>
      <c r="G27" s="884">
        <f>D27+F27</f>
        <v>878.12</v>
      </c>
      <c r="H27" s="840">
        <v>1.5</v>
      </c>
      <c r="I27" s="884">
        <f t="shared" ref="I27:I52" si="5">TRUNC((G27*H27),2)</f>
        <v>1317.18</v>
      </c>
      <c r="J27" s="840">
        <v>0.1</v>
      </c>
      <c r="K27" s="840">
        <v>0.06</v>
      </c>
      <c r="L27" s="840">
        <f>TRUNC(I27*K27,2)</f>
        <v>79.03</v>
      </c>
      <c r="M27" s="999">
        <v>0.05</v>
      </c>
      <c r="N27" s="999">
        <f>I27*M27</f>
        <v>65.859000000000009</v>
      </c>
      <c r="O27" s="1003"/>
      <c r="P27" s="1004">
        <f>D27+F27</f>
        <v>878.12</v>
      </c>
    </row>
    <row r="28" spans="1:16" ht="28.5" x14ac:dyDescent="0.2">
      <c r="A28" s="829">
        <v>22</v>
      </c>
      <c r="B28" s="998" t="s">
        <v>762</v>
      </c>
      <c r="C28" s="1000" t="s">
        <v>871</v>
      </c>
      <c r="D28" s="1000">
        <f>4.4+134.28+34.2+25.5+110.23+4.4</f>
        <v>313.01</v>
      </c>
      <c r="E28" s="1001" t="s">
        <v>872</v>
      </c>
      <c r="F28" s="1001">
        <f>4.4+60.14+59.12+33.21+25.48+60.45+34.8+4.4</f>
        <v>282</v>
      </c>
      <c r="G28" s="884">
        <f t="shared" ref="G28:G52" si="6">D28+F28</f>
        <v>595.01</v>
      </c>
      <c r="H28" s="840">
        <v>1.5</v>
      </c>
      <c r="I28" s="884">
        <f t="shared" si="5"/>
        <v>892.51</v>
      </c>
      <c r="J28" s="840">
        <v>0.1</v>
      </c>
      <c r="K28" s="840">
        <v>0.06</v>
      </c>
      <c r="L28" s="840">
        <f t="shared" ref="L28:L52" si="7">TRUNC(I28*K28,2)</f>
        <v>53.55</v>
      </c>
      <c r="M28" s="999">
        <v>0.05</v>
      </c>
      <c r="N28" s="999">
        <f t="shared" ref="N28:N52" si="8">I28*M28</f>
        <v>44.625500000000002</v>
      </c>
      <c r="O28" s="1003"/>
      <c r="P28" s="1004">
        <f t="shared" ref="P28:P52" si="9">D28+F28</f>
        <v>595.01</v>
      </c>
    </row>
    <row r="29" spans="1:16" ht="42.75" x14ac:dyDescent="0.2">
      <c r="A29" s="829">
        <v>23</v>
      </c>
      <c r="B29" s="998" t="s">
        <v>763</v>
      </c>
      <c r="C29" s="1000" t="s">
        <v>873</v>
      </c>
      <c r="D29" s="1000">
        <f>4.68+128.03+4.32+4.47+136.39+4.4+4.4+133.18+4.38+4.42+46.56+4.38</f>
        <v>479.60999999999996</v>
      </c>
      <c r="E29" s="1001" t="s">
        <v>874</v>
      </c>
      <c r="F29" s="1001">
        <f>4.12+130.71+134.9+133.39+46.68+4.41</f>
        <v>454.21000000000004</v>
      </c>
      <c r="G29" s="884">
        <f t="shared" si="6"/>
        <v>933.81999999999994</v>
      </c>
      <c r="H29" s="840">
        <v>1.5</v>
      </c>
      <c r="I29" s="884">
        <f t="shared" si="5"/>
        <v>1400.73</v>
      </c>
      <c r="J29" s="840">
        <v>0.1</v>
      </c>
      <c r="K29" s="840">
        <v>0.06</v>
      </c>
      <c r="L29" s="840">
        <f t="shared" si="7"/>
        <v>84.04</v>
      </c>
      <c r="M29" s="999">
        <v>0.05</v>
      </c>
      <c r="N29" s="999">
        <f t="shared" si="8"/>
        <v>70.036500000000004</v>
      </c>
      <c r="O29" s="1003"/>
      <c r="P29" s="1004">
        <f t="shared" si="9"/>
        <v>933.81999999999994</v>
      </c>
    </row>
    <row r="30" spans="1:16" ht="30" customHeight="1" x14ac:dyDescent="0.2">
      <c r="A30" s="829">
        <v>24</v>
      </c>
      <c r="B30" s="998" t="s">
        <v>764</v>
      </c>
      <c r="C30" s="1000" t="s">
        <v>875</v>
      </c>
      <c r="D30" s="1000">
        <f>4.44+63.88</f>
        <v>68.320000000000007</v>
      </c>
      <c r="E30" s="1001" t="s">
        <v>876</v>
      </c>
      <c r="F30" s="1001">
        <f>4.36+63.96</f>
        <v>68.320000000000007</v>
      </c>
      <c r="G30" s="884">
        <f t="shared" si="6"/>
        <v>136.64000000000001</v>
      </c>
      <c r="H30" s="840">
        <v>1.5</v>
      </c>
      <c r="I30" s="884">
        <f t="shared" si="5"/>
        <v>204.96</v>
      </c>
      <c r="J30" s="840">
        <v>0.1</v>
      </c>
      <c r="K30" s="840">
        <v>0.06</v>
      </c>
      <c r="L30" s="840">
        <f t="shared" si="7"/>
        <v>12.29</v>
      </c>
      <c r="M30" s="999">
        <v>0.05</v>
      </c>
      <c r="N30" s="999">
        <f t="shared" si="8"/>
        <v>10.248000000000001</v>
      </c>
      <c r="O30" s="1003"/>
      <c r="P30" s="1004">
        <f t="shared" si="9"/>
        <v>136.64000000000001</v>
      </c>
    </row>
    <row r="31" spans="1:16" ht="30" customHeight="1" x14ac:dyDescent="0.2">
      <c r="A31" s="829">
        <v>25</v>
      </c>
      <c r="B31" s="998" t="s">
        <v>765</v>
      </c>
      <c r="C31" s="1000" t="s">
        <v>877</v>
      </c>
      <c r="D31" s="1000">
        <f>4.39+59.59+58.6+58.89+59.94+46.86+4.4</f>
        <v>292.67</v>
      </c>
      <c r="E31" s="1001" t="s">
        <v>878</v>
      </c>
      <c r="F31" s="1001">
        <f>4.4+134.18+4.39+4.4+58.7+4.44+4.36+122.99+4.4</f>
        <v>342.26</v>
      </c>
      <c r="G31" s="884">
        <f t="shared" si="6"/>
        <v>634.93000000000006</v>
      </c>
      <c r="H31" s="840">
        <v>1.5</v>
      </c>
      <c r="I31" s="884">
        <f t="shared" si="5"/>
        <v>952.39</v>
      </c>
      <c r="J31" s="840">
        <v>0.1</v>
      </c>
      <c r="K31" s="840">
        <v>0.06</v>
      </c>
      <c r="L31" s="840">
        <f t="shared" si="7"/>
        <v>57.14</v>
      </c>
      <c r="M31" s="999">
        <v>0.05</v>
      </c>
      <c r="N31" s="999">
        <f t="shared" si="8"/>
        <v>47.619500000000002</v>
      </c>
      <c r="O31" s="1003"/>
      <c r="P31" s="1004">
        <f t="shared" si="9"/>
        <v>634.93000000000006</v>
      </c>
    </row>
    <row r="32" spans="1:16" ht="71.25" x14ac:dyDescent="0.2">
      <c r="A32" s="829">
        <v>26</v>
      </c>
      <c r="B32" s="998" t="s">
        <v>766</v>
      </c>
      <c r="C32" s="1000" t="s">
        <v>879</v>
      </c>
      <c r="D32" s="1000">
        <f>227.74+106.78+70.92+142.5</f>
        <v>547.94000000000005</v>
      </c>
      <c r="E32" s="1001" t="s">
        <v>880</v>
      </c>
      <c r="F32" s="1001">
        <f>114.11+4.4+4.4+61.53+4.4+4.4+22.17+33.92+4.4+4.4+57.92+5.2+4.41+4.41+50.39+9.58+4.4+4.4+44.89+57.03</f>
        <v>500.76</v>
      </c>
      <c r="G32" s="884">
        <f t="shared" si="6"/>
        <v>1048.7</v>
      </c>
      <c r="H32" s="840">
        <v>1.5</v>
      </c>
      <c r="I32" s="884">
        <f t="shared" si="5"/>
        <v>1573.05</v>
      </c>
      <c r="J32" s="840">
        <v>0.1</v>
      </c>
      <c r="K32" s="840">
        <v>0.06</v>
      </c>
      <c r="L32" s="840">
        <f t="shared" si="7"/>
        <v>94.38</v>
      </c>
      <c r="M32" s="999">
        <v>0.05</v>
      </c>
      <c r="N32" s="999">
        <f t="shared" si="8"/>
        <v>78.652500000000003</v>
      </c>
      <c r="O32" s="1003"/>
      <c r="P32" s="1004">
        <f t="shared" si="9"/>
        <v>1048.7</v>
      </c>
    </row>
    <row r="33" spans="1:16" ht="30" customHeight="1" x14ac:dyDescent="0.2">
      <c r="A33" s="829">
        <v>27</v>
      </c>
      <c r="B33" s="998" t="s">
        <v>767</v>
      </c>
      <c r="C33" s="1000" t="s">
        <v>881</v>
      </c>
      <c r="D33" s="1000">
        <f>4.38+98.98+4.49</f>
        <v>107.85</v>
      </c>
      <c r="E33" s="1001" t="s">
        <v>882</v>
      </c>
      <c r="F33" s="1001">
        <f>4.42+98.99+4.38</f>
        <v>107.78999999999999</v>
      </c>
      <c r="G33" s="884">
        <f t="shared" si="6"/>
        <v>215.64</v>
      </c>
      <c r="H33" s="840">
        <v>1.5</v>
      </c>
      <c r="I33" s="884">
        <f t="shared" si="5"/>
        <v>323.45999999999998</v>
      </c>
      <c r="J33" s="840">
        <v>0.1</v>
      </c>
      <c r="K33" s="840">
        <v>0.06</v>
      </c>
      <c r="L33" s="840">
        <f t="shared" si="7"/>
        <v>19.399999999999999</v>
      </c>
      <c r="M33" s="999">
        <v>0.05</v>
      </c>
      <c r="N33" s="999">
        <f t="shared" si="8"/>
        <v>16.172999999999998</v>
      </c>
      <c r="O33" s="1003"/>
      <c r="P33" s="1004">
        <f t="shared" si="9"/>
        <v>215.64</v>
      </c>
    </row>
    <row r="34" spans="1:16" ht="30" customHeight="1" x14ac:dyDescent="0.2">
      <c r="A34" s="829">
        <v>28</v>
      </c>
      <c r="B34" s="998" t="s">
        <v>768</v>
      </c>
      <c r="C34" s="1000" t="s">
        <v>883</v>
      </c>
      <c r="D34" s="1000">
        <f>4.4+61.57+4.38</f>
        <v>70.349999999999994</v>
      </c>
      <c r="E34" s="1001" t="s">
        <v>884</v>
      </c>
      <c r="F34" s="1001">
        <f>4.4+61.47+4.42</f>
        <v>70.290000000000006</v>
      </c>
      <c r="G34" s="884">
        <f t="shared" si="6"/>
        <v>140.63999999999999</v>
      </c>
      <c r="H34" s="840">
        <v>1.5</v>
      </c>
      <c r="I34" s="884">
        <f t="shared" si="5"/>
        <v>210.96</v>
      </c>
      <c r="J34" s="840">
        <v>0.1</v>
      </c>
      <c r="K34" s="840">
        <v>0.06</v>
      </c>
      <c r="L34" s="840">
        <f t="shared" si="7"/>
        <v>12.65</v>
      </c>
      <c r="M34" s="999">
        <v>0.05</v>
      </c>
      <c r="N34" s="999">
        <f t="shared" si="8"/>
        <v>10.548000000000002</v>
      </c>
      <c r="O34" s="1003"/>
      <c r="P34" s="1004">
        <f t="shared" si="9"/>
        <v>140.63999999999999</v>
      </c>
    </row>
    <row r="35" spans="1:16" ht="30" customHeight="1" x14ac:dyDescent="0.2">
      <c r="A35" s="829">
        <v>29</v>
      </c>
      <c r="B35" s="998" t="s">
        <v>769</v>
      </c>
      <c r="C35" s="1000" t="s">
        <v>885</v>
      </c>
      <c r="D35" s="1000">
        <f>4.4+97.52+4.37</f>
        <v>106.29</v>
      </c>
      <c r="E35" s="1001" t="s">
        <v>886</v>
      </c>
      <c r="F35" s="1001">
        <f>4.4+97.57+4.33</f>
        <v>106.3</v>
      </c>
      <c r="G35" s="884">
        <f t="shared" si="6"/>
        <v>212.59</v>
      </c>
      <c r="H35" s="840">
        <v>1.5</v>
      </c>
      <c r="I35" s="884">
        <f t="shared" si="5"/>
        <v>318.88</v>
      </c>
      <c r="J35" s="840">
        <v>0.1</v>
      </c>
      <c r="K35" s="840">
        <v>0.06</v>
      </c>
      <c r="L35" s="840">
        <f t="shared" si="7"/>
        <v>19.13</v>
      </c>
      <c r="M35" s="999">
        <v>0.05</v>
      </c>
      <c r="N35" s="999">
        <f t="shared" si="8"/>
        <v>15.944000000000001</v>
      </c>
      <c r="O35" s="1003"/>
      <c r="P35" s="1004">
        <f t="shared" si="9"/>
        <v>212.59</v>
      </c>
    </row>
    <row r="36" spans="1:16" ht="30" customHeight="1" x14ac:dyDescent="0.2">
      <c r="A36" s="829">
        <v>30</v>
      </c>
      <c r="B36" s="998" t="s">
        <v>770</v>
      </c>
      <c r="C36" s="1000" t="s">
        <v>887</v>
      </c>
      <c r="D36" s="1000">
        <f>4.38+98.29+4.42</f>
        <v>107.09</v>
      </c>
      <c r="E36" s="1001" t="s">
        <v>888</v>
      </c>
      <c r="F36" s="1001">
        <f>4.42+98.2+4.41</f>
        <v>107.03</v>
      </c>
      <c r="G36" s="884">
        <f t="shared" si="6"/>
        <v>214.12</v>
      </c>
      <c r="H36" s="840">
        <v>1.5</v>
      </c>
      <c r="I36" s="884">
        <f t="shared" si="5"/>
        <v>321.18</v>
      </c>
      <c r="J36" s="840">
        <v>0.1</v>
      </c>
      <c r="K36" s="840">
        <v>0.06</v>
      </c>
      <c r="L36" s="840">
        <f t="shared" si="7"/>
        <v>19.27</v>
      </c>
      <c r="M36" s="999">
        <v>0.05</v>
      </c>
      <c r="N36" s="999">
        <f t="shared" si="8"/>
        <v>16.059000000000001</v>
      </c>
      <c r="O36" s="1003"/>
      <c r="P36" s="1004">
        <f t="shared" si="9"/>
        <v>214.12</v>
      </c>
    </row>
    <row r="37" spans="1:16" ht="30" customHeight="1" x14ac:dyDescent="0.2">
      <c r="A37" s="829">
        <v>31</v>
      </c>
      <c r="B37" s="998" t="s">
        <v>771</v>
      </c>
      <c r="C37" s="1000" t="s">
        <v>889</v>
      </c>
      <c r="D37" s="1000">
        <f>4.4+62.45+4.4</f>
        <v>71.250000000000014</v>
      </c>
      <c r="E37" s="1001" t="s">
        <v>890</v>
      </c>
      <c r="F37" s="1001">
        <f>4.39+62.47+4.41</f>
        <v>71.27</v>
      </c>
      <c r="G37" s="884">
        <f t="shared" si="6"/>
        <v>142.52000000000001</v>
      </c>
      <c r="H37" s="840">
        <v>1.5</v>
      </c>
      <c r="I37" s="884">
        <f t="shared" si="5"/>
        <v>213.78</v>
      </c>
      <c r="J37" s="840">
        <v>0.1</v>
      </c>
      <c r="K37" s="840">
        <v>0.06</v>
      </c>
      <c r="L37" s="840">
        <f t="shared" si="7"/>
        <v>12.82</v>
      </c>
      <c r="M37" s="999">
        <v>0.05</v>
      </c>
      <c r="N37" s="999">
        <f t="shared" si="8"/>
        <v>10.689</v>
      </c>
      <c r="O37" s="1003"/>
      <c r="P37" s="1004">
        <f t="shared" si="9"/>
        <v>142.52000000000001</v>
      </c>
    </row>
    <row r="38" spans="1:16" ht="30" customHeight="1" x14ac:dyDescent="0.2">
      <c r="A38" s="829">
        <v>32</v>
      </c>
      <c r="B38" s="998" t="s">
        <v>772</v>
      </c>
      <c r="C38" s="1000" t="s">
        <v>891</v>
      </c>
      <c r="D38" s="1000">
        <f>4.43+98.17+4.36</f>
        <v>106.96</v>
      </c>
      <c r="E38" s="1001" t="s">
        <v>892</v>
      </c>
      <c r="F38" s="1001">
        <f>4.34+98.23+4.45</f>
        <v>107.02000000000001</v>
      </c>
      <c r="G38" s="884">
        <f t="shared" si="6"/>
        <v>213.98000000000002</v>
      </c>
      <c r="H38" s="840">
        <v>1.5</v>
      </c>
      <c r="I38" s="884">
        <f t="shared" si="5"/>
        <v>320.97000000000003</v>
      </c>
      <c r="J38" s="840">
        <v>0.1</v>
      </c>
      <c r="K38" s="840">
        <v>0.06</v>
      </c>
      <c r="L38" s="840">
        <f t="shared" si="7"/>
        <v>19.25</v>
      </c>
      <c r="M38" s="999">
        <v>0.05</v>
      </c>
      <c r="N38" s="999">
        <f t="shared" si="8"/>
        <v>16.048500000000001</v>
      </c>
      <c r="O38" s="1003"/>
      <c r="P38" s="1004">
        <f t="shared" si="9"/>
        <v>213.98000000000002</v>
      </c>
    </row>
    <row r="39" spans="1:16" ht="30" customHeight="1" x14ac:dyDescent="0.2">
      <c r="A39" s="829">
        <v>33</v>
      </c>
      <c r="B39" s="998" t="s">
        <v>773</v>
      </c>
      <c r="C39" s="1000" t="s">
        <v>893</v>
      </c>
      <c r="D39" s="1000">
        <f>4.4+98.71+4.4</f>
        <v>107.51</v>
      </c>
      <c r="E39" s="1001" t="s">
        <v>894</v>
      </c>
      <c r="F39" s="1001">
        <f>4.4+98.27+4.07</f>
        <v>106.74000000000001</v>
      </c>
      <c r="G39" s="884">
        <f t="shared" si="6"/>
        <v>214.25</v>
      </c>
      <c r="H39" s="840">
        <v>1.5</v>
      </c>
      <c r="I39" s="884">
        <f t="shared" si="5"/>
        <v>321.37</v>
      </c>
      <c r="J39" s="840">
        <v>0.1</v>
      </c>
      <c r="K39" s="840">
        <v>0.06</v>
      </c>
      <c r="L39" s="840">
        <f t="shared" si="7"/>
        <v>19.28</v>
      </c>
      <c r="M39" s="999">
        <v>0.05</v>
      </c>
      <c r="N39" s="999">
        <f t="shared" si="8"/>
        <v>16.0685</v>
      </c>
      <c r="O39" s="1003"/>
      <c r="P39" s="1004">
        <f t="shared" si="9"/>
        <v>214.25</v>
      </c>
    </row>
    <row r="40" spans="1:16" ht="30" customHeight="1" x14ac:dyDescent="0.2">
      <c r="A40" s="829">
        <v>34</v>
      </c>
      <c r="B40" s="998" t="s">
        <v>774</v>
      </c>
      <c r="C40" s="1000" t="s">
        <v>895</v>
      </c>
      <c r="D40" s="1000">
        <f>4.4+62.16+4.4</f>
        <v>70.960000000000008</v>
      </c>
      <c r="E40" s="1001" t="s">
        <v>896</v>
      </c>
      <c r="F40" s="1001">
        <f>4.4+62.19+4.39</f>
        <v>70.98</v>
      </c>
      <c r="G40" s="884">
        <f t="shared" si="6"/>
        <v>141.94</v>
      </c>
      <c r="H40" s="840">
        <v>1.5</v>
      </c>
      <c r="I40" s="884">
        <f t="shared" si="5"/>
        <v>212.91</v>
      </c>
      <c r="J40" s="840">
        <v>0.1</v>
      </c>
      <c r="K40" s="840">
        <v>0.06</v>
      </c>
      <c r="L40" s="840">
        <f t="shared" si="7"/>
        <v>12.77</v>
      </c>
      <c r="M40" s="999">
        <v>0.05</v>
      </c>
      <c r="N40" s="999">
        <f t="shared" si="8"/>
        <v>10.6455</v>
      </c>
      <c r="O40" s="1003"/>
      <c r="P40" s="1004">
        <f t="shared" si="9"/>
        <v>141.94</v>
      </c>
    </row>
    <row r="41" spans="1:16" ht="30" customHeight="1" x14ac:dyDescent="0.2">
      <c r="A41" s="829">
        <v>35</v>
      </c>
      <c r="B41" s="998" t="s">
        <v>775</v>
      </c>
      <c r="C41" s="1000" t="s">
        <v>897</v>
      </c>
      <c r="D41" s="1000">
        <f>4.4+98.7+4.38</f>
        <v>107.48</v>
      </c>
      <c r="E41" s="1001" t="s">
        <v>898</v>
      </c>
      <c r="F41" s="1001">
        <f>4.4+98.73+4.4</f>
        <v>107.53000000000002</v>
      </c>
      <c r="G41" s="884">
        <f t="shared" si="6"/>
        <v>215.01000000000002</v>
      </c>
      <c r="H41" s="840">
        <v>1.5</v>
      </c>
      <c r="I41" s="884">
        <f t="shared" si="5"/>
        <v>322.51</v>
      </c>
      <c r="J41" s="840">
        <v>0.1</v>
      </c>
      <c r="K41" s="840">
        <v>0.06</v>
      </c>
      <c r="L41" s="840">
        <f t="shared" si="7"/>
        <v>19.350000000000001</v>
      </c>
      <c r="M41" s="999">
        <v>0.05</v>
      </c>
      <c r="N41" s="999">
        <f t="shared" si="8"/>
        <v>16.125499999999999</v>
      </c>
      <c r="O41" s="1003"/>
      <c r="P41" s="1004">
        <f t="shared" si="9"/>
        <v>215.01000000000002</v>
      </c>
    </row>
    <row r="42" spans="1:16" ht="42.75" x14ac:dyDescent="0.2">
      <c r="A42" s="829">
        <v>36</v>
      </c>
      <c r="B42" s="998" t="s">
        <v>776</v>
      </c>
      <c r="C42" s="1000" t="s">
        <v>899</v>
      </c>
      <c r="D42" s="1000">
        <f>4.43+115.02+45.09+4.6+11.64+4.42+4.38+62.29+4.42+4.38+98.79+4.32</f>
        <v>363.78</v>
      </c>
      <c r="E42" s="1001" t="s">
        <v>900</v>
      </c>
      <c r="F42" s="1001">
        <f>4.36+115.42+4.38+4.42+44.89+4.62+11.69+62.25+98.79+4.4</f>
        <v>355.21999999999997</v>
      </c>
      <c r="G42" s="884">
        <f t="shared" si="6"/>
        <v>719</v>
      </c>
      <c r="H42" s="840">
        <v>1.5</v>
      </c>
      <c r="I42" s="884">
        <f t="shared" si="5"/>
        <v>1078.5</v>
      </c>
      <c r="J42" s="840">
        <v>0.1</v>
      </c>
      <c r="K42" s="840">
        <v>0.06</v>
      </c>
      <c r="L42" s="840">
        <f t="shared" si="7"/>
        <v>64.709999999999994</v>
      </c>
      <c r="M42" s="999">
        <v>0.05</v>
      </c>
      <c r="N42" s="999">
        <f t="shared" si="8"/>
        <v>53.925000000000004</v>
      </c>
      <c r="O42" s="1003"/>
      <c r="P42" s="1004">
        <f t="shared" si="9"/>
        <v>719</v>
      </c>
    </row>
    <row r="43" spans="1:16" ht="30" customHeight="1" x14ac:dyDescent="0.2">
      <c r="A43" s="829">
        <v>37</v>
      </c>
      <c r="B43" s="998" t="s">
        <v>777</v>
      </c>
      <c r="C43" s="1000" t="s">
        <v>901</v>
      </c>
      <c r="D43" s="1000">
        <f>4.38+112.51+4.4</f>
        <v>121.29</v>
      </c>
      <c r="E43" s="1001" t="s">
        <v>902</v>
      </c>
      <c r="F43" s="1001">
        <f>4.42+112.38+4.4</f>
        <v>121.2</v>
      </c>
      <c r="G43" s="884">
        <f t="shared" si="6"/>
        <v>242.49</v>
      </c>
      <c r="H43" s="840">
        <v>1.5</v>
      </c>
      <c r="I43" s="884">
        <f t="shared" si="5"/>
        <v>363.73</v>
      </c>
      <c r="J43" s="840">
        <v>0.1</v>
      </c>
      <c r="K43" s="840">
        <v>0.06</v>
      </c>
      <c r="L43" s="840">
        <f t="shared" si="7"/>
        <v>21.82</v>
      </c>
      <c r="M43" s="999">
        <v>0.05</v>
      </c>
      <c r="N43" s="999">
        <f t="shared" si="8"/>
        <v>18.186500000000002</v>
      </c>
      <c r="O43" s="1003"/>
      <c r="P43" s="1004">
        <f t="shared" si="9"/>
        <v>242.49</v>
      </c>
    </row>
    <row r="44" spans="1:16" ht="30" customHeight="1" x14ac:dyDescent="0.2">
      <c r="A44" s="829">
        <v>38</v>
      </c>
      <c r="B44" s="998" t="s">
        <v>757</v>
      </c>
      <c r="C44" s="1000" t="s">
        <v>903</v>
      </c>
      <c r="D44" s="1000">
        <f>4.39+98.07+4.4</f>
        <v>106.86</v>
      </c>
      <c r="E44" s="1001" t="s">
        <v>904</v>
      </c>
      <c r="F44" s="1001">
        <f>4.52+98.04+4.4</f>
        <v>106.96000000000001</v>
      </c>
      <c r="G44" s="884">
        <f t="shared" si="6"/>
        <v>213.82</v>
      </c>
      <c r="H44" s="840">
        <v>1.5</v>
      </c>
      <c r="I44" s="884">
        <f t="shared" si="5"/>
        <v>320.73</v>
      </c>
      <c r="J44" s="840">
        <v>0.1</v>
      </c>
      <c r="K44" s="840">
        <v>0.06</v>
      </c>
      <c r="L44" s="840">
        <f t="shared" si="7"/>
        <v>19.239999999999998</v>
      </c>
      <c r="M44" s="999">
        <v>0.05</v>
      </c>
      <c r="N44" s="999">
        <f t="shared" si="8"/>
        <v>16.0365</v>
      </c>
      <c r="O44" s="1003"/>
      <c r="P44" s="1004">
        <f t="shared" si="9"/>
        <v>213.82</v>
      </c>
    </row>
    <row r="45" spans="1:16" ht="30" customHeight="1" x14ac:dyDescent="0.2">
      <c r="A45" s="829">
        <v>39</v>
      </c>
      <c r="B45" s="998" t="s">
        <v>778</v>
      </c>
      <c r="C45" s="1000" t="s">
        <v>905</v>
      </c>
      <c r="D45" s="1000">
        <f>4.38+113.08+4.4</f>
        <v>121.86</v>
      </c>
      <c r="E45" s="1001" t="s">
        <v>906</v>
      </c>
      <c r="F45" s="1001">
        <f>4.42+112.95+4.4</f>
        <v>121.77000000000001</v>
      </c>
      <c r="G45" s="884">
        <f t="shared" si="6"/>
        <v>243.63</v>
      </c>
      <c r="H45" s="840">
        <v>1.5</v>
      </c>
      <c r="I45" s="884">
        <f t="shared" si="5"/>
        <v>365.44</v>
      </c>
      <c r="J45" s="840">
        <v>0.1</v>
      </c>
      <c r="K45" s="840">
        <v>0.06</v>
      </c>
      <c r="L45" s="840">
        <f t="shared" si="7"/>
        <v>21.92</v>
      </c>
      <c r="M45" s="999">
        <v>0.05</v>
      </c>
      <c r="N45" s="999">
        <f t="shared" si="8"/>
        <v>18.272000000000002</v>
      </c>
      <c r="O45" s="1003"/>
      <c r="P45" s="1004">
        <f t="shared" si="9"/>
        <v>243.63</v>
      </c>
    </row>
    <row r="46" spans="1:16" ht="30" customHeight="1" x14ac:dyDescent="0.2">
      <c r="A46" s="829">
        <v>40</v>
      </c>
      <c r="B46" s="998" t="s">
        <v>779</v>
      </c>
      <c r="C46" s="1000" t="s">
        <v>907</v>
      </c>
      <c r="D46" s="1000">
        <f>4.4+65.31+4.42</f>
        <v>74.13000000000001</v>
      </c>
      <c r="E46" s="1001" t="s">
        <v>908</v>
      </c>
      <c r="F46" s="1001">
        <f>4.4+65.41+4.38</f>
        <v>74.19</v>
      </c>
      <c r="G46" s="884">
        <f t="shared" si="6"/>
        <v>148.32</v>
      </c>
      <c r="H46" s="840">
        <v>1.5</v>
      </c>
      <c r="I46" s="884">
        <f t="shared" si="5"/>
        <v>222.48</v>
      </c>
      <c r="J46" s="840">
        <v>0.1</v>
      </c>
      <c r="K46" s="840">
        <v>0.06</v>
      </c>
      <c r="L46" s="840">
        <f t="shared" si="7"/>
        <v>13.34</v>
      </c>
      <c r="M46" s="999">
        <v>0.05</v>
      </c>
      <c r="N46" s="999">
        <f t="shared" si="8"/>
        <v>11.124000000000001</v>
      </c>
      <c r="O46" s="1003"/>
      <c r="P46" s="1004">
        <f t="shared" si="9"/>
        <v>148.32</v>
      </c>
    </row>
    <row r="47" spans="1:16" ht="30" customHeight="1" x14ac:dyDescent="0.2">
      <c r="A47" s="829">
        <v>41</v>
      </c>
      <c r="B47" s="998" t="s">
        <v>780</v>
      </c>
      <c r="C47" s="1000" t="s">
        <v>909</v>
      </c>
      <c r="D47" s="1000">
        <f>4.4+98.19+4.39</f>
        <v>106.98</v>
      </c>
      <c r="E47" s="1001" t="s">
        <v>910</v>
      </c>
      <c r="F47" s="1001">
        <f>4.4+98.17+4.4</f>
        <v>106.97000000000001</v>
      </c>
      <c r="G47" s="884">
        <f t="shared" si="6"/>
        <v>213.95000000000002</v>
      </c>
      <c r="H47" s="840">
        <v>1.5</v>
      </c>
      <c r="I47" s="884">
        <f t="shared" si="5"/>
        <v>320.92</v>
      </c>
      <c r="J47" s="840">
        <v>0.1</v>
      </c>
      <c r="K47" s="840">
        <v>0.06</v>
      </c>
      <c r="L47" s="840">
        <f t="shared" si="7"/>
        <v>19.25</v>
      </c>
      <c r="M47" s="999">
        <v>0.05</v>
      </c>
      <c r="N47" s="999">
        <f t="shared" si="8"/>
        <v>16.046000000000003</v>
      </c>
      <c r="O47" s="1003"/>
      <c r="P47" s="1004">
        <f t="shared" si="9"/>
        <v>213.95000000000002</v>
      </c>
    </row>
    <row r="48" spans="1:16" ht="30" customHeight="1" x14ac:dyDescent="0.2">
      <c r="A48" s="829">
        <v>42</v>
      </c>
      <c r="B48" s="998" t="s">
        <v>781</v>
      </c>
      <c r="C48" s="1000" t="s">
        <v>911</v>
      </c>
      <c r="D48" s="1000">
        <f>4.38+113.65+4.4</f>
        <v>122.43</v>
      </c>
      <c r="E48" s="1001" t="s">
        <v>912</v>
      </c>
      <c r="F48" s="1001">
        <f>4.42+113.53+4.4</f>
        <v>122.35000000000001</v>
      </c>
      <c r="G48" s="884">
        <f t="shared" si="6"/>
        <v>244.78000000000003</v>
      </c>
      <c r="H48" s="840">
        <v>1.5</v>
      </c>
      <c r="I48" s="884">
        <f t="shared" si="5"/>
        <v>367.17</v>
      </c>
      <c r="J48" s="840">
        <v>0.1</v>
      </c>
      <c r="K48" s="840">
        <v>0.06</v>
      </c>
      <c r="L48" s="840">
        <f t="shared" si="7"/>
        <v>22.03</v>
      </c>
      <c r="M48" s="999">
        <v>0.05</v>
      </c>
      <c r="N48" s="999">
        <f t="shared" si="8"/>
        <v>18.358500000000003</v>
      </c>
      <c r="O48" s="1003"/>
      <c r="P48" s="1004">
        <f t="shared" si="9"/>
        <v>244.78000000000003</v>
      </c>
    </row>
    <row r="49" spans="1:16" ht="30" customHeight="1" x14ac:dyDescent="0.2">
      <c r="A49" s="829">
        <v>43</v>
      </c>
      <c r="B49" s="998" t="s">
        <v>782</v>
      </c>
      <c r="C49" s="1000" t="s">
        <v>913</v>
      </c>
      <c r="D49" s="1000">
        <f>4.4+63.57+4.4</f>
        <v>72.37</v>
      </c>
      <c r="E49" s="1001" t="s">
        <v>914</v>
      </c>
      <c r="F49" s="1001">
        <f>4.4+63.59+4.39</f>
        <v>72.38000000000001</v>
      </c>
      <c r="G49" s="884">
        <f t="shared" si="6"/>
        <v>144.75</v>
      </c>
      <c r="H49" s="840">
        <v>1.5</v>
      </c>
      <c r="I49" s="884">
        <f t="shared" si="5"/>
        <v>217.12</v>
      </c>
      <c r="J49" s="840">
        <v>0.1</v>
      </c>
      <c r="K49" s="840">
        <v>0.06</v>
      </c>
      <c r="L49" s="840">
        <f t="shared" si="7"/>
        <v>13.02</v>
      </c>
      <c r="M49" s="999">
        <v>0.05</v>
      </c>
      <c r="N49" s="999">
        <f t="shared" si="8"/>
        <v>10.856000000000002</v>
      </c>
      <c r="O49" s="1003"/>
      <c r="P49" s="1004">
        <f t="shared" si="9"/>
        <v>144.75</v>
      </c>
    </row>
    <row r="50" spans="1:16" ht="30" customHeight="1" x14ac:dyDescent="0.2">
      <c r="A50" s="829">
        <v>44</v>
      </c>
      <c r="B50" s="998" t="s">
        <v>783</v>
      </c>
      <c r="C50" s="1000" t="s">
        <v>915</v>
      </c>
      <c r="D50" s="1000">
        <f>4.39+98.31+4.4</f>
        <v>107.10000000000001</v>
      </c>
      <c r="E50" s="1001" t="s">
        <v>916</v>
      </c>
      <c r="F50" s="1001">
        <f>4.4+98.28+4.4</f>
        <v>107.08000000000001</v>
      </c>
      <c r="G50" s="884">
        <f t="shared" si="6"/>
        <v>214.18</v>
      </c>
      <c r="H50" s="840">
        <v>1.5</v>
      </c>
      <c r="I50" s="884">
        <f t="shared" si="5"/>
        <v>321.27</v>
      </c>
      <c r="J50" s="840">
        <v>0.1</v>
      </c>
      <c r="K50" s="840">
        <v>0.06</v>
      </c>
      <c r="L50" s="840">
        <f t="shared" si="7"/>
        <v>19.27</v>
      </c>
      <c r="M50" s="999">
        <v>0.05</v>
      </c>
      <c r="N50" s="999">
        <f t="shared" si="8"/>
        <v>16.063500000000001</v>
      </c>
      <c r="O50" s="1003"/>
      <c r="P50" s="1004">
        <f t="shared" si="9"/>
        <v>214.18</v>
      </c>
    </row>
    <row r="51" spans="1:16" ht="30" customHeight="1" x14ac:dyDescent="0.2">
      <c r="A51" s="829">
        <v>45</v>
      </c>
      <c r="B51" s="998" t="s">
        <v>784</v>
      </c>
      <c r="C51" s="1000" t="s">
        <v>917</v>
      </c>
      <c r="D51" s="1000">
        <f>4.4+114.21+4.38</f>
        <v>122.99</v>
      </c>
      <c r="E51" s="1001" t="s">
        <v>918</v>
      </c>
      <c r="F51" s="1001">
        <f>4.4+114.1+4.41</f>
        <v>122.91</v>
      </c>
      <c r="G51" s="884">
        <f t="shared" si="6"/>
        <v>245.89999999999998</v>
      </c>
      <c r="H51" s="840">
        <v>1.5</v>
      </c>
      <c r="I51" s="884">
        <f t="shared" si="5"/>
        <v>368.85</v>
      </c>
      <c r="J51" s="840">
        <v>0.1</v>
      </c>
      <c r="K51" s="840">
        <v>0.06</v>
      </c>
      <c r="L51" s="840">
        <f t="shared" si="7"/>
        <v>22.13</v>
      </c>
      <c r="M51" s="999">
        <v>0.05</v>
      </c>
      <c r="N51" s="999">
        <f t="shared" si="8"/>
        <v>18.442500000000003</v>
      </c>
      <c r="O51" s="1003"/>
      <c r="P51" s="1004">
        <f t="shared" si="9"/>
        <v>245.89999999999998</v>
      </c>
    </row>
    <row r="52" spans="1:16" ht="20.100000000000001" customHeight="1" x14ac:dyDescent="0.2">
      <c r="A52" s="829">
        <v>46</v>
      </c>
      <c r="B52" s="998" t="s">
        <v>785</v>
      </c>
      <c r="C52" s="1000" t="s">
        <v>919</v>
      </c>
      <c r="D52" s="1000">
        <f>4.4+98.41+4.39</f>
        <v>107.2</v>
      </c>
      <c r="E52" s="1001" t="s">
        <v>920</v>
      </c>
      <c r="F52" s="1001">
        <f>4.4+98.39+4.4</f>
        <v>107.19000000000001</v>
      </c>
      <c r="G52" s="884">
        <f t="shared" si="6"/>
        <v>214.39000000000001</v>
      </c>
      <c r="H52" s="840">
        <v>1.5</v>
      </c>
      <c r="I52" s="884">
        <f t="shared" si="5"/>
        <v>321.58</v>
      </c>
      <c r="J52" s="840">
        <v>0.1</v>
      </c>
      <c r="K52" s="840">
        <v>0.06</v>
      </c>
      <c r="L52" s="840">
        <f t="shared" si="7"/>
        <v>19.29</v>
      </c>
      <c r="M52" s="999">
        <v>0.05</v>
      </c>
      <c r="N52" s="999">
        <f t="shared" si="8"/>
        <v>16.079000000000001</v>
      </c>
      <c r="O52" s="1003"/>
      <c r="P52" s="1004">
        <f t="shared" si="9"/>
        <v>214.39000000000001</v>
      </c>
    </row>
    <row r="53" spans="1:16" ht="30" customHeight="1" x14ac:dyDescent="0.2">
      <c r="A53" s="1385" t="s">
        <v>921</v>
      </c>
      <c r="B53" s="1386"/>
      <c r="C53" s="910"/>
      <c r="D53" s="1005">
        <f>TRUNC((SUM(D6:D52)),2)</f>
        <v>7591.69</v>
      </c>
      <c r="E53" s="1005"/>
      <c r="F53" s="1005">
        <f>TRUNC((SUM(F6:F52)),2)</f>
        <v>7568.9</v>
      </c>
      <c r="G53" s="1005">
        <f>TRUNC((SUM(G6:G52)),2)</f>
        <v>15160.59</v>
      </c>
      <c r="H53" s="1005"/>
      <c r="I53" s="1005">
        <f>TRUNC((SUM(I6:I52)),2)</f>
        <v>22740.78</v>
      </c>
      <c r="J53" s="1005">
        <f>TRUNC((SUM(J6:J52)),2)</f>
        <v>4.5999999999999996</v>
      </c>
      <c r="K53" s="1005"/>
      <c r="L53" s="1005">
        <f>TRUNC((SUM(L6:L52)),2)</f>
        <v>1364.25</v>
      </c>
      <c r="M53" s="1005"/>
      <c r="N53" s="1005">
        <f>TRUNC((SUM(N6:N52)),2)</f>
        <v>1137.03</v>
      </c>
      <c r="O53" s="1004">
        <f>SUM(O27:O52)</f>
        <v>0</v>
      </c>
    </row>
    <row r="54" spans="1:16" x14ac:dyDescent="0.2">
      <c r="A54" s="928"/>
    </row>
    <row r="55" spans="1:16" x14ac:dyDescent="0.2">
      <c r="A55" s="928"/>
    </row>
    <row r="64" spans="1:16" x14ac:dyDescent="0.2">
      <c r="K64" s="1598"/>
    </row>
    <row r="65" spans="11:11" x14ac:dyDescent="0.2">
      <c r="K65" s="1598"/>
    </row>
  </sheetData>
  <mergeCells count="17">
    <mergeCell ref="A1:N1"/>
    <mergeCell ref="A2:A4"/>
    <mergeCell ref="B2:B4"/>
    <mergeCell ref="C2:F2"/>
    <mergeCell ref="G2:G3"/>
    <mergeCell ref="H2:H3"/>
    <mergeCell ref="I2:I3"/>
    <mergeCell ref="J2:J3"/>
    <mergeCell ref="K2:K3"/>
    <mergeCell ref="L2:L3"/>
    <mergeCell ref="K64:K65"/>
    <mergeCell ref="M2:N2"/>
    <mergeCell ref="C3:D3"/>
    <mergeCell ref="E3:F3"/>
    <mergeCell ref="A5:N5"/>
    <mergeCell ref="A26:N26"/>
    <mergeCell ref="A53:B53"/>
  </mergeCells>
  <printOptions horizontalCentered="1"/>
  <pageMargins left="0.59055118110236227" right="0.59055118110236227" top="1.7716535433070868" bottom="0.78740157480314965" header="0" footer="0"/>
  <pageSetup paperSize="9" scale="55" firstPageNumber="25" orientation="landscape" r:id="rId1"/>
  <headerFooter scaleWithDoc="0">
    <oddHeader>&amp;L&amp;G</oddHeader>
    <oddFooter>&amp;C&amp;"-,Negrito"&amp;12DIONI CAETANEO DE OLIVEIRA
&amp;"-,Regular"ENGENHEIRO CIVIL - CREA /MT 40957
DEPARTAMENTO DE ENGENHARIA</oddFooter>
  </headerFooter>
  <rowBreaks count="2" manualBreakCount="2">
    <brk id="31" max="13" man="1"/>
    <brk id="46" max="1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AC706-7A2D-44AF-9A25-37635DA76E55}">
  <sheetPr codeName="Plan83">
    <tabColor rgb="FF0070C0"/>
    <pageSetUpPr fitToPage="1"/>
  </sheetPr>
  <dimension ref="A1:J26"/>
  <sheetViews>
    <sheetView showGridLines="0" showZeros="0" view="pageLayout" topLeftCell="A7" zoomScaleNormal="85" zoomScaleSheetLayoutView="100" workbookViewId="0">
      <selection activeCell="D26" sqref="D26"/>
    </sheetView>
  </sheetViews>
  <sheetFormatPr defaultColWidth="11.42578125" defaultRowHeight="14.25" x14ac:dyDescent="0.25"/>
  <cols>
    <col min="1" max="1" width="15.140625" style="6" customWidth="1"/>
    <col min="2" max="2" width="13.85546875" style="6" customWidth="1"/>
    <col min="3" max="3" width="70.5703125" style="6" customWidth="1"/>
    <col min="4" max="4" width="11" style="53" customWidth="1"/>
    <col min="5" max="5" width="17" style="53" bestFit="1" customWidth="1"/>
    <col min="6" max="7" width="15.7109375" style="53" customWidth="1"/>
    <col min="8" max="8" width="14.28515625" style="6" customWidth="1"/>
    <col min="9" max="9" width="11.42578125" style="6"/>
    <col min="10" max="10" width="25.5703125" style="6" bestFit="1" customWidth="1"/>
    <col min="11" max="234" width="11.42578125" style="6"/>
    <col min="235" max="235" width="0.7109375" style="6" customWidth="1"/>
    <col min="236" max="236" width="15.140625" style="6" customWidth="1"/>
    <col min="237" max="237" width="0.7109375" style="6" customWidth="1"/>
    <col min="238" max="238" width="56.140625" style="6" customWidth="1"/>
    <col min="239" max="239" width="0.7109375" style="6" customWidth="1"/>
    <col min="240" max="240" width="9.140625" style="6" customWidth="1"/>
    <col min="241" max="241" width="6" style="6" customWidth="1"/>
    <col min="242" max="242" width="0.7109375" style="6" customWidth="1"/>
    <col min="243" max="243" width="7.140625" style="6" customWidth="1"/>
    <col min="244" max="244" width="6.5703125" style="6" customWidth="1"/>
    <col min="245" max="245" width="0.7109375" style="6" customWidth="1"/>
    <col min="246" max="246" width="7.85546875" style="6" customWidth="1"/>
    <col min="247" max="247" width="10.5703125" style="6" customWidth="1"/>
    <col min="248" max="248" width="0.7109375" style="6" customWidth="1"/>
    <col min="249" max="490" width="11.42578125" style="6"/>
    <col min="491" max="491" width="0.7109375" style="6" customWidth="1"/>
    <col min="492" max="492" width="15.140625" style="6" customWidth="1"/>
    <col min="493" max="493" width="0.7109375" style="6" customWidth="1"/>
    <col min="494" max="494" width="56.140625" style="6" customWidth="1"/>
    <col min="495" max="495" width="0.7109375" style="6" customWidth="1"/>
    <col min="496" max="496" width="9.140625" style="6" customWidth="1"/>
    <col min="497" max="497" width="6" style="6" customWidth="1"/>
    <col min="498" max="498" width="0.7109375" style="6" customWidth="1"/>
    <col min="499" max="499" width="7.140625" style="6" customWidth="1"/>
    <col min="500" max="500" width="6.5703125" style="6" customWidth="1"/>
    <col min="501" max="501" width="0.7109375" style="6" customWidth="1"/>
    <col min="502" max="502" width="7.85546875" style="6" customWidth="1"/>
    <col min="503" max="503" width="10.5703125" style="6" customWidth="1"/>
    <col min="504" max="504" width="0.7109375" style="6" customWidth="1"/>
    <col min="505" max="746" width="11.42578125" style="6"/>
    <col min="747" max="747" width="0.7109375" style="6" customWidth="1"/>
    <col min="748" max="748" width="15.140625" style="6" customWidth="1"/>
    <col min="749" max="749" width="0.7109375" style="6" customWidth="1"/>
    <col min="750" max="750" width="56.140625" style="6" customWidth="1"/>
    <col min="751" max="751" width="0.7109375" style="6" customWidth="1"/>
    <col min="752" max="752" width="9.140625" style="6" customWidth="1"/>
    <col min="753" max="753" width="6" style="6" customWidth="1"/>
    <col min="754" max="754" width="0.7109375" style="6" customWidth="1"/>
    <col min="755" max="755" width="7.140625" style="6" customWidth="1"/>
    <col min="756" max="756" width="6.5703125" style="6" customWidth="1"/>
    <col min="757" max="757" width="0.7109375" style="6" customWidth="1"/>
    <col min="758" max="758" width="7.85546875" style="6" customWidth="1"/>
    <col min="759" max="759" width="10.5703125" style="6" customWidth="1"/>
    <col min="760" max="760" width="0.7109375" style="6" customWidth="1"/>
    <col min="761" max="1002" width="11.42578125" style="6"/>
    <col min="1003" max="1003" width="0.7109375" style="6" customWidth="1"/>
    <col min="1004" max="1004" width="15.140625" style="6" customWidth="1"/>
    <col min="1005" max="1005" width="0.7109375" style="6" customWidth="1"/>
    <col min="1006" max="1006" width="56.140625" style="6" customWidth="1"/>
    <col min="1007" max="1007" width="0.7109375" style="6" customWidth="1"/>
    <col min="1008" max="1008" width="9.140625" style="6" customWidth="1"/>
    <col min="1009" max="1009" width="6" style="6" customWidth="1"/>
    <col min="1010" max="1010" width="0.7109375" style="6" customWidth="1"/>
    <col min="1011" max="1011" width="7.140625" style="6" customWidth="1"/>
    <col min="1012" max="1012" width="6.5703125" style="6" customWidth="1"/>
    <col min="1013" max="1013" width="0.7109375" style="6" customWidth="1"/>
    <col min="1014" max="1014" width="7.85546875" style="6" customWidth="1"/>
    <col min="1015" max="1015" width="10.5703125" style="6" customWidth="1"/>
    <col min="1016" max="1016" width="0.7109375" style="6" customWidth="1"/>
    <col min="1017" max="1258" width="11.42578125" style="6"/>
    <col min="1259" max="1259" width="0.7109375" style="6" customWidth="1"/>
    <col min="1260" max="1260" width="15.140625" style="6" customWidth="1"/>
    <col min="1261" max="1261" width="0.7109375" style="6" customWidth="1"/>
    <col min="1262" max="1262" width="56.140625" style="6" customWidth="1"/>
    <col min="1263" max="1263" width="0.7109375" style="6" customWidth="1"/>
    <col min="1264" max="1264" width="9.140625" style="6" customWidth="1"/>
    <col min="1265" max="1265" width="6" style="6" customWidth="1"/>
    <col min="1266" max="1266" width="0.7109375" style="6" customWidth="1"/>
    <col min="1267" max="1267" width="7.140625" style="6" customWidth="1"/>
    <col min="1268" max="1268" width="6.5703125" style="6" customWidth="1"/>
    <col min="1269" max="1269" width="0.7109375" style="6" customWidth="1"/>
    <col min="1270" max="1270" width="7.85546875" style="6" customWidth="1"/>
    <col min="1271" max="1271" width="10.5703125" style="6" customWidth="1"/>
    <col min="1272" max="1272" width="0.7109375" style="6" customWidth="1"/>
    <col min="1273" max="1514" width="11.42578125" style="6"/>
    <col min="1515" max="1515" width="0.7109375" style="6" customWidth="1"/>
    <col min="1516" max="1516" width="15.140625" style="6" customWidth="1"/>
    <col min="1517" max="1517" width="0.7109375" style="6" customWidth="1"/>
    <col min="1518" max="1518" width="56.140625" style="6" customWidth="1"/>
    <col min="1519" max="1519" width="0.7109375" style="6" customWidth="1"/>
    <col min="1520" max="1520" width="9.140625" style="6" customWidth="1"/>
    <col min="1521" max="1521" width="6" style="6" customWidth="1"/>
    <col min="1522" max="1522" width="0.7109375" style="6" customWidth="1"/>
    <col min="1523" max="1523" width="7.140625" style="6" customWidth="1"/>
    <col min="1524" max="1524" width="6.5703125" style="6" customWidth="1"/>
    <col min="1525" max="1525" width="0.7109375" style="6" customWidth="1"/>
    <col min="1526" max="1526" width="7.85546875" style="6" customWidth="1"/>
    <col min="1527" max="1527" width="10.5703125" style="6" customWidth="1"/>
    <col min="1528" max="1528" width="0.7109375" style="6" customWidth="1"/>
    <col min="1529" max="1770" width="11.42578125" style="6"/>
    <col min="1771" max="1771" width="0.7109375" style="6" customWidth="1"/>
    <col min="1772" max="1772" width="15.140625" style="6" customWidth="1"/>
    <col min="1773" max="1773" width="0.7109375" style="6" customWidth="1"/>
    <col min="1774" max="1774" width="56.140625" style="6" customWidth="1"/>
    <col min="1775" max="1775" width="0.7109375" style="6" customWidth="1"/>
    <col min="1776" max="1776" width="9.140625" style="6" customWidth="1"/>
    <col min="1777" max="1777" width="6" style="6" customWidth="1"/>
    <col min="1778" max="1778" width="0.7109375" style="6" customWidth="1"/>
    <col min="1779" max="1779" width="7.140625" style="6" customWidth="1"/>
    <col min="1780" max="1780" width="6.5703125" style="6" customWidth="1"/>
    <col min="1781" max="1781" width="0.7109375" style="6" customWidth="1"/>
    <col min="1782" max="1782" width="7.85546875" style="6" customWidth="1"/>
    <col min="1783" max="1783" width="10.5703125" style="6" customWidth="1"/>
    <col min="1784" max="1784" width="0.7109375" style="6" customWidth="1"/>
    <col min="1785" max="2026" width="11.42578125" style="6"/>
    <col min="2027" max="2027" width="0.7109375" style="6" customWidth="1"/>
    <col min="2028" max="2028" width="15.140625" style="6" customWidth="1"/>
    <col min="2029" max="2029" width="0.7109375" style="6" customWidth="1"/>
    <col min="2030" max="2030" width="56.140625" style="6" customWidth="1"/>
    <col min="2031" max="2031" width="0.7109375" style="6" customWidth="1"/>
    <col min="2032" max="2032" width="9.140625" style="6" customWidth="1"/>
    <col min="2033" max="2033" width="6" style="6" customWidth="1"/>
    <col min="2034" max="2034" width="0.7109375" style="6" customWidth="1"/>
    <col min="2035" max="2035" width="7.140625" style="6" customWidth="1"/>
    <col min="2036" max="2036" width="6.5703125" style="6" customWidth="1"/>
    <col min="2037" max="2037" width="0.7109375" style="6" customWidth="1"/>
    <col min="2038" max="2038" width="7.85546875" style="6" customWidth="1"/>
    <col min="2039" max="2039" width="10.5703125" style="6" customWidth="1"/>
    <col min="2040" max="2040" width="0.7109375" style="6" customWidth="1"/>
    <col min="2041" max="2282" width="11.42578125" style="6"/>
    <col min="2283" max="2283" width="0.7109375" style="6" customWidth="1"/>
    <col min="2284" max="2284" width="15.140625" style="6" customWidth="1"/>
    <col min="2285" max="2285" width="0.7109375" style="6" customWidth="1"/>
    <col min="2286" max="2286" width="56.140625" style="6" customWidth="1"/>
    <col min="2287" max="2287" width="0.7109375" style="6" customWidth="1"/>
    <col min="2288" max="2288" width="9.140625" style="6" customWidth="1"/>
    <col min="2289" max="2289" width="6" style="6" customWidth="1"/>
    <col min="2290" max="2290" width="0.7109375" style="6" customWidth="1"/>
    <col min="2291" max="2291" width="7.140625" style="6" customWidth="1"/>
    <col min="2292" max="2292" width="6.5703125" style="6" customWidth="1"/>
    <col min="2293" max="2293" width="0.7109375" style="6" customWidth="1"/>
    <col min="2294" max="2294" width="7.85546875" style="6" customWidth="1"/>
    <col min="2295" max="2295" width="10.5703125" style="6" customWidth="1"/>
    <col min="2296" max="2296" width="0.7109375" style="6" customWidth="1"/>
    <col min="2297" max="2538" width="11.42578125" style="6"/>
    <col min="2539" max="2539" width="0.7109375" style="6" customWidth="1"/>
    <col min="2540" max="2540" width="15.140625" style="6" customWidth="1"/>
    <col min="2541" max="2541" width="0.7109375" style="6" customWidth="1"/>
    <col min="2542" max="2542" width="56.140625" style="6" customWidth="1"/>
    <col min="2543" max="2543" width="0.7109375" style="6" customWidth="1"/>
    <col min="2544" max="2544" width="9.140625" style="6" customWidth="1"/>
    <col min="2545" max="2545" width="6" style="6" customWidth="1"/>
    <col min="2546" max="2546" width="0.7109375" style="6" customWidth="1"/>
    <col min="2547" max="2547" width="7.140625" style="6" customWidth="1"/>
    <col min="2548" max="2548" width="6.5703125" style="6" customWidth="1"/>
    <col min="2549" max="2549" width="0.7109375" style="6" customWidth="1"/>
    <col min="2550" max="2550" width="7.85546875" style="6" customWidth="1"/>
    <col min="2551" max="2551" width="10.5703125" style="6" customWidth="1"/>
    <col min="2552" max="2552" width="0.7109375" style="6" customWidth="1"/>
    <col min="2553" max="2794" width="11.42578125" style="6"/>
    <col min="2795" max="2795" width="0.7109375" style="6" customWidth="1"/>
    <col min="2796" max="2796" width="15.140625" style="6" customWidth="1"/>
    <col min="2797" max="2797" width="0.7109375" style="6" customWidth="1"/>
    <col min="2798" max="2798" width="56.140625" style="6" customWidth="1"/>
    <col min="2799" max="2799" width="0.7109375" style="6" customWidth="1"/>
    <col min="2800" max="2800" width="9.140625" style="6" customWidth="1"/>
    <col min="2801" max="2801" width="6" style="6" customWidth="1"/>
    <col min="2802" max="2802" width="0.7109375" style="6" customWidth="1"/>
    <col min="2803" max="2803" width="7.140625" style="6" customWidth="1"/>
    <col min="2804" max="2804" width="6.5703125" style="6" customWidth="1"/>
    <col min="2805" max="2805" width="0.7109375" style="6" customWidth="1"/>
    <col min="2806" max="2806" width="7.85546875" style="6" customWidth="1"/>
    <col min="2807" max="2807" width="10.5703125" style="6" customWidth="1"/>
    <col min="2808" max="2808" width="0.7109375" style="6" customWidth="1"/>
    <col min="2809" max="3050" width="11.42578125" style="6"/>
    <col min="3051" max="3051" width="0.7109375" style="6" customWidth="1"/>
    <col min="3052" max="3052" width="15.140625" style="6" customWidth="1"/>
    <col min="3053" max="3053" width="0.7109375" style="6" customWidth="1"/>
    <col min="3054" max="3054" width="56.140625" style="6" customWidth="1"/>
    <col min="3055" max="3055" width="0.7109375" style="6" customWidth="1"/>
    <col min="3056" max="3056" width="9.140625" style="6" customWidth="1"/>
    <col min="3057" max="3057" width="6" style="6" customWidth="1"/>
    <col min="3058" max="3058" width="0.7109375" style="6" customWidth="1"/>
    <col min="3059" max="3059" width="7.140625" style="6" customWidth="1"/>
    <col min="3060" max="3060" width="6.5703125" style="6" customWidth="1"/>
    <col min="3061" max="3061" width="0.7109375" style="6" customWidth="1"/>
    <col min="3062" max="3062" width="7.85546875" style="6" customWidth="1"/>
    <col min="3063" max="3063" width="10.5703125" style="6" customWidth="1"/>
    <col min="3064" max="3064" width="0.7109375" style="6" customWidth="1"/>
    <col min="3065" max="3306" width="11.42578125" style="6"/>
    <col min="3307" max="3307" width="0.7109375" style="6" customWidth="1"/>
    <col min="3308" max="3308" width="15.140625" style="6" customWidth="1"/>
    <col min="3309" max="3309" width="0.7109375" style="6" customWidth="1"/>
    <col min="3310" max="3310" width="56.140625" style="6" customWidth="1"/>
    <col min="3311" max="3311" width="0.7109375" style="6" customWidth="1"/>
    <col min="3312" max="3312" width="9.140625" style="6" customWidth="1"/>
    <col min="3313" max="3313" width="6" style="6" customWidth="1"/>
    <col min="3314" max="3314" width="0.7109375" style="6" customWidth="1"/>
    <col min="3315" max="3315" width="7.140625" style="6" customWidth="1"/>
    <col min="3316" max="3316" width="6.5703125" style="6" customWidth="1"/>
    <col min="3317" max="3317" width="0.7109375" style="6" customWidth="1"/>
    <col min="3318" max="3318" width="7.85546875" style="6" customWidth="1"/>
    <col min="3319" max="3319" width="10.5703125" style="6" customWidth="1"/>
    <col min="3320" max="3320" width="0.7109375" style="6" customWidth="1"/>
    <col min="3321" max="3562" width="11.42578125" style="6"/>
    <col min="3563" max="3563" width="0.7109375" style="6" customWidth="1"/>
    <col min="3564" max="3564" width="15.140625" style="6" customWidth="1"/>
    <col min="3565" max="3565" width="0.7109375" style="6" customWidth="1"/>
    <col min="3566" max="3566" width="56.140625" style="6" customWidth="1"/>
    <col min="3567" max="3567" width="0.7109375" style="6" customWidth="1"/>
    <col min="3568" max="3568" width="9.140625" style="6" customWidth="1"/>
    <col min="3569" max="3569" width="6" style="6" customWidth="1"/>
    <col min="3570" max="3570" width="0.7109375" style="6" customWidth="1"/>
    <col min="3571" max="3571" width="7.140625" style="6" customWidth="1"/>
    <col min="3572" max="3572" width="6.5703125" style="6" customWidth="1"/>
    <col min="3573" max="3573" width="0.7109375" style="6" customWidth="1"/>
    <col min="3574" max="3574" width="7.85546875" style="6" customWidth="1"/>
    <col min="3575" max="3575" width="10.5703125" style="6" customWidth="1"/>
    <col min="3576" max="3576" width="0.7109375" style="6" customWidth="1"/>
    <col min="3577" max="3818" width="11.42578125" style="6"/>
    <col min="3819" max="3819" width="0.7109375" style="6" customWidth="1"/>
    <col min="3820" max="3820" width="15.140625" style="6" customWidth="1"/>
    <col min="3821" max="3821" width="0.7109375" style="6" customWidth="1"/>
    <col min="3822" max="3822" width="56.140625" style="6" customWidth="1"/>
    <col min="3823" max="3823" width="0.7109375" style="6" customWidth="1"/>
    <col min="3824" max="3824" width="9.140625" style="6" customWidth="1"/>
    <col min="3825" max="3825" width="6" style="6" customWidth="1"/>
    <col min="3826" max="3826" width="0.7109375" style="6" customWidth="1"/>
    <col min="3827" max="3827" width="7.140625" style="6" customWidth="1"/>
    <col min="3828" max="3828" width="6.5703125" style="6" customWidth="1"/>
    <col min="3829" max="3829" width="0.7109375" style="6" customWidth="1"/>
    <col min="3830" max="3830" width="7.85546875" style="6" customWidth="1"/>
    <col min="3831" max="3831" width="10.5703125" style="6" customWidth="1"/>
    <col min="3832" max="3832" width="0.7109375" style="6" customWidth="1"/>
    <col min="3833" max="4074" width="11.42578125" style="6"/>
    <col min="4075" max="4075" width="0.7109375" style="6" customWidth="1"/>
    <col min="4076" max="4076" width="15.140625" style="6" customWidth="1"/>
    <col min="4077" max="4077" width="0.7109375" style="6" customWidth="1"/>
    <col min="4078" max="4078" width="56.140625" style="6" customWidth="1"/>
    <col min="4079" max="4079" width="0.7109375" style="6" customWidth="1"/>
    <col min="4080" max="4080" width="9.140625" style="6" customWidth="1"/>
    <col min="4081" max="4081" width="6" style="6" customWidth="1"/>
    <col min="4082" max="4082" width="0.7109375" style="6" customWidth="1"/>
    <col min="4083" max="4083" width="7.140625" style="6" customWidth="1"/>
    <col min="4084" max="4084" width="6.5703125" style="6" customWidth="1"/>
    <col min="4085" max="4085" width="0.7109375" style="6" customWidth="1"/>
    <col min="4086" max="4086" width="7.85546875" style="6" customWidth="1"/>
    <col min="4087" max="4087" width="10.5703125" style="6" customWidth="1"/>
    <col min="4088" max="4088" width="0.7109375" style="6" customWidth="1"/>
    <col min="4089" max="4330" width="11.42578125" style="6"/>
    <col min="4331" max="4331" width="0.7109375" style="6" customWidth="1"/>
    <col min="4332" max="4332" width="15.140625" style="6" customWidth="1"/>
    <col min="4333" max="4333" width="0.7109375" style="6" customWidth="1"/>
    <col min="4334" max="4334" width="56.140625" style="6" customWidth="1"/>
    <col min="4335" max="4335" width="0.7109375" style="6" customWidth="1"/>
    <col min="4336" max="4336" width="9.140625" style="6" customWidth="1"/>
    <col min="4337" max="4337" width="6" style="6" customWidth="1"/>
    <col min="4338" max="4338" width="0.7109375" style="6" customWidth="1"/>
    <col min="4339" max="4339" width="7.140625" style="6" customWidth="1"/>
    <col min="4340" max="4340" width="6.5703125" style="6" customWidth="1"/>
    <col min="4341" max="4341" width="0.7109375" style="6" customWidth="1"/>
    <col min="4342" max="4342" width="7.85546875" style="6" customWidth="1"/>
    <col min="4343" max="4343" width="10.5703125" style="6" customWidth="1"/>
    <col min="4344" max="4344" width="0.7109375" style="6" customWidth="1"/>
    <col min="4345" max="4586" width="11.42578125" style="6"/>
    <col min="4587" max="4587" width="0.7109375" style="6" customWidth="1"/>
    <col min="4588" max="4588" width="15.140625" style="6" customWidth="1"/>
    <col min="4589" max="4589" width="0.7109375" style="6" customWidth="1"/>
    <col min="4590" max="4590" width="56.140625" style="6" customWidth="1"/>
    <col min="4591" max="4591" width="0.7109375" style="6" customWidth="1"/>
    <col min="4592" max="4592" width="9.140625" style="6" customWidth="1"/>
    <col min="4593" max="4593" width="6" style="6" customWidth="1"/>
    <col min="4594" max="4594" width="0.7109375" style="6" customWidth="1"/>
    <col min="4595" max="4595" width="7.140625" style="6" customWidth="1"/>
    <col min="4596" max="4596" width="6.5703125" style="6" customWidth="1"/>
    <col min="4597" max="4597" width="0.7109375" style="6" customWidth="1"/>
    <col min="4598" max="4598" width="7.85546875" style="6" customWidth="1"/>
    <col min="4599" max="4599" width="10.5703125" style="6" customWidth="1"/>
    <col min="4600" max="4600" width="0.7109375" style="6" customWidth="1"/>
    <col min="4601" max="4842" width="11.42578125" style="6"/>
    <col min="4843" max="4843" width="0.7109375" style="6" customWidth="1"/>
    <col min="4844" max="4844" width="15.140625" style="6" customWidth="1"/>
    <col min="4845" max="4845" width="0.7109375" style="6" customWidth="1"/>
    <col min="4846" max="4846" width="56.140625" style="6" customWidth="1"/>
    <col min="4847" max="4847" width="0.7109375" style="6" customWidth="1"/>
    <col min="4848" max="4848" width="9.140625" style="6" customWidth="1"/>
    <col min="4849" max="4849" width="6" style="6" customWidth="1"/>
    <col min="4850" max="4850" width="0.7109375" style="6" customWidth="1"/>
    <col min="4851" max="4851" width="7.140625" style="6" customWidth="1"/>
    <col min="4852" max="4852" width="6.5703125" style="6" customWidth="1"/>
    <col min="4853" max="4853" width="0.7109375" style="6" customWidth="1"/>
    <col min="4854" max="4854" width="7.85546875" style="6" customWidth="1"/>
    <col min="4855" max="4855" width="10.5703125" style="6" customWidth="1"/>
    <col min="4856" max="4856" width="0.7109375" style="6" customWidth="1"/>
    <col min="4857" max="5098" width="11.42578125" style="6"/>
    <col min="5099" max="5099" width="0.7109375" style="6" customWidth="1"/>
    <col min="5100" max="5100" width="15.140625" style="6" customWidth="1"/>
    <col min="5101" max="5101" width="0.7109375" style="6" customWidth="1"/>
    <col min="5102" max="5102" width="56.140625" style="6" customWidth="1"/>
    <col min="5103" max="5103" width="0.7109375" style="6" customWidth="1"/>
    <col min="5104" max="5104" width="9.140625" style="6" customWidth="1"/>
    <col min="5105" max="5105" width="6" style="6" customWidth="1"/>
    <col min="5106" max="5106" width="0.7109375" style="6" customWidth="1"/>
    <col min="5107" max="5107" width="7.140625" style="6" customWidth="1"/>
    <col min="5108" max="5108" width="6.5703125" style="6" customWidth="1"/>
    <col min="5109" max="5109" width="0.7109375" style="6" customWidth="1"/>
    <col min="5110" max="5110" width="7.85546875" style="6" customWidth="1"/>
    <col min="5111" max="5111" width="10.5703125" style="6" customWidth="1"/>
    <col min="5112" max="5112" width="0.7109375" style="6" customWidth="1"/>
    <col min="5113" max="5354" width="11.42578125" style="6"/>
    <col min="5355" max="5355" width="0.7109375" style="6" customWidth="1"/>
    <col min="5356" max="5356" width="15.140625" style="6" customWidth="1"/>
    <col min="5357" max="5357" width="0.7109375" style="6" customWidth="1"/>
    <col min="5358" max="5358" width="56.140625" style="6" customWidth="1"/>
    <col min="5359" max="5359" width="0.7109375" style="6" customWidth="1"/>
    <col min="5360" max="5360" width="9.140625" style="6" customWidth="1"/>
    <col min="5361" max="5361" width="6" style="6" customWidth="1"/>
    <col min="5362" max="5362" width="0.7109375" style="6" customWidth="1"/>
    <col min="5363" max="5363" width="7.140625" style="6" customWidth="1"/>
    <col min="5364" max="5364" width="6.5703125" style="6" customWidth="1"/>
    <col min="5365" max="5365" width="0.7109375" style="6" customWidth="1"/>
    <col min="5366" max="5366" width="7.85546875" style="6" customWidth="1"/>
    <col min="5367" max="5367" width="10.5703125" style="6" customWidth="1"/>
    <col min="5368" max="5368" width="0.7109375" style="6" customWidth="1"/>
    <col min="5369" max="5610" width="11.42578125" style="6"/>
    <col min="5611" max="5611" width="0.7109375" style="6" customWidth="1"/>
    <col min="5612" max="5612" width="15.140625" style="6" customWidth="1"/>
    <col min="5613" max="5613" width="0.7109375" style="6" customWidth="1"/>
    <col min="5614" max="5614" width="56.140625" style="6" customWidth="1"/>
    <col min="5615" max="5615" width="0.7109375" style="6" customWidth="1"/>
    <col min="5616" max="5616" width="9.140625" style="6" customWidth="1"/>
    <col min="5617" max="5617" width="6" style="6" customWidth="1"/>
    <col min="5618" max="5618" width="0.7109375" style="6" customWidth="1"/>
    <col min="5619" max="5619" width="7.140625" style="6" customWidth="1"/>
    <col min="5620" max="5620" width="6.5703125" style="6" customWidth="1"/>
    <col min="5621" max="5621" width="0.7109375" style="6" customWidth="1"/>
    <col min="5622" max="5622" width="7.85546875" style="6" customWidth="1"/>
    <col min="5623" max="5623" width="10.5703125" style="6" customWidth="1"/>
    <col min="5624" max="5624" width="0.7109375" style="6" customWidth="1"/>
    <col min="5625" max="5866" width="11.42578125" style="6"/>
    <col min="5867" max="5867" width="0.7109375" style="6" customWidth="1"/>
    <col min="5868" max="5868" width="15.140625" style="6" customWidth="1"/>
    <col min="5869" max="5869" width="0.7109375" style="6" customWidth="1"/>
    <col min="5870" max="5870" width="56.140625" style="6" customWidth="1"/>
    <col min="5871" max="5871" width="0.7109375" style="6" customWidth="1"/>
    <col min="5872" max="5872" width="9.140625" style="6" customWidth="1"/>
    <col min="5873" max="5873" width="6" style="6" customWidth="1"/>
    <col min="5874" max="5874" width="0.7109375" style="6" customWidth="1"/>
    <col min="5875" max="5875" width="7.140625" style="6" customWidth="1"/>
    <col min="5876" max="5876" width="6.5703125" style="6" customWidth="1"/>
    <col min="5877" max="5877" width="0.7109375" style="6" customWidth="1"/>
    <col min="5878" max="5878" width="7.85546875" style="6" customWidth="1"/>
    <col min="5879" max="5879" width="10.5703125" style="6" customWidth="1"/>
    <col min="5880" max="5880" width="0.7109375" style="6" customWidth="1"/>
    <col min="5881" max="6122" width="11.42578125" style="6"/>
    <col min="6123" max="6123" width="0.7109375" style="6" customWidth="1"/>
    <col min="6124" max="6124" width="15.140625" style="6" customWidth="1"/>
    <col min="6125" max="6125" width="0.7109375" style="6" customWidth="1"/>
    <col min="6126" max="6126" width="56.140625" style="6" customWidth="1"/>
    <col min="6127" max="6127" width="0.7109375" style="6" customWidth="1"/>
    <col min="6128" max="6128" width="9.140625" style="6" customWidth="1"/>
    <col min="6129" max="6129" width="6" style="6" customWidth="1"/>
    <col min="6130" max="6130" width="0.7109375" style="6" customWidth="1"/>
    <col min="6131" max="6131" width="7.140625" style="6" customWidth="1"/>
    <col min="6132" max="6132" width="6.5703125" style="6" customWidth="1"/>
    <col min="6133" max="6133" width="0.7109375" style="6" customWidth="1"/>
    <col min="6134" max="6134" width="7.85546875" style="6" customWidth="1"/>
    <col min="6135" max="6135" width="10.5703125" style="6" customWidth="1"/>
    <col min="6136" max="6136" width="0.7109375" style="6" customWidth="1"/>
    <col min="6137" max="6378" width="11.42578125" style="6"/>
    <col min="6379" max="6379" width="0.7109375" style="6" customWidth="1"/>
    <col min="6380" max="6380" width="15.140625" style="6" customWidth="1"/>
    <col min="6381" max="6381" width="0.7109375" style="6" customWidth="1"/>
    <col min="6382" max="6382" width="56.140625" style="6" customWidth="1"/>
    <col min="6383" max="6383" width="0.7109375" style="6" customWidth="1"/>
    <col min="6384" max="6384" width="9.140625" style="6" customWidth="1"/>
    <col min="6385" max="6385" width="6" style="6" customWidth="1"/>
    <col min="6386" max="6386" width="0.7109375" style="6" customWidth="1"/>
    <col min="6387" max="6387" width="7.140625" style="6" customWidth="1"/>
    <col min="6388" max="6388" width="6.5703125" style="6" customWidth="1"/>
    <col min="6389" max="6389" width="0.7109375" style="6" customWidth="1"/>
    <col min="6390" max="6390" width="7.85546875" style="6" customWidth="1"/>
    <col min="6391" max="6391" width="10.5703125" style="6" customWidth="1"/>
    <col min="6392" max="6392" width="0.7109375" style="6" customWidth="1"/>
    <col min="6393" max="6634" width="11.42578125" style="6"/>
    <col min="6635" max="6635" width="0.7109375" style="6" customWidth="1"/>
    <col min="6636" max="6636" width="15.140625" style="6" customWidth="1"/>
    <col min="6637" max="6637" width="0.7109375" style="6" customWidth="1"/>
    <col min="6638" max="6638" width="56.140625" style="6" customWidth="1"/>
    <col min="6639" max="6639" width="0.7109375" style="6" customWidth="1"/>
    <col min="6640" max="6640" width="9.140625" style="6" customWidth="1"/>
    <col min="6641" max="6641" width="6" style="6" customWidth="1"/>
    <col min="6642" max="6642" width="0.7109375" style="6" customWidth="1"/>
    <col min="6643" max="6643" width="7.140625" style="6" customWidth="1"/>
    <col min="6644" max="6644" width="6.5703125" style="6" customWidth="1"/>
    <col min="6645" max="6645" width="0.7109375" style="6" customWidth="1"/>
    <col min="6646" max="6646" width="7.85546875" style="6" customWidth="1"/>
    <col min="6647" max="6647" width="10.5703125" style="6" customWidth="1"/>
    <col min="6648" max="6648" width="0.7109375" style="6" customWidth="1"/>
    <col min="6649" max="6890" width="11.42578125" style="6"/>
    <col min="6891" max="6891" width="0.7109375" style="6" customWidth="1"/>
    <col min="6892" max="6892" width="15.140625" style="6" customWidth="1"/>
    <col min="6893" max="6893" width="0.7109375" style="6" customWidth="1"/>
    <col min="6894" max="6894" width="56.140625" style="6" customWidth="1"/>
    <col min="6895" max="6895" width="0.7109375" style="6" customWidth="1"/>
    <col min="6896" max="6896" width="9.140625" style="6" customWidth="1"/>
    <col min="6897" max="6897" width="6" style="6" customWidth="1"/>
    <col min="6898" max="6898" width="0.7109375" style="6" customWidth="1"/>
    <col min="6899" max="6899" width="7.140625" style="6" customWidth="1"/>
    <col min="6900" max="6900" width="6.5703125" style="6" customWidth="1"/>
    <col min="6901" max="6901" width="0.7109375" style="6" customWidth="1"/>
    <col min="6902" max="6902" width="7.85546875" style="6" customWidth="1"/>
    <col min="6903" max="6903" width="10.5703125" style="6" customWidth="1"/>
    <col min="6904" max="6904" width="0.7109375" style="6" customWidth="1"/>
    <col min="6905" max="7146" width="11.42578125" style="6"/>
    <col min="7147" max="7147" width="0.7109375" style="6" customWidth="1"/>
    <col min="7148" max="7148" width="15.140625" style="6" customWidth="1"/>
    <col min="7149" max="7149" width="0.7109375" style="6" customWidth="1"/>
    <col min="7150" max="7150" width="56.140625" style="6" customWidth="1"/>
    <col min="7151" max="7151" width="0.7109375" style="6" customWidth="1"/>
    <col min="7152" max="7152" width="9.140625" style="6" customWidth="1"/>
    <col min="7153" max="7153" width="6" style="6" customWidth="1"/>
    <col min="7154" max="7154" width="0.7109375" style="6" customWidth="1"/>
    <col min="7155" max="7155" width="7.140625" style="6" customWidth="1"/>
    <col min="7156" max="7156" width="6.5703125" style="6" customWidth="1"/>
    <col min="7157" max="7157" width="0.7109375" style="6" customWidth="1"/>
    <col min="7158" max="7158" width="7.85546875" style="6" customWidth="1"/>
    <col min="7159" max="7159" width="10.5703125" style="6" customWidth="1"/>
    <col min="7160" max="7160" width="0.7109375" style="6" customWidth="1"/>
    <col min="7161" max="7402" width="11.42578125" style="6"/>
    <col min="7403" max="7403" width="0.7109375" style="6" customWidth="1"/>
    <col min="7404" max="7404" width="15.140625" style="6" customWidth="1"/>
    <col min="7405" max="7405" width="0.7109375" style="6" customWidth="1"/>
    <col min="7406" max="7406" width="56.140625" style="6" customWidth="1"/>
    <col min="7407" max="7407" width="0.7109375" style="6" customWidth="1"/>
    <col min="7408" max="7408" width="9.140625" style="6" customWidth="1"/>
    <col min="7409" max="7409" width="6" style="6" customWidth="1"/>
    <col min="7410" max="7410" width="0.7109375" style="6" customWidth="1"/>
    <col min="7411" max="7411" width="7.140625" style="6" customWidth="1"/>
    <col min="7412" max="7412" width="6.5703125" style="6" customWidth="1"/>
    <col min="7413" max="7413" width="0.7109375" style="6" customWidth="1"/>
    <col min="7414" max="7414" width="7.85546875" style="6" customWidth="1"/>
    <col min="7415" max="7415" width="10.5703125" style="6" customWidth="1"/>
    <col min="7416" max="7416" width="0.7109375" style="6" customWidth="1"/>
    <col min="7417" max="7658" width="11.42578125" style="6"/>
    <col min="7659" max="7659" width="0.7109375" style="6" customWidth="1"/>
    <col min="7660" max="7660" width="15.140625" style="6" customWidth="1"/>
    <col min="7661" max="7661" width="0.7109375" style="6" customWidth="1"/>
    <col min="7662" max="7662" width="56.140625" style="6" customWidth="1"/>
    <col min="7663" max="7663" width="0.7109375" style="6" customWidth="1"/>
    <col min="7664" max="7664" width="9.140625" style="6" customWidth="1"/>
    <col min="7665" max="7665" width="6" style="6" customWidth="1"/>
    <col min="7666" max="7666" width="0.7109375" style="6" customWidth="1"/>
    <col min="7667" max="7667" width="7.140625" style="6" customWidth="1"/>
    <col min="7668" max="7668" width="6.5703125" style="6" customWidth="1"/>
    <col min="7669" max="7669" width="0.7109375" style="6" customWidth="1"/>
    <col min="7670" max="7670" width="7.85546875" style="6" customWidth="1"/>
    <col min="7671" max="7671" width="10.5703125" style="6" customWidth="1"/>
    <col min="7672" max="7672" width="0.7109375" style="6" customWidth="1"/>
    <col min="7673" max="7914" width="11.42578125" style="6"/>
    <col min="7915" max="7915" width="0.7109375" style="6" customWidth="1"/>
    <col min="7916" max="7916" width="15.140625" style="6" customWidth="1"/>
    <col min="7917" max="7917" width="0.7109375" style="6" customWidth="1"/>
    <col min="7918" max="7918" width="56.140625" style="6" customWidth="1"/>
    <col min="7919" max="7919" width="0.7109375" style="6" customWidth="1"/>
    <col min="7920" max="7920" width="9.140625" style="6" customWidth="1"/>
    <col min="7921" max="7921" width="6" style="6" customWidth="1"/>
    <col min="7922" max="7922" width="0.7109375" style="6" customWidth="1"/>
    <col min="7923" max="7923" width="7.140625" style="6" customWidth="1"/>
    <col min="7924" max="7924" width="6.5703125" style="6" customWidth="1"/>
    <col min="7925" max="7925" width="0.7109375" style="6" customWidth="1"/>
    <col min="7926" max="7926" width="7.85546875" style="6" customWidth="1"/>
    <col min="7927" max="7927" width="10.5703125" style="6" customWidth="1"/>
    <col min="7928" max="7928" width="0.7109375" style="6" customWidth="1"/>
    <col min="7929" max="8170" width="11.42578125" style="6"/>
    <col min="8171" max="8171" width="0.7109375" style="6" customWidth="1"/>
    <col min="8172" max="8172" width="15.140625" style="6" customWidth="1"/>
    <col min="8173" max="8173" width="0.7109375" style="6" customWidth="1"/>
    <col min="8174" max="8174" width="56.140625" style="6" customWidth="1"/>
    <col min="8175" max="8175" width="0.7109375" style="6" customWidth="1"/>
    <col min="8176" max="8176" width="9.140625" style="6" customWidth="1"/>
    <col min="8177" max="8177" width="6" style="6" customWidth="1"/>
    <col min="8178" max="8178" width="0.7109375" style="6" customWidth="1"/>
    <col min="8179" max="8179" width="7.140625" style="6" customWidth="1"/>
    <col min="8180" max="8180" width="6.5703125" style="6" customWidth="1"/>
    <col min="8181" max="8181" width="0.7109375" style="6" customWidth="1"/>
    <col min="8182" max="8182" width="7.85546875" style="6" customWidth="1"/>
    <col min="8183" max="8183" width="10.5703125" style="6" customWidth="1"/>
    <col min="8184" max="8184" width="0.7109375" style="6" customWidth="1"/>
    <col min="8185" max="8426" width="11.42578125" style="6"/>
    <col min="8427" max="8427" width="0.7109375" style="6" customWidth="1"/>
    <col min="8428" max="8428" width="15.140625" style="6" customWidth="1"/>
    <col min="8429" max="8429" width="0.7109375" style="6" customWidth="1"/>
    <col min="8430" max="8430" width="56.140625" style="6" customWidth="1"/>
    <col min="8431" max="8431" width="0.7109375" style="6" customWidth="1"/>
    <col min="8432" max="8432" width="9.140625" style="6" customWidth="1"/>
    <col min="8433" max="8433" width="6" style="6" customWidth="1"/>
    <col min="8434" max="8434" width="0.7109375" style="6" customWidth="1"/>
    <col min="8435" max="8435" width="7.140625" style="6" customWidth="1"/>
    <col min="8436" max="8436" width="6.5703125" style="6" customWidth="1"/>
    <col min="8437" max="8437" width="0.7109375" style="6" customWidth="1"/>
    <col min="8438" max="8438" width="7.85546875" style="6" customWidth="1"/>
    <col min="8439" max="8439" width="10.5703125" style="6" customWidth="1"/>
    <col min="8440" max="8440" width="0.7109375" style="6" customWidth="1"/>
    <col min="8441" max="8682" width="11.42578125" style="6"/>
    <col min="8683" max="8683" width="0.7109375" style="6" customWidth="1"/>
    <col min="8684" max="8684" width="15.140625" style="6" customWidth="1"/>
    <col min="8685" max="8685" width="0.7109375" style="6" customWidth="1"/>
    <col min="8686" max="8686" width="56.140625" style="6" customWidth="1"/>
    <col min="8687" max="8687" width="0.7109375" style="6" customWidth="1"/>
    <col min="8688" max="8688" width="9.140625" style="6" customWidth="1"/>
    <col min="8689" max="8689" width="6" style="6" customWidth="1"/>
    <col min="8690" max="8690" width="0.7109375" style="6" customWidth="1"/>
    <col min="8691" max="8691" width="7.140625" style="6" customWidth="1"/>
    <col min="8692" max="8692" width="6.5703125" style="6" customWidth="1"/>
    <col min="8693" max="8693" width="0.7109375" style="6" customWidth="1"/>
    <col min="8694" max="8694" width="7.85546875" style="6" customWidth="1"/>
    <col min="8695" max="8695" width="10.5703125" style="6" customWidth="1"/>
    <col min="8696" max="8696" width="0.7109375" style="6" customWidth="1"/>
    <col min="8697" max="8938" width="11.42578125" style="6"/>
    <col min="8939" max="8939" width="0.7109375" style="6" customWidth="1"/>
    <col min="8940" max="8940" width="15.140625" style="6" customWidth="1"/>
    <col min="8941" max="8941" width="0.7109375" style="6" customWidth="1"/>
    <col min="8942" max="8942" width="56.140625" style="6" customWidth="1"/>
    <col min="8943" max="8943" width="0.7109375" style="6" customWidth="1"/>
    <col min="8944" max="8944" width="9.140625" style="6" customWidth="1"/>
    <col min="8945" max="8945" width="6" style="6" customWidth="1"/>
    <col min="8946" max="8946" width="0.7109375" style="6" customWidth="1"/>
    <col min="8947" max="8947" width="7.140625" style="6" customWidth="1"/>
    <col min="8948" max="8948" width="6.5703125" style="6" customWidth="1"/>
    <col min="8949" max="8949" width="0.7109375" style="6" customWidth="1"/>
    <col min="8950" max="8950" width="7.85546875" style="6" customWidth="1"/>
    <col min="8951" max="8951" width="10.5703125" style="6" customWidth="1"/>
    <col min="8952" max="8952" width="0.7109375" style="6" customWidth="1"/>
    <col min="8953" max="9194" width="11.42578125" style="6"/>
    <col min="9195" max="9195" width="0.7109375" style="6" customWidth="1"/>
    <col min="9196" max="9196" width="15.140625" style="6" customWidth="1"/>
    <col min="9197" max="9197" width="0.7109375" style="6" customWidth="1"/>
    <col min="9198" max="9198" width="56.140625" style="6" customWidth="1"/>
    <col min="9199" max="9199" width="0.7109375" style="6" customWidth="1"/>
    <col min="9200" max="9200" width="9.140625" style="6" customWidth="1"/>
    <col min="9201" max="9201" width="6" style="6" customWidth="1"/>
    <col min="9202" max="9202" width="0.7109375" style="6" customWidth="1"/>
    <col min="9203" max="9203" width="7.140625" style="6" customWidth="1"/>
    <col min="9204" max="9204" width="6.5703125" style="6" customWidth="1"/>
    <col min="9205" max="9205" width="0.7109375" style="6" customWidth="1"/>
    <col min="9206" max="9206" width="7.85546875" style="6" customWidth="1"/>
    <col min="9207" max="9207" width="10.5703125" style="6" customWidth="1"/>
    <col min="9208" max="9208" width="0.7109375" style="6" customWidth="1"/>
    <col min="9209" max="9450" width="11.42578125" style="6"/>
    <col min="9451" max="9451" width="0.7109375" style="6" customWidth="1"/>
    <col min="9452" max="9452" width="15.140625" style="6" customWidth="1"/>
    <col min="9453" max="9453" width="0.7109375" style="6" customWidth="1"/>
    <col min="9454" max="9454" width="56.140625" style="6" customWidth="1"/>
    <col min="9455" max="9455" width="0.7109375" style="6" customWidth="1"/>
    <col min="9456" max="9456" width="9.140625" style="6" customWidth="1"/>
    <col min="9457" max="9457" width="6" style="6" customWidth="1"/>
    <col min="9458" max="9458" width="0.7109375" style="6" customWidth="1"/>
    <col min="9459" max="9459" width="7.140625" style="6" customWidth="1"/>
    <col min="9460" max="9460" width="6.5703125" style="6" customWidth="1"/>
    <col min="9461" max="9461" width="0.7109375" style="6" customWidth="1"/>
    <col min="9462" max="9462" width="7.85546875" style="6" customWidth="1"/>
    <col min="9463" max="9463" width="10.5703125" style="6" customWidth="1"/>
    <col min="9464" max="9464" width="0.7109375" style="6" customWidth="1"/>
    <col min="9465" max="9706" width="11.42578125" style="6"/>
    <col min="9707" max="9707" width="0.7109375" style="6" customWidth="1"/>
    <col min="9708" max="9708" width="15.140625" style="6" customWidth="1"/>
    <col min="9709" max="9709" width="0.7109375" style="6" customWidth="1"/>
    <col min="9710" max="9710" width="56.140625" style="6" customWidth="1"/>
    <col min="9711" max="9711" width="0.7109375" style="6" customWidth="1"/>
    <col min="9712" max="9712" width="9.140625" style="6" customWidth="1"/>
    <col min="9713" max="9713" width="6" style="6" customWidth="1"/>
    <col min="9714" max="9714" width="0.7109375" style="6" customWidth="1"/>
    <col min="9715" max="9715" width="7.140625" style="6" customWidth="1"/>
    <col min="9716" max="9716" width="6.5703125" style="6" customWidth="1"/>
    <col min="9717" max="9717" width="0.7109375" style="6" customWidth="1"/>
    <col min="9718" max="9718" width="7.85546875" style="6" customWidth="1"/>
    <col min="9719" max="9719" width="10.5703125" style="6" customWidth="1"/>
    <col min="9720" max="9720" width="0.7109375" style="6" customWidth="1"/>
    <col min="9721" max="9962" width="11.42578125" style="6"/>
    <col min="9963" max="9963" width="0.7109375" style="6" customWidth="1"/>
    <col min="9964" max="9964" width="15.140625" style="6" customWidth="1"/>
    <col min="9965" max="9965" width="0.7109375" style="6" customWidth="1"/>
    <col min="9966" max="9966" width="56.140625" style="6" customWidth="1"/>
    <col min="9967" max="9967" width="0.7109375" style="6" customWidth="1"/>
    <col min="9968" max="9968" width="9.140625" style="6" customWidth="1"/>
    <col min="9969" max="9969" width="6" style="6" customWidth="1"/>
    <col min="9970" max="9970" width="0.7109375" style="6" customWidth="1"/>
    <col min="9971" max="9971" width="7.140625" style="6" customWidth="1"/>
    <col min="9972" max="9972" width="6.5703125" style="6" customWidth="1"/>
    <col min="9973" max="9973" width="0.7109375" style="6" customWidth="1"/>
    <col min="9974" max="9974" width="7.85546875" style="6" customWidth="1"/>
    <col min="9975" max="9975" width="10.5703125" style="6" customWidth="1"/>
    <col min="9976" max="9976" width="0.7109375" style="6" customWidth="1"/>
    <col min="9977" max="10218" width="11.42578125" style="6"/>
    <col min="10219" max="10219" width="0.7109375" style="6" customWidth="1"/>
    <col min="10220" max="10220" width="15.140625" style="6" customWidth="1"/>
    <col min="10221" max="10221" width="0.7109375" style="6" customWidth="1"/>
    <col min="10222" max="10222" width="56.140625" style="6" customWidth="1"/>
    <col min="10223" max="10223" width="0.7109375" style="6" customWidth="1"/>
    <col min="10224" max="10224" width="9.140625" style="6" customWidth="1"/>
    <col min="10225" max="10225" width="6" style="6" customWidth="1"/>
    <col min="10226" max="10226" width="0.7109375" style="6" customWidth="1"/>
    <col min="10227" max="10227" width="7.140625" style="6" customWidth="1"/>
    <col min="10228" max="10228" width="6.5703125" style="6" customWidth="1"/>
    <col min="10229" max="10229" width="0.7109375" style="6" customWidth="1"/>
    <col min="10230" max="10230" width="7.85546875" style="6" customWidth="1"/>
    <col min="10231" max="10231" width="10.5703125" style="6" customWidth="1"/>
    <col min="10232" max="10232" width="0.7109375" style="6" customWidth="1"/>
    <col min="10233" max="10474" width="11.42578125" style="6"/>
    <col min="10475" max="10475" width="0.7109375" style="6" customWidth="1"/>
    <col min="10476" max="10476" width="15.140625" style="6" customWidth="1"/>
    <col min="10477" max="10477" width="0.7109375" style="6" customWidth="1"/>
    <col min="10478" max="10478" width="56.140625" style="6" customWidth="1"/>
    <col min="10479" max="10479" width="0.7109375" style="6" customWidth="1"/>
    <col min="10480" max="10480" width="9.140625" style="6" customWidth="1"/>
    <col min="10481" max="10481" width="6" style="6" customWidth="1"/>
    <col min="10482" max="10482" width="0.7109375" style="6" customWidth="1"/>
    <col min="10483" max="10483" width="7.140625" style="6" customWidth="1"/>
    <col min="10484" max="10484" width="6.5703125" style="6" customWidth="1"/>
    <col min="10485" max="10485" width="0.7109375" style="6" customWidth="1"/>
    <col min="10486" max="10486" width="7.85546875" style="6" customWidth="1"/>
    <col min="10487" max="10487" width="10.5703125" style="6" customWidth="1"/>
    <col min="10488" max="10488" width="0.7109375" style="6" customWidth="1"/>
    <col min="10489" max="10730" width="11.42578125" style="6"/>
    <col min="10731" max="10731" width="0.7109375" style="6" customWidth="1"/>
    <col min="10732" max="10732" width="15.140625" style="6" customWidth="1"/>
    <col min="10733" max="10733" width="0.7109375" style="6" customWidth="1"/>
    <col min="10734" max="10734" width="56.140625" style="6" customWidth="1"/>
    <col min="10735" max="10735" width="0.7109375" style="6" customWidth="1"/>
    <col min="10736" max="10736" width="9.140625" style="6" customWidth="1"/>
    <col min="10737" max="10737" width="6" style="6" customWidth="1"/>
    <col min="10738" max="10738" width="0.7109375" style="6" customWidth="1"/>
    <col min="10739" max="10739" width="7.140625" style="6" customWidth="1"/>
    <col min="10740" max="10740" width="6.5703125" style="6" customWidth="1"/>
    <col min="10741" max="10741" width="0.7109375" style="6" customWidth="1"/>
    <col min="10742" max="10742" width="7.85546875" style="6" customWidth="1"/>
    <col min="10743" max="10743" width="10.5703125" style="6" customWidth="1"/>
    <col min="10744" max="10744" width="0.7109375" style="6" customWidth="1"/>
    <col min="10745" max="10986" width="11.42578125" style="6"/>
    <col min="10987" max="10987" width="0.7109375" style="6" customWidth="1"/>
    <col min="10988" max="10988" width="15.140625" style="6" customWidth="1"/>
    <col min="10989" max="10989" width="0.7109375" style="6" customWidth="1"/>
    <col min="10990" max="10990" width="56.140625" style="6" customWidth="1"/>
    <col min="10991" max="10991" width="0.7109375" style="6" customWidth="1"/>
    <col min="10992" max="10992" width="9.140625" style="6" customWidth="1"/>
    <col min="10993" max="10993" width="6" style="6" customWidth="1"/>
    <col min="10994" max="10994" width="0.7109375" style="6" customWidth="1"/>
    <col min="10995" max="10995" width="7.140625" style="6" customWidth="1"/>
    <col min="10996" max="10996" width="6.5703125" style="6" customWidth="1"/>
    <col min="10997" max="10997" width="0.7109375" style="6" customWidth="1"/>
    <col min="10998" max="10998" width="7.85546875" style="6" customWidth="1"/>
    <col min="10999" max="10999" width="10.5703125" style="6" customWidth="1"/>
    <col min="11000" max="11000" width="0.7109375" style="6" customWidth="1"/>
    <col min="11001" max="11242" width="11.42578125" style="6"/>
    <col min="11243" max="11243" width="0.7109375" style="6" customWidth="1"/>
    <col min="11244" max="11244" width="15.140625" style="6" customWidth="1"/>
    <col min="11245" max="11245" width="0.7109375" style="6" customWidth="1"/>
    <col min="11246" max="11246" width="56.140625" style="6" customWidth="1"/>
    <col min="11247" max="11247" width="0.7109375" style="6" customWidth="1"/>
    <col min="11248" max="11248" width="9.140625" style="6" customWidth="1"/>
    <col min="11249" max="11249" width="6" style="6" customWidth="1"/>
    <col min="11250" max="11250" width="0.7109375" style="6" customWidth="1"/>
    <col min="11251" max="11251" width="7.140625" style="6" customWidth="1"/>
    <col min="11252" max="11252" width="6.5703125" style="6" customWidth="1"/>
    <col min="11253" max="11253" width="0.7109375" style="6" customWidth="1"/>
    <col min="11254" max="11254" width="7.85546875" style="6" customWidth="1"/>
    <col min="11255" max="11255" width="10.5703125" style="6" customWidth="1"/>
    <col min="11256" max="11256" width="0.7109375" style="6" customWidth="1"/>
    <col min="11257" max="11498" width="11.42578125" style="6"/>
    <col min="11499" max="11499" width="0.7109375" style="6" customWidth="1"/>
    <col min="11500" max="11500" width="15.140625" style="6" customWidth="1"/>
    <col min="11501" max="11501" width="0.7109375" style="6" customWidth="1"/>
    <col min="11502" max="11502" width="56.140625" style="6" customWidth="1"/>
    <col min="11503" max="11503" width="0.7109375" style="6" customWidth="1"/>
    <col min="11504" max="11504" width="9.140625" style="6" customWidth="1"/>
    <col min="11505" max="11505" width="6" style="6" customWidth="1"/>
    <col min="11506" max="11506" width="0.7109375" style="6" customWidth="1"/>
    <col min="11507" max="11507" width="7.140625" style="6" customWidth="1"/>
    <col min="11508" max="11508" width="6.5703125" style="6" customWidth="1"/>
    <col min="11509" max="11509" width="0.7109375" style="6" customWidth="1"/>
    <col min="11510" max="11510" width="7.85546875" style="6" customWidth="1"/>
    <col min="11511" max="11511" width="10.5703125" style="6" customWidth="1"/>
    <col min="11512" max="11512" width="0.7109375" style="6" customWidth="1"/>
    <col min="11513" max="11754" width="11.42578125" style="6"/>
    <col min="11755" max="11755" width="0.7109375" style="6" customWidth="1"/>
    <col min="11756" max="11756" width="15.140625" style="6" customWidth="1"/>
    <col min="11757" max="11757" width="0.7109375" style="6" customWidth="1"/>
    <col min="11758" max="11758" width="56.140625" style="6" customWidth="1"/>
    <col min="11759" max="11759" width="0.7109375" style="6" customWidth="1"/>
    <col min="11760" max="11760" width="9.140625" style="6" customWidth="1"/>
    <col min="11761" max="11761" width="6" style="6" customWidth="1"/>
    <col min="11762" max="11762" width="0.7109375" style="6" customWidth="1"/>
    <col min="11763" max="11763" width="7.140625" style="6" customWidth="1"/>
    <col min="11764" max="11764" width="6.5703125" style="6" customWidth="1"/>
    <col min="11765" max="11765" width="0.7109375" style="6" customWidth="1"/>
    <col min="11766" max="11766" width="7.85546875" style="6" customWidth="1"/>
    <col min="11767" max="11767" width="10.5703125" style="6" customWidth="1"/>
    <col min="11768" max="11768" width="0.7109375" style="6" customWidth="1"/>
    <col min="11769" max="12010" width="11.42578125" style="6"/>
    <col min="12011" max="12011" width="0.7109375" style="6" customWidth="1"/>
    <col min="12012" max="12012" width="15.140625" style="6" customWidth="1"/>
    <col min="12013" max="12013" width="0.7109375" style="6" customWidth="1"/>
    <col min="12014" max="12014" width="56.140625" style="6" customWidth="1"/>
    <col min="12015" max="12015" width="0.7109375" style="6" customWidth="1"/>
    <col min="12016" max="12016" width="9.140625" style="6" customWidth="1"/>
    <col min="12017" max="12017" width="6" style="6" customWidth="1"/>
    <col min="12018" max="12018" width="0.7109375" style="6" customWidth="1"/>
    <col min="12019" max="12019" width="7.140625" style="6" customWidth="1"/>
    <col min="12020" max="12020" width="6.5703125" style="6" customWidth="1"/>
    <col min="12021" max="12021" width="0.7109375" style="6" customWidth="1"/>
    <col min="12022" max="12022" width="7.85546875" style="6" customWidth="1"/>
    <col min="12023" max="12023" width="10.5703125" style="6" customWidth="1"/>
    <col min="12024" max="12024" width="0.7109375" style="6" customWidth="1"/>
    <col min="12025" max="12266" width="11.42578125" style="6"/>
    <col min="12267" max="12267" width="0.7109375" style="6" customWidth="1"/>
    <col min="12268" max="12268" width="15.140625" style="6" customWidth="1"/>
    <col min="12269" max="12269" width="0.7109375" style="6" customWidth="1"/>
    <col min="12270" max="12270" width="56.140625" style="6" customWidth="1"/>
    <col min="12271" max="12271" width="0.7109375" style="6" customWidth="1"/>
    <col min="12272" max="12272" width="9.140625" style="6" customWidth="1"/>
    <col min="12273" max="12273" width="6" style="6" customWidth="1"/>
    <col min="12274" max="12274" width="0.7109375" style="6" customWidth="1"/>
    <col min="12275" max="12275" width="7.140625" style="6" customWidth="1"/>
    <col min="12276" max="12276" width="6.5703125" style="6" customWidth="1"/>
    <col min="12277" max="12277" width="0.7109375" style="6" customWidth="1"/>
    <col min="12278" max="12278" width="7.85546875" style="6" customWidth="1"/>
    <col min="12279" max="12279" width="10.5703125" style="6" customWidth="1"/>
    <col min="12280" max="12280" width="0.7109375" style="6" customWidth="1"/>
    <col min="12281" max="12522" width="11.42578125" style="6"/>
    <col min="12523" max="12523" width="0.7109375" style="6" customWidth="1"/>
    <col min="12524" max="12524" width="15.140625" style="6" customWidth="1"/>
    <col min="12525" max="12525" width="0.7109375" style="6" customWidth="1"/>
    <col min="12526" max="12526" width="56.140625" style="6" customWidth="1"/>
    <col min="12527" max="12527" width="0.7109375" style="6" customWidth="1"/>
    <col min="12528" max="12528" width="9.140625" style="6" customWidth="1"/>
    <col min="12529" max="12529" width="6" style="6" customWidth="1"/>
    <col min="12530" max="12530" width="0.7109375" style="6" customWidth="1"/>
    <col min="12531" max="12531" width="7.140625" style="6" customWidth="1"/>
    <col min="12532" max="12532" width="6.5703125" style="6" customWidth="1"/>
    <col min="12533" max="12533" width="0.7109375" style="6" customWidth="1"/>
    <col min="12534" max="12534" width="7.85546875" style="6" customWidth="1"/>
    <col min="12535" max="12535" width="10.5703125" style="6" customWidth="1"/>
    <col min="12536" max="12536" width="0.7109375" style="6" customWidth="1"/>
    <col min="12537" max="12778" width="11.42578125" style="6"/>
    <col min="12779" max="12779" width="0.7109375" style="6" customWidth="1"/>
    <col min="12780" max="12780" width="15.140625" style="6" customWidth="1"/>
    <col min="12781" max="12781" width="0.7109375" style="6" customWidth="1"/>
    <col min="12782" max="12782" width="56.140625" style="6" customWidth="1"/>
    <col min="12783" max="12783" width="0.7109375" style="6" customWidth="1"/>
    <col min="12784" max="12784" width="9.140625" style="6" customWidth="1"/>
    <col min="12785" max="12785" width="6" style="6" customWidth="1"/>
    <col min="12786" max="12786" width="0.7109375" style="6" customWidth="1"/>
    <col min="12787" max="12787" width="7.140625" style="6" customWidth="1"/>
    <col min="12788" max="12788" width="6.5703125" style="6" customWidth="1"/>
    <col min="12789" max="12789" width="0.7109375" style="6" customWidth="1"/>
    <col min="12790" max="12790" width="7.85546875" style="6" customWidth="1"/>
    <col min="12791" max="12791" width="10.5703125" style="6" customWidth="1"/>
    <col min="12792" max="12792" width="0.7109375" style="6" customWidth="1"/>
    <col min="12793" max="13034" width="11.42578125" style="6"/>
    <col min="13035" max="13035" width="0.7109375" style="6" customWidth="1"/>
    <col min="13036" max="13036" width="15.140625" style="6" customWidth="1"/>
    <col min="13037" max="13037" width="0.7109375" style="6" customWidth="1"/>
    <col min="13038" max="13038" width="56.140625" style="6" customWidth="1"/>
    <col min="13039" max="13039" width="0.7109375" style="6" customWidth="1"/>
    <col min="13040" max="13040" width="9.140625" style="6" customWidth="1"/>
    <col min="13041" max="13041" width="6" style="6" customWidth="1"/>
    <col min="13042" max="13042" width="0.7109375" style="6" customWidth="1"/>
    <col min="13043" max="13043" width="7.140625" style="6" customWidth="1"/>
    <col min="13044" max="13044" width="6.5703125" style="6" customWidth="1"/>
    <col min="13045" max="13045" width="0.7109375" style="6" customWidth="1"/>
    <col min="13046" max="13046" width="7.85546875" style="6" customWidth="1"/>
    <col min="13047" max="13047" width="10.5703125" style="6" customWidth="1"/>
    <col min="13048" max="13048" width="0.7109375" style="6" customWidth="1"/>
    <col min="13049" max="13290" width="11.42578125" style="6"/>
    <col min="13291" max="13291" width="0.7109375" style="6" customWidth="1"/>
    <col min="13292" max="13292" width="15.140625" style="6" customWidth="1"/>
    <col min="13293" max="13293" width="0.7109375" style="6" customWidth="1"/>
    <col min="13294" max="13294" width="56.140625" style="6" customWidth="1"/>
    <col min="13295" max="13295" width="0.7109375" style="6" customWidth="1"/>
    <col min="13296" max="13296" width="9.140625" style="6" customWidth="1"/>
    <col min="13297" max="13297" width="6" style="6" customWidth="1"/>
    <col min="13298" max="13298" width="0.7109375" style="6" customWidth="1"/>
    <col min="13299" max="13299" width="7.140625" style="6" customWidth="1"/>
    <col min="13300" max="13300" width="6.5703125" style="6" customWidth="1"/>
    <col min="13301" max="13301" width="0.7109375" style="6" customWidth="1"/>
    <col min="13302" max="13302" width="7.85546875" style="6" customWidth="1"/>
    <col min="13303" max="13303" width="10.5703125" style="6" customWidth="1"/>
    <col min="13304" max="13304" width="0.7109375" style="6" customWidth="1"/>
    <col min="13305" max="13546" width="11.42578125" style="6"/>
    <col min="13547" max="13547" width="0.7109375" style="6" customWidth="1"/>
    <col min="13548" max="13548" width="15.140625" style="6" customWidth="1"/>
    <col min="13549" max="13549" width="0.7109375" style="6" customWidth="1"/>
    <col min="13550" max="13550" width="56.140625" style="6" customWidth="1"/>
    <col min="13551" max="13551" width="0.7109375" style="6" customWidth="1"/>
    <col min="13552" max="13552" width="9.140625" style="6" customWidth="1"/>
    <col min="13553" max="13553" width="6" style="6" customWidth="1"/>
    <col min="13554" max="13554" width="0.7109375" style="6" customWidth="1"/>
    <col min="13555" max="13555" width="7.140625" style="6" customWidth="1"/>
    <col min="13556" max="13556" width="6.5703125" style="6" customWidth="1"/>
    <col min="13557" max="13557" width="0.7109375" style="6" customWidth="1"/>
    <col min="13558" max="13558" width="7.85546875" style="6" customWidth="1"/>
    <col min="13559" max="13559" width="10.5703125" style="6" customWidth="1"/>
    <col min="13560" max="13560" width="0.7109375" style="6" customWidth="1"/>
    <col min="13561" max="16384" width="11.42578125" style="6"/>
  </cols>
  <sheetData>
    <row r="1" spans="1:10" ht="15" customHeight="1" x14ac:dyDescent="0.25">
      <c r="A1" s="1" t="s">
        <v>0</v>
      </c>
      <c r="B1" s="2" t="s">
        <v>220</v>
      </c>
      <c r="C1" s="55"/>
      <c r="D1" s="4"/>
      <c r="E1" s="4"/>
      <c r="F1" s="4"/>
      <c r="G1" s="5"/>
      <c r="J1" s="7" t="s">
        <v>1</v>
      </c>
    </row>
    <row r="2" spans="1:10" ht="15" customHeight="1" x14ac:dyDescent="0.25">
      <c r="A2" s="8" t="s">
        <v>2</v>
      </c>
      <c r="B2" s="9" t="s">
        <v>226</v>
      </c>
      <c r="C2" s="56"/>
      <c r="D2" s="11"/>
      <c r="E2" s="11"/>
      <c r="F2" s="11"/>
      <c r="G2" s="12"/>
      <c r="J2" s="13" t="s">
        <v>4</v>
      </c>
    </row>
    <row r="3" spans="1:10" ht="15" customHeight="1" x14ac:dyDescent="0.25">
      <c r="A3" s="8" t="s">
        <v>5</v>
      </c>
      <c r="B3" s="9" t="s">
        <v>231</v>
      </c>
      <c r="C3" s="56"/>
      <c r="D3" s="11"/>
      <c r="E3" s="11"/>
      <c r="F3" s="11"/>
      <c r="G3" s="12"/>
      <c r="J3" s="7" t="s">
        <v>6</v>
      </c>
    </row>
    <row r="4" spans="1:10" ht="15" customHeight="1" x14ac:dyDescent="0.25">
      <c r="A4" s="14" t="s">
        <v>7</v>
      </c>
      <c r="B4" s="15">
        <v>0</v>
      </c>
      <c r="C4" s="57"/>
      <c r="D4" s="17"/>
      <c r="E4" s="17"/>
      <c r="F4" s="17"/>
      <c r="G4" s="58"/>
      <c r="J4" s="7" t="s">
        <v>8</v>
      </c>
    </row>
    <row r="5" spans="1:10" ht="30" customHeight="1" x14ac:dyDescent="0.25">
      <c r="A5" s="1192" t="s">
        <v>2879</v>
      </c>
      <c r="B5" s="1193"/>
      <c r="C5" s="1193"/>
      <c r="D5" s="1193"/>
      <c r="E5" s="1193"/>
      <c r="F5" s="1193"/>
      <c r="G5" s="1194"/>
      <c r="J5" s="7" t="s">
        <v>9</v>
      </c>
    </row>
    <row r="6" spans="1:10" ht="37.5" customHeight="1" x14ac:dyDescent="0.25">
      <c r="A6" s="59" t="s">
        <v>10</v>
      </c>
      <c r="B6" s="60" t="s">
        <v>11</v>
      </c>
      <c r="C6" s="1209" t="s">
        <v>43</v>
      </c>
      <c r="D6" s="22"/>
      <c r="E6" s="23"/>
      <c r="F6" s="60" t="s">
        <v>12</v>
      </c>
      <c r="G6" s="61"/>
      <c r="J6" s="7" t="s">
        <v>13</v>
      </c>
    </row>
    <row r="7" spans="1:10" ht="24.95" customHeight="1" x14ac:dyDescent="0.25">
      <c r="A7" s="48">
        <v>103694</v>
      </c>
      <c r="B7" s="25"/>
      <c r="C7" s="1210"/>
      <c r="D7" s="26"/>
      <c r="E7" s="62"/>
      <c r="F7" s="63"/>
      <c r="G7" s="64" t="s">
        <v>33</v>
      </c>
      <c r="J7" s="7" t="s">
        <v>17</v>
      </c>
    </row>
    <row r="8" spans="1:10" ht="21" customHeight="1" x14ac:dyDescent="0.25">
      <c r="A8" s="25"/>
      <c r="B8" s="33"/>
      <c r="C8" s="33"/>
      <c r="D8" s="65"/>
      <c r="E8" s="65"/>
      <c r="F8" s="33"/>
      <c r="G8" s="66"/>
      <c r="J8" s="35" t="s">
        <v>20</v>
      </c>
    </row>
    <row r="9" spans="1:10" ht="21" customHeight="1" x14ac:dyDescent="0.25">
      <c r="A9" s="1211" t="s">
        <v>34</v>
      </c>
      <c r="B9" s="1211" t="s">
        <v>21</v>
      </c>
      <c r="C9" s="1211" t="s">
        <v>22</v>
      </c>
      <c r="D9" s="1212" t="s">
        <v>35</v>
      </c>
      <c r="E9" s="1212" t="s">
        <v>36</v>
      </c>
      <c r="F9" s="67" t="s">
        <v>28</v>
      </c>
      <c r="G9" s="68" t="s">
        <v>28</v>
      </c>
    </row>
    <row r="10" spans="1:10" ht="30" customHeight="1" x14ac:dyDescent="0.25">
      <c r="A10" s="1211"/>
      <c r="B10" s="1211"/>
      <c r="C10" s="1211"/>
      <c r="D10" s="1212"/>
      <c r="E10" s="1212"/>
      <c r="F10" s="69" t="s">
        <v>29</v>
      </c>
      <c r="G10" s="70" t="s">
        <v>30</v>
      </c>
    </row>
    <row r="11" spans="1:10" ht="42.75" customHeight="1" x14ac:dyDescent="0.25">
      <c r="A11" s="48">
        <v>4491</v>
      </c>
      <c r="B11" s="71" t="s">
        <v>4</v>
      </c>
      <c r="C11" s="72" t="s">
        <v>336</v>
      </c>
      <c r="D11" s="46" t="s">
        <v>334</v>
      </c>
      <c r="E11" s="73" t="s">
        <v>44</v>
      </c>
      <c r="F11" s="47">
        <v>11.2</v>
      </c>
      <c r="G11" s="47">
        <f t="shared" ref="G11:G16" si="0">TRUNC(E11*F11,2)</f>
        <v>40.65</v>
      </c>
    </row>
    <row r="12" spans="1:10" ht="28.5" customHeight="1" x14ac:dyDescent="0.25">
      <c r="A12" s="48">
        <v>88262</v>
      </c>
      <c r="B12" s="71" t="s">
        <v>1</v>
      </c>
      <c r="C12" s="72" t="s">
        <v>2892</v>
      </c>
      <c r="D12" s="46" t="s">
        <v>2890</v>
      </c>
      <c r="E12" s="73" t="s">
        <v>45</v>
      </c>
      <c r="F12" s="47">
        <v>25.26</v>
      </c>
      <c r="G12" s="47">
        <f t="shared" si="0"/>
        <v>5.4</v>
      </c>
    </row>
    <row r="13" spans="1:10" ht="42.75" customHeight="1" x14ac:dyDescent="0.25">
      <c r="A13" s="48">
        <v>88316</v>
      </c>
      <c r="B13" s="71" t="s">
        <v>1</v>
      </c>
      <c r="C13" s="72" t="s">
        <v>2893</v>
      </c>
      <c r="D13" s="46" t="s">
        <v>2890</v>
      </c>
      <c r="E13" s="73" t="s">
        <v>46</v>
      </c>
      <c r="F13" s="47">
        <v>20.32</v>
      </c>
      <c r="G13" s="47">
        <f t="shared" si="0"/>
        <v>13.03</v>
      </c>
    </row>
    <row r="14" spans="1:10" ht="42.75" customHeight="1" x14ac:dyDescent="0.25">
      <c r="A14" s="48">
        <v>102197</v>
      </c>
      <c r="B14" s="71" t="s">
        <v>1</v>
      </c>
      <c r="C14" s="72" t="s">
        <v>2894</v>
      </c>
      <c r="D14" s="46" t="s">
        <v>33</v>
      </c>
      <c r="E14" s="73" t="s">
        <v>47</v>
      </c>
      <c r="F14" s="47">
        <v>25.32</v>
      </c>
      <c r="G14" s="47">
        <f t="shared" si="0"/>
        <v>25.06</v>
      </c>
    </row>
    <row r="15" spans="1:10" ht="28.5" x14ac:dyDescent="0.25">
      <c r="A15" s="48">
        <v>102218</v>
      </c>
      <c r="B15" s="71" t="s">
        <v>1</v>
      </c>
      <c r="C15" s="72" t="s">
        <v>2895</v>
      </c>
      <c r="D15" s="46" t="s">
        <v>33</v>
      </c>
      <c r="E15" s="73" t="s">
        <v>47</v>
      </c>
      <c r="F15" s="47">
        <v>14.95</v>
      </c>
      <c r="G15" s="47">
        <f t="shared" si="0"/>
        <v>14.8</v>
      </c>
    </row>
    <row r="16" spans="1:10" ht="42.75" x14ac:dyDescent="0.25">
      <c r="A16" s="48">
        <v>102486</v>
      </c>
      <c r="B16" s="71" t="s">
        <v>1</v>
      </c>
      <c r="C16" s="72" t="s">
        <v>2896</v>
      </c>
      <c r="D16" s="46" t="s">
        <v>259</v>
      </c>
      <c r="E16" s="73" t="s">
        <v>48</v>
      </c>
      <c r="F16" s="47">
        <v>763.53</v>
      </c>
      <c r="G16" s="47">
        <f t="shared" si="0"/>
        <v>17.100000000000001</v>
      </c>
    </row>
    <row r="17" spans="1:7" ht="21.75" customHeight="1" x14ac:dyDescent="0.25">
      <c r="A17" s="1213" t="s">
        <v>31</v>
      </c>
      <c r="B17" s="1213"/>
      <c r="C17" s="1213"/>
      <c r="D17" s="1213"/>
      <c r="E17" s="1213"/>
      <c r="F17" s="1213"/>
      <c r="G17" s="90">
        <f>SUM(G11:G16)</f>
        <v>116.03999999999999</v>
      </c>
    </row>
    <row r="18" spans="1:7" s="84" customFormat="1" ht="15" x14ac:dyDescent="0.25">
      <c r="A18" s="80"/>
      <c r="B18" s="80"/>
      <c r="F18" s="80"/>
      <c r="G18" s="80"/>
    </row>
    <row r="19" spans="1:7" s="84" customFormat="1" ht="15" x14ac:dyDescent="0.25">
      <c r="A19" s="80"/>
      <c r="B19" s="80"/>
      <c r="C19" s="80"/>
      <c r="F19" s="80"/>
      <c r="G19" s="80"/>
    </row>
    <row r="20" spans="1:7" s="84" customFormat="1" ht="15" x14ac:dyDescent="0.25">
      <c r="A20" s="80"/>
      <c r="B20" s="80"/>
      <c r="C20" s="80"/>
      <c r="D20" s="80"/>
      <c r="E20" s="80"/>
      <c r="F20" s="80"/>
      <c r="G20" s="80"/>
    </row>
    <row r="21" spans="1:7" s="84" customFormat="1" ht="15" x14ac:dyDescent="0.25">
      <c r="A21" s="80"/>
      <c r="B21" s="80"/>
      <c r="C21" s="80"/>
      <c r="D21" s="80"/>
      <c r="E21" s="80"/>
      <c r="F21" s="80"/>
      <c r="G21" s="80"/>
    </row>
    <row r="22" spans="1:7" s="84" customFormat="1" ht="15" x14ac:dyDescent="0.25">
      <c r="A22" s="80"/>
      <c r="B22" s="80"/>
      <c r="C22" s="80"/>
      <c r="D22" s="80"/>
      <c r="E22" s="80"/>
      <c r="F22" s="80"/>
      <c r="G22" s="80"/>
    </row>
    <row r="23" spans="1:7" s="84" customFormat="1" ht="15" x14ac:dyDescent="0.25">
      <c r="A23" s="80"/>
      <c r="B23" s="80"/>
      <c r="C23" s="80"/>
      <c r="D23" s="80"/>
      <c r="E23" s="80"/>
      <c r="F23" s="80"/>
      <c r="G23" s="80"/>
    </row>
    <row r="24" spans="1:7" s="84" customFormat="1" ht="15" x14ac:dyDescent="0.25">
      <c r="A24" s="80"/>
      <c r="B24" s="80"/>
      <c r="C24" s="80"/>
      <c r="D24" s="80"/>
      <c r="E24" s="80"/>
      <c r="F24" s="80"/>
      <c r="G24" s="80"/>
    </row>
    <row r="25" spans="1:7" s="84" customFormat="1" ht="15" x14ac:dyDescent="0.25">
      <c r="A25" s="80"/>
      <c r="B25" s="80"/>
      <c r="C25" s="80"/>
      <c r="D25" s="80"/>
      <c r="E25" s="80"/>
      <c r="F25" s="80"/>
      <c r="G25" s="80"/>
    </row>
    <row r="26" spans="1:7" s="84" customFormat="1" ht="15" x14ac:dyDescent="0.25">
      <c r="A26" s="80"/>
      <c r="B26" s="80"/>
      <c r="C26" s="80"/>
      <c r="D26" s="80"/>
      <c r="E26" s="80"/>
      <c r="F26" s="80"/>
      <c r="G26" s="80"/>
    </row>
  </sheetData>
  <mergeCells count="8">
    <mergeCell ref="A17:F17"/>
    <mergeCell ref="A5:G5"/>
    <mergeCell ref="C6:C7"/>
    <mergeCell ref="A9:A10"/>
    <mergeCell ref="B9:B10"/>
    <mergeCell ref="C9:C10"/>
    <mergeCell ref="D9:D10"/>
    <mergeCell ref="E9:E10"/>
  </mergeCells>
  <dataValidations disablePrompts="1" count="1">
    <dataValidation type="list" allowBlank="1" showInputMessage="1" showErrorMessage="1" sqref="B11" xr:uid="{0224D40E-A5BD-4D5A-9659-683DC1EF0218}">
      <formula1>$J$1:$J$8</formula1>
    </dataValidation>
  </dataValidations>
  <printOptions horizontalCentered="1"/>
  <pageMargins left="0.59055118110236227" right="0.59055118110236227" top="1.7716535433070868" bottom="0.78740157480314965" header="0" footer="0"/>
  <pageSetup paperSize="9" scale="63" orientation="landscape" r:id="rId1"/>
  <headerFooter scaleWithDoc="0">
    <oddHeader>&amp;L&amp;G</oddHeader>
    <oddFooter>&amp;C&amp;"-,Negrito"&amp;12DIONI CAETANEO DE OLIVEIRA
&amp;"-,Regular"ENGENHEIRO CIVIL - CREA /MT 40957
DEPARTAMENTO DE ENGENHARIA</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C63AA-05C8-4D09-A307-81392630DB10}">
  <sheetPr codeName="Planilha28">
    <tabColor rgb="FF92D050"/>
  </sheetPr>
  <dimension ref="A1:G37"/>
  <sheetViews>
    <sheetView showGridLines="0" view="pageLayout" topLeftCell="A19" zoomScaleNormal="85" zoomScaleSheetLayoutView="100" workbookViewId="0">
      <selection activeCell="F37" sqref="F37"/>
    </sheetView>
  </sheetViews>
  <sheetFormatPr defaultColWidth="9.140625" defaultRowHeight="14.25" x14ac:dyDescent="0.2"/>
  <cols>
    <col min="1" max="1" width="9.42578125" style="1017" customWidth="1"/>
    <col min="2" max="2" width="49.7109375" style="1017" customWidth="1"/>
    <col min="3" max="3" width="16.7109375" style="1020" customWidth="1"/>
    <col min="4" max="4" width="18.28515625" style="1017" customWidth="1"/>
    <col min="5" max="7" width="16.7109375" style="1017" customWidth="1"/>
    <col min="8" max="16384" width="9.140625" style="996"/>
  </cols>
  <sheetData>
    <row r="1" spans="1:7" ht="24" customHeight="1" x14ac:dyDescent="0.2">
      <c r="A1" s="1608" t="s">
        <v>928</v>
      </c>
      <c r="B1" s="1609"/>
      <c r="C1" s="1609"/>
      <c r="D1" s="1609"/>
      <c r="E1" s="1609"/>
      <c r="F1" s="1609"/>
      <c r="G1" s="1610"/>
    </row>
    <row r="2" spans="1:7" ht="15" customHeight="1" x14ac:dyDescent="0.25">
      <c r="A2" s="1611" t="s">
        <v>929</v>
      </c>
      <c r="B2" s="1611" t="s">
        <v>930</v>
      </c>
      <c r="C2" s="1613" t="s">
        <v>931</v>
      </c>
      <c r="D2" s="1615" t="s">
        <v>932</v>
      </c>
      <c r="E2" s="1615"/>
      <c r="F2" s="1615"/>
      <c r="G2" s="1615"/>
    </row>
    <row r="3" spans="1:7" ht="42" customHeight="1" x14ac:dyDescent="0.2">
      <c r="A3" s="1611"/>
      <c r="B3" s="1611"/>
      <c r="C3" s="1614"/>
      <c r="D3" s="1007" t="s">
        <v>933</v>
      </c>
      <c r="E3" s="1007" t="s">
        <v>934</v>
      </c>
      <c r="F3" s="1007" t="s">
        <v>935</v>
      </c>
      <c r="G3" s="1007" t="s">
        <v>936</v>
      </c>
    </row>
    <row r="4" spans="1:7" ht="15" x14ac:dyDescent="0.2">
      <c r="A4" s="1612"/>
      <c r="B4" s="1612"/>
      <c r="C4" s="1008" t="s">
        <v>570</v>
      </c>
      <c r="D4" s="1008" t="s">
        <v>937</v>
      </c>
      <c r="E4" s="1008" t="s">
        <v>569</v>
      </c>
      <c r="F4" s="1008" t="s">
        <v>569</v>
      </c>
      <c r="G4" s="1008" t="s">
        <v>570</v>
      </c>
    </row>
    <row r="5" spans="1:7" ht="15" x14ac:dyDescent="0.2">
      <c r="A5" s="1611" t="s">
        <v>538</v>
      </c>
      <c r="B5" s="1611"/>
      <c r="C5" s="1611"/>
      <c r="D5" s="1611"/>
      <c r="E5" s="1611"/>
      <c r="F5" s="1611"/>
      <c r="G5" s="1611"/>
    </row>
    <row r="6" spans="1:7" x14ac:dyDescent="0.2">
      <c r="A6" s="1009">
        <v>1</v>
      </c>
      <c r="B6" s="1010" t="s">
        <v>755</v>
      </c>
      <c r="C6" s="1011">
        <f>0.4^2</f>
        <v>0.16000000000000003</v>
      </c>
      <c r="D6" s="1012">
        <v>2</v>
      </c>
      <c r="E6" s="1013">
        <v>4.5</v>
      </c>
      <c r="F6" s="999">
        <v>0.4</v>
      </c>
      <c r="G6" s="999">
        <f>TRUNC((D6*E6*F6),2)</f>
        <v>3.6</v>
      </c>
    </row>
    <row r="7" spans="1:7" x14ac:dyDescent="0.2">
      <c r="A7" s="1009">
        <v>2</v>
      </c>
      <c r="B7" s="1010" t="s">
        <v>757</v>
      </c>
      <c r="C7" s="1011">
        <f>0.4^2</f>
        <v>0.16000000000000003</v>
      </c>
      <c r="D7" s="1012">
        <v>2</v>
      </c>
      <c r="E7" s="1013">
        <v>4.5</v>
      </c>
      <c r="F7" s="999">
        <v>0.4</v>
      </c>
      <c r="G7" s="999">
        <f>TRUNC((D7*E7*F7),2)</f>
        <v>3.6</v>
      </c>
    </row>
    <row r="8" spans="1:7" x14ac:dyDescent="0.2">
      <c r="A8" s="1009">
        <v>3</v>
      </c>
      <c r="B8" s="1010" t="s">
        <v>758</v>
      </c>
      <c r="C8" s="1011">
        <f>0.4^2</f>
        <v>0.16000000000000003</v>
      </c>
      <c r="D8" s="1012">
        <v>2</v>
      </c>
      <c r="E8" s="1013">
        <v>4.5</v>
      </c>
      <c r="F8" s="999">
        <v>0.4</v>
      </c>
      <c r="G8" s="999">
        <f>TRUNC((D8*E8*F8),2)</f>
        <v>3.6</v>
      </c>
    </row>
    <row r="9" spans="1:7" x14ac:dyDescent="0.2">
      <c r="A9" s="1009">
        <v>4</v>
      </c>
      <c r="B9" s="1010" t="s">
        <v>759</v>
      </c>
      <c r="C9" s="1011">
        <f>0.4^2</f>
        <v>0.16000000000000003</v>
      </c>
      <c r="D9" s="1012">
        <v>2</v>
      </c>
      <c r="E9" s="1013">
        <v>4.5</v>
      </c>
      <c r="F9" s="999">
        <v>0.4</v>
      </c>
      <c r="G9" s="999">
        <f>TRUNC((D9*E9*F9),2)</f>
        <v>3.6</v>
      </c>
    </row>
    <row r="10" spans="1:7" ht="15" x14ac:dyDescent="0.2">
      <c r="A10" s="1602" t="s">
        <v>555</v>
      </c>
      <c r="B10" s="1603"/>
      <c r="C10" s="1603"/>
      <c r="D10" s="1603"/>
      <c r="E10" s="1603"/>
      <c r="F10" s="1603"/>
      <c r="G10" s="1604"/>
    </row>
    <row r="11" spans="1:7" x14ac:dyDescent="0.2">
      <c r="A11" s="1009">
        <v>5</v>
      </c>
      <c r="B11" s="1010" t="s">
        <v>761</v>
      </c>
      <c r="C11" s="1011">
        <f>0.4^2</f>
        <v>0.16000000000000003</v>
      </c>
      <c r="D11" s="1012">
        <v>2</v>
      </c>
      <c r="E11" s="1013">
        <v>4.5</v>
      </c>
      <c r="F11" s="999">
        <v>0.4</v>
      </c>
      <c r="G11" s="999">
        <f t="shared" ref="G11:G17" si="0">TRUNC((D11*E11*F11),2)</f>
        <v>3.6</v>
      </c>
    </row>
    <row r="12" spans="1:7" x14ac:dyDescent="0.2">
      <c r="A12" s="1009">
        <v>6</v>
      </c>
      <c r="B12" s="1010" t="s">
        <v>763</v>
      </c>
      <c r="C12" s="1011">
        <f t="shared" ref="C12:C17" si="1">0.4^2</f>
        <v>0.16000000000000003</v>
      </c>
      <c r="D12" s="1012">
        <v>2</v>
      </c>
      <c r="E12" s="1013">
        <v>4.5</v>
      </c>
      <c r="F12" s="999">
        <v>0.4</v>
      </c>
      <c r="G12" s="999">
        <f t="shared" si="0"/>
        <v>3.6</v>
      </c>
    </row>
    <row r="13" spans="1:7" x14ac:dyDescent="0.2">
      <c r="A13" s="1009">
        <v>7</v>
      </c>
      <c r="B13" s="1010" t="s">
        <v>764</v>
      </c>
      <c r="C13" s="1011">
        <f t="shared" si="1"/>
        <v>0.16000000000000003</v>
      </c>
      <c r="D13" s="1012">
        <v>2</v>
      </c>
      <c r="E13" s="1013">
        <v>4.5</v>
      </c>
      <c r="F13" s="999">
        <v>0.4</v>
      </c>
      <c r="G13" s="999">
        <f t="shared" si="0"/>
        <v>3.6</v>
      </c>
    </row>
    <row r="14" spans="1:7" x14ac:dyDescent="0.2">
      <c r="A14" s="1009">
        <v>8</v>
      </c>
      <c r="B14" s="1010" t="s">
        <v>757</v>
      </c>
      <c r="C14" s="1011">
        <f t="shared" si="1"/>
        <v>0.16000000000000003</v>
      </c>
      <c r="D14" s="1012">
        <v>2</v>
      </c>
      <c r="E14" s="1013">
        <v>4.5</v>
      </c>
      <c r="F14" s="999">
        <v>0.4</v>
      </c>
      <c r="G14" s="999">
        <f t="shared" si="0"/>
        <v>3.6</v>
      </c>
    </row>
    <row r="15" spans="1:7" x14ac:dyDescent="0.2">
      <c r="A15" s="1009">
        <v>9</v>
      </c>
      <c r="B15" s="1010" t="s">
        <v>780</v>
      </c>
      <c r="C15" s="1011">
        <f t="shared" si="1"/>
        <v>0.16000000000000003</v>
      </c>
      <c r="D15" s="1012">
        <v>2</v>
      </c>
      <c r="E15" s="1013">
        <v>4.5</v>
      </c>
      <c r="F15" s="999">
        <v>0.4</v>
      </c>
      <c r="G15" s="999">
        <f t="shared" si="0"/>
        <v>3.6</v>
      </c>
    </row>
    <row r="16" spans="1:7" x14ac:dyDescent="0.2">
      <c r="A16" s="1009">
        <v>10</v>
      </c>
      <c r="B16" s="1010" t="s">
        <v>783</v>
      </c>
      <c r="C16" s="1011">
        <f t="shared" si="1"/>
        <v>0.16000000000000003</v>
      </c>
      <c r="D16" s="1012">
        <v>2</v>
      </c>
      <c r="E16" s="1013">
        <v>4.5</v>
      </c>
      <c r="F16" s="999">
        <v>0.4</v>
      </c>
      <c r="G16" s="999">
        <f t="shared" si="0"/>
        <v>3.6</v>
      </c>
    </row>
    <row r="17" spans="1:7" x14ac:dyDescent="0.2">
      <c r="A17" s="1009">
        <v>11</v>
      </c>
      <c r="B17" s="1010" t="s">
        <v>785</v>
      </c>
      <c r="C17" s="1011">
        <f t="shared" si="1"/>
        <v>0.16000000000000003</v>
      </c>
      <c r="D17" s="1012">
        <v>2</v>
      </c>
      <c r="E17" s="1013">
        <v>4.5</v>
      </c>
      <c r="F17" s="999">
        <v>0.4</v>
      </c>
      <c r="G17" s="999">
        <f t="shared" si="0"/>
        <v>3.6</v>
      </c>
    </row>
    <row r="18" spans="1:7" ht="20.100000000000001" customHeight="1" x14ac:dyDescent="0.2">
      <c r="A18" s="1605" t="s">
        <v>938</v>
      </c>
      <c r="B18" s="1606"/>
      <c r="C18" s="1607"/>
      <c r="D18" s="1014">
        <f>SUM(D6:D17)</f>
        <v>22</v>
      </c>
      <c r="E18" s="1015"/>
      <c r="F18" s="1015"/>
      <c r="G18" s="1016">
        <f>SUM(G6:G17)</f>
        <v>39.600000000000009</v>
      </c>
    </row>
    <row r="20" spans="1:7" ht="15" x14ac:dyDescent="0.25">
      <c r="B20" s="1018"/>
      <c r="C20" s="1017"/>
      <c r="D20" s="1019"/>
    </row>
    <row r="21" spans="1:7" x14ac:dyDescent="0.2">
      <c r="F21" s="1019"/>
    </row>
    <row r="37" spans="6:6" x14ac:dyDescent="0.2">
      <c r="F37" s="1017" t="s">
        <v>2982</v>
      </c>
    </row>
  </sheetData>
  <mergeCells count="8">
    <mergeCell ref="A10:G10"/>
    <mergeCell ref="A18:C18"/>
    <mergeCell ref="A1:G1"/>
    <mergeCell ref="A2:A4"/>
    <mergeCell ref="B2:B4"/>
    <mergeCell ref="C2:C3"/>
    <mergeCell ref="D2:G2"/>
    <mergeCell ref="A5:G5"/>
  </mergeCells>
  <printOptions horizontalCentered="1"/>
  <pageMargins left="0.59055118110236227" right="0.59055118110236227" top="1.7716535433070868" bottom="0.78740157480314965" header="0" footer="0"/>
  <pageSetup paperSize="9" scale="80" orientation="landscape" r:id="rId1"/>
  <headerFooter scaleWithDoc="0">
    <oddHeader>&amp;L&amp;G</oddHeader>
    <oddFooter>&amp;C&amp;"-,Negrito"&amp;12DIONI CAETANEO DE OLIVEIRA
&amp;"-,Regular"ENGENHEIRO CIVIL - CREA /MT 40957
DEPARTAMENTO DE ENGENHARIA</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56344-AC54-4316-906A-3F78C775AB42}">
  <sheetPr codeName="Planilha29">
    <tabColor rgb="FF92D050"/>
  </sheetPr>
  <dimension ref="B2:L20"/>
  <sheetViews>
    <sheetView showGridLines="0" view="pageLayout" topLeftCell="A4" zoomScaleNormal="70" zoomScaleSheetLayoutView="85" workbookViewId="0">
      <selection activeCell="K40" sqref="K40"/>
    </sheetView>
  </sheetViews>
  <sheetFormatPr defaultColWidth="9.140625" defaultRowHeight="14.25" x14ac:dyDescent="0.2"/>
  <cols>
    <col min="1" max="1" width="9.140625" style="930"/>
    <col min="2" max="2" width="10.85546875" style="930" bestFit="1" customWidth="1"/>
    <col min="3" max="3" width="71.5703125" style="930" bestFit="1" customWidth="1"/>
    <col min="4" max="4" width="12.28515625" style="930" bestFit="1" customWidth="1"/>
    <col min="5" max="5" width="13.42578125" style="930" bestFit="1" customWidth="1"/>
    <col min="6" max="6" width="6" style="930" bestFit="1" customWidth="1"/>
    <col min="7" max="7" width="9.85546875" style="930" bestFit="1" customWidth="1"/>
    <col min="8" max="8" width="9.42578125" style="930" customWidth="1"/>
    <col min="9" max="9" width="16.7109375" style="930" customWidth="1"/>
    <col min="10" max="10" width="8.5703125" style="930" bestFit="1" customWidth="1"/>
    <col min="11" max="11" width="16.42578125" style="930" bestFit="1" customWidth="1"/>
    <col min="12" max="12" width="11.5703125" style="930" customWidth="1"/>
    <col min="13" max="14" width="9.140625" style="930"/>
    <col min="15" max="15" width="11.5703125" style="930" bestFit="1" customWidth="1"/>
    <col min="16" max="16" width="9.140625" style="930"/>
    <col min="17" max="17" width="11.5703125" style="930" bestFit="1" customWidth="1"/>
    <col min="18" max="16384" width="9.140625" style="930"/>
  </cols>
  <sheetData>
    <row r="2" spans="2:12" ht="24.95" customHeight="1" x14ac:dyDescent="0.2">
      <c r="B2" s="1592" t="s">
        <v>922</v>
      </c>
      <c r="C2" s="1592"/>
      <c r="D2" s="1592"/>
      <c r="E2" s="1592"/>
      <c r="F2" s="1592"/>
      <c r="G2" s="1592"/>
      <c r="H2" s="1592"/>
      <c r="I2" s="1592"/>
      <c r="J2" s="1592"/>
      <c r="K2" s="1592"/>
      <c r="L2" s="1592"/>
    </row>
    <row r="3" spans="2:12" ht="30.75" customHeight="1" x14ac:dyDescent="0.2">
      <c r="B3" s="964">
        <v>93595</v>
      </c>
      <c r="C3" s="1589" t="s">
        <v>923</v>
      </c>
      <c r="D3" s="1589"/>
      <c r="E3" s="1589"/>
      <c r="F3" s="1589"/>
      <c r="G3" s="1589"/>
      <c r="H3" s="1589"/>
      <c r="I3" s="1589"/>
      <c r="J3" s="1589"/>
      <c r="K3" s="1589"/>
      <c r="L3" s="1590"/>
    </row>
    <row r="4" spans="2:12" ht="34.5" customHeight="1" x14ac:dyDescent="0.2">
      <c r="B4" s="1585" t="s">
        <v>538</v>
      </c>
      <c r="C4" s="1586"/>
      <c r="D4" s="1586"/>
      <c r="E4" s="1586"/>
      <c r="F4" s="1586"/>
      <c r="G4" s="1586"/>
      <c r="H4" s="1586"/>
      <c r="I4" s="1586"/>
      <c r="J4" s="1586"/>
      <c r="K4" s="1586"/>
      <c r="L4" s="1587"/>
    </row>
    <row r="5" spans="2:12" ht="28.5" x14ac:dyDescent="0.2">
      <c r="B5" s="983">
        <f>'ORÇAMENTO - ORIENTATIVO'!H67</f>
        <v>2003850</v>
      </c>
      <c r="C5" s="984" t="s">
        <v>924</v>
      </c>
      <c r="D5" s="985" t="s">
        <v>374</v>
      </c>
      <c r="E5" s="986">
        <f>SUM(CALÇADA!N6:N25)</f>
        <v>478.3075</v>
      </c>
      <c r="F5" s="978" t="s">
        <v>804</v>
      </c>
      <c r="G5" s="987">
        <f>'2003850'!E36</f>
        <v>1.575</v>
      </c>
      <c r="H5" s="988" t="s">
        <v>925</v>
      </c>
      <c r="I5" s="967">
        <f>TRUNC(E5*G5,2)</f>
        <v>753.33</v>
      </c>
      <c r="J5" s="982">
        <f>DMT!F10</f>
        <v>101.01</v>
      </c>
      <c r="K5" s="969">
        <f>TRUNC(I5*J5,2)</f>
        <v>76093.86</v>
      </c>
      <c r="L5" s="970" t="s">
        <v>815</v>
      </c>
    </row>
    <row r="6" spans="2:12" ht="21.75" customHeight="1" x14ac:dyDescent="0.2">
      <c r="B6" s="1585" t="s">
        <v>555</v>
      </c>
      <c r="C6" s="1586"/>
      <c r="D6" s="1586"/>
      <c r="E6" s="1586"/>
      <c r="F6" s="1586"/>
      <c r="G6" s="1586"/>
      <c r="H6" s="1586"/>
      <c r="I6" s="1586"/>
      <c r="J6" s="1586"/>
      <c r="K6" s="1586"/>
      <c r="L6" s="1587"/>
    </row>
    <row r="7" spans="2:12" ht="39.950000000000003" customHeight="1" x14ac:dyDescent="0.2">
      <c r="B7" s="983">
        <f>B5</f>
        <v>2003850</v>
      </c>
      <c r="C7" s="984" t="s">
        <v>924</v>
      </c>
      <c r="D7" s="985" t="s">
        <v>374</v>
      </c>
      <c r="E7" s="986">
        <f>SUM(CALÇADA!N27:N52)</f>
        <v>658.73150000000032</v>
      </c>
      <c r="F7" s="978" t="s">
        <v>804</v>
      </c>
      <c r="G7" s="987">
        <f>G5</f>
        <v>1.575</v>
      </c>
      <c r="H7" s="988" t="s">
        <v>925</v>
      </c>
      <c r="I7" s="967">
        <f>TRUNC(E7*G7,2)</f>
        <v>1037.5</v>
      </c>
      <c r="J7" s="982">
        <f>DMT!F17</f>
        <v>101.01</v>
      </c>
      <c r="K7" s="969">
        <f>TRUNC(I7*J7,2)</f>
        <v>104797.87</v>
      </c>
      <c r="L7" s="970" t="s">
        <v>815</v>
      </c>
    </row>
    <row r="8" spans="2:12" ht="39.950000000000003" customHeight="1" x14ac:dyDescent="0.2">
      <c r="B8" s="1588" t="s">
        <v>808</v>
      </c>
      <c r="C8" s="1588"/>
      <c r="D8" s="1588"/>
      <c r="E8" s="1588"/>
      <c r="F8" s="1588"/>
      <c r="G8" s="1588"/>
      <c r="H8" s="1588"/>
      <c r="I8" s="1588"/>
      <c r="J8" s="1588"/>
      <c r="K8" s="990">
        <f>TRUNC((SUM(K5:K7)),2)</f>
        <v>180891.73</v>
      </c>
      <c r="L8" s="972" t="s">
        <v>815</v>
      </c>
    </row>
    <row r="9" spans="2:12" ht="20.100000000000001" customHeight="1" x14ac:dyDescent="0.2">
      <c r="B9" s="964">
        <v>95878</v>
      </c>
      <c r="C9" s="1589" t="s">
        <v>926</v>
      </c>
      <c r="D9" s="1589"/>
      <c r="E9" s="1589"/>
      <c r="F9" s="1589"/>
      <c r="G9" s="1589"/>
      <c r="H9" s="1589"/>
      <c r="I9" s="1589"/>
      <c r="J9" s="1589"/>
      <c r="K9" s="1589"/>
      <c r="L9" s="1590"/>
    </row>
    <row r="10" spans="2:12" ht="20.100000000000001" customHeight="1" x14ac:dyDescent="0.2">
      <c r="B10" s="1585" t="s">
        <v>538</v>
      </c>
      <c r="C10" s="1586"/>
      <c r="D10" s="1586"/>
      <c r="E10" s="1586"/>
      <c r="F10" s="1586"/>
      <c r="G10" s="1586"/>
      <c r="H10" s="1586"/>
      <c r="I10" s="1586"/>
      <c r="J10" s="1586"/>
      <c r="K10" s="1586"/>
      <c r="L10" s="1587"/>
    </row>
    <row r="11" spans="2:12" ht="28.5" x14ac:dyDescent="0.2">
      <c r="B11" s="983">
        <f>B5</f>
        <v>2003850</v>
      </c>
      <c r="C11" s="984" t="s">
        <v>924</v>
      </c>
      <c r="D11" s="985" t="s">
        <v>374</v>
      </c>
      <c r="E11" s="986">
        <f>E5</f>
        <v>478.3075</v>
      </c>
      <c r="F11" s="978" t="s">
        <v>804</v>
      </c>
      <c r="G11" s="987">
        <f>G5</f>
        <v>1.575</v>
      </c>
      <c r="H11" s="988" t="s">
        <v>925</v>
      </c>
      <c r="I11" s="967">
        <f>TRUNC(E11*G11,2)</f>
        <v>753.33</v>
      </c>
      <c r="J11" s="982">
        <v>30</v>
      </c>
      <c r="K11" s="969">
        <f>TRUNC(I11*J11,2)</f>
        <v>22599.9</v>
      </c>
      <c r="L11" s="970" t="s">
        <v>815</v>
      </c>
    </row>
    <row r="12" spans="2:12" ht="16.5" customHeight="1" x14ac:dyDescent="0.2">
      <c r="B12" s="1585" t="s">
        <v>555</v>
      </c>
      <c r="C12" s="1586"/>
      <c r="D12" s="1586"/>
      <c r="E12" s="1586"/>
      <c r="F12" s="1586"/>
      <c r="G12" s="1586"/>
      <c r="H12" s="1586"/>
      <c r="I12" s="1586"/>
      <c r="J12" s="1586"/>
      <c r="K12" s="1586"/>
      <c r="L12" s="1587"/>
    </row>
    <row r="13" spans="2:12" ht="28.5" x14ac:dyDescent="0.2">
      <c r="B13" s="983">
        <f>B7</f>
        <v>2003850</v>
      </c>
      <c r="C13" s="984" t="s">
        <v>924</v>
      </c>
      <c r="D13" s="985" t="s">
        <v>374</v>
      </c>
      <c r="E13" s="986">
        <f>E7</f>
        <v>658.73150000000032</v>
      </c>
      <c r="F13" s="978" t="s">
        <v>804</v>
      </c>
      <c r="G13" s="987">
        <f>G7</f>
        <v>1.575</v>
      </c>
      <c r="H13" s="988" t="s">
        <v>925</v>
      </c>
      <c r="I13" s="967">
        <f>TRUNC(E13*G13,2)</f>
        <v>1037.5</v>
      </c>
      <c r="J13" s="982">
        <v>30</v>
      </c>
      <c r="K13" s="969">
        <f>TRUNC(I13*J13,2)</f>
        <v>31125</v>
      </c>
      <c r="L13" s="970" t="s">
        <v>815</v>
      </c>
    </row>
    <row r="14" spans="2:12" ht="15" x14ac:dyDescent="0.2">
      <c r="B14" s="1588" t="s">
        <v>808</v>
      </c>
      <c r="C14" s="1588"/>
      <c r="D14" s="1588"/>
      <c r="E14" s="1588"/>
      <c r="F14" s="1588"/>
      <c r="G14" s="1588"/>
      <c r="H14" s="1588"/>
      <c r="I14" s="1588"/>
      <c r="J14" s="1588"/>
      <c r="K14" s="990">
        <f>TRUNC((SUM(K11:K13)),2)</f>
        <v>53724.9</v>
      </c>
      <c r="L14" s="972" t="s">
        <v>815</v>
      </c>
    </row>
    <row r="15" spans="2:12" ht="15" x14ac:dyDescent="0.2">
      <c r="B15" s="964">
        <v>93596</v>
      </c>
      <c r="C15" s="1589" t="s">
        <v>927</v>
      </c>
      <c r="D15" s="1589"/>
      <c r="E15" s="1589"/>
      <c r="F15" s="1589"/>
      <c r="G15" s="1589"/>
      <c r="H15" s="1589"/>
      <c r="I15" s="1589"/>
      <c r="J15" s="1589"/>
      <c r="K15" s="1589"/>
      <c r="L15" s="1590"/>
    </row>
    <row r="16" spans="2:12" ht="15" x14ac:dyDescent="0.2">
      <c r="B16" s="1585" t="s">
        <v>538</v>
      </c>
      <c r="C16" s="1586"/>
      <c r="D16" s="1586"/>
      <c r="E16" s="1586"/>
      <c r="F16" s="1586"/>
      <c r="G16" s="1586"/>
      <c r="H16" s="1586"/>
      <c r="I16" s="1586"/>
      <c r="J16" s="1586"/>
      <c r="K16" s="1586"/>
      <c r="L16" s="1587"/>
    </row>
    <row r="17" spans="2:12" ht="28.5" x14ac:dyDescent="0.2">
      <c r="B17" s="983">
        <f>B11</f>
        <v>2003850</v>
      </c>
      <c r="C17" s="984" t="s">
        <v>924</v>
      </c>
      <c r="D17" s="985" t="s">
        <v>374</v>
      </c>
      <c r="E17" s="986">
        <f>E5</f>
        <v>478.3075</v>
      </c>
      <c r="F17" s="978" t="s">
        <v>804</v>
      </c>
      <c r="G17" s="987">
        <f>G5</f>
        <v>1.575</v>
      </c>
      <c r="H17" s="988" t="s">
        <v>925</v>
      </c>
      <c r="I17" s="967">
        <f>TRUNC(E17*G17,2)</f>
        <v>753.33</v>
      </c>
      <c r="J17" s="982">
        <f>DMT!G10-30</f>
        <v>123.5</v>
      </c>
      <c r="K17" s="969">
        <f>TRUNC(I17*J17,2)</f>
        <v>93036.25</v>
      </c>
      <c r="L17" s="970" t="s">
        <v>815</v>
      </c>
    </row>
    <row r="18" spans="2:12" ht="15" x14ac:dyDescent="0.2">
      <c r="B18" s="1585" t="s">
        <v>555</v>
      </c>
      <c r="C18" s="1586"/>
      <c r="D18" s="1586"/>
      <c r="E18" s="1586"/>
      <c r="F18" s="1586"/>
      <c r="G18" s="1586"/>
      <c r="H18" s="1586"/>
      <c r="I18" s="1586"/>
      <c r="J18" s="1586"/>
      <c r="K18" s="1586"/>
      <c r="L18" s="1587"/>
    </row>
    <row r="19" spans="2:12" ht="28.5" x14ac:dyDescent="0.2">
      <c r="B19" s="983">
        <f>B13</f>
        <v>2003850</v>
      </c>
      <c r="C19" s="984" t="s">
        <v>924</v>
      </c>
      <c r="D19" s="985" t="s">
        <v>374</v>
      </c>
      <c r="E19" s="986">
        <f>E13</f>
        <v>658.73150000000032</v>
      </c>
      <c r="F19" s="978" t="s">
        <v>804</v>
      </c>
      <c r="G19" s="987">
        <f>G13</f>
        <v>1.575</v>
      </c>
      <c r="H19" s="988" t="s">
        <v>925</v>
      </c>
      <c r="I19" s="967">
        <f>TRUNC(E19*G19,2)</f>
        <v>1037.5</v>
      </c>
      <c r="J19" s="982">
        <f>DMT!G17-30</f>
        <v>123.69999999999999</v>
      </c>
      <c r="K19" s="969">
        <f>TRUNC(I19*J19,2)</f>
        <v>128338.75</v>
      </c>
      <c r="L19" s="970" t="s">
        <v>815</v>
      </c>
    </row>
    <row r="20" spans="2:12" ht="15" x14ac:dyDescent="0.2">
      <c r="B20" s="1588" t="s">
        <v>808</v>
      </c>
      <c r="C20" s="1588"/>
      <c r="D20" s="1588"/>
      <c r="E20" s="1588"/>
      <c r="F20" s="1588"/>
      <c r="G20" s="1588"/>
      <c r="H20" s="1588"/>
      <c r="I20" s="1588"/>
      <c r="J20" s="1588"/>
      <c r="K20" s="990">
        <f>TRUNC((SUM(K17:K19)),2)</f>
        <v>221375</v>
      </c>
      <c r="L20" s="972" t="s">
        <v>815</v>
      </c>
    </row>
  </sheetData>
  <mergeCells count="13">
    <mergeCell ref="C9:L9"/>
    <mergeCell ref="B2:L2"/>
    <mergeCell ref="C3:L3"/>
    <mergeCell ref="B4:L4"/>
    <mergeCell ref="B6:L6"/>
    <mergeCell ref="B8:J8"/>
    <mergeCell ref="B20:J20"/>
    <mergeCell ref="B10:L10"/>
    <mergeCell ref="B12:L12"/>
    <mergeCell ref="B14:J14"/>
    <mergeCell ref="C15:L15"/>
    <mergeCell ref="B16:L16"/>
    <mergeCell ref="B18:L18"/>
  </mergeCells>
  <printOptions horizontalCentered="1"/>
  <pageMargins left="0.59055118110236227" right="0.59055118110236227" top="1.7716535433070868" bottom="0.78740157480314965" header="0" footer="0"/>
  <pageSetup paperSize="9" scale="60" orientation="landscape" r:id="rId1"/>
  <headerFooter scaleWithDoc="0">
    <oddHeader>&amp;L&amp;G</oddHeader>
    <oddFooter>&amp;C&amp;"-,Negrito"&amp;12DIONI CAETANEO DE OLIVEIRA
&amp;"-,Regular"ENGENHEIRO CIVIL - CREA /MT 40957
DEPARTAMENTO DE ENGENHARIA</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AC146-FA96-4A55-A7CA-3A2D921BED91}">
  <sheetPr codeName="Planilha25">
    <tabColor rgb="FF7030A0"/>
  </sheetPr>
  <dimension ref="B2:K54"/>
  <sheetViews>
    <sheetView showGridLines="0" view="pageLayout" zoomScaleNormal="85" zoomScaleSheetLayoutView="90" workbookViewId="0">
      <selection activeCell="C3" sqref="C3:C5"/>
    </sheetView>
  </sheetViews>
  <sheetFormatPr defaultColWidth="9.140625" defaultRowHeight="14.25" x14ac:dyDescent="0.2"/>
  <cols>
    <col min="1" max="1" width="9.140625" style="996"/>
    <col min="2" max="2" width="9.42578125" style="1006" customWidth="1"/>
    <col min="3" max="3" width="45" style="996" customWidth="1"/>
    <col min="4" max="4" width="29.7109375" style="996" customWidth="1"/>
    <col min="5" max="5" width="30.7109375" style="996" customWidth="1"/>
    <col min="6" max="6" width="15.7109375" style="996" customWidth="1"/>
    <col min="7" max="7" width="37.28515625" style="996" customWidth="1"/>
    <col min="8" max="8" width="15.7109375" style="996" customWidth="1"/>
    <col min="9" max="9" width="9.140625" style="996"/>
    <col min="10" max="11" width="7" style="1006" bestFit="1" customWidth="1"/>
    <col min="12" max="16384" width="9.140625" style="996"/>
  </cols>
  <sheetData>
    <row r="2" spans="2:11" ht="18" x14ac:dyDescent="0.2">
      <c r="B2" s="1649" t="s">
        <v>959</v>
      </c>
      <c r="C2" s="1649"/>
      <c r="D2" s="1649"/>
      <c r="E2" s="1649"/>
      <c r="F2" s="1649"/>
      <c r="G2" s="1649"/>
      <c r="H2" s="1650"/>
    </row>
    <row r="3" spans="2:11" s="1050" customFormat="1" ht="33" customHeight="1" x14ac:dyDescent="0.2">
      <c r="B3" s="1651" t="s">
        <v>174</v>
      </c>
      <c r="C3" s="1651" t="s">
        <v>559</v>
      </c>
      <c r="D3" s="1391" t="s">
        <v>960</v>
      </c>
      <c r="E3" s="1391"/>
      <c r="F3" s="1536"/>
      <c r="G3" s="1390" t="s">
        <v>961</v>
      </c>
      <c r="H3" s="1536"/>
      <c r="J3" s="1051"/>
      <c r="K3" s="1051"/>
    </row>
    <row r="4" spans="2:11" s="1050" customFormat="1" ht="33" customHeight="1" x14ac:dyDescent="0.2">
      <c r="B4" s="1552"/>
      <c r="C4" s="1552"/>
      <c r="D4" s="1390" t="s">
        <v>962</v>
      </c>
      <c r="E4" s="1536"/>
      <c r="F4" s="1052" t="s">
        <v>963</v>
      </c>
      <c r="G4" s="1651" t="s">
        <v>962</v>
      </c>
      <c r="H4" s="1052" t="s">
        <v>963</v>
      </c>
      <c r="J4" s="1051"/>
      <c r="K4" s="1051"/>
    </row>
    <row r="5" spans="2:11" s="1050" customFormat="1" ht="33" customHeight="1" x14ac:dyDescent="0.2">
      <c r="B5" s="1553"/>
      <c r="C5" s="1553"/>
      <c r="D5" s="467" t="s">
        <v>964</v>
      </c>
      <c r="E5" s="465" t="s">
        <v>965</v>
      </c>
      <c r="F5" s="1053" t="s">
        <v>966</v>
      </c>
      <c r="G5" s="1553"/>
      <c r="H5" s="1054" t="s">
        <v>966</v>
      </c>
      <c r="J5" s="1051"/>
      <c r="K5" s="1051"/>
    </row>
    <row r="6" spans="2:11" s="1050" customFormat="1" ht="23.25" customHeight="1" x14ac:dyDescent="0.2">
      <c r="B6" s="1390" t="s">
        <v>538</v>
      </c>
      <c r="C6" s="1391"/>
      <c r="D6" s="1391"/>
      <c r="E6" s="1391"/>
      <c r="F6" s="1391"/>
      <c r="G6" s="1391"/>
      <c r="H6" s="1536"/>
      <c r="J6" s="1051"/>
      <c r="K6" s="1051"/>
    </row>
    <row r="7" spans="2:11" s="1050" customFormat="1" ht="33" customHeight="1" x14ac:dyDescent="0.2">
      <c r="B7" s="1055">
        <v>1</v>
      </c>
      <c r="C7" s="1056" t="s">
        <v>740</v>
      </c>
      <c r="D7" s="903">
        <v>161.78</v>
      </c>
      <c r="E7" s="903">
        <v>163.04</v>
      </c>
      <c r="F7" s="909">
        <f>D7+E7</f>
        <v>324.82</v>
      </c>
      <c r="G7" s="903" t="s">
        <v>967</v>
      </c>
      <c r="H7" s="903">
        <f>6.14+5.48+5.78+5.85</f>
        <v>23.25</v>
      </c>
      <c r="J7" s="1051"/>
      <c r="K7" s="1051"/>
    </row>
    <row r="8" spans="2:11" s="1050" customFormat="1" ht="33" customHeight="1" x14ac:dyDescent="0.2">
      <c r="B8" s="1055">
        <v>2</v>
      </c>
      <c r="C8" s="1056" t="s">
        <v>741</v>
      </c>
      <c r="D8" s="903">
        <v>134.33000000000001</v>
      </c>
      <c r="E8" s="903">
        <v>134.35</v>
      </c>
      <c r="F8" s="909">
        <f t="shared" ref="F8:F18" si="0">D8+E8</f>
        <v>268.68</v>
      </c>
      <c r="G8" s="903" t="s">
        <v>968</v>
      </c>
      <c r="H8" s="903">
        <f>5.82+5.81+5.81+5.81</f>
        <v>23.249999999999996</v>
      </c>
      <c r="J8" s="1051"/>
      <c r="K8" s="1051"/>
    </row>
    <row r="9" spans="2:11" s="1050" customFormat="1" ht="33" customHeight="1" x14ac:dyDescent="0.2">
      <c r="B9" s="1055">
        <v>3</v>
      </c>
      <c r="C9" s="1056" t="s">
        <v>742</v>
      </c>
      <c r="D9" s="903">
        <v>59.03</v>
      </c>
      <c r="E9" s="903">
        <v>59.05</v>
      </c>
      <c r="F9" s="909">
        <f t="shared" si="0"/>
        <v>118.08</v>
      </c>
      <c r="G9" s="903" t="s">
        <v>969</v>
      </c>
      <c r="H9" s="903">
        <f>5.87+5.75+5.87+5.76</f>
        <v>23.25</v>
      </c>
      <c r="J9" s="1051"/>
      <c r="K9" s="1051"/>
    </row>
    <row r="10" spans="2:11" s="1050" customFormat="1" ht="33" customHeight="1" x14ac:dyDescent="0.2">
      <c r="B10" s="1055">
        <v>4</v>
      </c>
      <c r="C10" s="1056" t="s">
        <v>743</v>
      </c>
      <c r="D10" s="903">
        <v>76.010000000000005</v>
      </c>
      <c r="E10" s="903">
        <v>75.72</v>
      </c>
      <c r="F10" s="909">
        <f t="shared" si="0"/>
        <v>151.73000000000002</v>
      </c>
      <c r="G10" s="903" t="s">
        <v>970</v>
      </c>
      <c r="H10" s="903">
        <f>5.75+5.88+5.81+5.81</f>
        <v>23.249999999999996</v>
      </c>
      <c r="J10" s="1051"/>
      <c r="K10" s="1051"/>
    </row>
    <row r="11" spans="2:11" s="1050" customFormat="1" ht="33" customHeight="1" x14ac:dyDescent="0.2">
      <c r="B11" s="1055">
        <v>5</v>
      </c>
      <c r="C11" s="1056" t="s">
        <v>744</v>
      </c>
      <c r="D11" s="903">
        <v>155.72</v>
      </c>
      <c r="E11" s="903">
        <v>156.97999999999999</v>
      </c>
      <c r="F11" s="909">
        <f t="shared" si="0"/>
        <v>312.7</v>
      </c>
      <c r="G11" s="903" t="s">
        <v>971</v>
      </c>
      <c r="H11" s="903">
        <f>6.09+5.53+5.82+5.8</f>
        <v>23.240000000000002</v>
      </c>
      <c r="J11" s="1051"/>
      <c r="K11" s="1051"/>
    </row>
    <row r="12" spans="2:11" s="1050" customFormat="1" ht="33" customHeight="1" x14ac:dyDescent="0.2">
      <c r="B12" s="1055">
        <v>6</v>
      </c>
      <c r="C12" s="1056" t="s">
        <v>745</v>
      </c>
      <c r="D12" s="903">
        <v>134.22999999999999</v>
      </c>
      <c r="E12" s="903">
        <v>134.25</v>
      </c>
      <c r="F12" s="909">
        <f t="shared" si="0"/>
        <v>268.48</v>
      </c>
      <c r="G12" s="903" t="s">
        <v>972</v>
      </c>
      <c r="H12" s="903">
        <f>5.81+5.81+5.82+5.81</f>
        <v>23.249999999999996</v>
      </c>
      <c r="J12" s="1051"/>
      <c r="K12" s="1051"/>
    </row>
    <row r="13" spans="2:11" s="1050" customFormat="1" ht="33" customHeight="1" x14ac:dyDescent="0.2">
      <c r="B13" s="1055">
        <v>7</v>
      </c>
      <c r="C13" s="1056" t="s">
        <v>746</v>
      </c>
      <c r="D13" s="903">
        <v>58.94</v>
      </c>
      <c r="E13" s="903">
        <v>58.96</v>
      </c>
      <c r="F13" s="909">
        <f t="shared" si="0"/>
        <v>117.9</v>
      </c>
      <c r="G13" s="903" t="s">
        <v>973</v>
      </c>
      <c r="H13" s="903">
        <f>5.82+5.8+5.81+5.82</f>
        <v>23.25</v>
      </c>
      <c r="J13" s="1051"/>
      <c r="K13" s="1051"/>
    </row>
    <row r="14" spans="2:11" s="1050" customFormat="1" ht="33" customHeight="1" x14ac:dyDescent="0.2">
      <c r="B14" s="1055">
        <v>8</v>
      </c>
      <c r="C14" s="1056" t="s">
        <v>747</v>
      </c>
      <c r="D14" s="903">
        <v>83.26</v>
      </c>
      <c r="E14" s="903">
        <v>83.29</v>
      </c>
      <c r="F14" s="909">
        <f t="shared" si="0"/>
        <v>166.55</v>
      </c>
      <c r="G14" s="903" t="s">
        <v>974</v>
      </c>
      <c r="H14" s="903">
        <f>5.58+5.81+5.81+5.81</f>
        <v>23.009999999999998</v>
      </c>
      <c r="J14" s="1051"/>
      <c r="K14" s="1051"/>
    </row>
    <row r="15" spans="2:11" s="1050" customFormat="1" ht="33" customHeight="1" x14ac:dyDescent="0.2">
      <c r="B15" s="1055">
        <v>9</v>
      </c>
      <c r="C15" s="1056" t="s">
        <v>748</v>
      </c>
      <c r="D15" s="903">
        <v>149.87</v>
      </c>
      <c r="E15" s="903">
        <v>151.13</v>
      </c>
      <c r="F15" s="909">
        <f t="shared" si="0"/>
        <v>301</v>
      </c>
      <c r="G15" s="903" t="s">
        <v>975</v>
      </c>
      <c r="H15" s="903">
        <f>6.12+5.51+5.8+5.82</f>
        <v>23.25</v>
      </c>
      <c r="J15" s="1051"/>
      <c r="K15" s="1051"/>
    </row>
    <row r="16" spans="2:11" s="1050" customFormat="1" ht="33" customHeight="1" x14ac:dyDescent="0.2">
      <c r="B16" s="1055">
        <v>10</v>
      </c>
      <c r="C16" s="1056" t="s">
        <v>749</v>
      </c>
      <c r="D16" s="903">
        <v>134.13999999999999</v>
      </c>
      <c r="E16" s="903">
        <v>134.16</v>
      </c>
      <c r="F16" s="909">
        <f t="shared" si="0"/>
        <v>268.29999999999995</v>
      </c>
      <c r="G16" s="903" t="s">
        <v>976</v>
      </c>
      <c r="H16" s="903">
        <f>5.82+5.8+5.57+5.82</f>
        <v>23.01</v>
      </c>
      <c r="J16" s="1051"/>
      <c r="K16" s="1051"/>
    </row>
    <row r="17" spans="2:11" s="1050" customFormat="1" ht="33" customHeight="1" x14ac:dyDescent="0.2">
      <c r="B17" s="1055">
        <v>11</v>
      </c>
      <c r="C17" s="1056" t="s">
        <v>750</v>
      </c>
      <c r="D17" s="903">
        <v>58.85</v>
      </c>
      <c r="E17" s="903">
        <v>58.87</v>
      </c>
      <c r="F17" s="909">
        <f t="shared" si="0"/>
        <v>117.72</v>
      </c>
      <c r="G17" s="903" t="s">
        <v>977</v>
      </c>
      <c r="H17" s="903">
        <f>5.82+5.8+5.81+5.81</f>
        <v>23.24</v>
      </c>
      <c r="J17" s="1051"/>
      <c r="K17" s="1051"/>
    </row>
    <row r="18" spans="2:11" s="1050" customFormat="1" ht="33" customHeight="1" x14ac:dyDescent="0.2">
      <c r="B18" s="1055">
        <v>12</v>
      </c>
      <c r="C18" s="1056" t="s">
        <v>751</v>
      </c>
      <c r="D18" s="903">
        <v>90.04</v>
      </c>
      <c r="E18" s="903">
        <v>90.05</v>
      </c>
      <c r="F18" s="909">
        <f t="shared" si="0"/>
        <v>180.09</v>
      </c>
      <c r="G18" s="903" t="s">
        <v>978</v>
      </c>
      <c r="H18" s="903">
        <f>5.81+5.81+5.81+5.81</f>
        <v>23.24</v>
      </c>
      <c r="J18" s="1051"/>
      <c r="K18" s="1051"/>
    </row>
    <row r="19" spans="2:11" s="1050" customFormat="1" ht="33" customHeight="1" x14ac:dyDescent="0.2">
      <c r="B19" s="1055">
        <v>13</v>
      </c>
      <c r="C19" s="1056" t="s">
        <v>752</v>
      </c>
      <c r="D19" s="903" t="s">
        <v>979</v>
      </c>
      <c r="E19" s="903" t="s">
        <v>980</v>
      </c>
      <c r="F19" s="909">
        <f>68.88+59.92+60.54+58.64+145.19+134.07</f>
        <v>527.24</v>
      </c>
      <c r="G19" s="903" t="s">
        <v>981</v>
      </c>
      <c r="H19" s="903">
        <f>6.1+5.52+5.81+5.81+5.91+5.72+5.82+5.81</f>
        <v>46.5</v>
      </c>
      <c r="J19" s="1051"/>
      <c r="K19" s="1051"/>
    </row>
    <row r="20" spans="2:11" s="1050" customFormat="1" ht="33" customHeight="1" x14ac:dyDescent="0.2">
      <c r="B20" s="1055">
        <v>14</v>
      </c>
      <c r="C20" s="1056" t="s">
        <v>753</v>
      </c>
      <c r="D20" s="903">
        <v>58.77</v>
      </c>
      <c r="E20" s="903">
        <v>58.79</v>
      </c>
      <c r="F20" s="909">
        <f>D20+E20</f>
        <v>117.56</v>
      </c>
      <c r="G20" s="903" t="s">
        <v>978</v>
      </c>
      <c r="H20" s="903">
        <f>5.81+5.81+5.81+5.81</f>
        <v>23.24</v>
      </c>
      <c r="J20" s="1051"/>
      <c r="K20" s="1051"/>
    </row>
    <row r="21" spans="2:11" s="1050" customFormat="1" ht="33" customHeight="1" x14ac:dyDescent="0.2">
      <c r="B21" s="1055">
        <v>15</v>
      </c>
      <c r="C21" s="1056" t="s">
        <v>754</v>
      </c>
      <c r="D21" s="903">
        <v>96.76</v>
      </c>
      <c r="E21" s="903">
        <v>96.87</v>
      </c>
      <c r="F21" s="909">
        <f>D21+E21</f>
        <v>193.63</v>
      </c>
      <c r="G21" s="903" t="s">
        <v>982</v>
      </c>
      <c r="H21" s="903">
        <f>5.84+5.79+5.81+5.81</f>
        <v>23.249999999999996</v>
      </c>
      <c r="J21" s="1051"/>
      <c r="K21" s="1051"/>
    </row>
    <row r="22" spans="2:11" s="1050" customFormat="1" ht="33" customHeight="1" x14ac:dyDescent="0.2">
      <c r="B22" s="1055">
        <v>16</v>
      </c>
      <c r="C22" s="1056" t="s">
        <v>755</v>
      </c>
      <c r="D22" s="903" t="s">
        <v>983</v>
      </c>
      <c r="E22" s="903">
        <v>397.19</v>
      </c>
      <c r="F22" s="909">
        <f>70.82+59.48+58.37+60.89+57.56+10.82+E22</f>
        <v>715.13</v>
      </c>
      <c r="G22" s="903" t="s">
        <v>984</v>
      </c>
      <c r="H22" s="903">
        <f>5.81+5.81+6.09+5.54</f>
        <v>23.25</v>
      </c>
      <c r="J22" s="1051"/>
      <c r="K22" s="1051"/>
    </row>
    <row r="23" spans="2:11" s="1050" customFormat="1" ht="33" customHeight="1" x14ac:dyDescent="0.2">
      <c r="B23" s="1055">
        <v>17</v>
      </c>
      <c r="C23" s="1056" t="s">
        <v>756</v>
      </c>
      <c r="D23" s="903" t="s">
        <v>985</v>
      </c>
      <c r="E23" s="903" t="s">
        <v>986</v>
      </c>
      <c r="F23" s="909">
        <f>58.56+59.05+58.77+59.8+58.62+59.18+58.64+59.69</f>
        <v>472.31</v>
      </c>
      <c r="G23" s="903" t="s">
        <v>987</v>
      </c>
      <c r="H23" s="903">
        <f>5.81+5.81+5.8+5.81</f>
        <v>23.229999999999997</v>
      </c>
      <c r="J23" s="1051"/>
      <c r="K23" s="1051"/>
    </row>
    <row r="24" spans="2:11" s="1050" customFormat="1" ht="33" customHeight="1" x14ac:dyDescent="0.2">
      <c r="B24" s="1055">
        <v>18</v>
      </c>
      <c r="C24" s="1056" t="s">
        <v>757</v>
      </c>
      <c r="D24" s="903">
        <v>72.540000000000006</v>
      </c>
      <c r="E24" s="903">
        <v>72.52</v>
      </c>
      <c r="F24" s="909">
        <f>D24+E24</f>
        <v>145.06</v>
      </c>
      <c r="G24" s="903" t="s">
        <v>988</v>
      </c>
      <c r="H24" s="903">
        <f>5.81+5.83+5.8+5.82</f>
        <v>23.26</v>
      </c>
      <c r="J24" s="1051"/>
      <c r="K24" s="1051"/>
    </row>
    <row r="25" spans="2:11" s="1050" customFormat="1" ht="33" customHeight="1" x14ac:dyDescent="0.2">
      <c r="B25" s="1055">
        <v>19</v>
      </c>
      <c r="C25" s="1056" t="s">
        <v>758</v>
      </c>
      <c r="D25" s="903" t="s">
        <v>989</v>
      </c>
      <c r="E25" s="903" t="s">
        <v>990</v>
      </c>
      <c r="F25" s="909">
        <f>72.73+58.03+59.41+58.94+60.36+72.71+58.07+59.5+58.55+60.57</f>
        <v>618.87</v>
      </c>
      <c r="G25" s="903" t="s">
        <v>991</v>
      </c>
      <c r="H25" s="903">
        <f>5.81+5.82+5.79+5.37</f>
        <v>22.79</v>
      </c>
      <c r="J25" s="1051"/>
      <c r="K25" s="1051"/>
    </row>
    <row r="26" spans="2:11" s="1050" customFormat="1" ht="33" customHeight="1" x14ac:dyDescent="0.2">
      <c r="B26" s="1055">
        <v>20</v>
      </c>
      <c r="C26" s="1056" t="s">
        <v>759</v>
      </c>
      <c r="D26" s="903" t="s">
        <v>992</v>
      </c>
      <c r="E26" s="903" t="s">
        <v>993</v>
      </c>
      <c r="F26" s="909">
        <f>72.49+58.2+59.34+58.64+61.27+72.76+57.95+59.35+58.19+61.59</f>
        <v>619.78000000000009</v>
      </c>
      <c r="G26" s="903" t="s">
        <v>994</v>
      </c>
      <c r="H26" s="903">
        <f>5.81+5.81+5.79+5.84</f>
        <v>23.25</v>
      </c>
      <c r="J26" s="1051"/>
      <c r="K26" s="1051"/>
    </row>
    <row r="27" spans="2:11" s="1050" customFormat="1" ht="23.25" customHeight="1" x14ac:dyDescent="0.2">
      <c r="B27" s="1390" t="s">
        <v>555</v>
      </c>
      <c r="C27" s="1391"/>
      <c r="D27" s="1391"/>
      <c r="E27" s="1391"/>
      <c r="F27" s="1391"/>
      <c r="G27" s="1391"/>
      <c r="H27" s="1536"/>
      <c r="J27" s="1051"/>
      <c r="K27" s="1051"/>
    </row>
    <row r="28" spans="2:11" s="1050" customFormat="1" ht="28.5" x14ac:dyDescent="0.2">
      <c r="B28" s="1055">
        <v>21</v>
      </c>
      <c r="C28" s="1056" t="s">
        <v>761</v>
      </c>
      <c r="D28" s="903" t="s">
        <v>995</v>
      </c>
      <c r="E28" s="903" t="s">
        <v>996</v>
      </c>
      <c r="F28" s="909">
        <f>136.72+135.04+133.27+46.36+63.87+59.35+59.95+59.43+61.19+57.81+46.32</f>
        <v>859.31000000000006</v>
      </c>
      <c r="G28" s="903" t="s">
        <v>997</v>
      </c>
      <c r="H28" s="903">
        <f>6.16+5.47+5.84+5.79+5.83+5.81+5.8+5.82+5.82+5.84</f>
        <v>58.179999999999993</v>
      </c>
      <c r="J28" s="1051"/>
      <c r="K28" s="1051"/>
    </row>
    <row r="29" spans="2:11" s="1050" customFormat="1" ht="28.5" x14ac:dyDescent="0.2">
      <c r="B29" s="1055">
        <v>22</v>
      </c>
      <c r="C29" s="1056" t="s">
        <v>762</v>
      </c>
      <c r="D29" s="903" t="s">
        <v>998</v>
      </c>
      <c r="E29" s="903" t="s">
        <v>999</v>
      </c>
      <c r="F29" s="909">
        <f>134.28+59.7+110.23+60.14+59.12+58.69+60.45+34.8</f>
        <v>577.41</v>
      </c>
      <c r="G29" s="903" t="s">
        <v>999</v>
      </c>
      <c r="H29" s="903">
        <f>60.14+59.12+58.69+60.45+34.8</f>
        <v>273.2</v>
      </c>
      <c r="J29" s="1051"/>
      <c r="K29" s="1051"/>
    </row>
    <row r="30" spans="2:11" s="1050" customFormat="1" ht="28.5" x14ac:dyDescent="0.2">
      <c r="B30" s="1055">
        <v>23</v>
      </c>
      <c r="C30" s="1056" t="s">
        <v>763</v>
      </c>
      <c r="D30" s="903" t="s">
        <v>1000</v>
      </c>
      <c r="E30" s="903" t="s">
        <v>1001</v>
      </c>
      <c r="F30" s="909">
        <f>128.03+136.39+133.18+46.56+130.71+134.9+133.39+46.68</f>
        <v>889.83999999999992</v>
      </c>
      <c r="G30" s="903" t="s">
        <v>1002</v>
      </c>
      <c r="H30" s="903">
        <f>6.18+5.45+5.71+5.91+5.81+5.81+5.78+5.84+5.79+5.84</f>
        <v>58.11999999999999</v>
      </c>
      <c r="J30" s="1051"/>
      <c r="K30" s="1051"/>
    </row>
    <row r="31" spans="2:11" s="1050" customFormat="1" x14ac:dyDescent="0.2">
      <c r="B31" s="1055">
        <v>24</v>
      </c>
      <c r="C31" s="1056" t="s">
        <v>764</v>
      </c>
      <c r="D31" s="903">
        <v>63.88</v>
      </c>
      <c r="E31" s="903">
        <v>63.96</v>
      </c>
      <c r="F31" s="909">
        <f>D31+E31</f>
        <v>127.84</v>
      </c>
      <c r="G31" s="903" t="s">
        <v>1003</v>
      </c>
      <c r="H31" s="903">
        <f>5.86+5.78</f>
        <v>11.64</v>
      </c>
      <c r="J31" s="1051"/>
      <c r="K31" s="1051"/>
    </row>
    <row r="32" spans="2:11" s="1050" customFormat="1" ht="42.75" x14ac:dyDescent="0.2">
      <c r="B32" s="1055">
        <v>25</v>
      </c>
      <c r="C32" s="1056" t="s">
        <v>765</v>
      </c>
      <c r="D32" s="903" t="s">
        <v>1004</v>
      </c>
      <c r="E32" s="903" t="s">
        <v>1005</v>
      </c>
      <c r="F32" s="909">
        <f>59.59+58.6+58.89+59.94+46.86+134.18+58.7+122.98</f>
        <v>599.74</v>
      </c>
      <c r="G32" s="903" t="s">
        <v>1006</v>
      </c>
      <c r="H32" s="903">
        <f>5.81+5.82+5.82+5.81+5.82+5.81+5.82+5.81+5.81+5.81+5.76+5.87+5.83+5.79+5.81+5.81</f>
        <v>93.010000000000019</v>
      </c>
      <c r="J32" s="1051"/>
      <c r="K32" s="1051"/>
    </row>
    <row r="33" spans="2:11" s="1050" customFormat="1" ht="42.75" x14ac:dyDescent="0.2">
      <c r="B33" s="1055">
        <v>26</v>
      </c>
      <c r="C33" s="1056" t="s">
        <v>766</v>
      </c>
      <c r="D33" s="903" t="s">
        <v>1007</v>
      </c>
      <c r="E33" s="903" t="s">
        <v>1008</v>
      </c>
      <c r="F33" s="909"/>
      <c r="G33" s="903" t="s">
        <v>1009</v>
      </c>
      <c r="H33" s="903">
        <f>5.81+5.81+5.81+5.81+5.81+5.81+5.83+5.83+5.81+5.81</f>
        <v>58.14</v>
      </c>
      <c r="J33" s="1051"/>
      <c r="K33" s="1051"/>
    </row>
    <row r="34" spans="2:11" s="1050" customFormat="1" x14ac:dyDescent="0.2">
      <c r="B34" s="1055">
        <v>27</v>
      </c>
      <c r="C34" s="1056" t="s">
        <v>767</v>
      </c>
      <c r="D34" s="903">
        <v>98.98</v>
      </c>
      <c r="E34" s="903">
        <v>98.99</v>
      </c>
      <c r="F34" s="909">
        <f>D34+E34</f>
        <v>197.97</v>
      </c>
      <c r="G34" s="903" t="s">
        <v>1010</v>
      </c>
      <c r="H34" s="903">
        <f>5.84+5.78+5.82+5.93</f>
        <v>23.37</v>
      </c>
      <c r="J34" s="1051"/>
      <c r="K34" s="1051"/>
    </row>
    <row r="35" spans="2:11" s="1050" customFormat="1" x14ac:dyDescent="0.2">
      <c r="B35" s="1055">
        <v>28</v>
      </c>
      <c r="C35" s="1056" t="s">
        <v>768</v>
      </c>
      <c r="D35" s="903">
        <v>61.57</v>
      </c>
      <c r="E35" s="903">
        <v>61.47</v>
      </c>
      <c r="F35" s="909">
        <f t="shared" ref="F35:F42" si="1">D35+E35</f>
        <v>123.03999999999999</v>
      </c>
      <c r="G35" s="903" t="s">
        <v>1011</v>
      </c>
      <c r="H35" s="903">
        <f>5.81+5.81</f>
        <v>11.62</v>
      </c>
      <c r="J35" s="1051"/>
      <c r="K35" s="1051"/>
    </row>
    <row r="36" spans="2:11" s="1050" customFormat="1" x14ac:dyDescent="0.2">
      <c r="B36" s="1055">
        <v>29</v>
      </c>
      <c r="C36" s="1056" t="s">
        <v>769</v>
      </c>
      <c r="D36" s="903">
        <v>97.52</v>
      </c>
      <c r="E36" s="903">
        <v>97.57</v>
      </c>
      <c r="F36" s="909">
        <f t="shared" si="1"/>
        <v>195.08999999999997</v>
      </c>
      <c r="G36" s="903" t="s">
        <v>1012</v>
      </c>
      <c r="H36" s="903">
        <f>5.81+5.81+5.73+5.77</f>
        <v>23.12</v>
      </c>
      <c r="J36" s="1051"/>
      <c r="K36" s="1051"/>
    </row>
    <row r="37" spans="2:11" s="1050" customFormat="1" x14ac:dyDescent="0.2">
      <c r="B37" s="1055">
        <v>30</v>
      </c>
      <c r="C37" s="1056" t="s">
        <v>770</v>
      </c>
      <c r="D37" s="903">
        <v>98.29</v>
      </c>
      <c r="E37" s="903">
        <v>98.2</v>
      </c>
      <c r="F37" s="909">
        <f t="shared" si="1"/>
        <v>196.49</v>
      </c>
      <c r="G37" s="903" t="s">
        <v>1013</v>
      </c>
      <c r="H37" s="903">
        <f>5.84+5.79+5.83+5.84</f>
        <v>23.3</v>
      </c>
      <c r="J37" s="1051"/>
      <c r="K37" s="1051"/>
    </row>
    <row r="38" spans="2:11" s="1050" customFormat="1" x14ac:dyDescent="0.2">
      <c r="B38" s="1055">
        <v>31</v>
      </c>
      <c r="C38" s="1056" t="s">
        <v>771</v>
      </c>
      <c r="D38" s="903">
        <v>62.45</v>
      </c>
      <c r="E38" s="903">
        <v>62.47</v>
      </c>
      <c r="F38" s="909">
        <f t="shared" si="1"/>
        <v>124.92</v>
      </c>
      <c r="G38" s="903" t="s">
        <v>1014</v>
      </c>
      <c r="H38" s="903">
        <f>5.8+5.82</f>
        <v>11.620000000000001</v>
      </c>
      <c r="J38" s="1051"/>
      <c r="K38" s="1051"/>
    </row>
    <row r="39" spans="2:11" s="1050" customFormat="1" x14ac:dyDescent="0.2">
      <c r="B39" s="1055">
        <v>32</v>
      </c>
      <c r="C39" s="1056" t="s">
        <v>772</v>
      </c>
      <c r="D39" s="903">
        <v>98.17</v>
      </c>
      <c r="E39" s="903">
        <v>98.23</v>
      </c>
      <c r="F39" s="909">
        <f t="shared" si="1"/>
        <v>196.4</v>
      </c>
      <c r="G39" s="903" t="s">
        <v>1015</v>
      </c>
      <c r="H39" s="903">
        <f>5.73+5.86+5.89+5.76</f>
        <v>23.240000000000002</v>
      </c>
      <c r="J39" s="1051"/>
      <c r="K39" s="1051"/>
    </row>
    <row r="40" spans="2:11" s="1050" customFormat="1" x14ac:dyDescent="0.2">
      <c r="B40" s="1055">
        <v>33</v>
      </c>
      <c r="C40" s="1056" t="s">
        <v>773</v>
      </c>
      <c r="D40" s="903">
        <v>98.71</v>
      </c>
      <c r="E40" s="903">
        <v>98.27</v>
      </c>
      <c r="F40" s="909">
        <f t="shared" si="1"/>
        <v>196.98</v>
      </c>
      <c r="G40" s="903" t="s">
        <v>1016</v>
      </c>
      <c r="H40" s="903">
        <f>5.81+5.81+5.81+5.82</f>
        <v>23.25</v>
      </c>
      <c r="J40" s="1051"/>
      <c r="K40" s="1051"/>
    </row>
    <row r="41" spans="2:11" s="1050" customFormat="1" x14ac:dyDescent="0.2">
      <c r="B41" s="1055">
        <v>34</v>
      </c>
      <c r="C41" s="1056" t="s">
        <v>774</v>
      </c>
      <c r="D41" s="903">
        <v>62.16</v>
      </c>
      <c r="E41" s="903">
        <v>62.19</v>
      </c>
      <c r="F41" s="909">
        <f t="shared" si="1"/>
        <v>124.35</v>
      </c>
      <c r="G41" s="903" t="s">
        <v>1011</v>
      </c>
      <c r="H41" s="903">
        <f>5.81+5.81</f>
        <v>11.62</v>
      </c>
      <c r="J41" s="1051"/>
      <c r="K41" s="1051"/>
    </row>
    <row r="42" spans="2:11" s="1050" customFormat="1" x14ac:dyDescent="0.2">
      <c r="B42" s="1055">
        <v>35</v>
      </c>
      <c r="C42" s="1056" t="s">
        <v>775</v>
      </c>
      <c r="D42" s="903">
        <v>98.7</v>
      </c>
      <c r="E42" s="903">
        <v>98.73</v>
      </c>
      <c r="F42" s="909">
        <f t="shared" si="1"/>
        <v>197.43</v>
      </c>
      <c r="G42" s="903" t="s">
        <v>1017</v>
      </c>
      <c r="H42" s="903">
        <f>5.81+5.81+5.81+5.79</f>
        <v>23.22</v>
      </c>
      <c r="J42" s="1051"/>
      <c r="K42" s="1051"/>
    </row>
    <row r="43" spans="2:11" s="1050" customFormat="1" ht="28.5" x14ac:dyDescent="0.2">
      <c r="B43" s="1055">
        <v>36</v>
      </c>
      <c r="C43" s="1056" t="s">
        <v>776</v>
      </c>
      <c r="D43" s="903" t="s">
        <v>1018</v>
      </c>
      <c r="E43" s="903" t="s">
        <v>1019</v>
      </c>
      <c r="F43" s="909">
        <f>115.02+61.33+62.29+98.79+115.42+61.1+62.25+98.79</f>
        <v>674.99</v>
      </c>
      <c r="G43" s="903" t="s">
        <v>1020</v>
      </c>
      <c r="H43" s="903">
        <f>5.76+5.86+5.84+5.76+5.83+5.78+5.81+5.78+5.81+5.82</f>
        <v>58.050000000000004</v>
      </c>
      <c r="J43" s="1051"/>
      <c r="K43" s="1051"/>
    </row>
    <row r="44" spans="2:11" s="1050" customFormat="1" x14ac:dyDescent="0.2">
      <c r="B44" s="1055">
        <v>37</v>
      </c>
      <c r="C44" s="1056" t="s">
        <v>777</v>
      </c>
      <c r="D44" s="903">
        <v>112.51</v>
      </c>
      <c r="E44" s="903">
        <v>112.35</v>
      </c>
      <c r="F44" s="909">
        <f>D44+E44</f>
        <v>224.86</v>
      </c>
      <c r="G44" s="903" t="s">
        <v>1021</v>
      </c>
      <c r="H44" s="903">
        <f>5.84+5.79</f>
        <v>11.629999999999999</v>
      </c>
      <c r="J44" s="1051"/>
      <c r="K44" s="1051"/>
    </row>
    <row r="45" spans="2:11" s="1050" customFormat="1" x14ac:dyDescent="0.2">
      <c r="B45" s="1055">
        <v>38</v>
      </c>
      <c r="C45" s="1056" t="s">
        <v>757</v>
      </c>
      <c r="D45" s="903">
        <v>98.07</v>
      </c>
      <c r="E45" s="903">
        <v>98.04</v>
      </c>
      <c r="F45" s="909">
        <f t="shared" ref="F45:F53" si="2">D45+E45</f>
        <v>196.11</v>
      </c>
      <c r="G45" s="903" t="s">
        <v>1022</v>
      </c>
      <c r="H45" s="903">
        <f>5.81+5.82+5.81+5.81</f>
        <v>23.249999999999996</v>
      </c>
      <c r="J45" s="1051"/>
      <c r="K45" s="1051"/>
    </row>
    <row r="46" spans="2:11" s="1050" customFormat="1" x14ac:dyDescent="0.2">
      <c r="B46" s="1055">
        <v>39</v>
      </c>
      <c r="C46" s="1056" t="s">
        <v>778</v>
      </c>
      <c r="D46" s="903">
        <v>113.08</v>
      </c>
      <c r="E46" s="903">
        <v>112.95</v>
      </c>
      <c r="F46" s="909">
        <f t="shared" si="2"/>
        <v>226.03</v>
      </c>
      <c r="G46" s="903" t="s">
        <v>1021</v>
      </c>
      <c r="H46" s="903">
        <f>5.84+5.79</f>
        <v>11.629999999999999</v>
      </c>
      <c r="J46" s="1051"/>
      <c r="K46" s="1051"/>
    </row>
    <row r="47" spans="2:11" s="1050" customFormat="1" x14ac:dyDescent="0.2">
      <c r="B47" s="1055">
        <v>40</v>
      </c>
      <c r="C47" s="1056" t="s">
        <v>779</v>
      </c>
      <c r="D47" s="903">
        <v>65.31</v>
      </c>
      <c r="E47" s="903">
        <v>65.41</v>
      </c>
      <c r="F47" s="909">
        <f t="shared" si="2"/>
        <v>130.72</v>
      </c>
      <c r="G47" s="903" t="s">
        <v>1011</v>
      </c>
      <c r="H47" s="903">
        <f>5.81+5.81</f>
        <v>11.62</v>
      </c>
      <c r="J47" s="1051"/>
      <c r="K47" s="1051"/>
    </row>
    <row r="48" spans="2:11" s="1050" customFormat="1" x14ac:dyDescent="0.2">
      <c r="B48" s="1055">
        <v>41</v>
      </c>
      <c r="C48" s="1056" t="s">
        <v>780</v>
      </c>
      <c r="D48" s="903">
        <v>98.19</v>
      </c>
      <c r="E48" s="903">
        <v>98.17</v>
      </c>
      <c r="F48" s="909">
        <f t="shared" si="2"/>
        <v>196.36</v>
      </c>
      <c r="G48" s="903" t="s">
        <v>1016</v>
      </c>
      <c r="H48" s="903">
        <f>5.81+5.81+5.81+5.82</f>
        <v>23.25</v>
      </c>
      <c r="J48" s="1051"/>
      <c r="K48" s="1051"/>
    </row>
    <row r="49" spans="2:11" s="1050" customFormat="1" x14ac:dyDescent="0.2">
      <c r="B49" s="1055">
        <v>42</v>
      </c>
      <c r="C49" s="1056" t="s">
        <v>781</v>
      </c>
      <c r="D49" s="903">
        <v>113.65</v>
      </c>
      <c r="E49" s="903">
        <v>113.53</v>
      </c>
      <c r="F49" s="909">
        <f t="shared" si="2"/>
        <v>227.18</v>
      </c>
      <c r="G49" s="903" t="s">
        <v>1023</v>
      </c>
      <c r="H49" s="903">
        <f>5.84+5.78</f>
        <v>11.620000000000001</v>
      </c>
      <c r="J49" s="1051"/>
      <c r="K49" s="1051"/>
    </row>
    <row r="50" spans="2:11" s="1050" customFormat="1" x14ac:dyDescent="0.2">
      <c r="B50" s="1055">
        <v>43</v>
      </c>
      <c r="C50" s="1056" t="s">
        <v>782</v>
      </c>
      <c r="D50" s="903">
        <v>63.57</v>
      </c>
      <c r="E50" s="903">
        <v>63.59</v>
      </c>
      <c r="F50" s="909">
        <f t="shared" si="2"/>
        <v>127.16</v>
      </c>
      <c r="G50" s="903" t="s">
        <v>1011</v>
      </c>
      <c r="H50" s="903">
        <f>5.81+5.81</f>
        <v>11.62</v>
      </c>
      <c r="J50" s="1051"/>
      <c r="K50" s="1051"/>
    </row>
    <row r="51" spans="2:11" s="1050" customFormat="1" x14ac:dyDescent="0.2">
      <c r="B51" s="1055">
        <v>44</v>
      </c>
      <c r="C51" s="1056" t="s">
        <v>783</v>
      </c>
      <c r="D51" s="903">
        <v>98.31</v>
      </c>
      <c r="E51" s="903">
        <v>98.28</v>
      </c>
      <c r="F51" s="909">
        <f t="shared" si="2"/>
        <v>196.59</v>
      </c>
      <c r="G51" s="903" t="s">
        <v>1024</v>
      </c>
      <c r="H51" s="903">
        <f>5.82+5.81</f>
        <v>11.629999999999999</v>
      </c>
      <c r="J51" s="1051"/>
      <c r="K51" s="1051"/>
    </row>
    <row r="52" spans="2:11" s="1050" customFormat="1" x14ac:dyDescent="0.2">
      <c r="B52" s="1055">
        <v>45</v>
      </c>
      <c r="C52" s="1056" t="s">
        <v>784</v>
      </c>
      <c r="D52" s="903">
        <v>114.21</v>
      </c>
      <c r="E52" s="903">
        <v>114.1</v>
      </c>
      <c r="F52" s="909">
        <f t="shared" si="2"/>
        <v>228.31</v>
      </c>
      <c r="G52" s="903" t="s">
        <v>1024</v>
      </c>
      <c r="H52" s="903">
        <f>5.82+5.81</f>
        <v>11.629999999999999</v>
      </c>
      <c r="J52" s="1051"/>
      <c r="K52" s="1051"/>
    </row>
    <row r="53" spans="2:11" s="1050" customFormat="1" x14ac:dyDescent="0.2">
      <c r="B53" s="1055">
        <v>46</v>
      </c>
      <c r="C53" s="1056" t="s">
        <v>785</v>
      </c>
      <c r="D53" s="903">
        <v>98.41</v>
      </c>
      <c r="E53" s="903">
        <v>98.39</v>
      </c>
      <c r="F53" s="909">
        <f t="shared" si="2"/>
        <v>196.8</v>
      </c>
      <c r="G53" s="903" t="s">
        <v>1024</v>
      </c>
      <c r="H53" s="903">
        <f>5.82+5.81</f>
        <v>11.629999999999999</v>
      </c>
      <c r="J53" s="1051"/>
      <c r="K53" s="1051"/>
    </row>
    <row r="54" spans="2:11" ht="15" x14ac:dyDescent="0.2">
      <c r="B54" s="1647" t="s">
        <v>1025</v>
      </c>
      <c r="C54" s="1647"/>
      <c r="D54" s="1647"/>
      <c r="E54" s="1648"/>
      <c r="F54" s="1057">
        <f>TRUNC((SUM(F7:F53)),2)</f>
        <v>13237.55</v>
      </c>
      <c r="G54" s="1058"/>
      <c r="H54" s="1057">
        <f>TRUNC((SUM(H7:H53)),2)</f>
        <v>1411.47</v>
      </c>
    </row>
  </sheetData>
  <mergeCells count="10">
    <mergeCell ref="B6:H6"/>
    <mergeCell ref="B27:H27"/>
    <mergeCell ref="B54:E54"/>
    <mergeCell ref="B2:H2"/>
    <mergeCell ref="B3:B5"/>
    <mergeCell ref="C3:C5"/>
    <mergeCell ref="D3:F3"/>
    <mergeCell ref="G3:H3"/>
    <mergeCell ref="D4:E4"/>
    <mergeCell ref="G4:G5"/>
  </mergeCells>
  <printOptions horizontalCentered="1"/>
  <pageMargins left="0.59055118110236227" right="0.59055118110236227" top="1.7716535433070868" bottom="0.78740157480314965" header="0" footer="0"/>
  <pageSetup paperSize="9" scale="69" firstPageNumber="25" orientation="landscape" r:id="rId1"/>
  <headerFooter scaleWithDoc="0">
    <oddHeader>&amp;L&amp;G</oddHeader>
    <oddFooter>&amp;C&amp;"-,Negrito"&amp;12DIONI CAETANEO DE OLIVEIRA
&amp;"-,Regular"ENGENHEIRO CIVIL - CREA /MT 40957
DEPARTAMENTO DE ENGENHARIA</oddFooter>
  </headerFooter>
  <rowBreaks count="1" manualBreakCount="1">
    <brk id="68" max="16383" man="1"/>
  </row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12888-B9FD-417C-B5A0-24DCDD8863B5}">
  <sheetPr codeName="Planilha38">
    <tabColor rgb="FF7030A0"/>
  </sheetPr>
  <dimension ref="A1:V413"/>
  <sheetViews>
    <sheetView view="pageLayout" topLeftCell="A31" zoomScaleNormal="85" zoomScaleSheetLayoutView="85" workbookViewId="0">
      <selection activeCell="Q34" activeCellId="1" sqref="P49 Q34"/>
    </sheetView>
  </sheetViews>
  <sheetFormatPr defaultRowHeight="14.25" x14ac:dyDescent="0.2"/>
  <cols>
    <col min="1" max="1" width="4.28515625" style="1059" customWidth="1"/>
    <col min="2" max="2" width="7.42578125" style="1059" bestFit="1" customWidth="1"/>
    <col min="3" max="3" width="8.140625" style="1059" bestFit="1" customWidth="1"/>
    <col min="4" max="4" width="8.28515625" style="1059" bestFit="1" customWidth="1"/>
    <col min="5" max="5" width="7" style="1059" bestFit="1" customWidth="1"/>
    <col min="6" max="6" width="11.28515625" style="1059" customWidth="1"/>
    <col min="7" max="7" width="7.85546875" style="1059" bestFit="1" customWidth="1"/>
    <col min="8" max="8" width="7.140625" style="1059" customWidth="1"/>
    <col min="9" max="9" width="7" style="1059" customWidth="1"/>
    <col min="10" max="10" width="8.140625" style="1059" customWidth="1"/>
    <col min="11" max="11" width="11.5703125" style="1059" customWidth="1"/>
    <col min="12" max="12" width="12.85546875" style="1059" customWidth="1"/>
    <col min="13" max="13" width="11.140625" style="1059" customWidth="1"/>
    <col min="14" max="14" width="13.28515625" style="1069" customWidth="1"/>
    <col min="15" max="15" width="9.42578125" style="1059" customWidth="1"/>
    <col min="16" max="16" width="10.5703125" style="1059" customWidth="1"/>
    <col min="17" max="17" width="10.28515625" style="1059" customWidth="1"/>
    <col min="18" max="18" width="11.85546875" style="1059" customWidth="1"/>
    <col min="19" max="19" width="22" style="1059" customWidth="1"/>
    <col min="20" max="20" width="8.28515625" style="1059" customWidth="1"/>
    <col min="21" max="22" width="4.5703125" style="1059" bestFit="1" customWidth="1"/>
    <col min="23" max="24" width="9.140625" style="1059"/>
    <col min="25" max="25" width="11.42578125" style="1059" bestFit="1" customWidth="1"/>
    <col min="26" max="28" width="9.140625" style="1059"/>
    <col min="29" max="29" width="11.42578125" style="1059" bestFit="1" customWidth="1"/>
    <col min="30" max="31" width="9.140625" style="1059"/>
    <col min="32" max="32" width="10.140625" style="1059" bestFit="1" customWidth="1"/>
    <col min="33" max="33" width="11.42578125" style="1059" bestFit="1" customWidth="1"/>
    <col min="34" max="254" width="9.140625" style="1059"/>
    <col min="255" max="255" width="4.28515625" style="1059" customWidth="1"/>
    <col min="256" max="256" width="9.140625" style="1059" bestFit="1" customWidth="1"/>
    <col min="257" max="257" width="12" style="1059" customWidth="1"/>
    <col min="258" max="258" width="14.7109375" style="1059" customWidth="1"/>
    <col min="259" max="259" width="13.140625" style="1059" customWidth="1"/>
    <col min="260" max="260" width="9.5703125" style="1059" customWidth="1"/>
    <col min="261" max="261" width="13.28515625" style="1059" customWidth="1"/>
    <col min="262" max="262" width="16.5703125" style="1059" bestFit="1" customWidth="1"/>
    <col min="263" max="263" width="10.85546875" style="1059" bestFit="1" customWidth="1"/>
    <col min="264" max="264" width="8.28515625" style="1059" bestFit="1" customWidth="1"/>
    <col min="265" max="265" width="16" style="1059" customWidth="1"/>
    <col min="266" max="266" width="15.42578125" style="1059" bestFit="1" customWidth="1"/>
    <col min="267" max="267" width="16" style="1059" customWidth="1"/>
    <col min="268" max="268" width="11.42578125" style="1059" bestFit="1" customWidth="1"/>
    <col min="269" max="269" width="14.140625" style="1059" customWidth="1"/>
    <col min="270" max="270" width="15" style="1059" bestFit="1" customWidth="1"/>
    <col min="271" max="271" width="13.28515625" style="1059" bestFit="1" customWidth="1"/>
    <col min="272" max="272" width="15" style="1059" bestFit="1" customWidth="1"/>
    <col min="273" max="273" width="13" style="1059" customWidth="1"/>
    <col min="274" max="274" width="26.42578125" style="1059" bestFit="1" customWidth="1"/>
    <col min="275" max="275" width="8.28515625" style="1059" customWidth="1"/>
    <col min="276" max="276" width="9.140625" style="1059"/>
    <col min="277" max="277" width="11.42578125" style="1059" bestFit="1" customWidth="1"/>
    <col min="278" max="280" width="9.140625" style="1059"/>
    <col min="281" max="281" width="11.42578125" style="1059" bestFit="1" customWidth="1"/>
    <col min="282" max="284" width="9.140625" style="1059"/>
    <col min="285" max="285" width="11.42578125" style="1059" bestFit="1" customWidth="1"/>
    <col min="286" max="287" width="9.140625" style="1059"/>
    <col min="288" max="288" width="10.140625" style="1059" bestFit="1" customWidth="1"/>
    <col min="289" max="289" width="11.42578125" style="1059" bestFit="1" customWidth="1"/>
    <col min="290" max="510" width="9.140625" style="1059"/>
    <col min="511" max="511" width="4.28515625" style="1059" customWidth="1"/>
    <col min="512" max="512" width="9.140625" style="1059" bestFit="1" customWidth="1"/>
    <col min="513" max="513" width="12" style="1059" customWidth="1"/>
    <col min="514" max="514" width="14.7109375" style="1059" customWidth="1"/>
    <col min="515" max="515" width="13.140625" style="1059" customWidth="1"/>
    <col min="516" max="516" width="9.5703125" style="1059" customWidth="1"/>
    <col min="517" max="517" width="13.28515625" style="1059" customWidth="1"/>
    <col min="518" max="518" width="16.5703125" style="1059" bestFit="1" customWidth="1"/>
    <col min="519" max="519" width="10.85546875" style="1059" bestFit="1" customWidth="1"/>
    <col min="520" max="520" width="8.28515625" style="1059" bestFit="1" customWidth="1"/>
    <col min="521" max="521" width="16" style="1059" customWidth="1"/>
    <col min="522" max="522" width="15.42578125" style="1059" bestFit="1" customWidth="1"/>
    <col min="523" max="523" width="16" style="1059" customWidth="1"/>
    <col min="524" max="524" width="11.42578125" style="1059" bestFit="1" customWidth="1"/>
    <col min="525" max="525" width="14.140625" style="1059" customWidth="1"/>
    <col min="526" max="526" width="15" style="1059" bestFit="1" customWidth="1"/>
    <col min="527" max="527" width="13.28515625" style="1059" bestFit="1" customWidth="1"/>
    <col min="528" max="528" width="15" style="1059" bestFit="1" customWidth="1"/>
    <col min="529" max="529" width="13" style="1059" customWidth="1"/>
    <col min="530" max="530" width="26.42578125" style="1059" bestFit="1" customWidth="1"/>
    <col min="531" max="531" width="8.28515625" style="1059" customWidth="1"/>
    <col min="532" max="532" width="9.140625" style="1059"/>
    <col min="533" max="533" width="11.42578125" style="1059" bestFit="1" customWidth="1"/>
    <col min="534" max="536" width="9.140625" style="1059"/>
    <col min="537" max="537" width="11.42578125" style="1059" bestFit="1" customWidth="1"/>
    <col min="538" max="540" width="9.140625" style="1059"/>
    <col min="541" max="541" width="11.42578125" style="1059" bestFit="1" customWidth="1"/>
    <col min="542" max="543" width="9.140625" style="1059"/>
    <col min="544" max="544" width="10.140625" style="1059" bestFit="1" customWidth="1"/>
    <col min="545" max="545" width="11.42578125" style="1059" bestFit="1" customWidth="1"/>
    <col min="546" max="766" width="9.140625" style="1059"/>
    <col min="767" max="767" width="4.28515625" style="1059" customWidth="1"/>
    <col min="768" max="768" width="9.140625" style="1059" bestFit="1" customWidth="1"/>
    <col min="769" max="769" width="12" style="1059" customWidth="1"/>
    <col min="770" max="770" width="14.7109375" style="1059" customWidth="1"/>
    <col min="771" max="771" width="13.140625" style="1059" customWidth="1"/>
    <col min="772" max="772" width="9.5703125" style="1059" customWidth="1"/>
    <col min="773" max="773" width="13.28515625" style="1059" customWidth="1"/>
    <col min="774" max="774" width="16.5703125" style="1059" bestFit="1" customWidth="1"/>
    <col min="775" max="775" width="10.85546875" style="1059" bestFit="1" customWidth="1"/>
    <col min="776" max="776" width="8.28515625" style="1059" bestFit="1" customWidth="1"/>
    <col min="777" max="777" width="16" style="1059" customWidth="1"/>
    <col min="778" max="778" width="15.42578125" style="1059" bestFit="1" customWidth="1"/>
    <col min="779" max="779" width="16" style="1059" customWidth="1"/>
    <col min="780" max="780" width="11.42578125" style="1059" bestFit="1" customWidth="1"/>
    <col min="781" max="781" width="14.140625" style="1059" customWidth="1"/>
    <col min="782" max="782" width="15" style="1059" bestFit="1" customWidth="1"/>
    <col min="783" max="783" width="13.28515625" style="1059" bestFit="1" customWidth="1"/>
    <col min="784" max="784" width="15" style="1059" bestFit="1" customWidth="1"/>
    <col min="785" max="785" width="13" style="1059" customWidth="1"/>
    <col min="786" max="786" width="26.42578125" style="1059" bestFit="1" customWidth="1"/>
    <col min="787" max="787" width="8.28515625" style="1059" customWidth="1"/>
    <col min="788" max="788" width="9.140625" style="1059"/>
    <col min="789" max="789" width="11.42578125" style="1059" bestFit="1" customWidth="1"/>
    <col min="790" max="792" width="9.140625" style="1059"/>
    <col min="793" max="793" width="11.42578125" style="1059" bestFit="1" customWidth="1"/>
    <col min="794" max="796" width="9.140625" style="1059"/>
    <col min="797" max="797" width="11.42578125" style="1059" bestFit="1" customWidth="1"/>
    <col min="798" max="799" width="9.140625" style="1059"/>
    <col min="800" max="800" width="10.140625" style="1059" bestFit="1" customWidth="1"/>
    <col min="801" max="801" width="11.42578125" style="1059" bestFit="1" customWidth="1"/>
    <col min="802" max="1022" width="9.140625" style="1059"/>
    <col min="1023" max="1023" width="4.28515625" style="1059" customWidth="1"/>
    <col min="1024" max="1024" width="9.140625" style="1059" bestFit="1" customWidth="1"/>
    <col min="1025" max="1025" width="12" style="1059" customWidth="1"/>
    <col min="1026" max="1026" width="14.7109375" style="1059" customWidth="1"/>
    <col min="1027" max="1027" width="13.140625" style="1059" customWidth="1"/>
    <col min="1028" max="1028" width="9.5703125" style="1059" customWidth="1"/>
    <col min="1029" max="1029" width="13.28515625" style="1059" customWidth="1"/>
    <col min="1030" max="1030" width="16.5703125" style="1059" bestFit="1" customWidth="1"/>
    <col min="1031" max="1031" width="10.85546875" style="1059" bestFit="1" customWidth="1"/>
    <col min="1032" max="1032" width="8.28515625" style="1059" bestFit="1" customWidth="1"/>
    <col min="1033" max="1033" width="16" style="1059" customWidth="1"/>
    <col min="1034" max="1034" width="15.42578125" style="1059" bestFit="1" customWidth="1"/>
    <col min="1035" max="1035" width="16" style="1059" customWidth="1"/>
    <col min="1036" max="1036" width="11.42578125" style="1059" bestFit="1" customWidth="1"/>
    <col min="1037" max="1037" width="14.140625" style="1059" customWidth="1"/>
    <col min="1038" max="1038" width="15" style="1059" bestFit="1" customWidth="1"/>
    <col min="1039" max="1039" width="13.28515625" style="1059" bestFit="1" customWidth="1"/>
    <col min="1040" max="1040" width="15" style="1059" bestFit="1" customWidth="1"/>
    <col min="1041" max="1041" width="13" style="1059" customWidth="1"/>
    <col min="1042" max="1042" width="26.42578125" style="1059" bestFit="1" customWidth="1"/>
    <col min="1043" max="1043" width="8.28515625" style="1059" customWidth="1"/>
    <col min="1044" max="1044" width="9.140625" style="1059"/>
    <col min="1045" max="1045" width="11.42578125" style="1059" bestFit="1" customWidth="1"/>
    <col min="1046" max="1048" width="9.140625" style="1059"/>
    <col min="1049" max="1049" width="11.42578125" style="1059" bestFit="1" customWidth="1"/>
    <col min="1050" max="1052" width="9.140625" style="1059"/>
    <col min="1053" max="1053" width="11.42578125" style="1059" bestFit="1" customWidth="1"/>
    <col min="1054" max="1055" width="9.140625" style="1059"/>
    <col min="1056" max="1056" width="10.140625" style="1059" bestFit="1" customWidth="1"/>
    <col min="1057" max="1057" width="11.42578125" style="1059" bestFit="1" customWidth="1"/>
    <col min="1058" max="1278" width="9.140625" style="1059"/>
    <col min="1279" max="1279" width="4.28515625" style="1059" customWidth="1"/>
    <col min="1280" max="1280" width="9.140625" style="1059" bestFit="1" customWidth="1"/>
    <col min="1281" max="1281" width="12" style="1059" customWidth="1"/>
    <col min="1282" max="1282" width="14.7109375" style="1059" customWidth="1"/>
    <col min="1283" max="1283" width="13.140625" style="1059" customWidth="1"/>
    <col min="1284" max="1284" width="9.5703125" style="1059" customWidth="1"/>
    <col min="1285" max="1285" width="13.28515625" style="1059" customWidth="1"/>
    <col min="1286" max="1286" width="16.5703125" style="1059" bestFit="1" customWidth="1"/>
    <col min="1287" max="1287" width="10.85546875" style="1059" bestFit="1" customWidth="1"/>
    <col min="1288" max="1288" width="8.28515625" style="1059" bestFit="1" customWidth="1"/>
    <col min="1289" max="1289" width="16" style="1059" customWidth="1"/>
    <col min="1290" max="1290" width="15.42578125" style="1059" bestFit="1" customWidth="1"/>
    <col min="1291" max="1291" width="16" style="1059" customWidth="1"/>
    <col min="1292" max="1292" width="11.42578125" style="1059" bestFit="1" customWidth="1"/>
    <col min="1293" max="1293" width="14.140625" style="1059" customWidth="1"/>
    <col min="1294" max="1294" width="15" style="1059" bestFit="1" customWidth="1"/>
    <col min="1295" max="1295" width="13.28515625" style="1059" bestFit="1" customWidth="1"/>
    <col min="1296" max="1296" width="15" style="1059" bestFit="1" customWidth="1"/>
    <col min="1297" max="1297" width="13" style="1059" customWidth="1"/>
    <col min="1298" max="1298" width="26.42578125" style="1059" bestFit="1" customWidth="1"/>
    <col min="1299" max="1299" width="8.28515625" style="1059" customWidth="1"/>
    <col min="1300" max="1300" width="9.140625" style="1059"/>
    <col min="1301" max="1301" width="11.42578125" style="1059" bestFit="1" customWidth="1"/>
    <col min="1302" max="1304" width="9.140625" style="1059"/>
    <col min="1305" max="1305" width="11.42578125" style="1059" bestFit="1" customWidth="1"/>
    <col min="1306" max="1308" width="9.140625" style="1059"/>
    <col min="1309" max="1309" width="11.42578125" style="1059" bestFit="1" customWidth="1"/>
    <col min="1310" max="1311" width="9.140625" style="1059"/>
    <col min="1312" max="1312" width="10.140625" style="1059" bestFit="1" customWidth="1"/>
    <col min="1313" max="1313" width="11.42578125" style="1059" bestFit="1" customWidth="1"/>
    <col min="1314" max="1534" width="9.140625" style="1059"/>
    <col min="1535" max="1535" width="4.28515625" style="1059" customWidth="1"/>
    <col min="1536" max="1536" width="9.140625" style="1059" bestFit="1" customWidth="1"/>
    <col min="1537" max="1537" width="12" style="1059" customWidth="1"/>
    <col min="1538" max="1538" width="14.7109375" style="1059" customWidth="1"/>
    <col min="1539" max="1539" width="13.140625" style="1059" customWidth="1"/>
    <col min="1540" max="1540" width="9.5703125" style="1059" customWidth="1"/>
    <col min="1541" max="1541" width="13.28515625" style="1059" customWidth="1"/>
    <col min="1542" max="1542" width="16.5703125" style="1059" bestFit="1" customWidth="1"/>
    <col min="1543" max="1543" width="10.85546875" style="1059" bestFit="1" customWidth="1"/>
    <col min="1544" max="1544" width="8.28515625" style="1059" bestFit="1" customWidth="1"/>
    <col min="1545" max="1545" width="16" style="1059" customWidth="1"/>
    <col min="1546" max="1546" width="15.42578125" style="1059" bestFit="1" customWidth="1"/>
    <col min="1547" max="1547" width="16" style="1059" customWidth="1"/>
    <col min="1548" max="1548" width="11.42578125" style="1059" bestFit="1" customWidth="1"/>
    <col min="1549" max="1549" width="14.140625" style="1059" customWidth="1"/>
    <col min="1550" max="1550" width="15" style="1059" bestFit="1" customWidth="1"/>
    <col min="1551" max="1551" width="13.28515625" style="1059" bestFit="1" customWidth="1"/>
    <col min="1552" max="1552" width="15" style="1059" bestFit="1" customWidth="1"/>
    <col min="1553" max="1553" width="13" style="1059" customWidth="1"/>
    <col min="1554" max="1554" width="26.42578125" style="1059" bestFit="1" customWidth="1"/>
    <col min="1555" max="1555" width="8.28515625" style="1059" customWidth="1"/>
    <col min="1556" max="1556" width="9.140625" style="1059"/>
    <col min="1557" max="1557" width="11.42578125" style="1059" bestFit="1" customWidth="1"/>
    <col min="1558" max="1560" width="9.140625" style="1059"/>
    <col min="1561" max="1561" width="11.42578125" style="1059" bestFit="1" customWidth="1"/>
    <col min="1562" max="1564" width="9.140625" style="1059"/>
    <col min="1565" max="1565" width="11.42578125" style="1059" bestFit="1" customWidth="1"/>
    <col min="1566" max="1567" width="9.140625" style="1059"/>
    <col min="1568" max="1568" width="10.140625" style="1059" bestFit="1" customWidth="1"/>
    <col min="1569" max="1569" width="11.42578125" style="1059" bestFit="1" customWidth="1"/>
    <col min="1570" max="1790" width="9.140625" style="1059"/>
    <col min="1791" max="1791" width="4.28515625" style="1059" customWidth="1"/>
    <col min="1792" max="1792" width="9.140625" style="1059" bestFit="1" customWidth="1"/>
    <col min="1793" max="1793" width="12" style="1059" customWidth="1"/>
    <col min="1794" max="1794" width="14.7109375" style="1059" customWidth="1"/>
    <col min="1795" max="1795" width="13.140625" style="1059" customWidth="1"/>
    <col min="1796" max="1796" width="9.5703125" style="1059" customWidth="1"/>
    <col min="1797" max="1797" width="13.28515625" style="1059" customWidth="1"/>
    <col min="1798" max="1798" width="16.5703125" style="1059" bestFit="1" customWidth="1"/>
    <col min="1799" max="1799" width="10.85546875" style="1059" bestFit="1" customWidth="1"/>
    <col min="1800" max="1800" width="8.28515625" style="1059" bestFit="1" customWidth="1"/>
    <col min="1801" max="1801" width="16" style="1059" customWidth="1"/>
    <col min="1802" max="1802" width="15.42578125" style="1059" bestFit="1" customWidth="1"/>
    <col min="1803" max="1803" width="16" style="1059" customWidth="1"/>
    <col min="1804" max="1804" width="11.42578125" style="1059" bestFit="1" customWidth="1"/>
    <col min="1805" max="1805" width="14.140625" style="1059" customWidth="1"/>
    <col min="1806" max="1806" width="15" style="1059" bestFit="1" customWidth="1"/>
    <col min="1807" max="1807" width="13.28515625" style="1059" bestFit="1" customWidth="1"/>
    <col min="1808" max="1808" width="15" style="1059" bestFit="1" customWidth="1"/>
    <col min="1809" max="1809" width="13" style="1059" customWidth="1"/>
    <col min="1810" max="1810" width="26.42578125" style="1059" bestFit="1" customWidth="1"/>
    <col min="1811" max="1811" width="8.28515625" style="1059" customWidth="1"/>
    <col min="1812" max="1812" width="9.140625" style="1059"/>
    <col min="1813" max="1813" width="11.42578125" style="1059" bestFit="1" customWidth="1"/>
    <col min="1814" max="1816" width="9.140625" style="1059"/>
    <col min="1817" max="1817" width="11.42578125" style="1059" bestFit="1" customWidth="1"/>
    <col min="1818" max="1820" width="9.140625" style="1059"/>
    <col min="1821" max="1821" width="11.42578125" style="1059" bestFit="1" customWidth="1"/>
    <col min="1822" max="1823" width="9.140625" style="1059"/>
    <col min="1824" max="1824" width="10.140625" style="1059" bestFit="1" customWidth="1"/>
    <col min="1825" max="1825" width="11.42578125" style="1059" bestFit="1" customWidth="1"/>
    <col min="1826" max="2046" width="9.140625" style="1059"/>
    <col min="2047" max="2047" width="4.28515625" style="1059" customWidth="1"/>
    <col min="2048" max="2048" width="9.140625" style="1059" bestFit="1" customWidth="1"/>
    <col min="2049" max="2049" width="12" style="1059" customWidth="1"/>
    <col min="2050" max="2050" width="14.7109375" style="1059" customWidth="1"/>
    <col min="2051" max="2051" width="13.140625" style="1059" customWidth="1"/>
    <col min="2052" max="2052" width="9.5703125" style="1059" customWidth="1"/>
    <col min="2053" max="2053" width="13.28515625" style="1059" customWidth="1"/>
    <col min="2054" max="2054" width="16.5703125" style="1059" bestFit="1" customWidth="1"/>
    <col min="2055" max="2055" width="10.85546875" style="1059" bestFit="1" customWidth="1"/>
    <col min="2056" max="2056" width="8.28515625" style="1059" bestFit="1" customWidth="1"/>
    <col min="2057" max="2057" width="16" style="1059" customWidth="1"/>
    <col min="2058" max="2058" width="15.42578125" style="1059" bestFit="1" customWidth="1"/>
    <col min="2059" max="2059" width="16" style="1059" customWidth="1"/>
    <col min="2060" max="2060" width="11.42578125" style="1059" bestFit="1" customWidth="1"/>
    <col min="2061" max="2061" width="14.140625" style="1059" customWidth="1"/>
    <col min="2062" max="2062" width="15" style="1059" bestFit="1" customWidth="1"/>
    <col min="2063" max="2063" width="13.28515625" style="1059" bestFit="1" customWidth="1"/>
    <col min="2064" max="2064" width="15" style="1059" bestFit="1" customWidth="1"/>
    <col min="2065" max="2065" width="13" style="1059" customWidth="1"/>
    <col min="2066" max="2066" width="26.42578125" style="1059" bestFit="1" customWidth="1"/>
    <col min="2067" max="2067" width="8.28515625" style="1059" customWidth="1"/>
    <col min="2068" max="2068" width="9.140625" style="1059"/>
    <col min="2069" max="2069" width="11.42578125" style="1059" bestFit="1" customWidth="1"/>
    <col min="2070" max="2072" width="9.140625" style="1059"/>
    <col min="2073" max="2073" width="11.42578125" style="1059" bestFit="1" customWidth="1"/>
    <col min="2074" max="2076" width="9.140625" style="1059"/>
    <col min="2077" max="2077" width="11.42578125" style="1059" bestFit="1" customWidth="1"/>
    <col min="2078" max="2079" width="9.140625" style="1059"/>
    <col min="2080" max="2080" width="10.140625" style="1059" bestFit="1" customWidth="1"/>
    <col min="2081" max="2081" width="11.42578125" style="1059" bestFit="1" customWidth="1"/>
    <col min="2082" max="2302" width="9.140625" style="1059"/>
    <col min="2303" max="2303" width="4.28515625" style="1059" customWidth="1"/>
    <col min="2304" max="2304" width="9.140625" style="1059" bestFit="1" customWidth="1"/>
    <col min="2305" max="2305" width="12" style="1059" customWidth="1"/>
    <col min="2306" max="2306" width="14.7109375" style="1059" customWidth="1"/>
    <col min="2307" max="2307" width="13.140625" style="1059" customWidth="1"/>
    <col min="2308" max="2308" width="9.5703125" style="1059" customWidth="1"/>
    <col min="2309" max="2309" width="13.28515625" style="1059" customWidth="1"/>
    <col min="2310" max="2310" width="16.5703125" style="1059" bestFit="1" customWidth="1"/>
    <col min="2311" max="2311" width="10.85546875" style="1059" bestFit="1" customWidth="1"/>
    <col min="2312" max="2312" width="8.28515625" style="1059" bestFit="1" customWidth="1"/>
    <col min="2313" max="2313" width="16" style="1059" customWidth="1"/>
    <col min="2314" max="2314" width="15.42578125" style="1059" bestFit="1" customWidth="1"/>
    <col min="2315" max="2315" width="16" style="1059" customWidth="1"/>
    <col min="2316" max="2316" width="11.42578125" style="1059" bestFit="1" customWidth="1"/>
    <col min="2317" max="2317" width="14.140625" style="1059" customWidth="1"/>
    <col min="2318" max="2318" width="15" style="1059" bestFit="1" customWidth="1"/>
    <col min="2319" max="2319" width="13.28515625" style="1059" bestFit="1" customWidth="1"/>
    <col min="2320" max="2320" width="15" style="1059" bestFit="1" customWidth="1"/>
    <col min="2321" max="2321" width="13" style="1059" customWidth="1"/>
    <col min="2322" max="2322" width="26.42578125" style="1059" bestFit="1" customWidth="1"/>
    <col min="2323" max="2323" width="8.28515625" style="1059" customWidth="1"/>
    <col min="2324" max="2324" width="9.140625" style="1059"/>
    <col min="2325" max="2325" width="11.42578125" style="1059" bestFit="1" customWidth="1"/>
    <col min="2326" max="2328" width="9.140625" style="1059"/>
    <col min="2329" max="2329" width="11.42578125" style="1059" bestFit="1" customWidth="1"/>
    <col min="2330" max="2332" width="9.140625" style="1059"/>
    <col min="2333" max="2333" width="11.42578125" style="1059" bestFit="1" customWidth="1"/>
    <col min="2334" max="2335" width="9.140625" style="1059"/>
    <col min="2336" max="2336" width="10.140625" style="1059" bestFit="1" customWidth="1"/>
    <col min="2337" max="2337" width="11.42578125" style="1059" bestFit="1" customWidth="1"/>
    <col min="2338" max="2558" width="9.140625" style="1059"/>
    <col min="2559" max="2559" width="4.28515625" style="1059" customWidth="1"/>
    <col min="2560" max="2560" width="9.140625" style="1059" bestFit="1" customWidth="1"/>
    <col min="2561" max="2561" width="12" style="1059" customWidth="1"/>
    <col min="2562" max="2562" width="14.7109375" style="1059" customWidth="1"/>
    <col min="2563" max="2563" width="13.140625" style="1059" customWidth="1"/>
    <col min="2564" max="2564" width="9.5703125" style="1059" customWidth="1"/>
    <col min="2565" max="2565" width="13.28515625" style="1059" customWidth="1"/>
    <col min="2566" max="2566" width="16.5703125" style="1059" bestFit="1" customWidth="1"/>
    <col min="2567" max="2567" width="10.85546875" style="1059" bestFit="1" customWidth="1"/>
    <col min="2568" max="2568" width="8.28515625" style="1059" bestFit="1" customWidth="1"/>
    <col min="2569" max="2569" width="16" style="1059" customWidth="1"/>
    <col min="2570" max="2570" width="15.42578125" style="1059" bestFit="1" customWidth="1"/>
    <col min="2571" max="2571" width="16" style="1059" customWidth="1"/>
    <col min="2572" max="2572" width="11.42578125" style="1059" bestFit="1" customWidth="1"/>
    <col min="2573" max="2573" width="14.140625" style="1059" customWidth="1"/>
    <col min="2574" max="2574" width="15" style="1059" bestFit="1" customWidth="1"/>
    <col min="2575" max="2575" width="13.28515625" style="1059" bestFit="1" customWidth="1"/>
    <col min="2576" max="2576" width="15" style="1059" bestFit="1" customWidth="1"/>
    <col min="2577" max="2577" width="13" style="1059" customWidth="1"/>
    <col min="2578" max="2578" width="26.42578125" style="1059" bestFit="1" customWidth="1"/>
    <col min="2579" max="2579" width="8.28515625" style="1059" customWidth="1"/>
    <col min="2580" max="2580" width="9.140625" style="1059"/>
    <col min="2581" max="2581" width="11.42578125" style="1059" bestFit="1" customWidth="1"/>
    <col min="2582" max="2584" width="9.140625" style="1059"/>
    <col min="2585" max="2585" width="11.42578125" style="1059" bestFit="1" customWidth="1"/>
    <col min="2586" max="2588" width="9.140625" style="1059"/>
    <col min="2589" max="2589" width="11.42578125" style="1059" bestFit="1" customWidth="1"/>
    <col min="2590" max="2591" width="9.140625" style="1059"/>
    <col min="2592" max="2592" width="10.140625" style="1059" bestFit="1" customWidth="1"/>
    <col min="2593" max="2593" width="11.42578125" style="1059" bestFit="1" customWidth="1"/>
    <col min="2594" max="2814" width="9.140625" style="1059"/>
    <col min="2815" max="2815" width="4.28515625" style="1059" customWidth="1"/>
    <col min="2816" max="2816" width="9.140625" style="1059" bestFit="1" customWidth="1"/>
    <col min="2817" max="2817" width="12" style="1059" customWidth="1"/>
    <col min="2818" max="2818" width="14.7109375" style="1059" customWidth="1"/>
    <col min="2819" max="2819" width="13.140625" style="1059" customWidth="1"/>
    <col min="2820" max="2820" width="9.5703125" style="1059" customWidth="1"/>
    <col min="2821" max="2821" width="13.28515625" style="1059" customWidth="1"/>
    <col min="2822" max="2822" width="16.5703125" style="1059" bestFit="1" customWidth="1"/>
    <col min="2823" max="2823" width="10.85546875" style="1059" bestFit="1" customWidth="1"/>
    <col min="2824" max="2824" width="8.28515625" style="1059" bestFit="1" customWidth="1"/>
    <col min="2825" max="2825" width="16" style="1059" customWidth="1"/>
    <col min="2826" max="2826" width="15.42578125" style="1059" bestFit="1" customWidth="1"/>
    <col min="2827" max="2827" width="16" style="1059" customWidth="1"/>
    <col min="2828" max="2828" width="11.42578125" style="1059" bestFit="1" customWidth="1"/>
    <col min="2829" max="2829" width="14.140625" style="1059" customWidth="1"/>
    <col min="2830" max="2830" width="15" style="1059" bestFit="1" customWidth="1"/>
    <col min="2831" max="2831" width="13.28515625" style="1059" bestFit="1" customWidth="1"/>
    <col min="2832" max="2832" width="15" style="1059" bestFit="1" customWidth="1"/>
    <col min="2833" max="2833" width="13" style="1059" customWidth="1"/>
    <col min="2834" max="2834" width="26.42578125" style="1059" bestFit="1" customWidth="1"/>
    <col min="2835" max="2835" width="8.28515625" style="1059" customWidth="1"/>
    <col min="2836" max="2836" width="9.140625" style="1059"/>
    <col min="2837" max="2837" width="11.42578125" style="1059" bestFit="1" customWidth="1"/>
    <col min="2838" max="2840" width="9.140625" style="1059"/>
    <col min="2841" max="2841" width="11.42578125" style="1059" bestFit="1" customWidth="1"/>
    <col min="2842" max="2844" width="9.140625" style="1059"/>
    <col min="2845" max="2845" width="11.42578125" style="1059" bestFit="1" customWidth="1"/>
    <col min="2846" max="2847" width="9.140625" style="1059"/>
    <col min="2848" max="2848" width="10.140625" style="1059" bestFit="1" customWidth="1"/>
    <col min="2849" max="2849" width="11.42578125" style="1059" bestFit="1" customWidth="1"/>
    <col min="2850" max="3070" width="9.140625" style="1059"/>
    <col min="3071" max="3071" width="4.28515625" style="1059" customWidth="1"/>
    <col min="3072" max="3072" width="9.140625" style="1059" bestFit="1" customWidth="1"/>
    <col min="3073" max="3073" width="12" style="1059" customWidth="1"/>
    <col min="3074" max="3074" width="14.7109375" style="1059" customWidth="1"/>
    <col min="3075" max="3075" width="13.140625" style="1059" customWidth="1"/>
    <col min="3076" max="3076" width="9.5703125" style="1059" customWidth="1"/>
    <col min="3077" max="3077" width="13.28515625" style="1059" customWidth="1"/>
    <col min="3078" max="3078" width="16.5703125" style="1059" bestFit="1" customWidth="1"/>
    <col min="3079" max="3079" width="10.85546875" style="1059" bestFit="1" customWidth="1"/>
    <col min="3080" max="3080" width="8.28515625" style="1059" bestFit="1" customWidth="1"/>
    <col min="3081" max="3081" width="16" style="1059" customWidth="1"/>
    <col min="3082" max="3082" width="15.42578125" style="1059" bestFit="1" customWidth="1"/>
    <col min="3083" max="3083" width="16" style="1059" customWidth="1"/>
    <col min="3084" max="3084" width="11.42578125" style="1059" bestFit="1" customWidth="1"/>
    <col min="3085" max="3085" width="14.140625" style="1059" customWidth="1"/>
    <col min="3086" max="3086" width="15" style="1059" bestFit="1" customWidth="1"/>
    <col min="3087" max="3087" width="13.28515625" style="1059" bestFit="1" customWidth="1"/>
    <col min="3088" max="3088" width="15" style="1059" bestFit="1" customWidth="1"/>
    <col min="3089" max="3089" width="13" style="1059" customWidth="1"/>
    <col min="3090" max="3090" width="26.42578125" style="1059" bestFit="1" customWidth="1"/>
    <col min="3091" max="3091" width="8.28515625" style="1059" customWidth="1"/>
    <col min="3092" max="3092" width="9.140625" style="1059"/>
    <col min="3093" max="3093" width="11.42578125" style="1059" bestFit="1" customWidth="1"/>
    <col min="3094" max="3096" width="9.140625" style="1059"/>
    <col min="3097" max="3097" width="11.42578125" style="1059" bestFit="1" customWidth="1"/>
    <col min="3098" max="3100" width="9.140625" style="1059"/>
    <col min="3101" max="3101" width="11.42578125" style="1059" bestFit="1" customWidth="1"/>
    <col min="3102" max="3103" width="9.140625" style="1059"/>
    <col min="3104" max="3104" width="10.140625" style="1059" bestFit="1" customWidth="1"/>
    <col min="3105" max="3105" width="11.42578125" style="1059" bestFit="1" customWidth="1"/>
    <col min="3106" max="3326" width="9.140625" style="1059"/>
    <col min="3327" max="3327" width="4.28515625" style="1059" customWidth="1"/>
    <col min="3328" max="3328" width="9.140625" style="1059" bestFit="1" customWidth="1"/>
    <col min="3329" max="3329" width="12" style="1059" customWidth="1"/>
    <col min="3330" max="3330" width="14.7109375" style="1059" customWidth="1"/>
    <col min="3331" max="3331" width="13.140625" style="1059" customWidth="1"/>
    <col min="3332" max="3332" width="9.5703125" style="1059" customWidth="1"/>
    <col min="3333" max="3333" width="13.28515625" style="1059" customWidth="1"/>
    <col min="3334" max="3334" width="16.5703125" style="1059" bestFit="1" customWidth="1"/>
    <col min="3335" max="3335" width="10.85546875" style="1059" bestFit="1" customWidth="1"/>
    <col min="3336" max="3336" width="8.28515625" style="1059" bestFit="1" customWidth="1"/>
    <col min="3337" max="3337" width="16" style="1059" customWidth="1"/>
    <col min="3338" max="3338" width="15.42578125" style="1059" bestFit="1" customWidth="1"/>
    <col min="3339" max="3339" width="16" style="1059" customWidth="1"/>
    <col min="3340" max="3340" width="11.42578125" style="1059" bestFit="1" customWidth="1"/>
    <col min="3341" max="3341" width="14.140625" style="1059" customWidth="1"/>
    <col min="3342" max="3342" width="15" style="1059" bestFit="1" customWidth="1"/>
    <col min="3343" max="3343" width="13.28515625" style="1059" bestFit="1" customWidth="1"/>
    <col min="3344" max="3344" width="15" style="1059" bestFit="1" customWidth="1"/>
    <col min="3345" max="3345" width="13" style="1059" customWidth="1"/>
    <col min="3346" max="3346" width="26.42578125" style="1059" bestFit="1" customWidth="1"/>
    <col min="3347" max="3347" width="8.28515625" style="1059" customWidth="1"/>
    <col min="3348" max="3348" width="9.140625" style="1059"/>
    <col min="3349" max="3349" width="11.42578125" style="1059" bestFit="1" customWidth="1"/>
    <col min="3350" max="3352" width="9.140625" style="1059"/>
    <col min="3353" max="3353" width="11.42578125" style="1059" bestFit="1" customWidth="1"/>
    <col min="3354" max="3356" width="9.140625" style="1059"/>
    <col min="3357" max="3357" width="11.42578125" style="1059" bestFit="1" customWidth="1"/>
    <col min="3358" max="3359" width="9.140625" style="1059"/>
    <col min="3360" max="3360" width="10.140625" style="1059" bestFit="1" customWidth="1"/>
    <col min="3361" max="3361" width="11.42578125" style="1059" bestFit="1" customWidth="1"/>
    <col min="3362" max="3582" width="9.140625" style="1059"/>
    <col min="3583" max="3583" width="4.28515625" style="1059" customWidth="1"/>
    <col min="3584" max="3584" width="9.140625" style="1059" bestFit="1" customWidth="1"/>
    <col min="3585" max="3585" width="12" style="1059" customWidth="1"/>
    <col min="3586" max="3586" width="14.7109375" style="1059" customWidth="1"/>
    <col min="3587" max="3587" width="13.140625" style="1059" customWidth="1"/>
    <col min="3588" max="3588" width="9.5703125" style="1059" customWidth="1"/>
    <col min="3589" max="3589" width="13.28515625" style="1059" customWidth="1"/>
    <col min="3590" max="3590" width="16.5703125" style="1059" bestFit="1" customWidth="1"/>
    <col min="3591" max="3591" width="10.85546875" style="1059" bestFit="1" customWidth="1"/>
    <col min="3592" max="3592" width="8.28515625" style="1059" bestFit="1" customWidth="1"/>
    <col min="3593" max="3593" width="16" style="1059" customWidth="1"/>
    <col min="3594" max="3594" width="15.42578125" style="1059" bestFit="1" customWidth="1"/>
    <col min="3595" max="3595" width="16" style="1059" customWidth="1"/>
    <col min="3596" max="3596" width="11.42578125" style="1059" bestFit="1" customWidth="1"/>
    <col min="3597" max="3597" width="14.140625" style="1059" customWidth="1"/>
    <col min="3598" max="3598" width="15" style="1059" bestFit="1" customWidth="1"/>
    <col min="3599" max="3599" width="13.28515625" style="1059" bestFit="1" customWidth="1"/>
    <col min="3600" max="3600" width="15" style="1059" bestFit="1" customWidth="1"/>
    <col min="3601" max="3601" width="13" style="1059" customWidth="1"/>
    <col min="3602" max="3602" width="26.42578125" style="1059" bestFit="1" customWidth="1"/>
    <col min="3603" max="3603" width="8.28515625" style="1059" customWidth="1"/>
    <col min="3604" max="3604" width="9.140625" style="1059"/>
    <col min="3605" max="3605" width="11.42578125" style="1059" bestFit="1" customWidth="1"/>
    <col min="3606" max="3608" width="9.140625" style="1059"/>
    <col min="3609" max="3609" width="11.42578125" style="1059" bestFit="1" customWidth="1"/>
    <col min="3610" max="3612" width="9.140625" style="1059"/>
    <col min="3613" max="3613" width="11.42578125" style="1059" bestFit="1" customWidth="1"/>
    <col min="3614" max="3615" width="9.140625" style="1059"/>
    <col min="3616" max="3616" width="10.140625" style="1059" bestFit="1" customWidth="1"/>
    <col min="3617" max="3617" width="11.42578125" style="1059" bestFit="1" customWidth="1"/>
    <col min="3618" max="3838" width="9.140625" style="1059"/>
    <col min="3839" max="3839" width="4.28515625" style="1059" customWidth="1"/>
    <col min="3840" max="3840" width="9.140625" style="1059" bestFit="1" customWidth="1"/>
    <col min="3841" max="3841" width="12" style="1059" customWidth="1"/>
    <col min="3842" max="3842" width="14.7109375" style="1059" customWidth="1"/>
    <col min="3843" max="3843" width="13.140625" style="1059" customWidth="1"/>
    <col min="3844" max="3844" width="9.5703125" style="1059" customWidth="1"/>
    <col min="3845" max="3845" width="13.28515625" style="1059" customWidth="1"/>
    <col min="3846" max="3846" width="16.5703125" style="1059" bestFit="1" customWidth="1"/>
    <col min="3847" max="3847" width="10.85546875" style="1059" bestFit="1" customWidth="1"/>
    <col min="3848" max="3848" width="8.28515625" style="1059" bestFit="1" customWidth="1"/>
    <col min="3849" max="3849" width="16" style="1059" customWidth="1"/>
    <col min="3850" max="3850" width="15.42578125" style="1059" bestFit="1" customWidth="1"/>
    <col min="3851" max="3851" width="16" style="1059" customWidth="1"/>
    <col min="3852" max="3852" width="11.42578125" style="1059" bestFit="1" customWidth="1"/>
    <col min="3853" max="3853" width="14.140625" style="1059" customWidth="1"/>
    <col min="3854" max="3854" width="15" style="1059" bestFit="1" customWidth="1"/>
    <col min="3855" max="3855" width="13.28515625" style="1059" bestFit="1" customWidth="1"/>
    <col min="3856" max="3856" width="15" style="1059" bestFit="1" customWidth="1"/>
    <col min="3857" max="3857" width="13" style="1059" customWidth="1"/>
    <col min="3858" max="3858" width="26.42578125" style="1059" bestFit="1" customWidth="1"/>
    <col min="3859" max="3859" width="8.28515625" style="1059" customWidth="1"/>
    <col min="3860" max="3860" width="9.140625" style="1059"/>
    <col min="3861" max="3861" width="11.42578125" style="1059" bestFit="1" customWidth="1"/>
    <col min="3862" max="3864" width="9.140625" style="1059"/>
    <col min="3865" max="3865" width="11.42578125" style="1059" bestFit="1" customWidth="1"/>
    <col min="3866" max="3868" width="9.140625" style="1059"/>
    <col min="3869" max="3869" width="11.42578125" style="1059" bestFit="1" customWidth="1"/>
    <col min="3870" max="3871" width="9.140625" style="1059"/>
    <col min="3872" max="3872" width="10.140625" style="1059" bestFit="1" customWidth="1"/>
    <col min="3873" max="3873" width="11.42578125" style="1059" bestFit="1" customWidth="1"/>
    <col min="3874" max="4094" width="9.140625" style="1059"/>
    <col min="4095" max="4095" width="4.28515625" style="1059" customWidth="1"/>
    <col min="4096" max="4096" width="9.140625" style="1059" bestFit="1" customWidth="1"/>
    <col min="4097" max="4097" width="12" style="1059" customWidth="1"/>
    <col min="4098" max="4098" width="14.7109375" style="1059" customWidth="1"/>
    <col min="4099" max="4099" width="13.140625" style="1059" customWidth="1"/>
    <col min="4100" max="4100" width="9.5703125" style="1059" customWidth="1"/>
    <col min="4101" max="4101" width="13.28515625" style="1059" customWidth="1"/>
    <col min="4102" max="4102" width="16.5703125" style="1059" bestFit="1" customWidth="1"/>
    <col min="4103" max="4103" width="10.85546875" style="1059" bestFit="1" customWidth="1"/>
    <col min="4104" max="4104" width="8.28515625" style="1059" bestFit="1" customWidth="1"/>
    <col min="4105" max="4105" width="16" style="1059" customWidth="1"/>
    <col min="4106" max="4106" width="15.42578125" style="1059" bestFit="1" customWidth="1"/>
    <col min="4107" max="4107" width="16" style="1059" customWidth="1"/>
    <col min="4108" max="4108" width="11.42578125" style="1059" bestFit="1" customWidth="1"/>
    <col min="4109" max="4109" width="14.140625" style="1059" customWidth="1"/>
    <col min="4110" max="4110" width="15" style="1059" bestFit="1" customWidth="1"/>
    <col min="4111" max="4111" width="13.28515625" style="1059" bestFit="1" customWidth="1"/>
    <col min="4112" max="4112" width="15" style="1059" bestFit="1" customWidth="1"/>
    <col min="4113" max="4113" width="13" style="1059" customWidth="1"/>
    <col min="4114" max="4114" width="26.42578125" style="1059" bestFit="1" customWidth="1"/>
    <col min="4115" max="4115" width="8.28515625" style="1059" customWidth="1"/>
    <col min="4116" max="4116" width="9.140625" style="1059"/>
    <col min="4117" max="4117" width="11.42578125" style="1059" bestFit="1" customWidth="1"/>
    <col min="4118" max="4120" width="9.140625" style="1059"/>
    <col min="4121" max="4121" width="11.42578125" style="1059" bestFit="1" customWidth="1"/>
    <col min="4122" max="4124" width="9.140625" style="1059"/>
    <col min="4125" max="4125" width="11.42578125" style="1059" bestFit="1" customWidth="1"/>
    <col min="4126" max="4127" width="9.140625" style="1059"/>
    <col min="4128" max="4128" width="10.140625" style="1059" bestFit="1" customWidth="1"/>
    <col min="4129" max="4129" width="11.42578125" style="1059" bestFit="1" customWidth="1"/>
    <col min="4130" max="4350" width="9.140625" style="1059"/>
    <col min="4351" max="4351" width="4.28515625" style="1059" customWidth="1"/>
    <col min="4352" max="4352" width="9.140625" style="1059" bestFit="1" customWidth="1"/>
    <col min="4353" max="4353" width="12" style="1059" customWidth="1"/>
    <col min="4354" max="4354" width="14.7109375" style="1059" customWidth="1"/>
    <col min="4355" max="4355" width="13.140625" style="1059" customWidth="1"/>
    <col min="4356" max="4356" width="9.5703125" style="1059" customWidth="1"/>
    <col min="4357" max="4357" width="13.28515625" style="1059" customWidth="1"/>
    <col min="4358" max="4358" width="16.5703125" style="1059" bestFit="1" customWidth="1"/>
    <col min="4359" max="4359" width="10.85546875" style="1059" bestFit="1" customWidth="1"/>
    <col min="4360" max="4360" width="8.28515625" style="1059" bestFit="1" customWidth="1"/>
    <col min="4361" max="4361" width="16" style="1059" customWidth="1"/>
    <col min="4362" max="4362" width="15.42578125" style="1059" bestFit="1" customWidth="1"/>
    <col min="4363" max="4363" width="16" style="1059" customWidth="1"/>
    <col min="4364" max="4364" width="11.42578125" style="1059" bestFit="1" customWidth="1"/>
    <col min="4365" max="4365" width="14.140625" style="1059" customWidth="1"/>
    <col min="4366" max="4366" width="15" style="1059" bestFit="1" customWidth="1"/>
    <col min="4367" max="4367" width="13.28515625" style="1059" bestFit="1" customWidth="1"/>
    <col min="4368" max="4368" width="15" style="1059" bestFit="1" customWidth="1"/>
    <col min="4369" max="4369" width="13" style="1059" customWidth="1"/>
    <col min="4370" max="4370" width="26.42578125" style="1059" bestFit="1" customWidth="1"/>
    <col min="4371" max="4371" width="8.28515625" style="1059" customWidth="1"/>
    <col min="4372" max="4372" width="9.140625" style="1059"/>
    <col min="4373" max="4373" width="11.42578125" style="1059" bestFit="1" customWidth="1"/>
    <col min="4374" max="4376" width="9.140625" style="1059"/>
    <col min="4377" max="4377" width="11.42578125" style="1059" bestFit="1" customWidth="1"/>
    <col min="4378" max="4380" width="9.140625" style="1059"/>
    <col min="4381" max="4381" width="11.42578125" style="1059" bestFit="1" customWidth="1"/>
    <col min="4382" max="4383" width="9.140625" style="1059"/>
    <col min="4384" max="4384" width="10.140625" style="1059" bestFit="1" customWidth="1"/>
    <col min="4385" max="4385" width="11.42578125" style="1059" bestFit="1" customWidth="1"/>
    <col min="4386" max="4606" width="9.140625" style="1059"/>
    <col min="4607" max="4607" width="4.28515625" style="1059" customWidth="1"/>
    <col min="4608" max="4608" width="9.140625" style="1059" bestFit="1" customWidth="1"/>
    <col min="4609" max="4609" width="12" style="1059" customWidth="1"/>
    <col min="4610" max="4610" width="14.7109375" style="1059" customWidth="1"/>
    <col min="4611" max="4611" width="13.140625" style="1059" customWidth="1"/>
    <col min="4612" max="4612" width="9.5703125" style="1059" customWidth="1"/>
    <col min="4613" max="4613" width="13.28515625" style="1059" customWidth="1"/>
    <col min="4614" max="4614" width="16.5703125" style="1059" bestFit="1" customWidth="1"/>
    <col min="4615" max="4615" width="10.85546875" style="1059" bestFit="1" customWidth="1"/>
    <col min="4616" max="4616" width="8.28515625" style="1059" bestFit="1" customWidth="1"/>
    <col min="4617" max="4617" width="16" style="1059" customWidth="1"/>
    <col min="4618" max="4618" width="15.42578125" style="1059" bestFit="1" customWidth="1"/>
    <col min="4619" max="4619" width="16" style="1059" customWidth="1"/>
    <col min="4620" max="4620" width="11.42578125" style="1059" bestFit="1" customWidth="1"/>
    <col min="4621" max="4621" width="14.140625" style="1059" customWidth="1"/>
    <col min="4622" max="4622" width="15" style="1059" bestFit="1" customWidth="1"/>
    <col min="4623" max="4623" width="13.28515625" style="1059" bestFit="1" customWidth="1"/>
    <col min="4624" max="4624" width="15" style="1059" bestFit="1" customWidth="1"/>
    <col min="4625" max="4625" width="13" style="1059" customWidth="1"/>
    <col min="4626" max="4626" width="26.42578125" style="1059" bestFit="1" customWidth="1"/>
    <col min="4627" max="4627" width="8.28515625" style="1059" customWidth="1"/>
    <col min="4628" max="4628" width="9.140625" style="1059"/>
    <col min="4629" max="4629" width="11.42578125" style="1059" bestFit="1" customWidth="1"/>
    <col min="4630" max="4632" width="9.140625" style="1059"/>
    <col min="4633" max="4633" width="11.42578125" style="1059" bestFit="1" customWidth="1"/>
    <col min="4634" max="4636" width="9.140625" style="1059"/>
    <col min="4637" max="4637" width="11.42578125" style="1059" bestFit="1" customWidth="1"/>
    <col min="4638" max="4639" width="9.140625" style="1059"/>
    <col min="4640" max="4640" width="10.140625" style="1059" bestFit="1" customWidth="1"/>
    <col min="4641" max="4641" width="11.42578125" style="1059" bestFit="1" customWidth="1"/>
    <col min="4642" max="4862" width="9.140625" style="1059"/>
    <col min="4863" max="4863" width="4.28515625" style="1059" customWidth="1"/>
    <col min="4864" max="4864" width="9.140625" style="1059" bestFit="1" customWidth="1"/>
    <col min="4865" max="4865" width="12" style="1059" customWidth="1"/>
    <col min="4866" max="4866" width="14.7109375" style="1059" customWidth="1"/>
    <col min="4867" max="4867" width="13.140625" style="1059" customWidth="1"/>
    <col min="4868" max="4868" width="9.5703125" style="1059" customWidth="1"/>
    <col min="4869" max="4869" width="13.28515625" style="1059" customWidth="1"/>
    <col min="4870" max="4870" width="16.5703125" style="1059" bestFit="1" customWidth="1"/>
    <col min="4871" max="4871" width="10.85546875" style="1059" bestFit="1" customWidth="1"/>
    <col min="4872" max="4872" width="8.28515625" style="1059" bestFit="1" customWidth="1"/>
    <col min="4873" max="4873" width="16" style="1059" customWidth="1"/>
    <col min="4874" max="4874" width="15.42578125" style="1059" bestFit="1" customWidth="1"/>
    <col min="4875" max="4875" width="16" style="1059" customWidth="1"/>
    <col min="4876" max="4876" width="11.42578125" style="1059" bestFit="1" customWidth="1"/>
    <col min="4877" max="4877" width="14.140625" style="1059" customWidth="1"/>
    <col min="4878" max="4878" width="15" style="1059" bestFit="1" customWidth="1"/>
    <col min="4879" max="4879" width="13.28515625" style="1059" bestFit="1" customWidth="1"/>
    <col min="4880" max="4880" width="15" style="1059" bestFit="1" customWidth="1"/>
    <col min="4881" max="4881" width="13" style="1059" customWidth="1"/>
    <col min="4882" max="4882" width="26.42578125" style="1059" bestFit="1" customWidth="1"/>
    <col min="4883" max="4883" width="8.28515625" style="1059" customWidth="1"/>
    <col min="4884" max="4884" width="9.140625" style="1059"/>
    <col min="4885" max="4885" width="11.42578125" style="1059" bestFit="1" customWidth="1"/>
    <col min="4886" max="4888" width="9.140625" style="1059"/>
    <col min="4889" max="4889" width="11.42578125" style="1059" bestFit="1" customWidth="1"/>
    <col min="4890" max="4892" width="9.140625" style="1059"/>
    <col min="4893" max="4893" width="11.42578125" style="1059" bestFit="1" customWidth="1"/>
    <col min="4894" max="4895" width="9.140625" style="1059"/>
    <col min="4896" max="4896" width="10.140625" style="1059" bestFit="1" customWidth="1"/>
    <col min="4897" max="4897" width="11.42578125" style="1059" bestFit="1" customWidth="1"/>
    <col min="4898" max="5118" width="9.140625" style="1059"/>
    <col min="5119" max="5119" width="4.28515625" style="1059" customWidth="1"/>
    <col min="5120" max="5120" width="9.140625" style="1059" bestFit="1" customWidth="1"/>
    <col min="5121" max="5121" width="12" style="1059" customWidth="1"/>
    <col min="5122" max="5122" width="14.7109375" style="1059" customWidth="1"/>
    <col min="5123" max="5123" width="13.140625" style="1059" customWidth="1"/>
    <col min="5124" max="5124" width="9.5703125" style="1059" customWidth="1"/>
    <col min="5125" max="5125" width="13.28515625" style="1059" customWidth="1"/>
    <col min="5126" max="5126" width="16.5703125" style="1059" bestFit="1" customWidth="1"/>
    <col min="5127" max="5127" width="10.85546875" style="1059" bestFit="1" customWidth="1"/>
    <col min="5128" max="5128" width="8.28515625" style="1059" bestFit="1" customWidth="1"/>
    <col min="5129" max="5129" width="16" style="1059" customWidth="1"/>
    <col min="5130" max="5130" width="15.42578125" style="1059" bestFit="1" customWidth="1"/>
    <col min="5131" max="5131" width="16" style="1059" customWidth="1"/>
    <col min="5132" max="5132" width="11.42578125" style="1059" bestFit="1" customWidth="1"/>
    <col min="5133" max="5133" width="14.140625" style="1059" customWidth="1"/>
    <col min="5134" max="5134" width="15" style="1059" bestFit="1" customWidth="1"/>
    <col min="5135" max="5135" width="13.28515625" style="1059" bestFit="1" customWidth="1"/>
    <col min="5136" max="5136" width="15" style="1059" bestFit="1" customWidth="1"/>
    <col min="5137" max="5137" width="13" style="1059" customWidth="1"/>
    <col min="5138" max="5138" width="26.42578125" style="1059" bestFit="1" customWidth="1"/>
    <col min="5139" max="5139" width="8.28515625" style="1059" customWidth="1"/>
    <col min="5140" max="5140" width="9.140625" style="1059"/>
    <col min="5141" max="5141" width="11.42578125" style="1059" bestFit="1" customWidth="1"/>
    <col min="5142" max="5144" width="9.140625" style="1059"/>
    <col min="5145" max="5145" width="11.42578125" style="1059" bestFit="1" customWidth="1"/>
    <col min="5146" max="5148" width="9.140625" style="1059"/>
    <col min="5149" max="5149" width="11.42578125" style="1059" bestFit="1" customWidth="1"/>
    <col min="5150" max="5151" width="9.140625" style="1059"/>
    <col min="5152" max="5152" width="10.140625" style="1059" bestFit="1" customWidth="1"/>
    <col min="5153" max="5153" width="11.42578125" style="1059" bestFit="1" customWidth="1"/>
    <col min="5154" max="5374" width="9.140625" style="1059"/>
    <col min="5375" max="5375" width="4.28515625" style="1059" customWidth="1"/>
    <col min="5376" max="5376" width="9.140625" style="1059" bestFit="1" customWidth="1"/>
    <col min="5377" max="5377" width="12" style="1059" customWidth="1"/>
    <col min="5378" max="5378" width="14.7109375" style="1059" customWidth="1"/>
    <col min="5379" max="5379" width="13.140625" style="1059" customWidth="1"/>
    <col min="5380" max="5380" width="9.5703125" style="1059" customWidth="1"/>
    <col min="5381" max="5381" width="13.28515625" style="1059" customWidth="1"/>
    <col min="5382" max="5382" width="16.5703125" style="1059" bestFit="1" customWidth="1"/>
    <col min="5383" max="5383" width="10.85546875" style="1059" bestFit="1" customWidth="1"/>
    <col min="5384" max="5384" width="8.28515625" style="1059" bestFit="1" customWidth="1"/>
    <col min="5385" max="5385" width="16" style="1059" customWidth="1"/>
    <col min="5386" max="5386" width="15.42578125" style="1059" bestFit="1" customWidth="1"/>
    <col min="5387" max="5387" width="16" style="1059" customWidth="1"/>
    <col min="5388" max="5388" width="11.42578125" style="1059" bestFit="1" customWidth="1"/>
    <col min="5389" max="5389" width="14.140625" style="1059" customWidth="1"/>
    <col min="5390" max="5390" width="15" style="1059" bestFit="1" customWidth="1"/>
    <col min="5391" max="5391" width="13.28515625" style="1059" bestFit="1" customWidth="1"/>
    <col min="5392" max="5392" width="15" style="1059" bestFit="1" customWidth="1"/>
    <col min="5393" max="5393" width="13" style="1059" customWidth="1"/>
    <col min="5394" max="5394" width="26.42578125" style="1059" bestFit="1" customWidth="1"/>
    <col min="5395" max="5395" width="8.28515625" style="1059" customWidth="1"/>
    <col min="5396" max="5396" width="9.140625" style="1059"/>
    <col min="5397" max="5397" width="11.42578125" style="1059" bestFit="1" customWidth="1"/>
    <col min="5398" max="5400" width="9.140625" style="1059"/>
    <col min="5401" max="5401" width="11.42578125" style="1059" bestFit="1" customWidth="1"/>
    <col min="5402" max="5404" width="9.140625" style="1059"/>
    <col min="5405" max="5405" width="11.42578125" style="1059" bestFit="1" customWidth="1"/>
    <col min="5406" max="5407" width="9.140625" style="1059"/>
    <col min="5408" max="5408" width="10.140625" style="1059" bestFit="1" customWidth="1"/>
    <col min="5409" max="5409" width="11.42578125" style="1059" bestFit="1" customWidth="1"/>
    <col min="5410" max="5630" width="9.140625" style="1059"/>
    <col min="5631" max="5631" width="4.28515625" style="1059" customWidth="1"/>
    <col min="5632" max="5632" width="9.140625" style="1059" bestFit="1" customWidth="1"/>
    <col min="5633" max="5633" width="12" style="1059" customWidth="1"/>
    <col min="5634" max="5634" width="14.7109375" style="1059" customWidth="1"/>
    <col min="5635" max="5635" width="13.140625" style="1059" customWidth="1"/>
    <col min="5636" max="5636" width="9.5703125" style="1059" customWidth="1"/>
    <col min="5637" max="5637" width="13.28515625" style="1059" customWidth="1"/>
    <col min="5638" max="5638" width="16.5703125" style="1059" bestFit="1" customWidth="1"/>
    <col min="5639" max="5639" width="10.85546875" style="1059" bestFit="1" customWidth="1"/>
    <col min="5640" max="5640" width="8.28515625" style="1059" bestFit="1" customWidth="1"/>
    <col min="5641" max="5641" width="16" style="1059" customWidth="1"/>
    <col min="5642" max="5642" width="15.42578125" style="1059" bestFit="1" customWidth="1"/>
    <col min="5643" max="5643" width="16" style="1059" customWidth="1"/>
    <col min="5644" max="5644" width="11.42578125" style="1059" bestFit="1" customWidth="1"/>
    <col min="5645" max="5645" width="14.140625" style="1059" customWidth="1"/>
    <col min="5646" max="5646" width="15" style="1059" bestFit="1" customWidth="1"/>
    <col min="5647" max="5647" width="13.28515625" style="1059" bestFit="1" customWidth="1"/>
    <col min="5648" max="5648" width="15" style="1059" bestFit="1" customWidth="1"/>
    <col min="5649" max="5649" width="13" style="1059" customWidth="1"/>
    <col min="5650" max="5650" width="26.42578125" style="1059" bestFit="1" customWidth="1"/>
    <col min="5651" max="5651" width="8.28515625" style="1059" customWidth="1"/>
    <col min="5652" max="5652" width="9.140625" style="1059"/>
    <col min="5653" max="5653" width="11.42578125" style="1059" bestFit="1" customWidth="1"/>
    <col min="5654" max="5656" width="9.140625" style="1059"/>
    <col min="5657" max="5657" width="11.42578125" style="1059" bestFit="1" customWidth="1"/>
    <col min="5658" max="5660" width="9.140625" style="1059"/>
    <col min="5661" max="5661" width="11.42578125" style="1059" bestFit="1" customWidth="1"/>
    <col min="5662" max="5663" width="9.140625" style="1059"/>
    <col min="5664" max="5664" width="10.140625" style="1059" bestFit="1" customWidth="1"/>
    <col min="5665" max="5665" width="11.42578125" style="1059" bestFit="1" customWidth="1"/>
    <col min="5666" max="5886" width="9.140625" style="1059"/>
    <col min="5887" max="5887" width="4.28515625" style="1059" customWidth="1"/>
    <col min="5888" max="5888" width="9.140625" style="1059" bestFit="1" customWidth="1"/>
    <col min="5889" max="5889" width="12" style="1059" customWidth="1"/>
    <col min="5890" max="5890" width="14.7109375" style="1059" customWidth="1"/>
    <col min="5891" max="5891" width="13.140625" style="1059" customWidth="1"/>
    <col min="5892" max="5892" width="9.5703125" style="1059" customWidth="1"/>
    <col min="5893" max="5893" width="13.28515625" style="1059" customWidth="1"/>
    <col min="5894" max="5894" width="16.5703125" style="1059" bestFit="1" customWidth="1"/>
    <col min="5895" max="5895" width="10.85546875" style="1059" bestFit="1" customWidth="1"/>
    <col min="5896" max="5896" width="8.28515625" style="1059" bestFit="1" customWidth="1"/>
    <col min="5897" max="5897" width="16" style="1059" customWidth="1"/>
    <col min="5898" max="5898" width="15.42578125" style="1059" bestFit="1" customWidth="1"/>
    <col min="5899" max="5899" width="16" style="1059" customWidth="1"/>
    <col min="5900" max="5900" width="11.42578125" style="1059" bestFit="1" customWidth="1"/>
    <col min="5901" max="5901" width="14.140625" style="1059" customWidth="1"/>
    <col min="5902" max="5902" width="15" style="1059" bestFit="1" customWidth="1"/>
    <col min="5903" max="5903" width="13.28515625" style="1059" bestFit="1" customWidth="1"/>
    <col min="5904" max="5904" width="15" style="1059" bestFit="1" customWidth="1"/>
    <col min="5905" max="5905" width="13" style="1059" customWidth="1"/>
    <col min="5906" max="5906" width="26.42578125" style="1059" bestFit="1" customWidth="1"/>
    <col min="5907" max="5907" width="8.28515625" style="1059" customWidth="1"/>
    <col min="5908" max="5908" width="9.140625" style="1059"/>
    <col min="5909" max="5909" width="11.42578125" style="1059" bestFit="1" customWidth="1"/>
    <col min="5910" max="5912" width="9.140625" style="1059"/>
    <col min="5913" max="5913" width="11.42578125" style="1059" bestFit="1" customWidth="1"/>
    <col min="5914" max="5916" width="9.140625" style="1059"/>
    <col min="5917" max="5917" width="11.42578125" style="1059" bestFit="1" customWidth="1"/>
    <col min="5918" max="5919" width="9.140625" style="1059"/>
    <col min="5920" max="5920" width="10.140625" style="1059" bestFit="1" customWidth="1"/>
    <col min="5921" max="5921" width="11.42578125" style="1059" bestFit="1" customWidth="1"/>
    <col min="5922" max="6142" width="9.140625" style="1059"/>
    <col min="6143" max="6143" width="4.28515625" style="1059" customWidth="1"/>
    <col min="6144" max="6144" width="9.140625" style="1059" bestFit="1" customWidth="1"/>
    <col min="6145" max="6145" width="12" style="1059" customWidth="1"/>
    <col min="6146" max="6146" width="14.7109375" style="1059" customWidth="1"/>
    <col min="6147" max="6147" width="13.140625" style="1059" customWidth="1"/>
    <col min="6148" max="6148" width="9.5703125" style="1059" customWidth="1"/>
    <col min="6149" max="6149" width="13.28515625" style="1059" customWidth="1"/>
    <col min="6150" max="6150" width="16.5703125" style="1059" bestFit="1" customWidth="1"/>
    <col min="6151" max="6151" width="10.85546875" style="1059" bestFit="1" customWidth="1"/>
    <col min="6152" max="6152" width="8.28515625" style="1059" bestFit="1" customWidth="1"/>
    <col min="6153" max="6153" width="16" style="1059" customWidth="1"/>
    <col min="6154" max="6154" width="15.42578125" style="1059" bestFit="1" customWidth="1"/>
    <col min="6155" max="6155" width="16" style="1059" customWidth="1"/>
    <col min="6156" max="6156" width="11.42578125" style="1059" bestFit="1" customWidth="1"/>
    <col min="6157" max="6157" width="14.140625" style="1059" customWidth="1"/>
    <col min="6158" max="6158" width="15" style="1059" bestFit="1" customWidth="1"/>
    <col min="6159" max="6159" width="13.28515625" style="1059" bestFit="1" customWidth="1"/>
    <col min="6160" max="6160" width="15" style="1059" bestFit="1" customWidth="1"/>
    <col min="6161" max="6161" width="13" style="1059" customWidth="1"/>
    <col min="6162" max="6162" width="26.42578125" style="1059" bestFit="1" customWidth="1"/>
    <col min="6163" max="6163" width="8.28515625" style="1059" customWidth="1"/>
    <col min="6164" max="6164" width="9.140625" style="1059"/>
    <col min="6165" max="6165" width="11.42578125" style="1059" bestFit="1" customWidth="1"/>
    <col min="6166" max="6168" width="9.140625" style="1059"/>
    <col min="6169" max="6169" width="11.42578125" style="1059" bestFit="1" customWidth="1"/>
    <col min="6170" max="6172" width="9.140625" style="1059"/>
    <col min="6173" max="6173" width="11.42578125" style="1059" bestFit="1" customWidth="1"/>
    <col min="6174" max="6175" width="9.140625" style="1059"/>
    <col min="6176" max="6176" width="10.140625" style="1059" bestFit="1" customWidth="1"/>
    <col min="6177" max="6177" width="11.42578125" style="1059" bestFit="1" customWidth="1"/>
    <col min="6178" max="6398" width="9.140625" style="1059"/>
    <col min="6399" max="6399" width="4.28515625" style="1059" customWidth="1"/>
    <col min="6400" max="6400" width="9.140625" style="1059" bestFit="1" customWidth="1"/>
    <col min="6401" max="6401" width="12" style="1059" customWidth="1"/>
    <col min="6402" max="6402" width="14.7109375" style="1059" customWidth="1"/>
    <col min="6403" max="6403" width="13.140625" style="1059" customWidth="1"/>
    <col min="6404" max="6404" width="9.5703125" style="1059" customWidth="1"/>
    <col min="6405" max="6405" width="13.28515625" style="1059" customWidth="1"/>
    <col min="6406" max="6406" width="16.5703125" style="1059" bestFit="1" customWidth="1"/>
    <col min="6407" max="6407" width="10.85546875" style="1059" bestFit="1" customWidth="1"/>
    <col min="6408" max="6408" width="8.28515625" style="1059" bestFit="1" customWidth="1"/>
    <col min="6409" max="6409" width="16" style="1059" customWidth="1"/>
    <col min="6410" max="6410" width="15.42578125" style="1059" bestFit="1" customWidth="1"/>
    <col min="6411" max="6411" width="16" style="1059" customWidth="1"/>
    <col min="6412" max="6412" width="11.42578125" style="1059" bestFit="1" customWidth="1"/>
    <col min="6413" max="6413" width="14.140625" style="1059" customWidth="1"/>
    <col min="6414" max="6414" width="15" style="1059" bestFit="1" customWidth="1"/>
    <col min="6415" max="6415" width="13.28515625" style="1059" bestFit="1" customWidth="1"/>
    <col min="6416" max="6416" width="15" style="1059" bestFit="1" customWidth="1"/>
    <col min="6417" max="6417" width="13" style="1059" customWidth="1"/>
    <col min="6418" max="6418" width="26.42578125" style="1059" bestFit="1" customWidth="1"/>
    <col min="6419" max="6419" width="8.28515625" style="1059" customWidth="1"/>
    <col min="6420" max="6420" width="9.140625" style="1059"/>
    <col min="6421" max="6421" width="11.42578125" style="1059" bestFit="1" customWidth="1"/>
    <col min="6422" max="6424" width="9.140625" style="1059"/>
    <col min="6425" max="6425" width="11.42578125" style="1059" bestFit="1" customWidth="1"/>
    <col min="6426" max="6428" width="9.140625" style="1059"/>
    <col min="6429" max="6429" width="11.42578125" style="1059" bestFit="1" customWidth="1"/>
    <col min="6430" max="6431" width="9.140625" style="1059"/>
    <col min="6432" max="6432" width="10.140625" style="1059" bestFit="1" customWidth="1"/>
    <col min="6433" max="6433" width="11.42578125" style="1059" bestFit="1" customWidth="1"/>
    <col min="6434" max="6654" width="9.140625" style="1059"/>
    <col min="6655" max="6655" width="4.28515625" style="1059" customWidth="1"/>
    <col min="6656" max="6656" width="9.140625" style="1059" bestFit="1" customWidth="1"/>
    <col min="6657" max="6657" width="12" style="1059" customWidth="1"/>
    <col min="6658" max="6658" width="14.7109375" style="1059" customWidth="1"/>
    <col min="6659" max="6659" width="13.140625" style="1059" customWidth="1"/>
    <col min="6660" max="6660" width="9.5703125" style="1059" customWidth="1"/>
    <col min="6661" max="6661" width="13.28515625" style="1059" customWidth="1"/>
    <col min="6662" max="6662" width="16.5703125" style="1059" bestFit="1" customWidth="1"/>
    <col min="6663" max="6663" width="10.85546875" style="1059" bestFit="1" customWidth="1"/>
    <col min="6664" max="6664" width="8.28515625" style="1059" bestFit="1" customWidth="1"/>
    <col min="6665" max="6665" width="16" style="1059" customWidth="1"/>
    <col min="6666" max="6666" width="15.42578125" style="1059" bestFit="1" customWidth="1"/>
    <col min="6667" max="6667" width="16" style="1059" customWidth="1"/>
    <col min="6668" max="6668" width="11.42578125" style="1059" bestFit="1" customWidth="1"/>
    <col min="6669" max="6669" width="14.140625" style="1059" customWidth="1"/>
    <col min="6670" max="6670" width="15" style="1059" bestFit="1" customWidth="1"/>
    <col min="6671" max="6671" width="13.28515625" style="1059" bestFit="1" customWidth="1"/>
    <col min="6672" max="6672" width="15" style="1059" bestFit="1" customWidth="1"/>
    <col min="6673" max="6673" width="13" style="1059" customWidth="1"/>
    <col min="6674" max="6674" width="26.42578125" style="1059" bestFit="1" customWidth="1"/>
    <col min="6675" max="6675" width="8.28515625" style="1059" customWidth="1"/>
    <col min="6676" max="6676" width="9.140625" style="1059"/>
    <col min="6677" max="6677" width="11.42578125" style="1059" bestFit="1" customWidth="1"/>
    <col min="6678" max="6680" width="9.140625" style="1059"/>
    <col min="6681" max="6681" width="11.42578125" style="1059" bestFit="1" customWidth="1"/>
    <col min="6682" max="6684" width="9.140625" style="1059"/>
    <col min="6685" max="6685" width="11.42578125" style="1059" bestFit="1" customWidth="1"/>
    <col min="6686" max="6687" width="9.140625" style="1059"/>
    <col min="6688" max="6688" width="10.140625" style="1059" bestFit="1" customWidth="1"/>
    <col min="6689" max="6689" width="11.42578125" style="1059" bestFit="1" customWidth="1"/>
    <col min="6690" max="6910" width="9.140625" style="1059"/>
    <col min="6911" max="6911" width="4.28515625" style="1059" customWidth="1"/>
    <col min="6912" max="6912" width="9.140625" style="1059" bestFit="1" customWidth="1"/>
    <col min="6913" max="6913" width="12" style="1059" customWidth="1"/>
    <col min="6914" max="6914" width="14.7109375" style="1059" customWidth="1"/>
    <col min="6915" max="6915" width="13.140625" style="1059" customWidth="1"/>
    <col min="6916" max="6916" width="9.5703125" style="1059" customWidth="1"/>
    <col min="6917" max="6917" width="13.28515625" style="1059" customWidth="1"/>
    <col min="6918" max="6918" width="16.5703125" style="1059" bestFit="1" customWidth="1"/>
    <col min="6919" max="6919" width="10.85546875" style="1059" bestFit="1" customWidth="1"/>
    <col min="6920" max="6920" width="8.28515625" style="1059" bestFit="1" customWidth="1"/>
    <col min="6921" max="6921" width="16" style="1059" customWidth="1"/>
    <col min="6922" max="6922" width="15.42578125" style="1059" bestFit="1" customWidth="1"/>
    <col min="6923" max="6923" width="16" style="1059" customWidth="1"/>
    <col min="6924" max="6924" width="11.42578125" style="1059" bestFit="1" customWidth="1"/>
    <col min="6925" max="6925" width="14.140625" style="1059" customWidth="1"/>
    <col min="6926" max="6926" width="15" style="1059" bestFit="1" customWidth="1"/>
    <col min="6927" max="6927" width="13.28515625" style="1059" bestFit="1" customWidth="1"/>
    <col min="6928" max="6928" width="15" style="1059" bestFit="1" customWidth="1"/>
    <col min="6929" max="6929" width="13" style="1059" customWidth="1"/>
    <col min="6930" max="6930" width="26.42578125" style="1059" bestFit="1" customWidth="1"/>
    <col min="6931" max="6931" width="8.28515625" style="1059" customWidth="1"/>
    <col min="6932" max="6932" width="9.140625" style="1059"/>
    <col min="6933" max="6933" width="11.42578125" style="1059" bestFit="1" customWidth="1"/>
    <col min="6934" max="6936" width="9.140625" style="1059"/>
    <col min="6937" max="6937" width="11.42578125" style="1059" bestFit="1" customWidth="1"/>
    <col min="6938" max="6940" width="9.140625" style="1059"/>
    <col min="6941" max="6941" width="11.42578125" style="1059" bestFit="1" customWidth="1"/>
    <col min="6942" max="6943" width="9.140625" style="1059"/>
    <col min="6944" max="6944" width="10.140625" style="1059" bestFit="1" customWidth="1"/>
    <col min="6945" max="6945" width="11.42578125" style="1059" bestFit="1" customWidth="1"/>
    <col min="6946" max="7166" width="9.140625" style="1059"/>
    <col min="7167" max="7167" width="4.28515625" style="1059" customWidth="1"/>
    <col min="7168" max="7168" width="9.140625" style="1059" bestFit="1" customWidth="1"/>
    <col min="7169" max="7169" width="12" style="1059" customWidth="1"/>
    <col min="7170" max="7170" width="14.7109375" style="1059" customWidth="1"/>
    <col min="7171" max="7171" width="13.140625" style="1059" customWidth="1"/>
    <col min="7172" max="7172" width="9.5703125" style="1059" customWidth="1"/>
    <col min="7173" max="7173" width="13.28515625" style="1059" customWidth="1"/>
    <col min="7174" max="7174" width="16.5703125" style="1059" bestFit="1" customWidth="1"/>
    <col min="7175" max="7175" width="10.85546875" style="1059" bestFit="1" customWidth="1"/>
    <col min="7176" max="7176" width="8.28515625" style="1059" bestFit="1" customWidth="1"/>
    <col min="7177" max="7177" width="16" style="1059" customWidth="1"/>
    <col min="7178" max="7178" width="15.42578125" style="1059" bestFit="1" customWidth="1"/>
    <col min="7179" max="7179" width="16" style="1059" customWidth="1"/>
    <col min="7180" max="7180" width="11.42578125" style="1059" bestFit="1" customWidth="1"/>
    <col min="7181" max="7181" width="14.140625" style="1059" customWidth="1"/>
    <col min="7182" max="7182" width="15" style="1059" bestFit="1" customWidth="1"/>
    <col min="7183" max="7183" width="13.28515625" style="1059" bestFit="1" customWidth="1"/>
    <col min="7184" max="7184" width="15" style="1059" bestFit="1" customWidth="1"/>
    <col min="7185" max="7185" width="13" style="1059" customWidth="1"/>
    <col min="7186" max="7186" width="26.42578125" style="1059" bestFit="1" customWidth="1"/>
    <col min="7187" max="7187" width="8.28515625" style="1059" customWidth="1"/>
    <col min="7188" max="7188" width="9.140625" style="1059"/>
    <col min="7189" max="7189" width="11.42578125" style="1059" bestFit="1" customWidth="1"/>
    <col min="7190" max="7192" width="9.140625" style="1059"/>
    <col min="7193" max="7193" width="11.42578125" style="1059" bestFit="1" customWidth="1"/>
    <col min="7194" max="7196" width="9.140625" style="1059"/>
    <col min="7197" max="7197" width="11.42578125" style="1059" bestFit="1" customWidth="1"/>
    <col min="7198" max="7199" width="9.140625" style="1059"/>
    <col min="7200" max="7200" width="10.140625" style="1059" bestFit="1" customWidth="1"/>
    <col min="7201" max="7201" width="11.42578125" style="1059" bestFit="1" customWidth="1"/>
    <col min="7202" max="7422" width="9.140625" style="1059"/>
    <col min="7423" max="7423" width="4.28515625" style="1059" customWidth="1"/>
    <col min="7424" max="7424" width="9.140625" style="1059" bestFit="1" customWidth="1"/>
    <col min="7425" max="7425" width="12" style="1059" customWidth="1"/>
    <col min="7426" max="7426" width="14.7109375" style="1059" customWidth="1"/>
    <col min="7427" max="7427" width="13.140625" style="1059" customWidth="1"/>
    <col min="7428" max="7428" width="9.5703125" style="1059" customWidth="1"/>
    <col min="7429" max="7429" width="13.28515625" style="1059" customWidth="1"/>
    <col min="7430" max="7430" width="16.5703125" style="1059" bestFit="1" customWidth="1"/>
    <col min="7431" max="7431" width="10.85546875" style="1059" bestFit="1" customWidth="1"/>
    <col min="7432" max="7432" width="8.28515625" style="1059" bestFit="1" customWidth="1"/>
    <col min="7433" max="7433" width="16" style="1059" customWidth="1"/>
    <col min="7434" max="7434" width="15.42578125" style="1059" bestFit="1" customWidth="1"/>
    <col min="7435" max="7435" width="16" style="1059" customWidth="1"/>
    <col min="7436" max="7436" width="11.42578125" style="1059" bestFit="1" customWidth="1"/>
    <col min="7437" max="7437" width="14.140625" style="1059" customWidth="1"/>
    <col min="7438" max="7438" width="15" style="1059" bestFit="1" customWidth="1"/>
    <col min="7439" max="7439" width="13.28515625" style="1059" bestFit="1" customWidth="1"/>
    <col min="7440" max="7440" width="15" style="1059" bestFit="1" customWidth="1"/>
    <col min="7441" max="7441" width="13" style="1059" customWidth="1"/>
    <col min="7442" max="7442" width="26.42578125" style="1059" bestFit="1" customWidth="1"/>
    <col min="7443" max="7443" width="8.28515625" style="1059" customWidth="1"/>
    <col min="7444" max="7444" width="9.140625" style="1059"/>
    <col min="7445" max="7445" width="11.42578125" style="1059" bestFit="1" customWidth="1"/>
    <col min="7446" max="7448" width="9.140625" style="1059"/>
    <col min="7449" max="7449" width="11.42578125" style="1059" bestFit="1" customWidth="1"/>
    <col min="7450" max="7452" width="9.140625" style="1059"/>
    <col min="7453" max="7453" width="11.42578125" style="1059" bestFit="1" customWidth="1"/>
    <col min="7454" max="7455" width="9.140625" style="1059"/>
    <col min="7456" max="7456" width="10.140625" style="1059" bestFit="1" customWidth="1"/>
    <col min="7457" max="7457" width="11.42578125" style="1059" bestFit="1" customWidth="1"/>
    <col min="7458" max="7678" width="9.140625" style="1059"/>
    <col min="7679" max="7679" width="4.28515625" style="1059" customWidth="1"/>
    <col min="7680" max="7680" width="9.140625" style="1059" bestFit="1" customWidth="1"/>
    <col min="7681" max="7681" width="12" style="1059" customWidth="1"/>
    <col min="7682" max="7682" width="14.7109375" style="1059" customWidth="1"/>
    <col min="7683" max="7683" width="13.140625" style="1059" customWidth="1"/>
    <col min="7684" max="7684" width="9.5703125" style="1059" customWidth="1"/>
    <col min="7685" max="7685" width="13.28515625" style="1059" customWidth="1"/>
    <col min="7686" max="7686" width="16.5703125" style="1059" bestFit="1" customWidth="1"/>
    <col min="7687" max="7687" width="10.85546875" style="1059" bestFit="1" customWidth="1"/>
    <col min="7688" max="7688" width="8.28515625" style="1059" bestFit="1" customWidth="1"/>
    <col min="7689" max="7689" width="16" style="1059" customWidth="1"/>
    <col min="7690" max="7690" width="15.42578125" style="1059" bestFit="1" customWidth="1"/>
    <col min="7691" max="7691" width="16" style="1059" customWidth="1"/>
    <col min="7692" max="7692" width="11.42578125" style="1059" bestFit="1" customWidth="1"/>
    <col min="7693" max="7693" width="14.140625" style="1059" customWidth="1"/>
    <col min="7694" max="7694" width="15" style="1059" bestFit="1" customWidth="1"/>
    <col min="7695" max="7695" width="13.28515625" style="1059" bestFit="1" customWidth="1"/>
    <col min="7696" max="7696" width="15" style="1059" bestFit="1" customWidth="1"/>
    <col min="7697" max="7697" width="13" style="1059" customWidth="1"/>
    <col min="7698" max="7698" width="26.42578125" style="1059" bestFit="1" customWidth="1"/>
    <col min="7699" max="7699" width="8.28515625" style="1059" customWidth="1"/>
    <col min="7700" max="7700" width="9.140625" style="1059"/>
    <col min="7701" max="7701" width="11.42578125" style="1059" bestFit="1" customWidth="1"/>
    <col min="7702" max="7704" width="9.140625" style="1059"/>
    <col min="7705" max="7705" width="11.42578125" style="1059" bestFit="1" customWidth="1"/>
    <col min="7706" max="7708" width="9.140625" style="1059"/>
    <col min="7709" max="7709" width="11.42578125" style="1059" bestFit="1" customWidth="1"/>
    <col min="7710" max="7711" width="9.140625" style="1059"/>
    <col min="7712" max="7712" width="10.140625" style="1059" bestFit="1" customWidth="1"/>
    <col min="7713" max="7713" width="11.42578125" style="1059" bestFit="1" customWidth="1"/>
    <col min="7714" max="7934" width="9.140625" style="1059"/>
    <col min="7935" max="7935" width="4.28515625" style="1059" customWidth="1"/>
    <col min="7936" max="7936" width="9.140625" style="1059" bestFit="1" customWidth="1"/>
    <col min="7937" max="7937" width="12" style="1059" customWidth="1"/>
    <col min="7938" max="7938" width="14.7109375" style="1059" customWidth="1"/>
    <col min="7939" max="7939" width="13.140625" style="1059" customWidth="1"/>
    <col min="7940" max="7940" width="9.5703125" style="1059" customWidth="1"/>
    <col min="7941" max="7941" width="13.28515625" style="1059" customWidth="1"/>
    <col min="7942" max="7942" width="16.5703125" style="1059" bestFit="1" customWidth="1"/>
    <col min="7943" max="7943" width="10.85546875" style="1059" bestFit="1" customWidth="1"/>
    <col min="7944" max="7944" width="8.28515625" style="1059" bestFit="1" customWidth="1"/>
    <col min="7945" max="7945" width="16" style="1059" customWidth="1"/>
    <col min="7946" max="7946" width="15.42578125" style="1059" bestFit="1" customWidth="1"/>
    <col min="7947" max="7947" width="16" style="1059" customWidth="1"/>
    <col min="7948" max="7948" width="11.42578125" style="1059" bestFit="1" customWidth="1"/>
    <col min="7949" max="7949" width="14.140625" style="1059" customWidth="1"/>
    <col min="7950" max="7950" width="15" style="1059" bestFit="1" customWidth="1"/>
    <col min="7951" max="7951" width="13.28515625" style="1059" bestFit="1" customWidth="1"/>
    <col min="7952" max="7952" width="15" style="1059" bestFit="1" customWidth="1"/>
    <col min="7953" max="7953" width="13" style="1059" customWidth="1"/>
    <col min="7954" max="7954" width="26.42578125" style="1059" bestFit="1" customWidth="1"/>
    <col min="7955" max="7955" width="8.28515625" style="1059" customWidth="1"/>
    <col min="7956" max="7956" width="9.140625" style="1059"/>
    <col min="7957" max="7957" width="11.42578125" style="1059" bestFit="1" customWidth="1"/>
    <col min="7958" max="7960" width="9.140625" style="1059"/>
    <col min="7961" max="7961" width="11.42578125" style="1059" bestFit="1" customWidth="1"/>
    <col min="7962" max="7964" width="9.140625" style="1059"/>
    <col min="7965" max="7965" width="11.42578125" style="1059" bestFit="1" customWidth="1"/>
    <col min="7966" max="7967" width="9.140625" style="1059"/>
    <col min="7968" max="7968" width="10.140625" style="1059" bestFit="1" customWidth="1"/>
    <col min="7969" max="7969" width="11.42578125" style="1059" bestFit="1" customWidth="1"/>
    <col min="7970" max="8190" width="9.140625" style="1059"/>
    <col min="8191" max="8191" width="4.28515625" style="1059" customWidth="1"/>
    <col min="8192" max="8192" width="9.140625" style="1059" bestFit="1" customWidth="1"/>
    <col min="8193" max="8193" width="12" style="1059" customWidth="1"/>
    <col min="8194" max="8194" width="14.7109375" style="1059" customWidth="1"/>
    <col min="8195" max="8195" width="13.140625" style="1059" customWidth="1"/>
    <col min="8196" max="8196" width="9.5703125" style="1059" customWidth="1"/>
    <col min="8197" max="8197" width="13.28515625" style="1059" customWidth="1"/>
    <col min="8198" max="8198" width="16.5703125" style="1059" bestFit="1" customWidth="1"/>
    <col min="8199" max="8199" width="10.85546875" style="1059" bestFit="1" customWidth="1"/>
    <col min="8200" max="8200" width="8.28515625" style="1059" bestFit="1" customWidth="1"/>
    <col min="8201" max="8201" width="16" style="1059" customWidth="1"/>
    <col min="8202" max="8202" width="15.42578125" style="1059" bestFit="1" customWidth="1"/>
    <col min="8203" max="8203" width="16" style="1059" customWidth="1"/>
    <col min="8204" max="8204" width="11.42578125" style="1059" bestFit="1" customWidth="1"/>
    <col min="8205" max="8205" width="14.140625" style="1059" customWidth="1"/>
    <col min="8206" max="8206" width="15" style="1059" bestFit="1" customWidth="1"/>
    <col min="8207" max="8207" width="13.28515625" style="1059" bestFit="1" customWidth="1"/>
    <col min="8208" max="8208" width="15" style="1059" bestFit="1" customWidth="1"/>
    <col min="8209" max="8209" width="13" style="1059" customWidth="1"/>
    <col min="8210" max="8210" width="26.42578125" style="1059" bestFit="1" customWidth="1"/>
    <col min="8211" max="8211" width="8.28515625" style="1059" customWidth="1"/>
    <col min="8212" max="8212" width="9.140625" style="1059"/>
    <col min="8213" max="8213" width="11.42578125" style="1059" bestFit="1" customWidth="1"/>
    <col min="8214" max="8216" width="9.140625" style="1059"/>
    <col min="8217" max="8217" width="11.42578125" style="1059" bestFit="1" customWidth="1"/>
    <col min="8218" max="8220" width="9.140625" style="1059"/>
    <col min="8221" max="8221" width="11.42578125" style="1059" bestFit="1" customWidth="1"/>
    <col min="8222" max="8223" width="9.140625" style="1059"/>
    <col min="8224" max="8224" width="10.140625" style="1059" bestFit="1" customWidth="1"/>
    <col min="8225" max="8225" width="11.42578125" style="1059" bestFit="1" customWidth="1"/>
    <col min="8226" max="8446" width="9.140625" style="1059"/>
    <col min="8447" max="8447" width="4.28515625" style="1059" customWidth="1"/>
    <col min="8448" max="8448" width="9.140625" style="1059" bestFit="1" customWidth="1"/>
    <col min="8449" max="8449" width="12" style="1059" customWidth="1"/>
    <col min="8450" max="8450" width="14.7109375" style="1059" customWidth="1"/>
    <col min="8451" max="8451" width="13.140625" style="1059" customWidth="1"/>
    <col min="8452" max="8452" width="9.5703125" style="1059" customWidth="1"/>
    <col min="8453" max="8453" width="13.28515625" style="1059" customWidth="1"/>
    <col min="8454" max="8454" width="16.5703125" style="1059" bestFit="1" customWidth="1"/>
    <col min="8455" max="8455" width="10.85546875" style="1059" bestFit="1" customWidth="1"/>
    <col min="8456" max="8456" width="8.28515625" style="1059" bestFit="1" customWidth="1"/>
    <col min="8457" max="8457" width="16" style="1059" customWidth="1"/>
    <col min="8458" max="8458" width="15.42578125" style="1059" bestFit="1" customWidth="1"/>
    <col min="8459" max="8459" width="16" style="1059" customWidth="1"/>
    <col min="8460" max="8460" width="11.42578125" style="1059" bestFit="1" customWidth="1"/>
    <col min="8461" max="8461" width="14.140625" style="1059" customWidth="1"/>
    <col min="8462" max="8462" width="15" style="1059" bestFit="1" customWidth="1"/>
    <col min="8463" max="8463" width="13.28515625" style="1059" bestFit="1" customWidth="1"/>
    <col min="8464" max="8464" width="15" style="1059" bestFit="1" customWidth="1"/>
    <col min="8465" max="8465" width="13" style="1059" customWidth="1"/>
    <col min="8466" max="8466" width="26.42578125" style="1059" bestFit="1" customWidth="1"/>
    <col min="8467" max="8467" width="8.28515625" style="1059" customWidth="1"/>
    <col min="8468" max="8468" width="9.140625" style="1059"/>
    <col min="8469" max="8469" width="11.42578125" style="1059" bestFit="1" customWidth="1"/>
    <col min="8470" max="8472" width="9.140625" style="1059"/>
    <col min="8473" max="8473" width="11.42578125" style="1059" bestFit="1" customWidth="1"/>
    <col min="8474" max="8476" width="9.140625" style="1059"/>
    <col min="8477" max="8477" width="11.42578125" style="1059" bestFit="1" customWidth="1"/>
    <col min="8478" max="8479" width="9.140625" style="1059"/>
    <col min="8480" max="8480" width="10.140625" style="1059" bestFit="1" customWidth="1"/>
    <col min="8481" max="8481" width="11.42578125" style="1059" bestFit="1" customWidth="1"/>
    <col min="8482" max="8702" width="9.140625" style="1059"/>
    <col min="8703" max="8703" width="4.28515625" style="1059" customWidth="1"/>
    <col min="8704" max="8704" width="9.140625" style="1059" bestFit="1" customWidth="1"/>
    <col min="8705" max="8705" width="12" style="1059" customWidth="1"/>
    <col min="8706" max="8706" width="14.7109375" style="1059" customWidth="1"/>
    <col min="8707" max="8707" width="13.140625" style="1059" customWidth="1"/>
    <col min="8708" max="8708" width="9.5703125" style="1059" customWidth="1"/>
    <col min="8709" max="8709" width="13.28515625" style="1059" customWidth="1"/>
    <col min="8710" max="8710" width="16.5703125" style="1059" bestFit="1" customWidth="1"/>
    <col min="8711" max="8711" width="10.85546875" style="1059" bestFit="1" customWidth="1"/>
    <col min="8712" max="8712" width="8.28515625" style="1059" bestFit="1" customWidth="1"/>
    <col min="8713" max="8713" width="16" style="1059" customWidth="1"/>
    <col min="8714" max="8714" width="15.42578125" style="1059" bestFit="1" customWidth="1"/>
    <col min="8715" max="8715" width="16" style="1059" customWidth="1"/>
    <col min="8716" max="8716" width="11.42578125" style="1059" bestFit="1" customWidth="1"/>
    <col min="8717" max="8717" width="14.140625" style="1059" customWidth="1"/>
    <col min="8718" max="8718" width="15" style="1059" bestFit="1" customWidth="1"/>
    <col min="8719" max="8719" width="13.28515625" style="1059" bestFit="1" customWidth="1"/>
    <col min="8720" max="8720" width="15" style="1059" bestFit="1" customWidth="1"/>
    <col min="8721" max="8721" width="13" style="1059" customWidth="1"/>
    <col min="8722" max="8722" width="26.42578125" style="1059" bestFit="1" customWidth="1"/>
    <col min="8723" max="8723" width="8.28515625" style="1059" customWidth="1"/>
    <col min="8724" max="8724" width="9.140625" style="1059"/>
    <col min="8725" max="8725" width="11.42578125" style="1059" bestFit="1" customWidth="1"/>
    <col min="8726" max="8728" width="9.140625" style="1059"/>
    <col min="8729" max="8729" width="11.42578125" style="1059" bestFit="1" customWidth="1"/>
    <col min="8730" max="8732" width="9.140625" style="1059"/>
    <col min="8733" max="8733" width="11.42578125" style="1059" bestFit="1" customWidth="1"/>
    <col min="8734" max="8735" width="9.140625" style="1059"/>
    <col min="8736" max="8736" width="10.140625" style="1059" bestFit="1" customWidth="1"/>
    <col min="8737" max="8737" width="11.42578125" style="1059" bestFit="1" customWidth="1"/>
    <col min="8738" max="8958" width="9.140625" style="1059"/>
    <col min="8959" max="8959" width="4.28515625" style="1059" customWidth="1"/>
    <col min="8960" max="8960" width="9.140625" style="1059" bestFit="1" customWidth="1"/>
    <col min="8961" max="8961" width="12" style="1059" customWidth="1"/>
    <col min="8962" max="8962" width="14.7109375" style="1059" customWidth="1"/>
    <col min="8963" max="8963" width="13.140625" style="1059" customWidth="1"/>
    <col min="8964" max="8964" width="9.5703125" style="1059" customWidth="1"/>
    <col min="8965" max="8965" width="13.28515625" style="1059" customWidth="1"/>
    <col min="8966" max="8966" width="16.5703125" style="1059" bestFit="1" customWidth="1"/>
    <col min="8967" max="8967" width="10.85546875" style="1059" bestFit="1" customWidth="1"/>
    <col min="8968" max="8968" width="8.28515625" style="1059" bestFit="1" customWidth="1"/>
    <col min="8969" max="8969" width="16" style="1059" customWidth="1"/>
    <col min="8970" max="8970" width="15.42578125" style="1059" bestFit="1" customWidth="1"/>
    <col min="8971" max="8971" width="16" style="1059" customWidth="1"/>
    <col min="8972" max="8972" width="11.42578125" style="1059" bestFit="1" customWidth="1"/>
    <col min="8973" max="8973" width="14.140625" style="1059" customWidth="1"/>
    <col min="8974" max="8974" width="15" style="1059" bestFit="1" customWidth="1"/>
    <col min="8975" max="8975" width="13.28515625" style="1059" bestFit="1" customWidth="1"/>
    <col min="8976" max="8976" width="15" style="1059" bestFit="1" customWidth="1"/>
    <col min="8977" max="8977" width="13" style="1059" customWidth="1"/>
    <col min="8978" max="8978" width="26.42578125" style="1059" bestFit="1" customWidth="1"/>
    <col min="8979" max="8979" width="8.28515625" style="1059" customWidth="1"/>
    <col min="8980" max="8980" width="9.140625" style="1059"/>
    <col min="8981" max="8981" width="11.42578125" style="1059" bestFit="1" customWidth="1"/>
    <col min="8982" max="8984" width="9.140625" style="1059"/>
    <col min="8985" max="8985" width="11.42578125" style="1059" bestFit="1" customWidth="1"/>
    <col min="8986" max="8988" width="9.140625" style="1059"/>
    <col min="8989" max="8989" width="11.42578125" style="1059" bestFit="1" customWidth="1"/>
    <col min="8990" max="8991" width="9.140625" style="1059"/>
    <col min="8992" max="8992" width="10.140625" style="1059" bestFit="1" customWidth="1"/>
    <col min="8993" max="8993" width="11.42578125" style="1059" bestFit="1" customWidth="1"/>
    <col min="8994" max="9214" width="9.140625" style="1059"/>
    <col min="9215" max="9215" width="4.28515625" style="1059" customWidth="1"/>
    <col min="9216" max="9216" width="9.140625" style="1059" bestFit="1" customWidth="1"/>
    <col min="9217" max="9217" width="12" style="1059" customWidth="1"/>
    <col min="9218" max="9218" width="14.7109375" style="1059" customWidth="1"/>
    <col min="9219" max="9219" width="13.140625" style="1059" customWidth="1"/>
    <col min="9220" max="9220" width="9.5703125" style="1059" customWidth="1"/>
    <col min="9221" max="9221" width="13.28515625" style="1059" customWidth="1"/>
    <col min="9222" max="9222" width="16.5703125" style="1059" bestFit="1" customWidth="1"/>
    <col min="9223" max="9223" width="10.85546875" style="1059" bestFit="1" customWidth="1"/>
    <col min="9224" max="9224" width="8.28515625" style="1059" bestFit="1" customWidth="1"/>
    <col min="9225" max="9225" width="16" style="1059" customWidth="1"/>
    <col min="9226" max="9226" width="15.42578125" style="1059" bestFit="1" customWidth="1"/>
    <col min="9227" max="9227" width="16" style="1059" customWidth="1"/>
    <col min="9228" max="9228" width="11.42578125" style="1059" bestFit="1" customWidth="1"/>
    <col min="9229" max="9229" width="14.140625" style="1059" customWidth="1"/>
    <col min="9230" max="9230" width="15" style="1059" bestFit="1" customWidth="1"/>
    <col min="9231" max="9231" width="13.28515625" style="1059" bestFit="1" customWidth="1"/>
    <col min="9232" max="9232" width="15" style="1059" bestFit="1" customWidth="1"/>
    <col min="9233" max="9233" width="13" style="1059" customWidth="1"/>
    <col min="9234" max="9234" width="26.42578125" style="1059" bestFit="1" customWidth="1"/>
    <col min="9235" max="9235" width="8.28515625" style="1059" customWidth="1"/>
    <col min="9236" max="9236" width="9.140625" style="1059"/>
    <col min="9237" max="9237" width="11.42578125" style="1059" bestFit="1" customWidth="1"/>
    <col min="9238" max="9240" width="9.140625" style="1059"/>
    <col min="9241" max="9241" width="11.42578125" style="1059" bestFit="1" customWidth="1"/>
    <col min="9242" max="9244" width="9.140625" style="1059"/>
    <col min="9245" max="9245" width="11.42578125" style="1059" bestFit="1" customWidth="1"/>
    <col min="9246" max="9247" width="9.140625" style="1059"/>
    <col min="9248" max="9248" width="10.140625" style="1059" bestFit="1" customWidth="1"/>
    <col min="9249" max="9249" width="11.42578125" style="1059" bestFit="1" customWidth="1"/>
    <col min="9250" max="9470" width="9.140625" style="1059"/>
    <col min="9471" max="9471" width="4.28515625" style="1059" customWidth="1"/>
    <col min="9472" max="9472" width="9.140625" style="1059" bestFit="1" customWidth="1"/>
    <col min="9473" max="9473" width="12" style="1059" customWidth="1"/>
    <col min="9474" max="9474" width="14.7109375" style="1059" customWidth="1"/>
    <col min="9475" max="9475" width="13.140625" style="1059" customWidth="1"/>
    <col min="9476" max="9476" width="9.5703125" style="1059" customWidth="1"/>
    <col min="9477" max="9477" width="13.28515625" style="1059" customWidth="1"/>
    <col min="9478" max="9478" width="16.5703125" style="1059" bestFit="1" customWidth="1"/>
    <col min="9479" max="9479" width="10.85546875" style="1059" bestFit="1" customWidth="1"/>
    <col min="9480" max="9480" width="8.28515625" style="1059" bestFit="1" customWidth="1"/>
    <col min="9481" max="9481" width="16" style="1059" customWidth="1"/>
    <col min="9482" max="9482" width="15.42578125" style="1059" bestFit="1" customWidth="1"/>
    <col min="9483" max="9483" width="16" style="1059" customWidth="1"/>
    <col min="9484" max="9484" width="11.42578125" style="1059" bestFit="1" customWidth="1"/>
    <col min="9485" max="9485" width="14.140625" style="1059" customWidth="1"/>
    <col min="9486" max="9486" width="15" style="1059" bestFit="1" customWidth="1"/>
    <col min="9487" max="9487" width="13.28515625" style="1059" bestFit="1" customWidth="1"/>
    <col min="9488" max="9488" width="15" style="1059" bestFit="1" customWidth="1"/>
    <col min="9489" max="9489" width="13" style="1059" customWidth="1"/>
    <col min="9490" max="9490" width="26.42578125" style="1059" bestFit="1" customWidth="1"/>
    <col min="9491" max="9491" width="8.28515625" style="1059" customWidth="1"/>
    <col min="9492" max="9492" width="9.140625" style="1059"/>
    <col min="9493" max="9493" width="11.42578125" style="1059" bestFit="1" customWidth="1"/>
    <col min="9494" max="9496" width="9.140625" style="1059"/>
    <col min="9497" max="9497" width="11.42578125" style="1059" bestFit="1" customWidth="1"/>
    <col min="9498" max="9500" width="9.140625" style="1059"/>
    <col min="9501" max="9501" width="11.42578125" style="1059" bestFit="1" customWidth="1"/>
    <col min="9502" max="9503" width="9.140625" style="1059"/>
    <col min="9504" max="9504" width="10.140625" style="1059" bestFit="1" customWidth="1"/>
    <col min="9505" max="9505" width="11.42578125" style="1059" bestFit="1" customWidth="1"/>
    <col min="9506" max="9726" width="9.140625" style="1059"/>
    <col min="9727" max="9727" width="4.28515625" style="1059" customWidth="1"/>
    <col min="9728" max="9728" width="9.140625" style="1059" bestFit="1" customWidth="1"/>
    <col min="9729" max="9729" width="12" style="1059" customWidth="1"/>
    <col min="9730" max="9730" width="14.7109375" style="1059" customWidth="1"/>
    <col min="9731" max="9731" width="13.140625" style="1059" customWidth="1"/>
    <col min="9732" max="9732" width="9.5703125" style="1059" customWidth="1"/>
    <col min="9733" max="9733" width="13.28515625" style="1059" customWidth="1"/>
    <col min="9734" max="9734" width="16.5703125" style="1059" bestFit="1" customWidth="1"/>
    <col min="9735" max="9735" width="10.85546875" style="1059" bestFit="1" customWidth="1"/>
    <col min="9736" max="9736" width="8.28515625" style="1059" bestFit="1" customWidth="1"/>
    <col min="9737" max="9737" width="16" style="1059" customWidth="1"/>
    <col min="9738" max="9738" width="15.42578125" style="1059" bestFit="1" customWidth="1"/>
    <col min="9739" max="9739" width="16" style="1059" customWidth="1"/>
    <col min="9740" max="9740" width="11.42578125" style="1059" bestFit="1" customWidth="1"/>
    <col min="9741" max="9741" width="14.140625" style="1059" customWidth="1"/>
    <col min="9742" max="9742" width="15" style="1059" bestFit="1" customWidth="1"/>
    <col min="9743" max="9743" width="13.28515625" style="1059" bestFit="1" customWidth="1"/>
    <col min="9744" max="9744" width="15" style="1059" bestFit="1" customWidth="1"/>
    <col min="9745" max="9745" width="13" style="1059" customWidth="1"/>
    <col min="9746" max="9746" width="26.42578125" style="1059" bestFit="1" customWidth="1"/>
    <col min="9747" max="9747" width="8.28515625" style="1059" customWidth="1"/>
    <col min="9748" max="9748" width="9.140625" style="1059"/>
    <col min="9749" max="9749" width="11.42578125" style="1059" bestFit="1" customWidth="1"/>
    <col min="9750" max="9752" width="9.140625" style="1059"/>
    <col min="9753" max="9753" width="11.42578125" style="1059" bestFit="1" customWidth="1"/>
    <col min="9754" max="9756" width="9.140625" style="1059"/>
    <col min="9757" max="9757" width="11.42578125" style="1059" bestFit="1" customWidth="1"/>
    <col min="9758" max="9759" width="9.140625" style="1059"/>
    <col min="9760" max="9760" width="10.140625" style="1059" bestFit="1" customWidth="1"/>
    <col min="9761" max="9761" width="11.42578125" style="1059" bestFit="1" customWidth="1"/>
    <col min="9762" max="9982" width="9.140625" style="1059"/>
    <col min="9983" max="9983" width="4.28515625" style="1059" customWidth="1"/>
    <col min="9984" max="9984" width="9.140625" style="1059" bestFit="1" customWidth="1"/>
    <col min="9985" max="9985" width="12" style="1059" customWidth="1"/>
    <col min="9986" max="9986" width="14.7109375" style="1059" customWidth="1"/>
    <col min="9987" max="9987" width="13.140625" style="1059" customWidth="1"/>
    <col min="9988" max="9988" width="9.5703125" style="1059" customWidth="1"/>
    <col min="9989" max="9989" width="13.28515625" style="1059" customWidth="1"/>
    <col min="9990" max="9990" width="16.5703125" style="1059" bestFit="1" customWidth="1"/>
    <col min="9991" max="9991" width="10.85546875" style="1059" bestFit="1" customWidth="1"/>
    <col min="9992" max="9992" width="8.28515625" style="1059" bestFit="1" customWidth="1"/>
    <col min="9993" max="9993" width="16" style="1059" customWidth="1"/>
    <col min="9994" max="9994" width="15.42578125" style="1059" bestFit="1" customWidth="1"/>
    <col min="9995" max="9995" width="16" style="1059" customWidth="1"/>
    <col min="9996" max="9996" width="11.42578125" style="1059" bestFit="1" customWidth="1"/>
    <col min="9997" max="9997" width="14.140625" style="1059" customWidth="1"/>
    <col min="9998" max="9998" width="15" style="1059" bestFit="1" customWidth="1"/>
    <col min="9999" max="9999" width="13.28515625" style="1059" bestFit="1" customWidth="1"/>
    <col min="10000" max="10000" width="15" style="1059" bestFit="1" customWidth="1"/>
    <col min="10001" max="10001" width="13" style="1059" customWidth="1"/>
    <col min="10002" max="10002" width="26.42578125" style="1059" bestFit="1" customWidth="1"/>
    <col min="10003" max="10003" width="8.28515625" style="1059" customWidth="1"/>
    <col min="10004" max="10004" width="9.140625" style="1059"/>
    <col min="10005" max="10005" width="11.42578125" style="1059" bestFit="1" customWidth="1"/>
    <col min="10006" max="10008" width="9.140625" style="1059"/>
    <col min="10009" max="10009" width="11.42578125" style="1059" bestFit="1" customWidth="1"/>
    <col min="10010" max="10012" width="9.140625" style="1059"/>
    <col min="10013" max="10013" width="11.42578125" style="1059" bestFit="1" customWidth="1"/>
    <col min="10014" max="10015" width="9.140625" style="1059"/>
    <col min="10016" max="10016" width="10.140625" style="1059" bestFit="1" customWidth="1"/>
    <col min="10017" max="10017" width="11.42578125" style="1059" bestFit="1" customWidth="1"/>
    <col min="10018" max="10238" width="9.140625" style="1059"/>
    <col min="10239" max="10239" width="4.28515625" style="1059" customWidth="1"/>
    <col min="10240" max="10240" width="9.140625" style="1059" bestFit="1" customWidth="1"/>
    <col min="10241" max="10241" width="12" style="1059" customWidth="1"/>
    <col min="10242" max="10242" width="14.7109375" style="1059" customWidth="1"/>
    <col min="10243" max="10243" width="13.140625" style="1059" customWidth="1"/>
    <col min="10244" max="10244" width="9.5703125" style="1059" customWidth="1"/>
    <col min="10245" max="10245" width="13.28515625" style="1059" customWidth="1"/>
    <col min="10246" max="10246" width="16.5703125" style="1059" bestFit="1" customWidth="1"/>
    <col min="10247" max="10247" width="10.85546875" style="1059" bestFit="1" customWidth="1"/>
    <col min="10248" max="10248" width="8.28515625" style="1059" bestFit="1" customWidth="1"/>
    <col min="10249" max="10249" width="16" style="1059" customWidth="1"/>
    <col min="10250" max="10250" width="15.42578125" style="1059" bestFit="1" customWidth="1"/>
    <col min="10251" max="10251" width="16" style="1059" customWidth="1"/>
    <col min="10252" max="10252" width="11.42578125" style="1059" bestFit="1" customWidth="1"/>
    <col min="10253" max="10253" width="14.140625" style="1059" customWidth="1"/>
    <col min="10254" max="10254" width="15" style="1059" bestFit="1" customWidth="1"/>
    <col min="10255" max="10255" width="13.28515625" style="1059" bestFit="1" customWidth="1"/>
    <col min="10256" max="10256" width="15" style="1059" bestFit="1" customWidth="1"/>
    <col min="10257" max="10257" width="13" style="1059" customWidth="1"/>
    <col min="10258" max="10258" width="26.42578125" style="1059" bestFit="1" customWidth="1"/>
    <col min="10259" max="10259" width="8.28515625" style="1059" customWidth="1"/>
    <col min="10260" max="10260" width="9.140625" style="1059"/>
    <col min="10261" max="10261" width="11.42578125" style="1059" bestFit="1" customWidth="1"/>
    <col min="10262" max="10264" width="9.140625" style="1059"/>
    <col min="10265" max="10265" width="11.42578125" style="1059" bestFit="1" customWidth="1"/>
    <col min="10266" max="10268" width="9.140625" style="1059"/>
    <col min="10269" max="10269" width="11.42578125" style="1059" bestFit="1" customWidth="1"/>
    <col min="10270" max="10271" width="9.140625" style="1059"/>
    <col min="10272" max="10272" width="10.140625" style="1059" bestFit="1" customWidth="1"/>
    <col min="10273" max="10273" width="11.42578125" style="1059" bestFit="1" customWidth="1"/>
    <col min="10274" max="10494" width="9.140625" style="1059"/>
    <col min="10495" max="10495" width="4.28515625" style="1059" customWidth="1"/>
    <col min="10496" max="10496" width="9.140625" style="1059" bestFit="1" customWidth="1"/>
    <col min="10497" max="10497" width="12" style="1059" customWidth="1"/>
    <col min="10498" max="10498" width="14.7109375" style="1059" customWidth="1"/>
    <col min="10499" max="10499" width="13.140625" style="1059" customWidth="1"/>
    <col min="10500" max="10500" width="9.5703125" style="1059" customWidth="1"/>
    <col min="10501" max="10501" width="13.28515625" style="1059" customWidth="1"/>
    <col min="10502" max="10502" width="16.5703125" style="1059" bestFit="1" customWidth="1"/>
    <col min="10503" max="10503" width="10.85546875" style="1059" bestFit="1" customWidth="1"/>
    <col min="10504" max="10504" width="8.28515625" style="1059" bestFit="1" customWidth="1"/>
    <col min="10505" max="10505" width="16" style="1059" customWidth="1"/>
    <col min="10506" max="10506" width="15.42578125" style="1059" bestFit="1" customWidth="1"/>
    <col min="10507" max="10507" width="16" style="1059" customWidth="1"/>
    <col min="10508" max="10508" width="11.42578125" style="1059" bestFit="1" customWidth="1"/>
    <col min="10509" max="10509" width="14.140625" style="1059" customWidth="1"/>
    <col min="10510" max="10510" width="15" style="1059" bestFit="1" customWidth="1"/>
    <col min="10511" max="10511" width="13.28515625" style="1059" bestFit="1" customWidth="1"/>
    <col min="10512" max="10512" width="15" style="1059" bestFit="1" customWidth="1"/>
    <col min="10513" max="10513" width="13" style="1059" customWidth="1"/>
    <col min="10514" max="10514" width="26.42578125" style="1059" bestFit="1" customWidth="1"/>
    <col min="10515" max="10515" width="8.28515625" style="1059" customWidth="1"/>
    <col min="10516" max="10516" width="9.140625" style="1059"/>
    <col min="10517" max="10517" width="11.42578125" style="1059" bestFit="1" customWidth="1"/>
    <col min="10518" max="10520" width="9.140625" style="1059"/>
    <col min="10521" max="10521" width="11.42578125" style="1059" bestFit="1" customWidth="1"/>
    <col min="10522" max="10524" width="9.140625" style="1059"/>
    <col min="10525" max="10525" width="11.42578125" style="1059" bestFit="1" customWidth="1"/>
    <col min="10526" max="10527" width="9.140625" style="1059"/>
    <col min="10528" max="10528" width="10.140625" style="1059" bestFit="1" customWidth="1"/>
    <col min="10529" max="10529" width="11.42578125" style="1059" bestFit="1" customWidth="1"/>
    <col min="10530" max="10750" width="9.140625" style="1059"/>
    <col min="10751" max="10751" width="4.28515625" style="1059" customWidth="1"/>
    <col min="10752" max="10752" width="9.140625" style="1059" bestFit="1" customWidth="1"/>
    <col min="10753" max="10753" width="12" style="1059" customWidth="1"/>
    <col min="10754" max="10754" width="14.7109375" style="1059" customWidth="1"/>
    <col min="10755" max="10755" width="13.140625" style="1059" customWidth="1"/>
    <col min="10756" max="10756" width="9.5703125" style="1059" customWidth="1"/>
    <col min="10757" max="10757" width="13.28515625" style="1059" customWidth="1"/>
    <col min="10758" max="10758" width="16.5703125" style="1059" bestFit="1" customWidth="1"/>
    <col min="10759" max="10759" width="10.85546875" style="1059" bestFit="1" customWidth="1"/>
    <col min="10760" max="10760" width="8.28515625" style="1059" bestFit="1" customWidth="1"/>
    <col min="10761" max="10761" width="16" style="1059" customWidth="1"/>
    <col min="10762" max="10762" width="15.42578125" style="1059" bestFit="1" customWidth="1"/>
    <col min="10763" max="10763" width="16" style="1059" customWidth="1"/>
    <col min="10764" max="10764" width="11.42578125" style="1059" bestFit="1" customWidth="1"/>
    <col min="10765" max="10765" width="14.140625" style="1059" customWidth="1"/>
    <col min="10766" max="10766" width="15" style="1059" bestFit="1" customWidth="1"/>
    <col min="10767" max="10767" width="13.28515625" style="1059" bestFit="1" customWidth="1"/>
    <col min="10768" max="10768" width="15" style="1059" bestFit="1" customWidth="1"/>
    <col min="10769" max="10769" width="13" style="1059" customWidth="1"/>
    <col min="10770" max="10770" width="26.42578125" style="1059" bestFit="1" customWidth="1"/>
    <col min="10771" max="10771" width="8.28515625" style="1059" customWidth="1"/>
    <col min="10772" max="10772" width="9.140625" style="1059"/>
    <col min="10773" max="10773" width="11.42578125" style="1059" bestFit="1" customWidth="1"/>
    <col min="10774" max="10776" width="9.140625" style="1059"/>
    <col min="10777" max="10777" width="11.42578125" style="1059" bestFit="1" customWidth="1"/>
    <col min="10778" max="10780" width="9.140625" style="1059"/>
    <col min="10781" max="10781" width="11.42578125" style="1059" bestFit="1" customWidth="1"/>
    <col min="10782" max="10783" width="9.140625" style="1059"/>
    <col min="10784" max="10784" width="10.140625" style="1059" bestFit="1" customWidth="1"/>
    <col min="10785" max="10785" width="11.42578125" style="1059" bestFit="1" customWidth="1"/>
    <col min="10786" max="11006" width="9.140625" style="1059"/>
    <col min="11007" max="11007" width="4.28515625" style="1059" customWidth="1"/>
    <col min="11008" max="11008" width="9.140625" style="1059" bestFit="1" customWidth="1"/>
    <col min="11009" max="11009" width="12" style="1059" customWidth="1"/>
    <col min="11010" max="11010" width="14.7109375" style="1059" customWidth="1"/>
    <col min="11011" max="11011" width="13.140625" style="1059" customWidth="1"/>
    <col min="11012" max="11012" width="9.5703125" style="1059" customWidth="1"/>
    <col min="11013" max="11013" width="13.28515625" style="1059" customWidth="1"/>
    <col min="11014" max="11014" width="16.5703125" style="1059" bestFit="1" customWidth="1"/>
    <col min="11015" max="11015" width="10.85546875" style="1059" bestFit="1" customWidth="1"/>
    <col min="11016" max="11016" width="8.28515625" style="1059" bestFit="1" customWidth="1"/>
    <col min="11017" max="11017" width="16" style="1059" customWidth="1"/>
    <col min="11018" max="11018" width="15.42578125" style="1059" bestFit="1" customWidth="1"/>
    <col min="11019" max="11019" width="16" style="1059" customWidth="1"/>
    <col min="11020" max="11020" width="11.42578125" style="1059" bestFit="1" customWidth="1"/>
    <col min="11021" max="11021" width="14.140625" style="1059" customWidth="1"/>
    <col min="11022" max="11022" width="15" style="1059" bestFit="1" customWidth="1"/>
    <col min="11023" max="11023" width="13.28515625" style="1059" bestFit="1" customWidth="1"/>
    <col min="11024" max="11024" width="15" style="1059" bestFit="1" customWidth="1"/>
    <col min="11025" max="11025" width="13" style="1059" customWidth="1"/>
    <col min="11026" max="11026" width="26.42578125" style="1059" bestFit="1" customWidth="1"/>
    <col min="11027" max="11027" width="8.28515625" style="1059" customWidth="1"/>
    <col min="11028" max="11028" width="9.140625" style="1059"/>
    <col min="11029" max="11029" width="11.42578125" style="1059" bestFit="1" customWidth="1"/>
    <col min="11030" max="11032" width="9.140625" style="1059"/>
    <col min="11033" max="11033" width="11.42578125" style="1059" bestFit="1" customWidth="1"/>
    <col min="11034" max="11036" width="9.140625" style="1059"/>
    <col min="11037" max="11037" width="11.42578125" style="1059" bestFit="1" customWidth="1"/>
    <col min="11038" max="11039" width="9.140625" style="1059"/>
    <col min="11040" max="11040" width="10.140625" style="1059" bestFit="1" customWidth="1"/>
    <col min="11041" max="11041" width="11.42578125" style="1059" bestFit="1" customWidth="1"/>
    <col min="11042" max="11262" width="9.140625" style="1059"/>
    <col min="11263" max="11263" width="4.28515625" style="1059" customWidth="1"/>
    <col min="11264" max="11264" width="9.140625" style="1059" bestFit="1" customWidth="1"/>
    <col min="11265" max="11265" width="12" style="1059" customWidth="1"/>
    <col min="11266" max="11266" width="14.7109375" style="1059" customWidth="1"/>
    <col min="11267" max="11267" width="13.140625" style="1059" customWidth="1"/>
    <col min="11268" max="11268" width="9.5703125" style="1059" customWidth="1"/>
    <col min="11269" max="11269" width="13.28515625" style="1059" customWidth="1"/>
    <col min="11270" max="11270" width="16.5703125" style="1059" bestFit="1" customWidth="1"/>
    <col min="11271" max="11271" width="10.85546875" style="1059" bestFit="1" customWidth="1"/>
    <col min="11272" max="11272" width="8.28515625" style="1059" bestFit="1" customWidth="1"/>
    <col min="11273" max="11273" width="16" style="1059" customWidth="1"/>
    <col min="11274" max="11274" width="15.42578125" style="1059" bestFit="1" customWidth="1"/>
    <col min="11275" max="11275" width="16" style="1059" customWidth="1"/>
    <col min="11276" max="11276" width="11.42578125" style="1059" bestFit="1" customWidth="1"/>
    <col min="11277" max="11277" width="14.140625" style="1059" customWidth="1"/>
    <col min="11278" max="11278" width="15" style="1059" bestFit="1" customWidth="1"/>
    <col min="11279" max="11279" width="13.28515625" style="1059" bestFit="1" customWidth="1"/>
    <col min="11280" max="11280" width="15" style="1059" bestFit="1" customWidth="1"/>
    <col min="11281" max="11281" width="13" style="1059" customWidth="1"/>
    <col min="11282" max="11282" width="26.42578125" style="1059" bestFit="1" customWidth="1"/>
    <col min="11283" max="11283" width="8.28515625" style="1059" customWidth="1"/>
    <col min="11284" max="11284" width="9.140625" style="1059"/>
    <col min="11285" max="11285" width="11.42578125" style="1059" bestFit="1" customWidth="1"/>
    <col min="11286" max="11288" width="9.140625" style="1059"/>
    <col min="11289" max="11289" width="11.42578125" style="1059" bestFit="1" customWidth="1"/>
    <col min="11290" max="11292" width="9.140625" style="1059"/>
    <col min="11293" max="11293" width="11.42578125" style="1059" bestFit="1" customWidth="1"/>
    <col min="11294" max="11295" width="9.140625" style="1059"/>
    <col min="11296" max="11296" width="10.140625" style="1059" bestFit="1" customWidth="1"/>
    <col min="11297" max="11297" width="11.42578125" style="1059" bestFit="1" customWidth="1"/>
    <col min="11298" max="11518" width="9.140625" style="1059"/>
    <col min="11519" max="11519" width="4.28515625" style="1059" customWidth="1"/>
    <col min="11520" max="11520" width="9.140625" style="1059" bestFit="1" customWidth="1"/>
    <col min="11521" max="11521" width="12" style="1059" customWidth="1"/>
    <col min="11522" max="11522" width="14.7109375" style="1059" customWidth="1"/>
    <col min="11523" max="11523" width="13.140625" style="1059" customWidth="1"/>
    <col min="11524" max="11524" width="9.5703125" style="1059" customWidth="1"/>
    <col min="11525" max="11525" width="13.28515625" style="1059" customWidth="1"/>
    <col min="11526" max="11526" width="16.5703125" style="1059" bestFit="1" customWidth="1"/>
    <col min="11527" max="11527" width="10.85546875" style="1059" bestFit="1" customWidth="1"/>
    <col min="11528" max="11528" width="8.28515625" style="1059" bestFit="1" customWidth="1"/>
    <col min="11529" max="11529" width="16" style="1059" customWidth="1"/>
    <col min="11530" max="11530" width="15.42578125" style="1059" bestFit="1" customWidth="1"/>
    <col min="11531" max="11531" width="16" style="1059" customWidth="1"/>
    <col min="11532" max="11532" width="11.42578125" style="1059" bestFit="1" customWidth="1"/>
    <col min="11533" max="11533" width="14.140625" style="1059" customWidth="1"/>
    <col min="11534" max="11534" width="15" style="1059" bestFit="1" customWidth="1"/>
    <col min="11535" max="11535" width="13.28515625" style="1059" bestFit="1" customWidth="1"/>
    <col min="11536" max="11536" width="15" style="1059" bestFit="1" customWidth="1"/>
    <col min="11537" max="11537" width="13" style="1059" customWidth="1"/>
    <col min="11538" max="11538" width="26.42578125" style="1059" bestFit="1" customWidth="1"/>
    <col min="11539" max="11539" width="8.28515625" style="1059" customWidth="1"/>
    <col min="11540" max="11540" width="9.140625" style="1059"/>
    <col min="11541" max="11541" width="11.42578125" style="1059" bestFit="1" customWidth="1"/>
    <col min="11542" max="11544" width="9.140625" style="1059"/>
    <col min="11545" max="11545" width="11.42578125" style="1059" bestFit="1" customWidth="1"/>
    <col min="11546" max="11548" width="9.140625" style="1059"/>
    <col min="11549" max="11549" width="11.42578125" style="1059" bestFit="1" customWidth="1"/>
    <col min="11550" max="11551" width="9.140625" style="1059"/>
    <col min="11552" max="11552" width="10.140625" style="1059" bestFit="1" customWidth="1"/>
    <col min="11553" max="11553" width="11.42578125" style="1059" bestFit="1" customWidth="1"/>
    <col min="11554" max="11774" width="9.140625" style="1059"/>
    <col min="11775" max="11775" width="4.28515625" style="1059" customWidth="1"/>
    <col min="11776" max="11776" width="9.140625" style="1059" bestFit="1" customWidth="1"/>
    <col min="11777" max="11777" width="12" style="1059" customWidth="1"/>
    <col min="11778" max="11778" width="14.7109375" style="1059" customWidth="1"/>
    <col min="11779" max="11779" width="13.140625" style="1059" customWidth="1"/>
    <col min="11780" max="11780" width="9.5703125" style="1059" customWidth="1"/>
    <col min="11781" max="11781" width="13.28515625" style="1059" customWidth="1"/>
    <col min="11782" max="11782" width="16.5703125" style="1059" bestFit="1" customWidth="1"/>
    <col min="11783" max="11783" width="10.85546875" style="1059" bestFit="1" customWidth="1"/>
    <col min="11784" max="11784" width="8.28515625" style="1059" bestFit="1" customWidth="1"/>
    <col min="11785" max="11785" width="16" style="1059" customWidth="1"/>
    <col min="11786" max="11786" width="15.42578125" style="1059" bestFit="1" customWidth="1"/>
    <col min="11787" max="11787" width="16" style="1059" customWidth="1"/>
    <col min="11788" max="11788" width="11.42578125" style="1059" bestFit="1" customWidth="1"/>
    <col min="11789" max="11789" width="14.140625" style="1059" customWidth="1"/>
    <col min="11790" max="11790" width="15" style="1059" bestFit="1" customWidth="1"/>
    <col min="11791" max="11791" width="13.28515625" style="1059" bestFit="1" customWidth="1"/>
    <col min="11792" max="11792" width="15" style="1059" bestFit="1" customWidth="1"/>
    <col min="11793" max="11793" width="13" style="1059" customWidth="1"/>
    <col min="11794" max="11794" width="26.42578125" style="1059" bestFit="1" customWidth="1"/>
    <col min="11795" max="11795" width="8.28515625" style="1059" customWidth="1"/>
    <col min="11796" max="11796" width="9.140625" style="1059"/>
    <col min="11797" max="11797" width="11.42578125" style="1059" bestFit="1" customWidth="1"/>
    <col min="11798" max="11800" width="9.140625" style="1059"/>
    <col min="11801" max="11801" width="11.42578125" style="1059" bestFit="1" customWidth="1"/>
    <col min="11802" max="11804" width="9.140625" style="1059"/>
    <col min="11805" max="11805" width="11.42578125" style="1059" bestFit="1" customWidth="1"/>
    <col min="11806" max="11807" width="9.140625" style="1059"/>
    <col min="11808" max="11808" width="10.140625" style="1059" bestFit="1" customWidth="1"/>
    <col min="11809" max="11809" width="11.42578125" style="1059" bestFit="1" customWidth="1"/>
    <col min="11810" max="12030" width="9.140625" style="1059"/>
    <col min="12031" max="12031" width="4.28515625" style="1059" customWidth="1"/>
    <col min="12032" max="12032" width="9.140625" style="1059" bestFit="1" customWidth="1"/>
    <col min="12033" max="12033" width="12" style="1059" customWidth="1"/>
    <col min="12034" max="12034" width="14.7109375" style="1059" customWidth="1"/>
    <col min="12035" max="12035" width="13.140625" style="1059" customWidth="1"/>
    <col min="12036" max="12036" width="9.5703125" style="1059" customWidth="1"/>
    <col min="12037" max="12037" width="13.28515625" style="1059" customWidth="1"/>
    <col min="12038" max="12038" width="16.5703125" style="1059" bestFit="1" customWidth="1"/>
    <col min="12039" max="12039" width="10.85546875" style="1059" bestFit="1" customWidth="1"/>
    <col min="12040" max="12040" width="8.28515625" style="1059" bestFit="1" customWidth="1"/>
    <col min="12041" max="12041" width="16" style="1059" customWidth="1"/>
    <col min="12042" max="12042" width="15.42578125" style="1059" bestFit="1" customWidth="1"/>
    <col min="12043" max="12043" width="16" style="1059" customWidth="1"/>
    <col min="12044" max="12044" width="11.42578125" style="1059" bestFit="1" customWidth="1"/>
    <col min="12045" max="12045" width="14.140625" style="1059" customWidth="1"/>
    <col min="12046" max="12046" width="15" style="1059" bestFit="1" customWidth="1"/>
    <col min="12047" max="12047" width="13.28515625" style="1059" bestFit="1" customWidth="1"/>
    <col min="12048" max="12048" width="15" style="1059" bestFit="1" customWidth="1"/>
    <col min="12049" max="12049" width="13" style="1059" customWidth="1"/>
    <col min="12050" max="12050" width="26.42578125" style="1059" bestFit="1" customWidth="1"/>
    <col min="12051" max="12051" width="8.28515625" style="1059" customWidth="1"/>
    <col min="12052" max="12052" width="9.140625" style="1059"/>
    <col min="12053" max="12053" width="11.42578125" style="1059" bestFit="1" customWidth="1"/>
    <col min="12054" max="12056" width="9.140625" style="1059"/>
    <col min="12057" max="12057" width="11.42578125" style="1059" bestFit="1" customWidth="1"/>
    <col min="12058" max="12060" width="9.140625" style="1059"/>
    <col min="12061" max="12061" width="11.42578125" style="1059" bestFit="1" customWidth="1"/>
    <col min="12062" max="12063" width="9.140625" style="1059"/>
    <col min="12064" max="12064" width="10.140625" style="1059" bestFit="1" customWidth="1"/>
    <col min="12065" max="12065" width="11.42578125" style="1059" bestFit="1" customWidth="1"/>
    <col min="12066" max="12286" width="9.140625" style="1059"/>
    <col min="12287" max="12287" width="4.28515625" style="1059" customWidth="1"/>
    <col min="12288" max="12288" width="9.140625" style="1059" bestFit="1" customWidth="1"/>
    <col min="12289" max="12289" width="12" style="1059" customWidth="1"/>
    <col min="12290" max="12290" width="14.7109375" style="1059" customWidth="1"/>
    <col min="12291" max="12291" width="13.140625" style="1059" customWidth="1"/>
    <col min="12292" max="12292" width="9.5703125" style="1059" customWidth="1"/>
    <col min="12293" max="12293" width="13.28515625" style="1059" customWidth="1"/>
    <col min="12294" max="12294" width="16.5703125" style="1059" bestFit="1" customWidth="1"/>
    <col min="12295" max="12295" width="10.85546875" style="1059" bestFit="1" customWidth="1"/>
    <col min="12296" max="12296" width="8.28515625" style="1059" bestFit="1" customWidth="1"/>
    <col min="12297" max="12297" width="16" style="1059" customWidth="1"/>
    <col min="12298" max="12298" width="15.42578125" style="1059" bestFit="1" customWidth="1"/>
    <col min="12299" max="12299" width="16" style="1059" customWidth="1"/>
    <col min="12300" max="12300" width="11.42578125" style="1059" bestFit="1" customWidth="1"/>
    <col min="12301" max="12301" width="14.140625" style="1059" customWidth="1"/>
    <col min="12302" max="12302" width="15" style="1059" bestFit="1" customWidth="1"/>
    <col min="12303" max="12303" width="13.28515625" style="1059" bestFit="1" customWidth="1"/>
    <col min="12304" max="12304" width="15" style="1059" bestFit="1" customWidth="1"/>
    <col min="12305" max="12305" width="13" style="1059" customWidth="1"/>
    <col min="12306" max="12306" width="26.42578125" style="1059" bestFit="1" customWidth="1"/>
    <col min="12307" max="12307" width="8.28515625" style="1059" customWidth="1"/>
    <col min="12308" max="12308" width="9.140625" style="1059"/>
    <col min="12309" max="12309" width="11.42578125" style="1059" bestFit="1" customWidth="1"/>
    <col min="12310" max="12312" width="9.140625" style="1059"/>
    <col min="12313" max="12313" width="11.42578125" style="1059" bestFit="1" customWidth="1"/>
    <col min="12314" max="12316" width="9.140625" style="1059"/>
    <col min="12317" max="12317" width="11.42578125" style="1059" bestFit="1" customWidth="1"/>
    <col min="12318" max="12319" width="9.140625" style="1059"/>
    <col min="12320" max="12320" width="10.140625" style="1059" bestFit="1" customWidth="1"/>
    <col min="12321" max="12321" width="11.42578125" style="1059" bestFit="1" customWidth="1"/>
    <col min="12322" max="12542" width="9.140625" style="1059"/>
    <col min="12543" max="12543" width="4.28515625" style="1059" customWidth="1"/>
    <col min="12544" max="12544" width="9.140625" style="1059" bestFit="1" customWidth="1"/>
    <col min="12545" max="12545" width="12" style="1059" customWidth="1"/>
    <col min="12546" max="12546" width="14.7109375" style="1059" customWidth="1"/>
    <col min="12547" max="12547" width="13.140625" style="1059" customWidth="1"/>
    <col min="12548" max="12548" width="9.5703125" style="1059" customWidth="1"/>
    <col min="12549" max="12549" width="13.28515625" style="1059" customWidth="1"/>
    <col min="12550" max="12550" width="16.5703125" style="1059" bestFit="1" customWidth="1"/>
    <col min="12551" max="12551" width="10.85546875" style="1059" bestFit="1" customWidth="1"/>
    <col min="12552" max="12552" width="8.28515625" style="1059" bestFit="1" customWidth="1"/>
    <col min="12553" max="12553" width="16" style="1059" customWidth="1"/>
    <col min="12554" max="12554" width="15.42578125" style="1059" bestFit="1" customWidth="1"/>
    <col min="12555" max="12555" width="16" style="1059" customWidth="1"/>
    <col min="12556" max="12556" width="11.42578125" style="1059" bestFit="1" customWidth="1"/>
    <col min="12557" max="12557" width="14.140625" style="1059" customWidth="1"/>
    <col min="12558" max="12558" width="15" style="1059" bestFit="1" customWidth="1"/>
    <col min="12559" max="12559" width="13.28515625" style="1059" bestFit="1" customWidth="1"/>
    <col min="12560" max="12560" width="15" style="1059" bestFit="1" customWidth="1"/>
    <col min="12561" max="12561" width="13" style="1059" customWidth="1"/>
    <col min="12562" max="12562" width="26.42578125" style="1059" bestFit="1" customWidth="1"/>
    <col min="12563" max="12563" width="8.28515625" style="1059" customWidth="1"/>
    <col min="12564" max="12564" width="9.140625" style="1059"/>
    <col min="12565" max="12565" width="11.42578125" style="1059" bestFit="1" customWidth="1"/>
    <col min="12566" max="12568" width="9.140625" style="1059"/>
    <col min="12569" max="12569" width="11.42578125" style="1059" bestFit="1" customWidth="1"/>
    <col min="12570" max="12572" width="9.140625" style="1059"/>
    <col min="12573" max="12573" width="11.42578125" style="1059" bestFit="1" customWidth="1"/>
    <col min="12574" max="12575" width="9.140625" style="1059"/>
    <col min="12576" max="12576" width="10.140625" style="1059" bestFit="1" customWidth="1"/>
    <col min="12577" max="12577" width="11.42578125" style="1059" bestFit="1" customWidth="1"/>
    <col min="12578" max="12798" width="9.140625" style="1059"/>
    <col min="12799" max="12799" width="4.28515625" style="1059" customWidth="1"/>
    <col min="12800" max="12800" width="9.140625" style="1059" bestFit="1" customWidth="1"/>
    <col min="12801" max="12801" width="12" style="1059" customWidth="1"/>
    <col min="12802" max="12802" width="14.7109375" style="1059" customWidth="1"/>
    <col min="12803" max="12803" width="13.140625" style="1059" customWidth="1"/>
    <col min="12804" max="12804" width="9.5703125" style="1059" customWidth="1"/>
    <col min="12805" max="12805" width="13.28515625" style="1059" customWidth="1"/>
    <col min="12806" max="12806" width="16.5703125" style="1059" bestFit="1" customWidth="1"/>
    <col min="12807" max="12807" width="10.85546875" style="1059" bestFit="1" customWidth="1"/>
    <col min="12808" max="12808" width="8.28515625" style="1059" bestFit="1" customWidth="1"/>
    <col min="12809" max="12809" width="16" style="1059" customWidth="1"/>
    <col min="12810" max="12810" width="15.42578125" style="1059" bestFit="1" customWidth="1"/>
    <col min="12811" max="12811" width="16" style="1059" customWidth="1"/>
    <col min="12812" max="12812" width="11.42578125" style="1059" bestFit="1" customWidth="1"/>
    <col min="12813" max="12813" width="14.140625" style="1059" customWidth="1"/>
    <col min="12814" max="12814" width="15" style="1059" bestFit="1" customWidth="1"/>
    <col min="12815" max="12815" width="13.28515625" style="1059" bestFit="1" customWidth="1"/>
    <col min="12816" max="12816" width="15" style="1059" bestFit="1" customWidth="1"/>
    <col min="12817" max="12817" width="13" style="1059" customWidth="1"/>
    <col min="12818" max="12818" width="26.42578125" style="1059" bestFit="1" customWidth="1"/>
    <col min="12819" max="12819" width="8.28515625" style="1059" customWidth="1"/>
    <col min="12820" max="12820" width="9.140625" style="1059"/>
    <col min="12821" max="12821" width="11.42578125" style="1059" bestFit="1" customWidth="1"/>
    <col min="12822" max="12824" width="9.140625" style="1059"/>
    <col min="12825" max="12825" width="11.42578125" style="1059" bestFit="1" customWidth="1"/>
    <col min="12826" max="12828" width="9.140625" style="1059"/>
    <col min="12829" max="12829" width="11.42578125" style="1059" bestFit="1" customWidth="1"/>
    <col min="12830" max="12831" width="9.140625" style="1059"/>
    <col min="12832" max="12832" width="10.140625" style="1059" bestFit="1" customWidth="1"/>
    <col min="12833" max="12833" width="11.42578125" style="1059" bestFit="1" customWidth="1"/>
    <col min="12834" max="13054" width="9.140625" style="1059"/>
    <col min="13055" max="13055" width="4.28515625" style="1059" customWidth="1"/>
    <col min="13056" max="13056" width="9.140625" style="1059" bestFit="1" customWidth="1"/>
    <col min="13057" max="13057" width="12" style="1059" customWidth="1"/>
    <col min="13058" max="13058" width="14.7109375" style="1059" customWidth="1"/>
    <col min="13059" max="13059" width="13.140625" style="1059" customWidth="1"/>
    <col min="13060" max="13060" width="9.5703125" style="1059" customWidth="1"/>
    <col min="13061" max="13061" width="13.28515625" style="1059" customWidth="1"/>
    <col min="13062" max="13062" width="16.5703125" style="1059" bestFit="1" customWidth="1"/>
    <col min="13063" max="13063" width="10.85546875" style="1059" bestFit="1" customWidth="1"/>
    <col min="13064" max="13064" width="8.28515625" style="1059" bestFit="1" customWidth="1"/>
    <col min="13065" max="13065" width="16" style="1059" customWidth="1"/>
    <col min="13066" max="13066" width="15.42578125" style="1059" bestFit="1" customWidth="1"/>
    <col min="13067" max="13067" width="16" style="1059" customWidth="1"/>
    <col min="13068" max="13068" width="11.42578125" style="1059" bestFit="1" customWidth="1"/>
    <col min="13069" max="13069" width="14.140625" style="1059" customWidth="1"/>
    <col min="13070" max="13070" width="15" style="1059" bestFit="1" customWidth="1"/>
    <col min="13071" max="13071" width="13.28515625" style="1059" bestFit="1" customWidth="1"/>
    <col min="13072" max="13072" width="15" style="1059" bestFit="1" customWidth="1"/>
    <col min="13073" max="13073" width="13" style="1059" customWidth="1"/>
    <col min="13074" max="13074" width="26.42578125" style="1059" bestFit="1" customWidth="1"/>
    <col min="13075" max="13075" width="8.28515625" style="1059" customWidth="1"/>
    <col min="13076" max="13076" width="9.140625" style="1059"/>
    <col min="13077" max="13077" width="11.42578125" style="1059" bestFit="1" customWidth="1"/>
    <col min="13078" max="13080" width="9.140625" style="1059"/>
    <col min="13081" max="13081" width="11.42578125" style="1059" bestFit="1" customWidth="1"/>
    <col min="13082" max="13084" width="9.140625" style="1059"/>
    <col min="13085" max="13085" width="11.42578125" style="1059" bestFit="1" customWidth="1"/>
    <col min="13086" max="13087" width="9.140625" style="1059"/>
    <col min="13088" max="13088" width="10.140625" style="1059" bestFit="1" customWidth="1"/>
    <col min="13089" max="13089" width="11.42578125" style="1059" bestFit="1" customWidth="1"/>
    <col min="13090" max="13310" width="9.140625" style="1059"/>
    <col min="13311" max="13311" width="4.28515625" style="1059" customWidth="1"/>
    <col min="13312" max="13312" width="9.140625" style="1059" bestFit="1" customWidth="1"/>
    <col min="13313" max="13313" width="12" style="1059" customWidth="1"/>
    <col min="13314" max="13314" width="14.7109375" style="1059" customWidth="1"/>
    <col min="13315" max="13315" width="13.140625" style="1059" customWidth="1"/>
    <col min="13316" max="13316" width="9.5703125" style="1059" customWidth="1"/>
    <col min="13317" max="13317" width="13.28515625" style="1059" customWidth="1"/>
    <col min="13318" max="13318" width="16.5703125" style="1059" bestFit="1" customWidth="1"/>
    <col min="13319" max="13319" width="10.85546875" style="1059" bestFit="1" customWidth="1"/>
    <col min="13320" max="13320" width="8.28515625" style="1059" bestFit="1" customWidth="1"/>
    <col min="13321" max="13321" width="16" style="1059" customWidth="1"/>
    <col min="13322" max="13322" width="15.42578125" style="1059" bestFit="1" customWidth="1"/>
    <col min="13323" max="13323" width="16" style="1059" customWidth="1"/>
    <col min="13324" max="13324" width="11.42578125" style="1059" bestFit="1" customWidth="1"/>
    <col min="13325" max="13325" width="14.140625" style="1059" customWidth="1"/>
    <col min="13326" max="13326" width="15" style="1059" bestFit="1" customWidth="1"/>
    <col min="13327" max="13327" width="13.28515625" style="1059" bestFit="1" customWidth="1"/>
    <col min="13328" max="13328" width="15" style="1059" bestFit="1" customWidth="1"/>
    <col min="13329" max="13329" width="13" style="1059" customWidth="1"/>
    <col min="13330" max="13330" width="26.42578125" style="1059" bestFit="1" customWidth="1"/>
    <col min="13331" max="13331" width="8.28515625" style="1059" customWidth="1"/>
    <col min="13332" max="13332" width="9.140625" style="1059"/>
    <col min="13333" max="13333" width="11.42578125" style="1059" bestFit="1" customWidth="1"/>
    <col min="13334" max="13336" width="9.140625" style="1059"/>
    <col min="13337" max="13337" width="11.42578125" style="1059" bestFit="1" customWidth="1"/>
    <col min="13338" max="13340" width="9.140625" style="1059"/>
    <col min="13341" max="13341" width="11.42578125" style="1059" bestFit="1" customWidth="1"/>
    <col min="13342" max="13343" width="9.140625" style="1059"/>
    <col min="13344" max="13344" width="10.140625" style="1059" bestFit="1" customWidth="1"/>
    <col min="13345" max="13345" width="11.42578125" style="1059" bestFit="1" customWidth="1"/>
    <col min="13346" max="13566" width="9.140625" style="1059"/>
    <col min="13567" max="13567" width="4.28515625" style="1059" customWidth="1"/>
    <col min="13568" max="13568" width="9.140625" style="1059" bestFit="1" customWidth="1"/>
    <col min="13569" max="13569" width="12" style="1059" customWidth="1"/>
    <col min="13570" max="13570" width="14.7109375" style="1059" customWidth="1"/>
    <col min="13571" max="13571" width="13.140625" style="1059" customWidth="1"/>
    <col min="13572" max="13572" width="9.5703125" style="1059" customWidth="1"/>
    <col min="13573" max="13573" width="13.28515625" style="1059" customWidth="1"/>
    <col min="13574" max="13574" width="16.5703125" style="1059" bestFit="1" customWidth="1"/>
    <col min="13575" max="13575" width="10.85546875" style="1059" bestFit="1" customWidth="1"/>
    <col min="13576" max="13576" width="8.28515625" style="1059" bestFit="1" customWidth="1"/>
    <col min="13577" max="13577" width="16" style="1059" customWidth="1"/>
    <col min="13578" max="13578" width="15.42578125" style="1059" bestFit="1" customWidth="1"/>
    <col min="13579" max="13579" width="16" style="1059" customWidth="1"/>
    <col min="13580" max="13580" width="11.42578125" style="1059" bestFit="1" customWidth="1"/>
    <col min="13581" max="13581" width="14.140625" style="1059" customWidth="1"/>
    <col min="13582" max="13582" width="15" style="1059" bestFit="1" customWidth="1"/>
    <col min="13583" max="13583" width="13.28515625" style="1059" bestFit="1" customWidth="1"/>
    <col min="13584" max="13584" width="15" style="1059" bestFit="1" customWidth="1"/>
    <col min="13585" max="13585" width="13" style="1059" customWidth="1"/>
    <col min="13586" max="13586" width="26.42578125" style="1059" bestFit="1" customWidth="1"/>
    <col min="13587" max="13587" width="8.28515625" style="1059" customWidth="1"/>
    <col min="13588" max="13588" width="9.140625" style="1059"/>
    <col min="13589" max="13589" width="11.42578125" style="1059" bestFit="1" customWidth="1"/>
    <col min="13590" max="13592" width="9.140625" style="1059"/>
    <col min="13593" max="13593" width="11.42578125" style="1059" bestFit="1" customWidth="1"/>
    <col min="13594" max="13596" width="9.140625" style="1059"/>
    <col min="13597" max="13597" width="11.42578125" style="1059" bestFit="1" customWidth="1"/>
    <col min="13598" max="13599" width="9.140625" style="1059"/>
    <col min="13600" max="13600" width="10.140625" style="1059" bestFit="1" customWidth="1"/>
    <col min="13601" max="13601" width="11.42578125" style="1059" bestFit="1" customWidth="1"/>
    <col min="13602" max="13822" width="9.140625" style="1059"/>
    <col min="13823" max="13823" width="4.28515625" style="1059" customWidth="1"/>
    <col min="13824" max="13824" width="9.140625" style="1059" bestFit="1" customWidth="1"/>
    <col min="13825" max="13825" width="12" style="1059" customWidth="1"/>
    <col min="13826" max="13826" width="14.7109375" style="1059" customWidth="1"/>
    <col min="13827" max="13827" width="13.140625" style="1059" customWidth="1"/>
    <col min="13828" max="13828" width="9.5703125" style="1059" customWidth="1"/>
    <col min="13829" max="13829" width="13.28515625" style="1059" customWidth="1"/>
    <col min="13830" max="13830" width="16.5703125" style="1059" bestFit="1" customWidth="1"/>
    <col min="13831" max="13831" width="10.85546875" style="1059" bestFit="1" customWidth="1"/>
    <col min="13832" max="13832" width="8.28515625" style="1059" bestFit="1" customWidth="1"/>
    <col min="13833" max="13833" width="16" style="1059" customWidth="1"/>
    <col min="13834" max="13834" width="15.42578125" style="1059" bestFit="1" customWidth="1"/>
    <col min="13835" max="13835" width="16" style="1059" customWidth="1"/>
    <col min="13836" max="13836" width="11.42578125" style="1059" bestFit="1" customWidth="1"/>
    <col min="13837" max="13837" width="14.140625" style="1059" customWidth="1"/>
    <col min="13838" max="13838" width="15" style="1059" bestFit="1" customWidth="1"/>
    <col min="13839" max="13839" width="13.28515625" style="1059" bestFit="1" customWidth="1"/>
    <col min="13840" max="13840" width="15" style="1059" bestFit="1" customWidth="1"/>
    <col min="13841" max="13841" width="13" style="1059" customWidth="1"/>
    <col min="13842" max="13842" width="26.42578125" style="1059" bestFit="1" customWidth="1"/>
    <col min="13843" max="13843" width="8.28515625" style="1059" customWidth="1"/>
    <col min="13844" max="13844" width="9.140625" style="1059"/>
    <col min="13845" max="13845" width="11.42578125" style="1059" bestFit="1" customWidth="1"/>
    <col min="13846" max="13848" width="9.140625" style="1059"/>
    <col min="13849" max="13849" width="11.42578125" style="1059" bestFit="1" customWidth="1"/>
    <col min="13850" max="13852" width="9.140625" style="1059"/>
    <col min="13853" max="13853" width="11.42578125" style="1059" bestFit="1" customWidth="1"/>
    <col min="13854" max="13855" width="9.140625" style="1059"/>
    <col min="13856" max="13856" width="10.140625" style="1059" bestFit="1" customWidth="1"/>
    <col min="13857" max="13857" width="11.42578125" style="1059" bestFit="1" customWidth="1"/>
    <col min="13858" max="14078" width="9.140625" style="1059"/>
    <col min="14079" max="14079" width="4.28515625" style="1059" customWidth="1"/>
    <col min="14080" max="14080" width="9.140625" style="1059" bestFit="1" customWidth="1"/>
    <col min="14081" max="14081" width="12" style="1059" customWidth="1"/>
    <col min="14082" max="14082" width="14.7109375" style="1059" customWidth="1"/>
    <col min="14083" max="14083" width="13.140625" style="1059" customWidth="1"/>
    <col min="14084" max="14084" width="9.5703125" style="1059" customWidth="1"/>
    <col min="14085" max="14085" width="13.28515625" style="1059" customWidth="1"/>
    <col min="14086" max="14086" width="16.5703125" style="1059" bestFit="1" customWidth="1"/>
    <col min="14087" max="14087" width="10.85546875" style="1059" bestFit="1" customWidth="1"/>
    <col min="14088" max="14088" width="8.28515625" style="1059" bestFit="1" customWidth="1"/>
    <col min="14089" max="14089" width="16" style="1059" customWidth="1"/>
    <col min="14090" max="14090" width="15.42578125" style="1059" bestFit="1" customWidth="1"/>
    <col min="14091" max="14091" width="16" style="1059" customWidth="1"/>
    <col min="14092" max="14092" width="11.42578125" style="1059" bestFit="1" customWidth="1"/>
    <col min="14093" max="14093" width="14.140625" style="1059" customWidth="1"/>
    <col min="14094" max="14094" width="15" style="1059" bestFit="1" customWidth="1"/>
    <col min="14095" max="14095" width="13.28515625" style="1059" bestFit="1" customWidth="1"/>
    <col min="14096" max="14096" width="15" style="1059" bestFit="1" customWidth="1"/>
    <col min="14097" max="14097" width="13" style="1059" customWidth="1"/>
    <col min="14098" max="14098" width="26.42578125" style="1059" bestFit="1" customWidth="1"/>
    <col min="14099" max="14099" width="8.28515625" style="1059" customWidth="1"/>
    <col min="14100" max="14100" width="9.140625" style="1059"/>
    <col min="14101" max="14101" width="11.42578125" style="1059" bestFit="1" customWidth="1"/>
    <col min="14102" max="14104" width="9.140625" style="1059"/>
    <col min="14105" max="14105" width="11.42578125" style="1059" bestFit="1" customWidth="1"/>
    <col min="14106" max="14108" width="9.140625" style="1059"/>
    <col min="14109" max="14109" width="11.42578125" style="1059" bestFit="1" customWidth="1"/>
    <col min="14110" max="14111" width="9.140625" style="1059"/>
    <col min="14112" max="14112" width="10.140625" style="1059" bestFit="1" customWidth="1"/>
    <col min="14113" max="14113" width="11.42578125" style="1059" bestFit="1" customWidth="1"/>
    <col min="14114" max="14334" width="9.140625" style="1059"/>
    <col min="14335" max="14335" width="4.28515625" style="1059" customWidth="1"/>
    <col min="14336" max="14336" width="9.140625" style="1059" bestFit="1" customWidth="1"/>
    <col min="14337" max="14337" width="12" style="1059" customWidth="1"/>
    <col min="14338" max="14338" width="14.7109375" style="1059" customWidth="1"/>
    <col min="14339" max="14339" width="13.140625" style="1059" customWidth="1"/>
    <col min="14340" max="14340" width="9.5703125" style="1059" customWidth="1"/>
    <col min="14341" max="14341" width="13.28515625" style="1059" customWidth="1"/>
    <col min="14342" max="14342" width="16.5703125" style="1059" bestFit="1" customWidth="1"/>
    <col min="14343" max="14343" width="10.85546875" style="1059" bestFit="1" customWidth="1"/>
    <col min="14344" max="14344" width="8.28515625" style="1059" bestFit="1" customWidth="1"/>
    <col min="14345" max="14345" width="16" style="1059" customWidth="1"/>
    <col min="14346" max="14346" width="15.42578125" style="1059" bestFit="1" customWidth="1"/>
    <col min="14347" max="14347" width="16" style="1059" customWidth="1"/>
    <col min="14348" max="14348" width="11.42578125" style="1059" bestFit="1" customWidth="1"/>
    <col min="14349" max="14349" width="14.140625" style="1059" customWidth="1"/>
    <col min="14350" max="14350" width="15" style="1059" bestFit="1" customWidth="1"/>
    <col min="14351" max="14351" width="13.28515625" style="1059" bestFit="1" customWidth="1"/>
    <col min="14352" max="14352" width="15" style="1059" bestFit="1" customWidth="1"/>
    <col min="14353" max="14353" width="13" style="1059" customWidth="1"/>
    <col min="14354" max="14354" width="26.42578125" style="1059" bestFit="1" customWidth="1"/>
    <col min="14355" max="14355" width="8.28515625" style="1059" customWidth="1"/>
    <col min="14356" max="14356" width="9.140625" style="1059"/>
    <col min="14357" max="14357" width="11.42578125" style="1059" bestFit="1" customWidth="1"/>
    <col min="14358" max="14360" width="9.140625" style="1059"/>
    <col min="14361" max="14361" width="11.42578125" style="1059" bestFit="1" customWidth="1"/>
    <col min="14362" max="14364" width="9.140625" style="1059"/>
    <col min="14365" max="14365" width="11.42578125" style="1059" bestFit="1" customWidth="1"/>
    <col min="14366" max="14367" width="9.140625" style="1059"/>
    <col min="14368" max="14368" width="10.140625" style="1059" bestFit="1" customWidth="1"/>
    <col min="14369" max="14369" width="11.42578125" style="1059" bestFit="1" customWidth="1"/>
    <col min="14370" max="14590" width="9.140625" style="1059"/>
    <col min="14591" max="14591" width="4.28515625" style="1059" customWidth="1"/>
    <col min="14592" max="14592" width="9.140625" style="1059" bestFit="1" customWidth="1"/>
    <col min="14593" max="14593" width="12" style="1059" customWidth="1"/>
    <col min="14594" max="14594" width="14.7109375" style="1059" customWidth="1"/>
    <col min="14595" max="14595" width="13.140625" style="1059" customWidth="1"/>
    <col min="14596" max="14596" width="9.5703125" style="1059" customWidth="1"/>
    <col min="14597" max="14597" width="13.28515625" style="1059" customWidth="1"/>
    <col min="14598" max="14598" width="16.5703125" style="1059" bestFit="1" customWidth="1"/>
    <col min="14599" max="14599" width="10.85546875" style="1059" bestFit="1" customWidth="1"/>
    <col min="14600" max="14600" width="8.28515625" style="1059" bestFit="1" customWidth="1"/>
    <col min="14601" max="14601" width="16" style="1059" customWidth="1"/>
    <col min="14602" max="14602" width="15.42578125" style="1059" bestFit="1" customWidth="1"/>
    <col min="14603" max="14603" width="16" style="1059" customWidth="1"/>
    <col min="14604" max="14604" width="11.42578125" style="1059" bestFit="1" customWidth="1"/>
    <col min="14605" max="14605" width="14.140625" style="1059" customWidth="1"/>
    <col min="14606" max="14606" width="15" style="1059" bestFit="1" customWidth="1"/>
    <col min="14607" max="14607" width="13.28515625" style="1059" bestFit="1" customWidth="1"/>
    <col min="14608" max="14608" width="15" style="1059" bestFit="1" customWidth="1"/>
    <col min="14609" max="14609" width="13" style="1059" customWidth="1"/>
    <col min="14610" max="14610" width="26.42578125" style="1059" bestFit="1" customWidth="1"/>
    <col min="14611" max="14611" width="8.28515625" style="1059" customWidth="1"/>
    <col min="14612" max="14612" width="9.140625" style="1059"/>
    <col min="14613" max="14613" width="11.42578125" style="1059" bestFit="1" customWidth="1"/>
    <col min="14614" max="14616" width="9.140625" style="1059"/>
    <col min="14617" max="14617" width="11.42578125" style="1059" bestFit="1" customWidth="1"/>
    <col min="14618" max="14620" width="9.140625" style="1059"/>
    <col min="14621" max="14621" width="11.42578125" style="1059" bestFit="1" customWidth="1"/>
    <col min="14622" max="14623" width="9.140625" style="1059"/>
    <col min="14624" max="14624" width="10.140625" style="1059" bestFit="1" customWidth="1"/>
    <col min="14625" max="14625" width="11.42578125" style="1059" bestFit="1" customWidth="1"/>
    <col min="14626" max="14846" width="9.140625" style="1059"/>
    <col min="14847" max="14847" width="4.28515625" style="1059" customWidth="1"/>
    <col min="14848" max="14848" width="9.140625" style="1059" bestFit="1" customWidth="1"/>
    <col min="14849" max="14849" width="12" style="1059" customWidth="1"/>
    <col min="14850" max="14850" width="14.7109375" style="1059" customWidth="1"/>
    <col min="14851" max="14851" width="13.140625" style="1059" customWidth="1"/>
    <col min="14852" max="14852" width="9.5703125" style="1059" customWidth="1"/>
    <col min="14853" max="14853" width="13.28515625" style="1059" customWidth="1"/>
    <col min="14854" max="14854" width="16.5703125" style="1059" bestFit="1" customWidth="1"/>
    <col min="14855" max="14855" width="10.85546875" style="1059" bestFit="1" customWidth="1"/>
    <col min="14856" max="14856" width="8.28515625" style="1059" bestFit="1" customWidth="1"/>
    <col min="14857" max="14857" width="16" style="1059" customWidth="1"/>
    <col min="14858" max="14858" width="15.42578125" style="1059" bestFit="1" customWidth="1"/>
    <col min="14859" max="14859" width="16" style="1059" customWidth="1"/>
    <col min="14860" max="14860" width="11.42578125" style="1059" bestFit="1" customWidth="1"/>
    <col min="14861" max="14861" width="14.140625" style="1059" customWidth="1"/>
    <col min="14862" max="14862" width="15" style="1059" bestFit="1" customWidth="1"/>
    <col min="14863" max="14863" width="13.28515625" style="1059" bestFit="1" customWidth="1"/>
    <col min="14864" max="14864" width="15" style="1059" bestFit="1" customWidth="1"/>
    <col min="14865" max="14865" width="13" style="1059" customWidth="1"/>
    <col min="14866" max="14866" width="26.42578125" style="1059" bestFit="1" customWidth="1"/>
    <col min="14867" max="14867" width="8.28515625" style="1059" customWidth="1"/>
    <col min="14868" max="14868" width="9.140625" style="1059"/>
    <col min="14869" max="14869" width="11.42578125" style="1059" bestFit="1" customWidth="1"/>
    <col min="14870" max="14872" width="9.140625" style="1059"/>
    <col min="14873" max="14873" width="11.42578125" style="1059" bestFit="1" customWidth="1"/>
    <col min="14874" max="14876" width="9.140625" style="1059"/>
    <col min="14877" max="14877" width="11.42578125" style="1059" bestFit="1" customWidth="1"/>
    <col min="14878" max="14879" width="9.140625" style="1059"/>
    <col min="14880" max="14880" width="10.140625" style="1059" bestFit="1" customWidth="1"/>
    <col min="14881" max="14881" width="11.42578125" style="1059" bestFit="1" customWidth="1"/>
    <col min="14882" max="15102" width="9.140625" style="1059"/>
    <col min="15103" max="15103" width="4.28515625" style="1059" customWidth="1"/>
    <col min="15104" max="15104" width="9.140625" style="1059" bestFit="1" customWidth="1"/>
    <col min="15105" max="15105" width="12" style="1059" customWidth="1"/>
    <col min="15106" max="15106" width="14.7109375" style="1059" customWidth="1"/>
    <col min="15107" max="15107" width="13.140625" style="1059" customWidth="1"/>
    <col min="15108" max="15108" width="9.5703125" style="1059" customWidth="1"/>
    <col min="15109" max="15109" width="13.28515625" style="1059" customWidth="1"/>
    <col min="15110" max="15110" width="16.5703125" style="1059" bestFit="1" customWidth="1"/>
    <col min="15111" max="15111" width="10.85546875" style="1059" bestFit="1" customWidth="1"/>
    <col min="15112" max="15112" width="8.28515625" style="1059" bestFit="1" customWidth="1"/>
    <col min="15113" max="15113" width="16" style="1059" customWidth="1"/>
    <col min="15114" max="15114" width="15.42578125" style="1059" bestFit="1" customWidth="1"/>
    <col min="15115" max="15115" width="16" style="1059" customWidth="1"/>
    <col min="15116" max="15116" width="11.42578125" style="1059" bestFit="1" customWidth="1"/>
    <col min="15117" max="15117" width="14.140625" style="1059" customWidth="1"/>
    <col min="15118" max="15118" width="15" style="1059" bestFit="1" customWidth="1"/>
    <col min="15119" max="15119" width="13.28515625" style="1059" bestFit="1" customWidth="1"/>
    <col min="15120" max="15120" width="15" style="1059" bestFit="1" customWidth="1"/>
    <col min="15121" max="15121" width="13" style="1059" customWidth="1"/>
    <col min="15122" max="15122" width="26.42578125" style="1059" bestFit="1" customWidth="1"/>
    <col min="15123" max="15123" width="8.28515625" style="1059" customWidth="1"/>
    <col min="15124" max="15124" width="9.140625" style="1059"/>
    <col min="15125" max="15125" width="11.42578125" style="1059" bestFit="1" customWidth="1"/>
    <col min="15126" max="15128" width="9.140625" style="1059"/>
    <col min="15129" max="15129" width="11.42578125" style="1059" bestFit="1" customWidth="1"/>
    <col min="15130" max="15132" width="9.140625" style="1059"/>
    <col min="15133" max="15133" width="11.42578125" style="1059" bestFit="1" customWidth="1"/>
    <col min="15134" max="15135" width="9.140625" style="1059"/>
    <col min="15136" max="15136" width="10.140625" style="1059" bestFit="1" customWidth="1"/>
    <col min="15137" max="15137" width="11.42578125" style="1059" bestFit="1" customWidth="1"/>
    <col min="15138" max="15358" width="9.140625" style="1059"/>
    <col min="15359" max="15359" width="4.28515625" style="1059" customWidth="1"/>
    <col min="15360" max="15360" width="9.140625" style="1059" bestFit="1" customWidth="1"/>
    <col min="15361" max="15361" width="12" style="1059" customWidth="1"/>
    <col min="15362" max="15362" width="14.7109375" style="1059" customWidth="1"/>
    <col min="15363" max="15363" width="13.140625" style="1059" customWidth="1"/>
    <col min="15364" max="15364" width="9.5703125" style="1059" customWidth="1"/>
    <col min="15365" max="15365" width="13.28515625" style="1059" customWidth="1"/>
    <col min="15366" max="15366" width="16.5703125" style="1059" bestFit="1" customWidth="1"/>
    <col min="15367" max="15367" width="10.85546875" style="1059" bestFit="1" customWidth="1"/>
    <col min="15368" max="15368" width="8.28515625" style="1059" bestFit="1" customWidth="1"/>
    <col min="15369" max="15369" width="16" style="1059" customWidth="1"/>
    <col min="15370" max="15370" width="15.42578125" style="1059" bestFit="1" customWidth="1"/>
    <col min="15371" max="15371" width="16" style="1059" customWidth="1"/>
    <col min="15372" max="15372" width="11.42578125" style="1059" bestFit="1" customWidth="1"/>
    <col min="15373" max="15373" width="14.140625" style="1059" customWidth="1"/>
    <col min="15374" max="15374" width="15" style="1059" bestFit="1" customWidth="1"/>
    <col min="15375" max="15375" width="13.28515625" style="1059" bestFit="1" customWidth="1"/>
    <col min="15376" max="15376" width="15" style="1059" bestFit="1" customWidth="1"/>
    <col min="15377" max="15377" width="13" style="1059" customWidth="1"/>
    <col min="15378" max="15378" width="26.42578125" style="1059" bestFit="1" customWidth="1"/>
    <col min="15379" max="15379" width="8.28515625" style="1059" customWidth="1"/>
    <col min="15380" max="15380" width="9.140625" style="1059"/>
    <col min="15381" max="15381" width="11.42578125" style="1059" bestFit="1" customWidth="1"/>
    <col min="15382" max="15384" width="9.140625" style="1059"/>
    <col min="15385" max="15385" width="11.42578125" style="1059" bestFit="1" customWidth="1"/>
    <col min="15386" max="15388" width="9.140625" style="1059"/>
    <col min="15389" max="15389" width="11.42578125" style="1059" bestFit="1" customWidth="1"/>
    <col min="15390" max="15391" width="9.140625" style="1059"/>
    <col min="15392" max="15392" width="10.140625" style="1059" bestFit="1" customWidth="1"/>
    <col min="15393" max="15393" width="11.42578125" style="1059" bestFit="1" customWidth="1"/>
    <col min="15394" max="15614" width="9.140625" style="1059"/>
    <col min="15615" max="15615" width="4.28515625" style="1059" customWidth="1"/>
    <col min="15616" max="15616" width="9.140625" style="1059" bestFit="1" customWidth="1"/>
    <col min="15617" max="15617" width="12" style="1059" customWidth="1"/>
    <col min="15618" max="15618" width="14.7109375" style="1059" customWidth="1"/>
    <col min="15619" max="15619" width="13.140625" style="1059" customWidth="1"/>
    <col min="15620" max="15620" width="9.5703125" style="1059" customWidth="1"/>
    <col min="15621" max="15621" width="13.28515625" style="1059" customWidth="1"/>
    <col min="15622" max="15622" width="16.5703125" style="1059" bestFit="1" customWidth="1"/>
    <col min="15623" max="15623" width="10.85546875" style="1059" bestFit="1" customWidth="1"/>
    <col min="15624" max="15624" width="8.28515625" style="1059" bestFit="1" customWidth="1"/>
    <col min="15625" max="15625" width="16" style="1059" customWidth="1"/>
    <col min="15626" max="15626" width="15.42578125" style="1059" bestFit="1" customWidth="1"/>
    <col min="15627" max="15627" width="16" style="1059" customWidth="1"/>
    <col min="15628" max="15628" width="11.42578125" style="1059" bestFit="1" customWidth="1"/>
    <col min="15629" max="15629" width="14.140625" style="1059" customWidth="1"/>
    <col min="15630" max="15630" width="15" style="1059" bestFit="1" customWidth="1"/>
    <col min="15631" max="15631" width="13.28515625" style="1059" bestFit="1" customWidth="1"/>
    <col min="15632" max="15632" width="15" style="1059" bestFit="1" customWidth="1"/>
    <col min="15633" max="15633" width="13" style="1059" customWidth="1"/>
    <col min="15634" max="15634" width="26.42578125" style="1059" bestFit="1" customWidth="1"/>
    <col min="15635" max="15635" width="8.28515625" style="1059" customWidth="1"/>
    <col min="15636" max="15636" width="9.140625" style="1059"/>
    <col min="15637" max="15637" width="11.42578125" style="1059" bestFit="1" customWidth="1"/>
    <col min="15638" max="15640" width="9.140625" style="1059"/>
    <col min="15641" max="15641" width="11.42578125" style="1059" bestFit="1" customWidth="1"/>
    <col min="15642" max="15644" width="9.140625" style="1059"/>
    <col min="15645" max="15645" width="11.42578125" style="1059" bestFit="1" customWidth="1"/>
    <col min="15646" max="15647" width="9.140625" style="1059"/>
    <col min="15648" max="15648" width="10.140625" style="1059" bestFit="1" customWidth="1"/>
    <col min="15649" max="15649" width="11.42578125" style="1059" bestFit="1" customWidth="1"/>
    <col min="15650" max="15870" width="9.140625" style="1059"/>
    <col min="15871" max="15871" width="4.28515625" style="1059" customWidth="1"/>
    <col min="15872" max="15872" width="9.140625" style="1059" bestFit="1" customWidth="1"/>
    <col min="15873" max="15873" width="12" style="1059" customWidth="1"/>
    <col min="15874" max="15874" width="14.7109375" style="1059" customWidth="1"/>
    <col min="15875" max="15875" width="13.140625" style="1059" customWidth="1"/>
    <col min="15876" max="15876" width="9.5703125" style="1059" customWidth="1"/>
    <col min="15877" max="15877" width="13.28515625" style="1059" customWidth="1"/>
    <col min="15878" max="15878" width="16.5703125" style="1059" bestFit="1" customWidth="1"/>
    <col min="15879" max="15879" width="10.85546875" style="1059" bestFit="1" customWidth="1"/>
    <col min="15880" max="15880" width="8.28515625" style="1059" bestFit="1" customWidth="1"/>
    <col min="15881" max="15881" width="16" style="1059" customWidth="1"/>
    <col min="15882" max="15882" width="15.42578125" style="1059" bestFit="1" customWidth="1"/>
    <col min="15883" max="15883" width="16" style="1059" customWidth="1"/>
    <col min="15884" max="15884" width="11.42578125" style="1059" bestFit="1" customWidth="1"/>
    <col min="15885" max="15885" width="14.140625" style="1059" customWidth="1"/>
    <col min="15886" max="15886" width="15" style="1059" bestFit="1" customWidth="1"/>
    <col min="15887" max="15887" width="13.28515625" style="1059" bestFit="1" customWidth="1"/>
    <col min="15888" max="15888" width="15" style="1059" bestFit="1" customWidth="1"/>
    <col min="15889" max="15889" width="13" style="1059" customWidth="1"/>
    <col min="15890" max="15890" width="26.42578125" style="1059" bestFit="1" customWidth="1"/>
    <col min="15891" max="15891" width="8.28515625" style="1059" customWidth="1"/>
    <col min="15892" max="15892" width="9.140625" style="1059"/>
    <col min="15893" max="15893" width="11.42578125" style="1059" bestFit="1" customWidth="1"/>
    <col min="15894" max="15896" width="9.140625" style="1059"/>
    <col min="15897" max="15897" width="11.42578125" style="1059" bestFit="1" customWidth="1"/>
    <col min="15898" max="15900" width="9.140625" style="1059"/>
    <col min="15901" max="15901" width="11.42578125" style="1059" bestFit="1" customWidth="1"/>
    <col min="15902" max="15903" width="9.140625" style="1059"/>
    <col min="15904" max="15904" width="10.140625" style="1059" bestFit="1" customWidth="1"/>
    <col min="15905" max="15905" width="11.42578125" style="1059" bestFit="1" customWidth="1"/>
    <col min="15906" max="16126" width="9.140625" style="1059"/>
    <col min="16127" max="16127" width="4.28515625" style="1059" customWidth="1"/>
    <col min="16128" max="16128" width="9.140625" style="1059" bestFit="1" customWidth="1"/>
    <col min="16129" max="16129" width="12" style="1059" customWidth="1"/>
    <col min="16130" max="16130" width="14.7109375" style="1059" customWidth="1"/>
    <col min="16131" max="16131" width="13.140625" style="1059" customWidth="1"/>
    <col min="16132" max="16132" width="9.5703125" style="1059" customWidth="1"/>
    <col min="16133" max="16133" width="13.28515625" style="1059" customWidth="1"/>
    <col min="16134" max="16134" width="16.5703125" style="1059" bestFit="1" customWidth="1"/>
    <col min="16135" max="16135" width="10.85546875" style="1059" bestFit="1" customWidth="1"/>
    <col min="16136" max="16136" width="8.28515625" style="1059" bestFit="1" customWidth="1"/>
    <col min="16137" max="16137" width="16" style="1059" customWidth="1"/>
    <col min="16138" max="16138" width="15.42578125" style="1059" bestFit="1" customWidth="1"/>
    <col min="16139" max="16139" width="16" style="1059" customWidth="1"/>
    <col min="16140" max="16140" width="11.42578125" style="1059" bestFit="1" customWidth="1"/>
    <col min="16141" max="16141" width="14.140625" style="1059" customWidth="1"/>
    <col min="16142" max="16142" width="15" style="1059" bestFit="1" customWidth="1"/>
    <col min="16143" max="16143" width="13.28515625" style="1059" bestFit="1" customWidth="1"/>
    <col min="16144" max="16144" width="15" style="1059" bestFit="1" customWidth="1"/>
    <col min="16145" max="16145" width="13" style="1059" customWidth="1"/>
    <col min="16146" max="16146" width="26.42578125" style="1059" bestFit="1" customWidth="1"/>
    <col min="16147" max="16147" width="8.28515625" style="1059" customWidth="1"/>
    <col min="16148" max="16148" width="9.140625" style="1059"/>
    <col min="16149" max="16149" width="11.42578125" style="1059" bestFit="1" customWidth="1"/>
    <col min="16150" max="16152" width="9.140625" style="1059"/>
    <col min="16153" max="16153" width="11.42578125" style="1059" bestFit="1" customWidth="1"/>
    <col min="16154" max="16156" width="9.140625" style="1059"/>
    <col min="16157" max="16157" width="11.42578125" style="1059" bestFit="1" customWidth="1"/>
    <col min="16158" max="16159" width="9.140625" style="1059"/>
    <col min="16160" max="16160" width="10.140625" style="1059" bestFit="1" customWidth="1"/>
    <col min="16161" max="16161" width="11.42578125" style="1059" bestFit="1" customWidth="1"/>
    <col min="16162" max="16384" width="9.140625" style="1059"/>
  </cols>
  <sheetData>
    <row r="1" spans="2:22" ht="24.95" customHeight="1" x14ac:dyDescent="0.2">
      <c r="B1" s="1652" t="s">
        <v>1026</v>
      </c>
      <c r="C1" s="1652"/>
      <c r="D1" s="1652"/>
      <c r="E1" s="1652"/>
      <c r="F1" s="1652"/>
      <c r="G1" s="1652"/>
      <c r="H1" s="1652"/>
      <c r="I1" s="1652"/>
      <c r="J1" s="1652"/>
      <c r="K1" s="1652"/>
      <c r="L1" s="1652"/>
      <c r="M1" s="1652"/>
      <c r="N1" s="1652"/>
      <c r="O1" s="1652"/>
      <c r="P1" s="1652"/>
      <c r="Q1" s="1652"/>
      <c r="R1" s="1652"/>
      <c r="S1" s="1652"/>
    </row>
    <row r="2" spans="2:22" ht="24.95" customHeight="1" x14ac:dyDescent="0.2">
      <c r="B2" s="1652" t="s">
        <v>1027</v>
      </c>
      <c r="C2" s="1652"/>
      <c r="D2" s="1652"/>
      <c r="E2" s="1652"/>
      <c r="F2" s="1652"/>
      <c r="G2" s="1652"/>
      <c r="H2" s="1652"/>
      <c r="I2" s="1652"/>
      <c r="J2" s="1652"/>
      <c r="K2" s="1652"/>
      <c r="L2" s="1652"/>
      <c r="M2" s="1652"/>
      <c r="N2" s="1652"/>
      <c r="O2" s="1652"/>
      <c r="P2" s="1652"/>
      <c r="Q2" s="1652"/>
      <c r="R2" s="1652"/>
      <c r="S2" s="1652"/>
    </row>
    <row r="3" spans="2:22" ht="45" x14ac:dyDescent="0.2">
      <c r="B3" s="1060" t="s">
        <v>1028</v>
      </c>
      <c r="C3" s="1060" t="s">
        <v>1029</v>
      </c>
      <c r="D3" s="1060" t="s">
        <v>1030</v>
      </c>
      <c r="E3" s="1061" t="s">
        <v>1031</v>
      </c>
      <c r="F3" s="1060" t="s">
        <v>1032</v>
      </c>
      <c r="G3" s="1060" t="s">
        <v>1033</v>
      </c>
      <c r="H3" s="1061" t="s">
        <v>1034</v>
      </c>
      <c r="I3" s="1060" t="s">
        <v>1035</v>
      </c>
      <c r="J3" s="1061" t="s">
        <v>1036</v>
      </c>
      <c r="K3" s="1061" t="s">
        <v>1037</v>
      </c>
      <c r="L3" s="1061" t="s">
        <v>1038</v>
      </c>
      <c r="M3" s="1061" t="s">
        <v>1039</v>
      </c>
      <c r="N3" s="1062" t="s">
        <v>1040</v>
      </c>
      <c r="O3" s="1063" t="s">
        <v>1041</v>
      </c>
      <c r="P3" s="1063" t="s">
        <v>1042</v>
      </c>
      <c r="Q3" s="1063" t="s">
        <v>1043</v>
      </c>
      <c r="R3" s="1061" t="s">
        <v>1044</v>
      </c>
      <c r="S3" s="1061" t="s">
        <v>1045</v>
      </c>
      <c r="U3" s="1064" t="s">
        <v>1046</v>
      </c>
      <c r="V3" s="1064" t="s">
        <v>1047</v>
      </c>
    </row>
    <row r="4" spans="2:22" ht="45" x14ac:dyDescent="0.2">
      <c r="B4" s="1060" t="s">
        <v>1028</v>
      </c>
      <c r="C4" s="1060" t="s">
        <v>1029</v>
      </c>
      <c r="D4" s="1060" t="s">
        <v>1030</v>
      </c>
      <c r="E4" s="1061" t="s">
        <v>1031</v>
      </c>
      <c r="F4" s="1060" t="s">
        <v>1032</v>
      </c>
      <c r="G4" s="1060" t="s">
        <v>1033</v>
      </c>
      <c r="H4" s="1061" t="s">
        <v>1034</v>
      </c>
      <c r="I4" s="1060" t="s">
        <v>1035</v>
      </c>
      <c r="J4" s="1061" t="s">
        <v>1036</v>
      </c>
      <c r="K4" s="1061" t="s">
        <v>1037</v>
      </c>
      <c r="L4" s="1061" t="s">
        <v>1038</v>
      </c>
      <c r="M4" s="1061" t="s">
        <v>1039</v>
      </c>
      <c r="N4" s="1062" t="s">
        <v>1040</v>
      </c>
      <c r="O4" s="1063" t="s">
        <v>1041</v>
      </c>
      <c r="P4" s="1063" t="s">
        <v>1042</v>
      </c>
      <c r="Q4" s="1063" t="s">
        <v>1043</v>
      </c>
      <c r="R4" s="1061" t="s">
        <v>1044</v>
      </c>
      <c r="S4" s="1061" t="s">
        <v>1045</v>
      </c>
      <c r="U4" s="1064"/>
      <c r="V4" s="1064"/>
    </row>
    <row r="5" spans="2:22" x14ac:dyDescent="0.2">
      <c r="B5" s="1065" t="s">
        <v>1048</v>
      </c>
      <c r="C5" s="1066" t="s">
        <v>1049</v>
      </c>
      <c r="D5" s="1066" t="s">
        <v>1050</v>
      </c>
      <c r="E5" s="1066" t="s">
        <v>1051</v>
      </c>
      <c r="F5" s="1066" t="s">
        <v>1052</v>
      </c>
      <c r="G5" s="1067"/>
      <c r="H5" s="1066" t="s">
        <v>1053</v>
      </c>
      <c r="I5" s="1066" t="s">
        <v>1054</v>
      </c>
      <c r="J5" s="1066" t="s">
        <v>1055</v>
      </c>
      <c r="K5" s="1066" t="s">
        <v>1056</v>
      </c>
      <c r="L5" s="1067"/>
      <c r="M5" s="1067"/>
      <c r="N5" s="1067"/>
      <c r="O5" s="1066" t="s">
        <v>1057</v>
      </c>
      <c r="P5" s="1066" t="s">
        <v>1057</v>
      </c>
      <c r="Q5" s="1066" t="s">
        <v>1057</v>
      </c>
      <c r="R5" s="1066" t="s">
        <v>1058</v>
      </c>
      <c r="S5" s="1067"/>
      <c r="U5" s="1064"/>
      <c r="V5" s="1064"/>
    </row>
    <row r="6" spans="2:22" x14ac:dyDescent="0.2">
      <c r="B6" s="1067"/>
      <c r="C6" s="1067"/>
      <c r="D6" s="1067"/>
      <c r="E6" s="1067"/>
      <c r="F6" s="1067"/>
      <c r="G6" s="1066" t="s">
        <v>1052</v>
      </c>
      <c r="H6" s="1067"/>
      <c r="I6" s="1067"/>
      <c r="J6" s="1067"/>
      <c r="K6" s="1066" t="s">
        <v>1056</v>
      </c>
      <c r="L6" s="1066" t="s">
        <v>1059</v>
      </c>
      <c r="M6" s="1066" t="s">
        <v>1060</v>
      </c>
      <c r="N6" s="1066" t="s">
        <v>1061</v>
      </c>
      <c r="O6" s="1066" t="s">
        <v>1062</v>
      </c>
      <c r="P6" s="1066" t="s">
        <v>1063</v>
      </c>
      <c r="Q6" s="1066" t="s">
        <v>1064</v>
      </c>
      <c r="R6" s="1067"/>
      <c r="S6" s="1067"/>
      <c r="U6" s="1064"/>
      <c r="V6" s="1064"/>
    </row>
    <row r="7" spans="2:22" x14ac:dyDescent="0.2">
      <c r="B7" s="1067"/>
      <c r="C7" s="1066" t="s">
        <v>1065</v>
      </c>
      <c r="D7" s="1066" t="s">
        <v>1066</v>
      </c>
      <c r="E7" s="1066" t="s">
        <v>1067</v>
      </c>
      <c r="F7" s="1066" t="s">
        <v>1068</v>
      </c>
      <c r="G7" s="1067"/>
      <c r="H7" s="1066" t="s">
        <v>1053</v>
      </c>
      <c r="I7" s="1066" t="s">
        <v>1054</v>
      </c>
      <c r="J7" s="1066" t="s">
        <v>1055</v>
      </c>
      <c r="K7" s="1066" t="s">
        <v>1056</v>
      </c>
      <c r="L7" s="1067"/>
      <c r="M7" s="1067"/>
      <c r="N7" s="1067"/>
      <c r="O7" s="1066" t="s">
        <v>1057</v>
      </c>
      <c r="P7" s="1066" t="s">
        <v>1057</v>
      </c>
      <c r="Q7" s="1066" t="s">
        <v>1057</v>
      </c>
      <c r="R7" s="1066" t="s">
        <v>1069</v>
      </c>
      <c r="S7" s="1067"/>
      <c r="U7" s="1064"/>
      <c r="V7" s="1064"/>
    </row>
    <row r="8" spans="2:22" x14ac:dyDescent="0.2">
      <c r="B8" s="1067"/>
      <c r="C8" s="1067"/>
      <c r="D8" s="1067"/>
      <c r="E8" s="1067"/>
      <c r="F8" s="1067"/>
      <c r="G8" s="1066" t="s">
        <v>1068</v>
      </c>
      <c r="H8" s="1067"/>
      <c r="I8" s="1067"/>
      <c r="J8" s="1067"/>
      <c r="K8" s="1066" t="s">
        <v>1056</v>
      </c>
      <c r="L8" s="1066" t="s">
        <v>1070</v>
      </c>
      <c r="M8" s="1066" t="s">
        <v>1060</v>
      </c>
      <c r="N8" s="1066" t="s">
        <v>1061</v>
      </c>
      <c r="O8" s="1066" t="s">
        <v>1071</v>
      </c>
      <c r="P8" s="1066" t="s">
        <v>1063</v>
      </c>
      <c r="Q8" s="1066" t="s">
        <v>1072</v>
      </c>
      <c r="R8" s="1067"/>
      <c r="S8" s="1067"/>
      <c r="U8" s="1064"/>
      <c r="V8" s="1064"/>
    </row>
    <row r="9" spans="2:22" x14ac:dyDescent="0.2">
      <c r="B9" s="1067"/>
      <c r="C9" s="1066" t="s">
        <v>1073</v>
      </c>
      <c r="D9" s="1066" t="s">
        <v>1074</v>
      </c>
      <c r="E9" s="1066" t="s">
        <v>1075</v>
      </c>
      <c r="F9" s="1066" t="s">
        <v>1076</v>
      </c>
      <c r="G9" s="1067"/>
      <c r="H9" s="1066" t="s">
        <v>1053</v>
      </c>
      <c r="I9" s="1066" t="s">
        <v>1054</v>
      </c>
      <c r="J9" s="1066" t="s">
        <v>1055</v>
      </c>
      <c r="K9" s="1066" t="s">
        <v>1056</v>
      </c>
      <c r="L9" s="1067"/>
      <c r="M9" s="1067"/>
      <c r="N9" s="1067"/>
      <c r="O9" s="1066" t="s">
        <v>1057</v>
      </c>
      <c r="P9" s="1066" t="s">
        <v>1057</v>
      </c>
      <c r="Q9" s="1066" t="s">
        <v>1057</v>
      </c>
      <c r="R9" s="1066" t="s">
        <v>1077</v>
      </c>
      <c r="S9" s="1067"/>
      <c r="U9" s="1064"/>
      <c r="V9" s="1064"/>
    </row>
    <row r="10" spans="2:22" x14ac:dyDescent="0.2">
      <c r="B10" s="1067"/>
      <c r="C10" s="1067"/>
      <c r="D10" s="1067"/>
      <c r="E10" s="1067"/>
      <c r="F10" s="1067"/>
      <c r="G10" s="1066" t="s">
        <v>1076</v>
      </c>
      <c r="H10" s="1067"/>
      <c r="I10" s="1067"/>
      <c r="J10" s="1067"/>
      <c r="K10" s="1066" t="s">
        <v>1056</v>
      </c>
      <c r="L10" s="1066" t="s">
        <v>1078</v>
      </c>
      <c r="M10" s="1066" t="s">
        <v>1060</v>
      </c>
      <c r="N10" s="1066" t="s">
        <v>1061</v>
      </c>
      <c r="O10" s="1066" t="s">
        <v>1079</v>
      </c>
      <c r="P10" s="1066" t="s">
        <v>1063</v>
      </c>
      <c r="Q10" s="1066" t="s">
        <v>1080</v>
      </c>
      <c r="R10" s="1067"/>
      <c r="S10" s="1067"/>
      <c r="U10" s="1064"/>
      <c r="V10" s="1064"/>
    </row>
    <row r="11" spans="2:22" x14ac:dyDescent="0.2">
      <c r="B11" s="1067"/>
      <c r="C11" s="1066" t="s">
        <v>1081</v>
      </c>
      <c r="D11" s="1066" t="s">
        <v>1082</v>
      </c>
      <c r="E11" s="1066" t="s">
        <v>1083</v>
      </c>
      <c r="F11" s="1066" t="s">
        <v>1084</v>
      </c>
      <c r="G11" s="1067"/>
      <c r="H11" s="1066" t="s">
        <v>1053</v>
      </c>
      <c r="I11" s="1066" t="s">
        <v>1054</v>
      </c>
      <c r="J11" s="1066" t="s">
        <v>1055</v>
      </c>
      <c r="K11" s="1066" t="s">
        <v>1056</v>
      </c>
      <c r="L11" s="1067"/>
      <c r="M11" s="1067"/>
      <c r="N11" s="1067"/>
      <c r="O11" s="1066" t="s">
        <v>1057</v>
      </c>
      <c r="P11" s="1066" t="s">
        <v>1057</v>
      </c>
      <c r="Q11" s="1066" t="s">
        <v>1057</v>
      </c>
      <c r="R11" s="1066" t="s">
        <v>1085</v>
      </c>
      <c r="S11" s="1067"/>
      <c r="U11" s="1064"/>
      <c r="V11" s="1064"/>
    </row>
    <row r="12" spans="2:22" x14ac:dyDescent="0.2">
      <c r="B12" s="1067"/>
      <c r="C12" s="1067"/>
      <c r="D12" s="1067"/>
      <c r="E12" s="1067"/>
      <c r="F12" s="1067"/>
      <c r="G12" s="1066" t="s">
        <v>1084</v>
      </c>
      <c r="H12" s="1067"/>
      <c r="I12" s="1067"/>
      <c r="J12" s="1067"/>
      <c r="K12" s="1066" t="s">
        <v>1056</v>
      </c>
      <c r="L12" s="1066" t="s">
        <v>1086</v>
      </c>
      <c r="M12" s="1066" t="s">
        <v>1060</v>
      </c>
      <c r="N12" s="1066" t="s">
        <v>1061</v>
      </c>
      <c r="O12" s="1066" t="s">
        <v>1087</v>
      </c>
      <c r="P12" s="1066" t="s">
        <v>1063</v>
      </c>
      <c r="Q12" s="1066" t="s">
        <v>1088</v>
      </c>
      <c r="R12" s="1067"/>
      <c r="S12" s="1067"/>
      <c r="U12" s="1064"/>
      <c r="V12" s="1064"/>
    </row>
    <row r="13" spans="2:22" x14ac:dyDescent="0.2">
      <c r="B13" s="1067"/>
      <c r="C13" s="1066" t="s">
        <v>1089</v>
      </c>
      <c r="D13" s="1066" t="s">
        <v>1090</v>
      </c>
      <c r="E13" s="1066" t="s">
        <v>1051</v>
      </c>
      <c r="F13" s="1066" t="s">
        <v>1091</v>
      </c>
      <c r="G13" s="1067"/>
      <c r="H13" s="1066" t="s">
        <v>1053</v>
      </c>
      <c r="I13" s="1066" t="s">
        <v>1054</v>
      </c>
      <c r="J13" s="1066" t="s">
        <v>1055</v>
      </c>
      <c r="K13" s="1066" t="s">
        <v>1056</v>
      </c>
      <c r="L13" s="1067"/>
      <c r="M13" s="1067"/>
      <c r="N13" s="1067"/>
      <c r="O13" s="1066" t="s">
        <v>1057</v>
      </c>
      <c r="P13" s="1066" t="s">
        <v>1057</v>
      </c>
      <c r="Q13" s="1066" t="s">
        <v>1057</v>
      </c>
      <c r="R13" s="1066" t="s">
        <v>1092</v>
      </c>
      <c r="S13" s="1067"/>
      <c r="U13" s="1064"/>
      <c r="V13" s="1064"/>
    </row>
    <row r="14" spans="2:22" x14ac:dyDescent="0.2">
      <c r="B14" s="1065"/>
      <c r="C14" s="1065"/>
      <c r="D14" s="1065"/>
      <c r="E14" s="1065"/>
      <c r="F14" s="1065"/>
      <c r="G14" s="1066" t="s">
        <v>1091</v>
      </c>
      <c r="H14" s="1065"/>
      <c r="I14" s="1065"/>
      <c r="J14" s="1065"/>
      <c r="K14" s="1066" t="s">
        <v>1056</v>
      </c>
      <c r="L14" s="1066" t="s">
        <v>1093</v>
      </c>
      <c r="M14" s="1066" t="s">
        <v>1060</v>
      </c>
      <c r="N14" s="1066" t="s">
        <v>1061</v>
      </c>
      <c r="O14" s="1066" t="s">
        <v>1094</v>
      </c>
      <c r="P14" s="1066" t="s">
        <v>1095</v>
      </c>
      <c r="Q14" s="1066" t="s">
        <v>1096</v>
      </c>
      <c r="R14" s="1065"/>
      <c r="S14" s="1065"/>
      <c r="U14" s="1064"/>
      <c r="V14" s="1064"/>
    </row>
    <row r="15" spans="2:22" x14ac:dyDescent="0.2">
      <c r="B15" s="1065" t="s">
        <v>1060</v>
      </c>
      <c r="C15" s="1066" t="s">
        <v>1097</v>
      </c>
      <c r="D15" s="1066" t="s">
        <v>1098</v>
      </c>
      <c r="E15" s="1066" t="s">
        <v>1099</v>
      </c>
      <c r="F15" s="1066" t="s">
        <v>1100</v>
      </c>
      <c r="G15" s="1067"/>
      <c r="H15" s="1066" t="s">
        <v>1053</v>
      </c>
      <c r="I15" s="1066" t="s">
        <v>1054</v>
      </c>
      <c r="J15" s="1066" t="s">
        <v>1055</v>
      </c>
      <c r="K15" s="1066" t="s">
        <v>1056</v>
      </c>
      <c r="L15" s="1067"/>
      <c r="M15" s="1067"/>
      <c r="N15" s="1067"/>
      <c r="O15" s="1066" t="s">
        <v>1057</v>
      </c>
      <c r="P15" s="1066" t="s">
        <v>1057</v>
      </c>
      <c r="Q15" s="1066" t="s">
        <v>1057</v>
      </c>
      <c r="R15" s="1066" t="s">
        <v>1101</v>
      </c>
      <c r="S15" s="1067"/>
      <c r="U15" s="1064"/>
      <c r="V15" s="1064"/>
    </row>
    <row r="16" spans="2:22" x14ac:dyDescent="0.2">
      <c r="B16" s="1065"/>
      <c r="C16" s="1065"/>
      <c r="D16" s="1065"/>
      <c r="E16" s="1065"/>
      <c r="F16" s="1065"/>
      <c r="G16" s="1066" t="s">
        <v>1100</v>
      </c>
      <c r="H16" s="1065"/>
      <c r="I16" s="1065"/>
      <c r="J16" s="1065"/>
      <c r="K16" s="1066" t="s">
        <v>1056</v>
      </c>
      <c r="L16" s="1066" t="s">
        <v>1102</v>
      </c>
      <c r="M16" s="1066" t="s">
        <v>1060</v>
      </c>
      <c r="N16" s="1066" t="s">
        <v>1061</v>
      </c>
      <c r="O16" s="1066" t="s">
        <v>1103</v>
      </c>
      <c r="P16" s="1066" t="s">
        <v>1063</v>
      </c>
      <c r="Q16" s="1066" t="s">
        <v>1104</v>
      </c>
      <c r="R16" s="1065"/>
      <c r="S16" s="1065"/>
      <c r="U16" s="1064"/>
      <c r="V16" s="1064"/>
    </row>
    <row r="17" spans="2:22" x14ac:dyDescent="0.2">
      <c r="B17" s="1065" t="s">
        <v>1105</v>
      </c>
      <c r="C17" s="1066" t="s">
        <v>1106</v>
      </c>
      <c r="D17" s="1066" t="s">
        <v>1107</v>
      </c>
      <c r="E17" s="1066" t="s">
        <v>1099</v>
      </c>
      <c r="F17" s="1066" t="s">
        <v>1108</v>
      </c>
      <c r="G17" s="1067"/>
      <c r="H17" s="1066" t="s">
        <v>1053</v>
      </c>
      <c r="I17" s="1066" t="s">
        <v>1054</v>
      </c>
      <c r="J17" s="1066" t="s">
        <v>1055</v>
      </c>
      <c r="K17" s="1066" t="s">
        <v>1056</v>
      </c>
      <c r="L17" s="1067"/>
      <c r="M17" s="1067"/>
      <c r="N17" s="1067"/>
      <c r="O17" s="1066" t="s">
        <v>1057</v>
      </c>
      <c r="P17" s="1066" t="s">
        <v>1057</v>
      </c>
      <c r="Q17" s="1066" t="s">
        <v>1057</v>
      </c>
      <c r="R17" s="1066" t="s">
        <v>1109</v>
      </c>
      <c r="S17" s="1067"/>
      <c r="U17" s="1064"/>
      <c r="V17" s="1064"/>
    </row>
    <row r="18" spans="2:22" x14ac:dyDescent="0.2">
      <c r="B18" s="1065"/>
      <c r="C18" s="1065"/>
      <c r="D18" s="1065"/>
      <c r="E18" s="1065"/>
      <c r="F18" s="1065"/>
      <c r="G18" s="1066" t="s">
        <v>1108</v>
      </c>
      <c r="H18" s="1065"/>
      <c r="I18" s="1065"/>
      <c r="J18" s="1065"/>
      <c r="K18" s="1066" t="s">
        <v>1056</v>
      </c>
      <c r="L18" s="1066" t="s">
        <v>1110</v>
      </c>
      <c r="M18" s="1066" t="s">
        <v>1060</v>
      </c>
      <c r="N18" s="1066" t="s">
        <v>1061</v>
      </c>
      <c r="O18" s="1066" t="s">
        <v>1111</v>
      </c>
      <c r="P18" s="1066" t="s">
        <v>1095</v>
      </c>
      <c r="Q18" s="1066" t="s">
        <v>1112</v>
      </c>
      <c r="R18" s="1065"/>
      <c r="S18" s="1065"/>
      <c r="U18" s="1064"/>
      <c r="V18" s="1064"/>
    </row>
    <row r="19" spans="2:22" x14ac:dyDescent="0.2">
      <c r="B19" s="1065" t="s">
        <v>1113</v>
      </c>
      <c r="C19" s="1066" t="s">
        <v>1114</v>
      </c>
      <c r="D19" s="1066" t="s">
        <v>1115</v>
      </c>
      <c r="E19" s="1066" t="s">
        <v>1116</v>
      </c>
      <c r="F19" s="1066" t="s">
        <v>1117</v>
      </c>
      <c r="G19" s="1067"/>
      <c r="H19" s="1066" t="s">
        <v>1053</v>
      </c>
      <c r="I19" s="1066" t="s">
        <v>1054</v>
      </c>
      <c r="J19" s="1066" t="s">
        <v>1055</v>
      </c>
      <c r="K19" s="1066" t="s">
        <v>1056</v>
      </c>
      <c r="L19" s="1067"/>
      <c r="M19" s="1067"/>
      <c r="N19" s="1067"/>
      <c r="O19" s="1066" t="s">
        <v>1057</v>
      </c>
      <c r="P19" s="1066" t="s">
        <v>1057</v>
      </c>
      <c r="Q19" s="1066" t="s">
        <v>1057</v>
      </c>
      <c r="R19" s="1066" t="s">
        <v>1118</v>
      </c>
      <c r="S19" s="1067"/>
      <c r="U19" s="1064"/>
      <c r="V19" s="1064"/>
    </row>
    <row r="20" spans="2:22" x14ac:dyDescent="0.2">
      <c r="B20" s="1065"/>
      <c r="C20" s="1065"/>
      <c r="D20" s="1065"/>
      <c r="E20" s="1065"/>
      <c r="F20" s="1065"/>
      <c r="G20" s="1066" t="s">
        <v>1117</v>
      </c>
      <c r="H20" s="1065"/>
      <c r="I20" s="1065"/>
      <c r="J20" s="1065"/>
      <c r="K20" s="1066" t="s">
        <v>1056</v>
      </c>
      <c r="L20" s="1066" t="s">
        <v>1119</v>
      </c>
      <c r="M20" s="1066" t="s">
        <v>1060</v>
      </c>
      <c r="N20" s="1066" t="s">
        <v>1061</v>
      </c>
      <c r="O20" s="1066" t="s">
        <v>1120</v>
      </c>
      <c r="P20" s="1066" t="s">
        <v>1063</v>
      </c>
      <c r="Q20" s="1066" t="s">
        <v>1121</v>
      </c>
      <c r="R20" s="1065"/>
      <c r="S20" s="1065"/>
      <c r="U20" s="1064"/>
      <c r="V20" s="1064"/>
    </row>
    <row r="21" spans="2:22" x14ac:dyDescent="0.2">
      <c r="B21" s="1065" t="s">
        <v>1122</v>
      </c>
      <c r="C21" s="1066" t="s">
        <v>1123</v>
      </c>
      <c r="D21" s="1066" t="s">
        <v>1124</v>
      </c>
      <c r="E21" s="1066" t="s">
        <v>1125</v>
      </c>
      <c r="F21" s="1066" t="s">
        <v>1126</v>
      </c>
      <c r="G21" s="1067"/>
      <c r="H21" s="1066" t="s">
        <v>1053</v>
      </c>
      <c r="I21" s="1066" t="s">
        <v>1054</v>
      </c>
      <c r="J21" s="1066" t="s">
        <v>1055</v>
      </c>
      <c r="K21" s="1066" t="s">
        <v>1056</v>
      </c>
      <c r="L21" s="1067"/>
      <c r="M21" s="1067"/>
      <c r="N21" s="1067"/>
      <c r="O21" s="1066" t="s">
        <v>1057</v>
      </c>
      <c r="P21" s="1066" t="s">
        <v>1057</v>
      </c>
      <c r="Q21" s="1066" t="s">
        <v>1057</v>
      </c>
      <c r="R21" s="1066" t="s">
        <v>1127</v>
      </c>
      <c r="S21" s="1067"/>
      <c r="U21" s="1064"/>
      <c r="V21" s="1064"/>
    </row>
    <row r="22" spans="2:22" x14ac:dyDescent="0.2">
      <c r="B22" s="1065"/>
      <c r="C22" s="1065"/>
      <c r="D22" s="1065"/>
      <c r="E22" s="1065"/>
      <c r="F22" s="1065"/>
      <c r="G22" s="1066" t="s">
        <v>1126</v>
      </c>
      <c r="H22" s="1065"/>
      <c r="I22" s="1065"/>
      <c r="J22" s="1065"/>
      <c r="K22" s="1066" t="s">
        <v>1056</v>
      </c>
      <c r="L22" s="1066" t="s">
        <v>1128</v>
      </c>
      <c r="M22" s="1066" t="s">
        <v>1060</v>
      </c>
      <c r="N22" s="1066" t="s">
        <v>1061</v>
      </c>
      <c r="O22" s="1066" t="s">
        <v>1094</v>
      </c>
      <c r="P22" s="1066" t="s">
        <v>1063</v>
      </c>
      <c r="Q22" s="1066" t="s">
        <v>1129</v>
      </c>
      <c r="R22" s="1065"/>
      <c r="S22" s="1065"/>
      <c r="U22" s="1064"/>
      <c r="V22" s="1064"/>
    </row>
    <row r="23" spans="2:22" x14ac:dyDescent="0.2">
      <c r="B23" s="1065" t="s">
        <v>1130</v>
      </c>
      <c r="C23" s="1066" t="s">
        <v>1131</v>
      </c>
      <c r="D23" s="1066" t="s">
        <v>1132</v>
      </c>
      <c r="E23" s="1066" t="s">
        <v>1133</v>
      </c>
      <c r="F23" s="1066" t="s">
        <v>1134</v>
      </c>
      <c r="G23" s="1067"/>
      <c r="H23" s="1066" t="s">
        <v>1053</v>
      </c>
      <c r="I23" s="1066" t="s">
        <v>1054</v>
      </c>
      <c r="J23" s="1066" t="s">
        <v>1055</v>
      </c>
      <c r="K23" s="1066" t="s">
        <v>1056</v>
      </c>
      <c r="L23" s="1067"/>
      <c r="M23" s="1067"/>
      <c r="N23" s="1067"/>
      <c r="O23" s="1066" t="s">
        <v>1057</v>
      </c>
      <c r="P23" s="1066" t="s">
        <v>1057</v>
      </c>
      <c r="Q23" s="1066" t="s">
        <v>1057</v>
      </c>
      <c r="R23" s="1066" t="s">
        <v>1135</v>
      </c>
      <c r="S23" s="1067"/>
      <c r="U23" s="1064"/>
      <c r="V23" s="1064"/>
    </row>
    <row r="24" spans="2:22" x14ac:dyDescent="0.2">
      <c r="B24" s="1065"/>
      <c r="C24" s="1065"/>
      <c r="D24" s="1065"/>
      <c r="E24" s="1065"/>
      <c r="F24" s="1065"/>
      <c r="G24" s="1066" t="s">
        <v>1134</v>
      </c>
      <c r="H24" s="1065"/>
      <c r="I24" s="1065"/>
      <c r="J24" s="1065"/>
      <c r="K24" s="1066" t="s">
        <v>1056</v>
      </c>
      <c r="L24" s="1066" t="s">
        <v>1136</v>
      </c>
      <c r="M24" s="1066" t="s">
        <v>1060</v>
      </c>
      <c r="N24" s="1066" t="s">
        <v>1061</v>
      </c>
      <c r="O24" s="1066" t="s">
        <v>1137</v>
      </c>
      <c r="P24" s="1066" t="s">
        <v>1063</v>
      </c>
      <c r="Q24" s="1066" t="s">
        <v>1138</v>
      </c>
      <c r="R24" s="1065"/>
      <c r="S24" s="1065"/>
      <c r="U24" s="1064"/>
      <c r="V24" s="1064"/>
    </row>
    <row r="25" spans="2:22" x14ac:dyDescent="0.2">
      <c r="B25" s="1065" t="s">
        <v>1139</v>
      </c>
      <c r="C25" s="1066" t="s">
        <v>1140</v>
      </c>
      <c r="D25" s="1066" t="s">
        <v>1141</v>
      </c>
      <c r="E25" s="1066" t="s">
        <v>1133</v>
      </c>
      <c r="F25" s="1066" t="s">
        <v>1142</v>
      </c>
      <c r="G25" s="1067"/>
      <c r="H25" s="1066" t="s">
        <v>1053</v>
      </c>
      <c r="I25" s="1066" t="s">
        <v>1054</v>
      </c>
      <c r="J25" s="1066" t="s">
        <v>1055</v>
      </c>
      <c r="K25" s="1066" t="s">
        <v>1056</v>
      </c>
      <c r="L25" s="1067"/>
      <c r="M25" s="1067"/>
      <c r="N25" s="1067"/>
      <c r="O25" s="1066" t="s">
        <v>1057</v>
      </c>
      <c r="P25" s="1066" t="s">
        <v>1057</v>
      </c>
      <c r="Q25" s="1066" t="s">
        <v>1057</v>
      </c>
      <c r="R25" s="1066" t="s">
        <v>1143</v>
      </c>
      <c r="S25" s="1066" t="s">
        <v>1144</v>
      </c>
      <c r="U25" s="1064"/>
      <c r="V25" s="1064"/>
    </row>
    <row r="26" spans="2:22" x14ac:dyDescent="0.2">
      <c r="B26" s="1065"/>
      <c r="C26" s="1065"/>
      <c r="D26" s="1065"/>
      <c r="E26" s="1065"/>
      <c r="F26" s="1065"/>
      <c r="G26" s="1066" t="s">
        <v>1142</v>
      </c>
      <c r="H26" s="1065"/>
      <c r="I26" s="1065"/>
      <c r="J26" s="1065"/>
      <c r="K26" s="1066" t="s">
        <v>1145</v>
      </c>
      <c r="L26" s="1066"/>
      <c r="M26" s="1066"/>
      <c r="N26" s="1066"/>
      <c r="O26" s="1066" t="s">
        <v>1137</v>
      </c>
      <c r="P26" s="1066" t="s">
        <v>1063</v>
      </c>
      <c r="Q26" s="1066" t="s">
        <v>1146</v>
      </c>
      <c r="R26" s="1065"/>
      <c r="S26" s="1065"/>
      <c r="U26" s="1064"/>
      <c r="V26" s="1064"/>
    </row>
    <row r="27" spans="2:22" x14ac:dyDescent="0.2">
      <c r="B27" s="1065" t="s">
        <v>1147</v>
      </c>
      <c r="C27" s="1066" t="s">
        <v>1148</v>
      </c>
      <c r="D27" s="1066" t="s">
        <v>1149</v>
      </c>
      <c r="E27" s="1066" t="s">
        <v>1150</v>
      </c>
      <c r="F27" s="1066" t="s">
        <v>1151</v>
      </c>
      <c r="G27" s="1067"/>
      <c r="H27" s="1066" t="s">
        <v>1053</v>
      </c>
      <c r="I27" s="1066" t="s">
        <v>1054</v>
      </c>
      <c r="J27" s="1066" t="s">
        <v>1055</v>
      </c>
      <c r="K27" s="1066" t="s">
        <v>1056</v>
      </c>
      <c r="L27" s="1067"/>
      <c r="M27" s="1067"/>
      <c r="N27" s="1067"/>
      <c r="O27" s="1066" t="s">
        <v>1057</v>
      </c>
      <c r="P27" s="1066" t="s">
        <v>1057</v>
      </c>
      <c r="Q27" s="1066" t="s">
        <v>1057</v>
      </c>
      <c r="R27" s="1066" t="s">
        <v>1152</v>
      </c>
      <c r="S27" s="1066" t="s">
        <v>1144</v>
      </c>
      <c r="U27" s="1064"/>
      <c r="V27" s="1064"/>
    </row>
    <row r="28" spans="2:22" x14ac:dyDescent="0.2">
      <c r="B28" s="1065"/>
      <c r="C28" s="1065"/>
      <c r="D28" s="1065"/>
      <c r="E28" s="1065"/>
      <c r="F28" s="1065"/>
      <c r="G28" s="1066" t="s">
        <v>1151</v>
      </c>
      <c r="H28" s="1065"/>
      <c r="I28" s="1065"/>
      <c r="J28" s="1065"/>
      <c r="K28" s="1066" t="s">
        <v>1153</v>
      </c>
      <c r="L28" s="1066"/>
      <c r="M28" s="1066"/>
      <c r="N28" s="1066"/>
      <c r="O28" s="1066" t="s">
        <v>1154</v>
      </c>
      <c r="P28" s="1066" t="s">
        <v>1095</v>
      </c>
      <c r="Q28" s="1066" t="s">
        <v>1155</v>
      </c>
      <c r="R28" s="1065"/>
      <c r="S28" s="1065"/>
      <c r="U28" s="1064"/>
      <c r="V28" s="1064"/>
    </row>
    <row r="29" spans="2:22" x14ac:dyDescent="0.2">
      <c r="B29" s="1065" t="s">
        <v>1156</v>
      </c>
      <c r="C29" s="1066" t="s">
        <v>1157</v>
      </c>
      <c r="D29" s="1066" t="s">
        <v>1158</v>
      </c>
      <c r="E29" s="1066" t="s">
        <v>1150</v>
      </c>
      <c r="F29" s="1066" t="s">
        <v>1159</v>
      </c>
      <c r="G29" s="1067"/>
      <c r="H29" s="1066" t="s">
        <v>1053</v>
      </c>
      <c r="I29" s="1066" t="s">
        <v>1054</v>
      </c>
      <c r="J29" s="1066" t="s">
        <v>1055</v>
      </c>
      <c r="K29" s="1066" t="s">
        <v>1056</v>
      </c>
      <c r="L29" s="1067"/>
      <c r="M29" s="1067"/>
      <c r="N29" s="1067"/>
      <c r="O29" s="1066" t="s">
        <v>1057</v>
      </c>
      <c r="P29" s="1066" t="s">
        <v>1057</v>
      </c>
      <c r="Q29" s="1066" t="s">
        <v>1057</v>
      </c>
      <c r="R29" s="1066" t="s">
        <v>1152</v>
      </c>
      <c r="S29" s="1066" t="s">
        <v>1144</v>
      </c>
      <c r="U29" s="1064"/>
      <c r="V29" s="1064"/>
    </row>
    <row r="30" spans="2:22" x14ac:dyDescent="0.2">
      <c r="B30" s="1065"/>
      <c r="C30" s="1065"/>
      <c r="D30" s="1065"/>
      <c r="E30" s="1065"/>
      <c r="F30" s="1065"/>
      <c r="G30" s="1066" t="s">
        <v>1159</v>
      </c>
      <c r="H30" s="1065"/>
      <c r="I30" s="1065"/>
      <c r="J30" s="1065"/>
      <c r="K30" s="1066" t="s">
        <v>1160</v>
      </c>
      <c r="L30" s="1066"/>
      <c r="M30" s="1066"/>
      <c r="N30" s="1066"/>
      <c r="O30" s="1066" t="s">
        <v>1161</v>
      </c>
      <c r="P30" s="1066" t="s">
        <v>1095</v>
      </c>
      <c r="Q30" s="1066" t="s">
        <v>1162</v>
      </c>
      <c r="R30" s="1065"/>
      <c r="S30" s="1065"/>
      <c r="U30" s="1064"/>
      <c r="V30" s="1064"/>
    </row>
    <row r="31" spans="2:22" x14ac:dyDescent="0.2">
      <c r="B31" s="1065" t="s">
        <v>1163</v>
      </c>
      <c r="C31" s="1066" t="s">
        <v>1164</v>
      </c>
      <c r="D31" s="1066" t="s">
        <v>1107</v>
      </c>
      <c r="E31" s="1066" t="s">
        <v>1165</v>
      </c>
      <c r="F31" s="1066" t="s">
        <v>1166</v>
      </c>
      <c r="G31" s="1067"/>
      <c r="H31" s="1066" t="s">
        <v>1053</v>
      </c>
      <c r="I31" s="1066" t="s">
        <v>1054</v>
      </c>
      <c r="J31" s="1066" t="s">
        <v>1055</v>
      </c>
      <c r="K31" s="1066" t="s">
        <v>1056</v>
      </c>
      <c r="L31" s="1067"/>
      <c r="M31" s="1067"/>
      <c r="N31" s="1067"/>
      <c r="O31" s="1066" t="s">
        <v>1057</v>
      </c>
      <c r="P31" s="1066" t="s">
        <v>1057</v>
      </c>
      <c r="Q31" s="1066" t="s">
        <v>1057</v>
      </c>
      <c r="R31" s="1066" t="s">
        <v>1167</v>
      </c>
      <c r="S31" s="1066" t="s">
        <v>1144</v>
      </c>
      <c r="U31" s="1064"/>
      <c r="V31" s="1064"/>
    </row>
    <row r="32" spans="2:22" x14ac:dyDescent="0.2">
      <c r="B32" s="1065"/>
      <c r="C32" s="1065"/>
      <c r="D32" s="1065"/>
      <c r="E32" s="1065"/>
      <c r="F32" s="1065"/>
      <c r="G32" s="1066" t="s">
        <v>1166</v>
      </c>
      <c r="H32" s="1065"/>
      <c r="I32" s="1065"/>
      <c r="J32" s="1065"/>
      <c r="K32" s="1066" t="s">
        <v>1168</v>
      </c>
      <c r="L32" s="1066"/>
      <c r="M32" s="1066"/>
      <c r="N32" s="1066"/>
      <c r="O32" s="1066" t="s">
        <v>1169</v>
      </c>
      <c r="P32" s="1066" t="s">
        <v>1063</v>
      </c>
      <c r="Q32" s="1066" t="s">
        <v>1170</v>
      </c>
      <c r="R32" s="1065"/>
      <c r="S32" s="1065"/>
      <c r="U32" s="1064"/>
      <c r="V32" s="1064"/>
    </row>
    <row r="33" spans="2:22" x14ac:dyDescent="0.2">
      <c r="B33" s="1065" t="s">
        <v>1171</v>
      </c>
      <c r="C33" s="1066" t="s">
        <v>1172</v>
      </c>
      <c r="D33" s="1066" t="s">
        <v>1173</v>
      </c>
      <c r="E33" s="1066" t="s">
        <v>1174</v>
      </c>
      <c r="F33" s="1066" t="s">
        <v>1175</v>
      </c>
      <c r="G33" s="1067"/>
      <c r="H33" s="1066" t="s">
        <v>1053</v>
      </c>
      <c r="I33" s="1066" t="s">
        <v>1054</v>
      </c>
      <c r="J33" s="1066" t="s">
        <v>1055</v>
      </c>
      <c r="K33" s="1066" t="s">
        <v>1056</v>
      </c>
      <c r="L33" s="1067"/>
      <c r="M33" s="1067"/>
      <c r="N33" s="1067"/>
      <c r="O33" s="1066" t="s">
        <v>1057</v>
      </c>
      <c r="P33" s="1066" t="s">
        <v>1057</v>
      </c>
      <c r="Q33" s="1066" t="s">
        <v>1057</v>
      </c>
      <c r="R33" s="1066" t="s">
        <v>1176</v>
      </c>
      <c r="S33" s="1066" t="s">
        <v>1144</v>
      </c>
      <c r="U33" s="1064"/>
      <c r="V33" s="1064"/>
    </row>
    <row r="34" spans="2:22" x14ac:dyDescent="0.2">
      <c r="B34" s="1065"/>
      <c r="C34" s="1065"/>
      <c r="D34" s="1065"/>
      <c r="E34" s="1065"/>
      <c r="F34" s="1065"/>
      <c r="G34" s="1066" t="s">
        <v>1175</v>
      </c>
      <c r="H34" s="1065"/>
      <c r="I34" s="1065"/>
      <c r="J34" s="1065"/>
      <c r="K34" s="1066" t="s">
        <v>1177</v>
      </c>
      <c r="L34" s="1066"/>
      <c r="M34" s="1066"/>
      <c r="N34" s="1066"/>
      <c r="O34" s="1066" t="s">
        <v>1178</v>
      </c>
      <c r="P34" s="1066" t="s">
        <v>1063</v>
      </c>
      <c r="Q34" s="1066" t="s">
        <v>1179</v>
      </c>
      <c r="R34" s="1065"/>
      <c r="S34" s="1065"/>
      <c r="U34" s="1064"/>
      <c r="V34" s="1064"/>
    </row>
    <row r="35" spans="2:22" x14ac:dyDescent="0.2">
      <c r="B35" s="1065" t="s">
        <v>1180</v>
      </c>
      <c r="C35" s="1066" t="s">
        <v>1181</v>
      </c>
      <c r="D35" s="1066" t="s">
        <v>1182</v>
      </c>
      <c r="E35" s="1066" t="s">
        <v>1183</v>
      </c>
      <c r="F35" s="1066" t="s">
        <v>1184</v>
      </c>
      <c r="G35" s="1067"/>
      <c r="H35" s="1066" t="s">
        <v>1053</v>
      </c>
      <c r="I35" s="1066" t="s">
        <v>1054</v>
      </c>
      <c r="J35" s="1066" t="s">
        <v>1055</v>
      </c>
      <c r="K35" s="1066" t="s">
        <v>1056</v>
      </c>
      <c r="L35" s="1067"/>
      <c r="M35" s="1067"/>
      <c r="N35" s="1067"/>
      <c r="O35" s="1066" t="s">
        <v>1057</v>
      </c>
      <c r="P35" s="1066" t="s">
        <v>1057</v>
      </c>
      <c r="Q35" s="1066" t="s">
        <v>1057</v>
      </c>
      <c r="R35" s="1066" t="s">
        <v>1185</v>
      </c>
      <c r="S35" s="1066" t="s">
        <v>1144</v>
      </c>
      <c r="U35" s="1064"/>
      <c r="V35" s="1064"/>
    </row>
    <row r="36" spans="2:22" x14ac:dyDescent="0.2">
      <c r="B36" s="1065"/>
      <c r="C36" s="1065"/>
      <c r="D36" s="1065"/>
      <c r="E36" s="1065"/>
      <c r="F36" s="1065"/>
      <c r="G36" s="1066" t="s">
        <v>1184</v>
      </c>
      <c r="H36" s="1065"/>
      <c r="I36" s="1065"/>
      <c r="J36" s="1065"/>
      <c r="K36" s="1066" t="s">
        <v>1186</v>
      </c>
      <c r="L36" s="1066"/>
      <c r="M36" s="1066"/>
      <c r="N36" s="1066"/>
      <c r="O36" s="1066" t="s">
        <v>1187</v>
      </c>
      <c r="P36" s="1066" t="s">
        <v>1063</v>
      </c>
      <c r="Q36" s="1066" t="s">
        <v>1146</v>
      </c>
      <c r="R36" s="1065"/>
      <c r="S36" s="1065"/>
      <c r="U36" s="1064"/>
      <c r="V36" s="1064"/>
    </row>
    <row r="37" spans="2:22" x14ac:dyDescent="0.2">
      <c r="B37" s="1065" t="s">
        <v>1188</v>
      </c>
      <c r="C37" s="1066" t="s">
        <v>1189</v>
      </c>
      <c r="D37" s="1066" t="s">
        <v>1190</v>
      </c>
      <c r="E37" s="1066" t="s">
        <v>1133</v>
      </c>
      <c r="F37" s="1066" t="s">
        <v>1191</v>
      </c>
      <c r="G37" s="1067"/>
      <c r="H37" s="1066" t="s">
        <v>1053</v>
      </c>
      <c r="I37" s="1066" t="s">
        <v>1054</v>
      </c>
      <c r="J37" s="1066" t="s">
        <v>1055</v>
      </c>
      <c r="K37" s="1066" t="s">
        <v>1056</v>
      </c>
      <c r="L37" s="1067"/>
      <c r="M37" s="1067"/>
      <c r="N37" s="1067"/>
      <c r="O37" s="1066" t="s">
        <v>1057</v>
      </c>
      <c r="P37" s="1066" t="s">
        <v>1057</v>
      </c>
      <c r="Q37" s="1066" t="s">
        <v>1057</v>
      </c>
      <c r="R37" s="1066" t="s">
        <v>1192</v>
      </c>
      <c r="S37" s="1066" t="s">
        <v>1144</v>
      </c>
      <c r="U37" s="1064"/>
      <c r="V37" s="1064"/>
    </row>
    <row r="38" spans="2:22" x14ac:dyDescent="0.2">
      <c r="B38" s="1065"/>
      <c r="C38" s="1065"/>
      <c r="D38" s="1065"/>
      <c r="E38" s="1065"/>
      <c r="F38" s="1065"/>
      <c r="G38" s="1066" t="s">
        <v>1191</v>
      </c>
      <c r="H38" s="1065"/>
      <c r="I38" s="1065"/>
      <c r="J38" s="1065"/>
      <c r="K38" s="1066" t="s">
        <v>1193</v>
      </c>
      <c r="L38" s="1066"/>
      <c r="M38" s="1066"/>
      <c r="N38" s="1066"/>
      <c r="O38" s="1066" t="s">
        <v>1111</v>
      </c>
      <c r="P38" s="1066" t="s">
        <v>1063</v>
      </c>
      <c r="Q38" s="1066" t="s">
        <v>1194</v>
      </c>
      <c r="R38" s="1065"/>
      <c r="S38" s="1065"/>
      <c r="U38" s="1064"/>
      <c r="V38" s="1064"/>
    </row>
    <row r="39" spans="2:22" x14ac:dyDescent="0.2">
      <c r="B39" s="1065" t="s">
        <v>1195</v>
      </c>
      <c r="C39" s="1066" t="s">
        <v>1196</v>
      </c>
      <c r="D39" s="1066" t="s">
        <v>1197</v>
      </c>
      <c r="E39" s="1066" t="s">
        <v>1198</v>
      </c>
      <c r="F39" s="1066" t="s">
        <v>1199</v>
      </c>
      <c r="G39" s="1067"/>
      <c r="H39" s="1066" t="s">
        <v>1053</v>
      </c>
      <c r="I39" s="1066" t="s">
        <v>1054</v>
      </c>
      <c r="J39" s="1066" t="s">
        <v>1055</v>
      </c>
      <c r="K39" s="1066" t="s">
        <v>1056</v>
      </c>
      <c r="L39" s="1067"/>
      <c r="M39" s="1067"/>
      <c r="N39" s="1067"/>
      <c r="O39" s="1066" t="s">
        <v>1057</v>
      </c>
      <c r="P39" s="1066" t="s">
        <v>1057</v>
      </c>
      <c r="Q39" s="1066" t="s">
        <v>1057</v>
      </c>
      <c r="R39" s="1066" t="s">
        <v>1200</v>
      </c>
      <c r="S39" s="1066" t="s">
        <v>1144</v>
      </c>
      <c r="U39" s="1064"/>
      <c r="V39" s="1064"/>
    </row>
    <row r="40" spans="2:22" x14ac:dyDescent="0.2">
      <c r="B40" s="1065"/>
      <c r="C40" s="1065"/>
      <c r="D40" s="1065"/>
      <c r="E40" s="1065"/>
      <c r="F40" s="1065"/>
      <c r="G40" s="1066" t="s">
        <v>1199</v>
      </c>
      <c r="H40" s="1065"/>
      <c r="I40" s="1065"/>
      <c r="J40" s="1065"/>
      <c r="K40" s="1066" t="s">
        <v>1201</v>
      </c>
      <c r="L40" s="1066"/>
      <c r="M40" s="1066"/>
      <c r="N40" s="1066"/>
      <c r="O40" s="1066" t="s">
        <v>1202</v>
      </c>
      <c r="P40" s="1066" t="s">
        <v>1063</v>
      </c>
      <c r="Q40" s="1066" t="s">
        <v>1129</v>
      </c>
      <c r="R40" s="1065"/>
      <c r="S40" s="1065"/>
      <c r="U40" s="1064"/>
      <c r="V40" s="1064"/>
    </row>
    <row r="41" spans="2:22" x14ac:dyDescent="0.2">
      <c r="B41" s="1065" t="s">
        <v>1203</v>
      </c>
      <c r="C41" s="1066" t="s">
        <v>1204</v>
      </c>
      <c r="D41" s="1066" t="s">
        <v>1205</v>
      </c>
      <c r="E41" s="1066" t="s">
        <v>1206</v>
      </c>
      <c r="F41" s="1066" t="s">
        <v>1207</v>
      </c>
      <c r="G41" s="1067"/>
      <c r="H41" s="1066" t="s">
        <v>1053</v>
      </c>
      <c r="I41" s="1066" t="s">
        <v>1054</v>
      </c>
      <c r="J41" s="1066" t="s">
        <v>1055</v>
      </c>
      <c r="K41" s="1066" t="s">
        <v>1056</v>
      </c>
      <c r="L41" s="1067"/>
      <c r="M41" s="1067"/>
      <c r="N41" s="1067"/>
      <c r="O41" s="1066" t="s">
        <v>1057</v>
      </c>
      <c r="P41" s="1066" t="s">
        <v>1057</v>
      </c>
      <c r="Q41" s="1066" t="s">
        <v>1057</v>
      </c>
      <c r="R41" s="1066" t="s">
        <v>1208</v>
      </c>
      <c r="S41" s="1066" t="s">
        <v>1144</v>
      </c>
      <c r="U41" s="1064"/>
      <c r="V41" s="1064"/>
    </row>
    <row r="42" spans="2:22" x14ac:dyDescent="0.2">
      <c r="B42" s="1065"/>
      <c r="C42" s="1065"/>
      <c r="D42" s="1065"/>
      <c r="E42" s="1065"/>
      <c r="F42" s="1065"/>
      <c r="G42" s="1066" t="s">
        <v>1207</v>
      </c>
      <c r="H42" s="1065"/>
      <c r="I42" s="1065"/>
      <c r="J42" s="1065"/>
      <c r="K42" s="1066" t="s">
        <v>1209</v>
      </c>
      <c r="L42" s="1066"/>
      <c r="M42" s="1066"/>
      <c r="N42" s="1066"/>
      <c r="O42" s="1066" t="s">
        <v>1210</v>
      </c>
      <c r="P42" s="1066" t="s">
        <v>1063</v>
      </c>
      <c r="Q42" s="1066" t="s">
        <v>1138</v>
      </c>
      <c r="R42" s="1065"/>
      <c r="S42" s="1065"/>
      <c r="U42" s="1064"/>
      <c r="V42" s="1064"/>
    </row>
    <row r="43" spans="2:22" x14ac:dyDescent="0.2">
      <c r="B43" s="1065" t="s">
        <v>1211</v>
      </c>
      <c r="C43" s="1066" t="s">
        <v>1212</v>
      </c>
      <c r="D43" s="1066" t="s">
        <v>1213</v>
      </c>
      <c r="E43" s="1066" t="s">
        <v>1206</v>
      </c>
      <c r="F43" s="1066" t="s">
        <v>1214</v>
      </c>
      <c r="G43" s="1067"/>
      <c r="H43" s="1066" t="s">
        <v>1053</v>
      </c>
      <c r="I43" s="1066" t="s">
        <v>1054</v>
      </c>
      <c r="J43" s="1066" t="s">
        <v>1055</v>
      </c>
      <c r="K43" s="1066" t="s">
        <v>1056</v>
      </c>
      <c r="L43" s="1067"/>
      <c r="M43" s="1067"/>
      <c r="N43" s="1067"/>
      <c r="O43" s="1066" t="s">
        <v>1057</v>
      </c>
      <c r="P43" s="1066" t="s">
        <v>1057</v>
      </c>
      <c r="Q43" s="1066" t="s">
        <v>1057</v>
      </c>
      <c r="R43" s="1066" t="s">
        <v>1215</v>
      </c>
      <c r="S43" s="1066" t="s">
        <v>1144</v>
      </c>
      <c r="U43" s="1064"/>
      <c r="V43" s="1064"/>
    </row>
    <row r="44" spans="2:22" x14ac:dyDescent="0.2">
      <c r="B44" s="1065"/>
      <c r="C44" s="1065"/>
      <c r="D44" s="1065"/>
      <c r="E44" s="1065"/>
      <c r="F44" s="1065"/>
      <c r="G44" s="1066" t="s">
        <v>1214</v>
      </c>
      <c r="H44" s="1065"/>
      <c r="I44" s="1065"/>
      <c r="J44" s="1065"/>
      <c r="K44" s="1066" t="s">
        <v>1216</v>
      </c>
      <c r="L44" s="1066"/>
      <c r="M44" s="1066"/>
      <c r="N44" s="1066"/>
      <c r="O44" s="1066" t="s">
        <v>1210</v>
      </c>
      <c r="P44" s="1066" t="s">
        <v>1095</v>
      </c>
      <c r="Q44" s="1066" t="s">
        <v>1162</v>
      </c>
      <c r="R44" s="1065"/>
      <c r="S44" s="1065"/>
      <c r="U44" s="1064"/>
      <c r="V44" s="1064"/>
    </row>
    <row r="45" spans="2:22" x14ac:dyDescent="0.2">
      <c r="B45" s="1065" t="s">
        <v>1217</v>
      </c>
      <c r="C45" s="1066" t="s">
        <v>1218</v>
      </c>
      <c r="D45" s="1066" t="s">
        <v>1219</v>
      </c>
      <c r="E45" s="1066" t="s">
        <v>1165</v>
      </c>
      <c r="F45" s="1066" t="s">
        <v>1220</v>
      </c>
      <c r="G45" s="1067"/>
      <c r="H45" s="1066" t="s">
        <v>1053</v>
      </c>
      <c r="I45" s="1066" t="s">
        <v>1054</v>
      </c>
      <c r="J45" s="1066" t="s">
        <v>1055</v>
      </c>
      <c r="K45" s="1066" t="s">
        <v>1056</v>
      </c>
      <c r="L45" s="1067"/>
      <c r="M45" s="1067"/>
      <c r="N45" s="1067"/>
      <c r="O45" s="1066" t="s">
        <v>1057</v>
      </c>
      <c r="P45" s="1066" t="s">
        <v>1057</v>
      </c>
      <c r="Q45" s="1066" t="s">
        <v>1057</v>
      </c>
      <c r="R45" s="1066" t="s">
        <v>1221</v>
      </c>
      <c r="S45" s="1066" t="s">
        <v>1144</v>
      </c>
      <c r="U45" s="1064"/>
      <c r="V45" s="1064"/>
    </row>
    <row r="46" spans="2:22" x14ac:dyDescent="0.2">
      <c r="B46" s="1065"/>
      <c r="C46" s="1065"/>
      <c r="D46" s="1065"/>
      <c r="E46" s="1065"/>
      <c r="F46" s="1065"/>
      <c r="G46" s="1066" t="s">
        <v>1220</v>
      </c>
      <c r="H46" s="1065"/>
      <c r="I46" s="1065"/>
      <c r="J46" s="1065"/>
      <c r="K46" s="1066" t="s">
        <v>1222</v>
      </c>
      <c r="L46" s="1066"/>
      <c r="M46" s="1066"/>
      <c r="N46" s="1066"/>
      <c r="O46" s="1066" t="s">
        <v>1223</v>
      </c>
      <c r="P46" s="1066" t="s">
        <v>1095</v>
      </c>
      <c r="Q46" s="1066" t="s">
        <v>1224</v>
      </c>
      <c r="R46" s="1065"/>
      <c r="S46" s="1065"/>
      <c r="U46" s="1064"/>
      <c r="V46" s="1064"/>
    </row>
    <row r="47" spans="2:22" x14ac:dyDescent="0.2">
      <c r="B47" s="1065" t="s">
        <v>1225</v>
      </c>
      <c r="C47" s="1066" t="s">
        <v>1226</v>
      </c>
      <c r="D47" s="1066" t="s">
        <v>1227</v>
      </c>
      <c r="E47" s="1066" t="s">
        <v>1206</v>
      </c>
      <c r="F47" s="1066" t="s">
        <v>1220</v>
      </c>
      <c r="G47" s="1067"/>
      <c r="H47" s="1066" t="s">
        <v>1053</v>
      </c>
      <c r="I47" s="1066" t="s">
        <v>1054</v>
      </c>
      <c r="J47" s="1066" t="s">
        <v>1055</v>
      </c>
      <c r="K47" s="1066" t="s">
        <v>1056</v>
      </c>
      <c r="L47" s="1067"/>
      <c r="M47" s="1067"/>
      <c r="N47" s="1067"/>
      <c r="O47" s="1066" t="s">
        <v>1057</v>
      </c>
      <c r="P47" s="1066" t="s">
        <v>1057</v>
      </c>
      <c r="Q47" s="1066" t="s">
        <v>1057</v>
      </c>
      <c r="R47" s="1066" t="s">
        <v>1228</v>
      </c>
      <c r="S47" s="1066" t="s">
        <v>1144</v>
      </c>
      <c r="U47" s="1064"/>
      <c r="V47" s="1064"/>
    </row>
    <row r="48" spans="2:22" x14ac:dyDescent="0.2">
      <c r="B48" s="1065"/>
      <c r="C48" s="1065"/>
      <c r="D48" s="1065"/>
      <c r="E48" s="1065"/>
      <c r="F48" s="1065"/>
      <c r="G48" s="1066" t="s">
        <v>1220</v>
      </c>
      <c r="H48" s="1065"/>
      <c r="I48" s="1065"/>
      <c r="J48" s="1065"/>
      <c r="K48" s="1066" t="s">
        <v>1229</v>
      </c>
      <c r="L48" s="1066"/>
      <c r="M48" s="1066"/>
      <c r="N48" s="1066"/>
      <c r="O48" s="1066" t="s">
        <v>1210</v>
      </c>
      <c r="P48" s="1066" t="s">
        <v>1095</v>
      </c>
      <c r="Q48" s="1066" t="s">
        <v>1230</v>
      </c>
      <c r="R48" s="1065"/>
      <c r="S48" s="1065"/>
      <c r="U48" s="1064"/>
      <c r="V48" s="1064"/>
    </row>
    <row r="49" spans="2:22" x14ac:dyDescent="0.2">
      <c r="B49" s="1065" t="s">
        <v>1231</v>
      </c>
      <c r="C49" s="1066" t="s">
        <v>1232</v>
      </c>
      <c r="D49" s="1066" t="s">
        <v>1233</v>
      </c>
      <c r="E49" s="1066" t="s">
        <v>1165</v>
      </c>
      <c r="F49" s="1066" t="s">
        <v>1234</v>
      </c>
      <c r="G49" s="1067"/>
      <c r="H49" s="1066" t="s">
        <v>1053</v>
      </c>
      <c r="I49" s="1066" t="s">
        <v>1054</v>
      </c>
      <c r="J49" s="1066" t="s">
        <v>1055</v>
      </c>
      <c r="K49" s="1066" t="s">
        <v>1056</v>
      </c>
      <c r="L49" s="1067"/>
      <c r="M49" s="1067"/>
      <c r="N49" s="1067"/>
      <c r="O49" s="1066" t="s">
        <v>1057</v>
      </c>
      <c r="P49" s="1066" t="s">
        <v>1057</v>
      </c>
      <c r="Q49" s="1066" t="s">
        <v>1057</v>
      </c>
      <c r="R49" s="1066" t="s">
        <v>1235</v>
      </c>
      <c r="S49" s="1066" t="s">
        <v>1144</v>
      </c>
      <c r="U49" s="1064"/>
      <c r="V49" s="1064"/>
    </row>
    <row r="50" spans="2:22" x14ac:dyDescent="0.2">
      <c r="B50" s="1065"/>
      <c r="C50" s="1065"/>
      <c r="D50" s="1065"/>
      <c r="E50" s="1065"/>
      <c r="F50" s="1065"/>
      <c r="G50" s="1066" t="s">
        <v>1234</v>
      </c>
      <c r="H50" s="1065"/>
      <c r="I50" s="1065"/>
      <c r="J50" s="1065"/>
      <c r="K50" s="1066" t="s">
        <v>1236</v>
      </c>
      <c r="L50" s="1066"/>
      <c r="M50" s="1066"/>
      <c r="N50" s="1066"/>
      <c r="O50" s="1066" t="s">
        <v>1103</v>
      </c>
      <c r="P50" s="1066" t="s">
        <v>1095</v>
      </c>
      <c r="Q50" s="1066" t="s">
        <v>1237</v>
      </c>
      <c r="R50" s="1065"/>
      <c r="S50" s="1065"/>
      <c r="U50" s="1064"/>
      <c r="V50" s="1064"/>
    </row>
    <row r="51" spans="2:22" x14ac:dyDescent="0.2">
      <c r="B51" s="1065" t="s">
        <v>1238</v>
      </c>
      <c r="C51" s="1066" t="s">
        <v>1239</v>
      </c>
      <c r="D51" s="1066" t="s">
        <v>1240</v>
      </c>
      <c r="E51" s="1066" t="s">
        <v>1174</v>
      </c>
      <c r="F51" s="1066" t="s">
        <v>1241</v>
      </c>
      <c r="G51" s="1067"/>
      <c r="H51" s="1066" t="s">
        <v>1053</v>
      </c>
      <c r="I51" s="1066" t="s">
        <v>1054</v>
      </c>
      <c r="J51" s="1066" t="s">
        <v>1055</v>
      </c>
      <c r="K51" s="1066" t="s">
        <v>1056</v>
      </c>
      <c r="L51" s="1067"/>
      <c r="M51" s="1067"/>
      <c r="N51" s="1067"/>
      <c r="O51" s="1066" t="s">
        <v>1057</v>
      </c>
      <c r="P51" s="1066" t="s">
        <v>1057</v>
      </c>
      <c r="Q51" s="1066" t="s">
        <v>1057</v>
      </c>
      <c r="R51" s="1066" t="s">
        <v>1176</v>
      </c>
      <c r="S51" s="1067"/>
      <c r="U51" s="1064"/>
      <c r="V51" s="1064"/>
    </row>
    <row r="52" spans="2:22" x14ac:dyDescent="0.2">
      <c r="B52" s="1065"/>
      <c r="C52" s="1065"/>
      <c r="D52" s="1065"/>
      <c r="E52" s="1065"/>
      <c r="F52" s="1065"/>
      <c r="G52" s="1066" t="s">
        <v>1241</v>
      </c>
      <c r="H52" s="1065"/>
      <c r="I52" s="1065"/>
      <c r="J52" s="1065"/>
      <c r="K52" s="1066" t="s">
        <v>1242</v>
      </c>
      <c r="L52" s="1066" t="s">
        <v>1243</v>
      </c>
      <c r="M52" s="1066" t="s">
        <v>1060</v>
      </c>
      <c r="N52" s="1066" t="s">
        <v>1061</v>
      </c>
      <c r="O52" s="1066" t="s">
        <v>1223</v>
      </c>
      <c r="P52" s="1066" t="s">
        <v>1244</v>
      </c>
      <c r="Q52" s="1066" t="s">
        <v>1245</v>
      </c>
      <c r="R52" s="1065"/>
      <c r="S52" s="1065"/>
      <c r="U52" s="1064"/>
      <c r="V52" s="1064"/>
    </row>
    <row r="53" spans="2:22" x14ac:dyDescent="0.2">
      <c r="B53" s="1065" t="s">
        <v>1246</v>
      </c>
      <c r="C53" s="1066" t="s">
        <v>1247</v>
      </c>
      <c r="D53" s="1066" t="s">
        <v>1248</v>
      </c>
      <c r="E53" s="1066" t="s">
        <v>1249</v>
      </c>
      <c r="F53" s="1066" t="s">
        <v>1250</v>
      </c>
      <c r="G53" s="1067"/>
      <c r="H53" s="1066" t="s">
        <v>1053</v>
      </c>
      <c r="I53" s="1066" t="s">
        <v>1054</v>
      </c>
      <c r="J53" s="1066" t="s">
        <v>1055</v>
      </c>
      <c r="K53" s="1066" t="s">
        <v>1056</v>
      </c>
      <c r="L53" s="1067"/>
      <c r="M53" s="1067"/>
      <c r="N53" s="1067"/>
      <c r="O53" s="1066" t="s">
        <v>1057</v>
      </c>
      <c r="P53" s="1066" t="s">
        <v>1057</v>
      </c>
      <c r="Q53" s="1066" t="s">
        <v>1057</v>
      </c>
      <c r="R53" s="1066" t="s">
        <v>1222</v>
      </c>
      <c r="S53" s="1067"/>
      <c r="U53" s="1064"/>
      <c r="V53" s="1064"/>
    </row>
    <row r="54" spans="2:22" x14ac:dyDescent="0.2">
      <c r="B54" s="1067"/>
      <c r="C54" s="1067"/>
      <c r="D54" s="1067"/>
      <c r="E54" s="1067"/>
      <c r="F54" s="1067"/>
      <c r="G54" s="1066" t="s">
        <v>1250</v>
      </c>
      <c r="H54" s="1067"/>
      <c r="I54" s="1067"/>
      <c r="J54" s="1067"/>
      <c r="K54" s="1066" t="s">
        <v>1056</v>
      </c>
      <c r="L54" s="1066" t="s">
        <v>1251</v>
      </c>
      <c r="M54" s="1066" t="s">
        <v>1060</v>
      </c>
      <c r="N54" s="1066" t="s">
        <v>1252</v>
      </c>
      <c r="O54" s="1066" t="s">
        <v>1253</v>
      </c>
      <c r="P54" s="1066" t="s">
        <v>1254</v>
      </c>
      <c r="Q54" s="1066" t="s">
        <v>1255</v>
      </c>
      <c r="R54" s="1067"/>
      <c r="S54" s="1067"/>
      <c r="U54" s="1064"/>
      <c r="V54" s="1064"/>
    </row>
    <row r="55" spans="2:22" x14ac:dyDescent="0.2">
      <c r="B55" s="1067"/>
      <c r="C55" s="1066" t="s">
        <v>1256</v>
      </c>
      <c r="D55" s="1066" t="s">
        <v>1257</v>
      </c>
      <c r="E55" s="1066" t="s">
        <v>1150</v>
      </c>
      <c r="F55" s="1066" t="s">
        <v>1258</v>
      </c>
      <c r="G55" s="1067"/>
      <c r="H55" s="1066" t="s">
        <v>1053</v>
      </c>
      <c r="I55" s="1066" t="s">
        <v>1054</v>
      </c>
      <c r="J55" s="1066" t="s">
        <v>1055</v>
      </c>
      <c r="K55" s="1066" t="s">
        <v>1056</v>
      </c>
      <c r="L55" s="1067"/>
      <c r="M55" s="1067"/>
      <c r="N55" s="1067"/>
      <c r="O55" s="1066" t="s">
        <v>1057</v>
      </c>
      <c r="P55" s="1066" t="s">
        <v>1057</v>
      </c>
      <c r="Q55" s="1066" t="s">
        <v>1057</v>
      </c>
      <c r="R55" s="1066" t="s">
        <v>1259</v>
      </c>
      <c r="S55" s="1067"/>
      <c r="U55" s="1064"/>
      <c r="V55" s="1064"/>
    </row>
    <row r="56" spans="2:22" x14ac:dyDescent="0.2">
      <c r="B56" s="1065"/>
      <c r="C56" s="1065"/>
      <c r="D56" s="1065"/>
      <c r="E56" s="1065"/>
      <c r="F56" s="1065"/>
      <c r="G56" s="1066" t="s">
        <v>1258</v>
      </c>
      <c r="H56" s="1065"/>
      <c r="I56" s="1065"/>
      <c r="J56" s="1065"/>
      <c r="K56" s="1066" t="s">
        <v>1260</v>
      </c>
      <c r="L56" s="1066" t="s">
        <v>1243</v>
      </c>
      <c r="M56" s="1066" t="s">
        <v>1060</v>
      </c>
      <c r="N56" s="1066" t="s">
        <v>1061</v>
      </c>
      <c r="O56" s="1066" t="s">
        <v>1178</v>
      </c>
      <c r="P56" s="1066" t="s">
        <v>1244</v>
      </c>
      <c r="Q56" s="1066" t="s">
        <v>1261</v>
      </c>
      <c r="R56" s="1065"/>
      <c r="S56" s="1065"/>
      <c r="U56" s="1064"/>
      <c r="V56" s="1064"/>
    </row>
    <row r="57" spans="2:22" x14ac:dyDescent="0.2">
      <c r="B57" s="1065" t="s">
        <v>1262</v>
      </c>
      <c r="C57" s="1066" t="s">
        <v>1263</v>
      </c>
      <c r="D57" s="1066" t="s">
        <v>1264</v>
      </c>
      <c r="E57" s="1066" t="s">
        <v>1249</v>
      </c>
      <c r="F57" s="1066" t="s">
        <v>1265</v>
      </c>
      <c r="G57" s="1067"/>
      <c r="H57" s="1066" t="s">
        <v>1053</v>
      </c>
      <c r="I57" s="1066" t="s">
        <v>1054</v>
      </c>
      <c r="J57" s="1066" t="s">
        <v>1055</v>
      </c>
      <c r="K57" s="1066" t="s">
        <v>1056</v>
      </c>
      <c r="L57" s="1067"/>
      <c r="M57" s="1067"/>
      <c r="N57" s="1067"/>
      <c r="O57" s="1066" t="s">
        <v>1057</v>
      </c>
      <c r="P57" s="1066" t="s">
        <v>1057</v>
      </c>
      <c r="Q57" s="1066" t="s">
        <v>1057</v>
      </c>
      <c r="R57" s="1066" t="s">
        <v>1229</v>
      </c>
      <c r="S57" s="1067"/>
      <c r="U57" s="1064"/>
      <c r="V57" s="1064"/>
    </row>
    <row r="58" spans="2:22" x14ac:dyDescent="0.2">
      <c r="B58" s="1067"/>
      <c r="C58" s="1067"/>
      <c r="D58" s="1067"/>
      <c r="E58" s="1067"/>
      <c r="F58" s="1067"/>
      <c r="G58" s="1066" t="s">
        <v>1265</v>
      </c>
      <c r="H58" s="1067"/>
      <c r="I58" s="1067"/>
      <c r="J58" s="1067"/>
      <c r="K58" s="1066" t="s">
        <v>1056</v>
      </c>
      <c r="L58" s="1066" t="s">
        <v>1266</v>
      </c>
      <c r="M58" s="1066" t="s">
        <v>1060</v>
      </c>
      <c r="N58" s="1066" t="s">
        <v>1252</v>
      </c>
      <c r="O58" s="1066" t="s">
        <v>1253</v>
      </c>
      <c r="P58" s="1066" t="s">
        <v>1254</v>
      </c>
      <c r="Q58" s="1066" t="s">
        <v>1267</v>
      </c>
      <c r="R58" s="1067"/>
      <c r="S58" s="1067"/>
      <c r="U58" s="1064"/>
      <c r="V58" s="1064"/>
    </row>
    <row r="59" spans="2:22" x14ac:dyDescent="0.2">
      <c r="B59" s="1067"/>
      <c r="C59" s="1066" t="s">
        <v>1268</v>
      </c>
      <c r="D59" s="1066" t="s">
        <v>1269</v>
      </c>
      <c r="E59" s="1066" t="s">
        <v>1270</v>
      </c>
      <c r="F59" s="1066" t="s">
        <v>1271</v>
      </c>
      <c r="G59" s="1067"/>
      <c r="H59" s="1066" t="s">
        <v>1053</v>
      </c>
      <c r="I59" s="1066" t="s">
        <v>1054</v>
      </c>
      <c r="J59" s="1066" t="s">
        <v>1055</v>
      </c>
      <c r="K59" s="1066" t="s">
        <v>1056</v>
      </c>
      <c r="L59" s="1067"/>
      <c r="M59" s="1067"/>
      <c r="N59" s="1067"/>
      <c r="O59" s="1066" t="s">
        <v>1057</v>
      </c>
      <c r="P59" s="1066" t="s">
        <v>1057</v>
      </c>
      <c r="Q59" s="1066" t="s">
        <v>1057</v>
      </c>
      <c r="R59" s="1066" t="s">
        <v>1272</v>
      </c>
      <c r="S59" s="1067"/>
      <c r="U59" s="1064"/>
      <c r="V59" s="1064"/>
    </row>
    <row r="60" spans="2:22" x14ac:dyDescent="0.2">
      <c r="B60" s="1067"/>
      <c r="C60" s="1067"/>
      <c r="D60" s="1067"/>
      <c r="E60" s="1067"/>
      <c r="F60" s="1067"/>
      <c r="G60" s="1066" t="s">
        <v>1271</v>
      </c>
      <c r="H60" s="1067"/>
      <c r="I60" s="1067"/>
      <c r="J60" s="1067"/>
      <c r="K60" s="1066" t="s">
        <v>1273</v>
      </c>
      <c r="L60" s="1066" t="s">
        <v>1243</v>
      </c>
      <c r="M60" s="1066" t="s">
        <v>1060</v>
      </c>
      <c r="N60" s="1066" t="s">
        <v>1061</v>
      </c>
      <c r="O60" s="1066" t="s">
        <v>1137</v>
      </c>
      <c r="P60" s="1066" t="s">
        <v>1095</v>
      </c>
      <c r="Q60" s="1066" t="s">
        <v>1274</v>
      </c>
      <c r="R60" s="1067"/>
      <c r="S60" s="1067"/>
      <c r="U60" s="1064"/>
      <c r="V60" s="1064"/>
    </row>
    <row r="61" spans="2:22" x14ac:dyDescent="0.2">
      <c r="B61" s="1067"/>
      <c r="C61" s="1066" t="s">
        <v>1275</v>
      </c>
      <c r="D61" s="1066" t="s">
        <v>1276</v>
      </c>
      <c r="E61" s="1066" t="s">
        <v>1125</v>
      </c>
      <c r="F61" s="1066" t="s">
        <v>1084</v>
      </c>
      <c r="G61" s="1067"/>
      <c r="H61" s="1066" t="s">
        <v>1053</v>
      </c>
      <c r="I61" s="1066" t="s">
        <v>1277</v>
      </c>
      <c r="J61" s="1066" t="s">
        <v>1055</v>
      </c>
      <c r="K61" s="1066" t="s">
        <v>1273</v>
      </c>
      <c r="L61" s="1067"/>
      <c r="M61" s="1067"/>
      <c r="N61" s="1067"/>
      <c r="O61" s="1066" t="s">
        <v>1278</v>
      </c>
      <c r="P61" s="1066" t="s">
        <v>1279</v>
      </c>
      <c r="Q61" s="1066" t="s">
        <v>1280</v>
      </c>
      <c r="R61" s="1066" t="s">
        <v>1127</v>
      </c>
      <c r="S61" s="1067"/>
      <c r="U61" s="1064"/>
      <c r="V61" s="1064"/>
    </row>
    <row r="62" spans="2:22" x14ac:dyDescent="0.2">
      <c r="B62" s="1065"/>
      <c r="C62" s="1065"/>
      <c r="D62" s="1065"/>
      <c r="E62" s="1065"/>
      <c r="F62" s="1065"/>
      <c r="G62" s="1066" t="s">
        <v>1281</v>
      </c>
      <c r="H62" s="1065"/>
      <c r="I62" s="1065"/>
      <c r="J62" s="1065"/>
      <c r="K62" s="1066" t="s">
        <v>1056</v>
      </c>
      <c r="L62" s="1066" t="s">
        <v>1282</v>
      </c>
      <c r="M62" s="1066" t="s">
        <v>1060</v>
      </c>
      <c r="N62" s="1066" t="s">
        <v>1061</v>
      </c>
      <c r="O62" s="1066" t="s">
        <v>1283</v>
      </c>
      <c r="P62" s="1066" t="s">
        <v>1063</v>
      </c>
      <c r="Q62" s="1066" t="s">
        <v>1138</v>
      </c>
      <c r="R62" s="1065"/>
      <c r="S62" s="1065"/>
      <c r="U62" s="1064"/>
      <c r="V62" s="1064"/>
    </row>
    <row r="63" spans="2:22" x14ac:dyDescent="0.2">
      <c r="B63" s="1065" t="s">
        <v>1284</v>
      </c>
      <c r="C63" s="1066" t="s">
        <v>1285</v>
      </c>
      <c r="D63" s="1066" t="s">
        <v>1286</v>
      </c>
      <c r="E63" s="1066" t="s">
        <v>1174</v>
      </c>
      <c r="F63" s="1066" t="s">
        <v>1287</v>
      </c>
      <c r="G63" s="1067"/>
      <c r="H63" s="1066" t="s">
        <v>1053</v>
      </c>
      <c r="I63" s="1066" t="s">
        <v>1054</v>
      </c>
      <c r="J63" s="1066" t="s">
        <v>1055</v>
      </c>
      <c r="K63" s="1066" t="s">
        <v>1056</v>
      </c>
      <c r="L63" s="1067"/>
      <c r="M63" s="1067"/>
      <c r="N63" s="1067"/>
      <c r="O63" s="1066" t="s">
        <v>1057</v>
      </c>
      <c r="P63" s="1066" t="s">
        <v>1057</v>
      </c>
      <c r="Q63" s="1066" t="s">
        <v>1057</v>
      </c>
      <c r="R63" s="1066" t="s">
        <v>1288</v>
      </c>
      <c r="S63" s="1067"/>
      <c r="U63" s="1064"/>
      <c r="V63" s="1064"/>
    </row>
    <row r="64" spans="2:22" x14ac:dyDescent="0.2">
      <c r="B64" s="1067"/>
      <c r="C64" s="1067"/>
      <c r="D64" s="1067"/>
      <c r="E64" s="1067"/>
      <c r="F64" s="1067"/>
      <c r="G64" s="1066" t="s">
        <v>1287</v>
      </c>
      <c r="H64" s="1067"/>
      <c r="I64" s="1067"/>
      <c r="J64" s="1067"/>
      <c r="K64" s="1066" t="s">
        <v>1289</v>
      </c>
      <c r="L64" s="1066" t="s">
        <v>1243</v>
      </c>
      <c r="M64" s="1066" t="s">
        <v>1060</v>
      </c>
      <c r="N64" s="1066" t="s">
        <v>1061</v>
      </c>
      <c r="O64" s="1066" t="s">
        <v>1290</v>
      </c>
      <c r="P64" s="1066" t="s">
        <v>1244</v>
      </c>
      <c r="Q64" s="1066" t="s">
        <v>1291</v>
      </c>
      <c r="R64" s="1067"/>
      <c r="S64" s="1067"/>
      <c r="U64" s="1064"/>
      <c r="V64" s="1064"/>
    </row>
    <row r="65" spans="2:22" x14ac:dyDescent="0.2">
      <c r="B65" s="1067"/>
      <c r="C65" s="1066" t="s">
        <v>1292</v>
      </c>
      <c r="D65" s="1066" t="s">
        <v>1293</v>
      </c>
      <c r="E65" s="1066" t="s">
        <v>1270</v>
      </c>
      <c r="F65" s="1066" t="s">
        <v>1294</v>
      </c>
      <c r="G65" s="1067"/>
      <c r="H65" s="1066" t="s">
        <v>1053</v>
      </c>
      <c r="I65" s="1066" t="s">
        <v>1295</v>
      </c>
      <c r="J65" s="1066" t="s">
        <v>1055</v>
      </c>
      <c r="K65" s="1066" t="s">
        <v>1289</v>
      </c>
      <c r="L65" s="1067"/>
      <c r="M65" s="1067"/>
      <c r="N65" s="1067"/>
      <c r="O65" s="1066" t="s">
        <v>1296</v>
      </c>
      <c r="P65" s="1066" t="s">
        <v>1297</v>
      </c>
      <c r="Q65" s="1066" t="s">
        <v>1298</v>
      </c>
      <c r="R65" s="1066" t="s">
        <v>1299</v>
      </c>
      <c r="S65" s="1067"/>
      <c r="U65" s="1064"/>
      <c r="V65" s="1064"/>
    </row>
    <row r="66" spans="2:22" x14ac:dyDescent="0.2">
      <c r="B66" s="1065"/>
      <c r="C66" s="1065"/>
      <c r="D66" s="1065"/>
      <c r="E66" s="1065"/>
      <c r="F66" s="1065"/>
      <c r="G66" s="1066" t="s">
        <v>1234</v>
      </c>
      <c r="H66" s="1065"/>
      <c r="I66" s="1065"/>
      <c r="J66" s="1065"/>
      <c r="K66" s="1066" t="s">
        <v>1056</v>
      </c>
      <c r="L66" s="1066" t="s">
        <v>1300</v>
      </c>
      <c r="M66" s="1066" t="s">
        <v>1060</v>
      </c>
      <c r="N66" s="1066" t="s">
        <v>1061</v>
      </c>
      <c r="O66" s="1066" t="s">
        <v>1202</v>
      </c>
      <c r="P66" s="1066" t="s">
        <v>1095</v>
      </c>
      <c r="Q66" s="1066" t="s">
        <v>1301</v>
      </c>
      <c r="R66" s="1065"/>
      <c r="S66" s="1065"/>
      <c r="U66" s="1064"/>
      <c r="V66" s="1064"/>
    </row>
    <row r="67" spans="2:22" x14ac:dyDescent="0.2">
      <c r="B67" s="1065" t="s">
        <v>1302</v>
      </c>
      <c r="C67" s="1066" t="s">
        <v>1303</v>
      </c>
      <c r="D67" s="1066" t="s">
        <v>1304</v>
      </c>
      <c r="E67" s="1066" t="s">
        <v>1305</v>
      </c>
      <c r="F67" s="1066" t="s">
        <v>1306</v>
      </c>
      <c r="G67" s="1067"/>
      <c r="H67" s="1066" t="s">
        <v>1053</v>
      </c>
      <c r="I67" s="1066" t="s">
        <v>1054</v>
      </c>
      <c r="J67" s="1066" t="s">
        <v>1055</v>
      </c>
      <c r="K67" s="1066" t="s">
        <v>1056</v>
      </c>
      <c r="L67" s="1067"/>
      <c r="M67" s="1067"/>
      <c r="N67" s="1067"/>
      <c r="O67" s="1066" t="s">
        <v>1057</v>
      </c>
      <c r="P67" s="1066" t="s">
        <v>1057</v>
      </c>
      <c r="Q67" s="1066" t="s">
        <v>1057</v>
      </c>
      <c r="R67" s="1066" t="s">
        <v>1307</v>
      </c>
      <c r="S67" s="1067"/>
      <c r="U67" s="1064"/>
      <c r="V67" s="1064"/>
    </row>
    <row r="68" spans="2:22" x14ac:dyDescent="0.2">
      <c r="B68" s="1065"/>
      <c r="C68" s="1065"/>
      <c r="D68" s="1065"/>
      <c r="E68" s="1065"/>
      <c r="F68" s="1065"/>
      <c r="G68" s="1066" t="s">
        <v>1306</v>
      </c>
      <c r="H68" s="1065"/>
      <c r="I68" s="1065"/>
      <c r="J68" s="1065"/>
      <c r="K68" s="1066" t="s">
        <v>1056</v>
      </c>
      <c r="L68" s="1066" t="s">
        <v>1259</v>
      </c>
      <c r="M68" s="1066" t="s">
        <v>1060</v>
      </c>
      <c r="N68" s="1066" t="s">
        <v>1252</v>
      </c>
      <c r="O68" s="1066" t="s">
        <v>1308</v>
      </c>
      <c r="P68" s="1066" t="s">
        <v>1309</v>
      </c>
      <c r="Q68" s="1066" t="s">
        <v>1310</v>
      </c>
      <c r="R68" s="1065"/>
      <c r="S68" s="1065"/>
      <c r="U68" s="1064"/>
      <c r="V68" s="1064"/>
    </row>
    <row r="69" spans="2:22" x14ac:dyDescent="0.2">
      <c r="B69" s="1065" t="s">
        <v>1311</v>
      </c>
      <c r="C69" s="1066" t="s">
        <v>1312</v>
      </c>
      <c r="D69" s="1066" t="s">
        <v>1313</v>
      </c>
      <c r="E69" s="1066" t="s">
        <v>1183</v>
      </c>
      <c r="F69" s="1066" t="s">
        <v>1314</v>
      </c>
      <c r="G69" s="1067"/>
      <c r="H69" s="1066" t="s">
        <v>1053</v>
      </c>
      <c r="I69" s="1066" t="s">
        <v>1054</v>
      </c>
      <c r="J69" s="1066" t="s">
        <v>1055</v>
      </c>
      <c r="K69" s="1066" t="s">
        <v>1056</v>
      </c>
      <c r="L69" s="1067"/>
      <c r="M69" s="1067"/>
      <c r="N69" s="1067"/>
      <c r="O69" s="1066" t="s">
        <v>1057</v>
      </c>
      <c r="P69" s="1066" t="s">
        <v>1057</v>
      </c>
      <c r="Q69" s="1066" t="s">
        <v>1057</v>
      </c>
      <c r="R69" s="1066" t="s">
        <v>1315</v>
      </c>
      <c r="S69" s="1067"/>
      <c r="U69" s="1064"/>
      <c r="V69" s="1064"/>
    </row>
    <row r="70" spans="2:22" x14ac:dyDescent="0.2">
      <c r="B70" s="1067"/>
      <c r="C70" s="1067"/>
      <c r="D70" s="1067"/>
      <c r="E70" s="1067"/>
      <c r="F70" s="1067"/>
      <c r="G70" s="1066" t="s">
        <v>1314</v>
      </c>
      <c r="H70" s="1067"/>
      <c r="I70" s="1067"/>
      <c r="J70" s="1067"/>
      <c r="K70" s="1066" t="s">
        <v>1316</v>
      </c>
      <c r="L70" s="1066" t="s">
        <v>1243</v>
      </c>
      <c r="M70" s="1066" t="s">
        <v>1060</v>
      </c>
      <c r="N70" s="1066" t="s">
        <v>1061</v>
      </c>
      <c r="O70" s="1066" t="s">
        <v>1278</v>
      </c>
      <c r="P70" s="1066" t="s">
        <v>1244</v>
      </c>
      <c r="Q70" s="1066" t="s">
        <v>1317</v>
      </c>
      <c r="R70" s="1067"/>
      <c r="S70" s="1067"/>
      <c r="U70" s="1064"/>
      <c r="V70" s="1064"/>
    </row>
    <row r="71" spans="2:22" x14ac:dyDescent="0.2">
      <c r="B71" s="1067"/>
      <c r="C71" s="1066" t="s">
        <v>1318</v>
      </c>
      <c r="D71" s="1066" t="s">
        <v>1319</v>
      </c>
      <c r="E71" s="1066" t="s">
        <v>1174</v>
      </c>
      <c r="F71" s="1066" t="s">
        <v>1320</v>
      </c>
      <c r="G71" s="1067"/>
      <c r="H71" s="1066" t="s">
        <v>1053</v>
      </c>
      <c r="I71" s="1066" t="s">
        <v>1321</v>
      </c>
      <c r="J71" s="1066" t="s">
        <v>1055</v>
      </c>
      <c r="K71" s="1066" t="s">
        <v>1316</v>
      </c>
      <c r="L71" s="1067"/>
      <c r="M71" s="1067"/>
      <c r="N71" s="1067"/>
      <c r="O71" s="1066" t="s">
        <v>1322</v>
      </c>
      <c r="P71" s="1066" t="s">
        <v>1279</v>
      </c>
      <c r="Q71" s="1066" t="s">
        <v>1323</v>
      </c>
      <c r="R71" s="1066" t="s">
        <v>1324</v>
      </c>
      <c r="S71" s="1067"/>
      <c r="U71" s="1064"/>
      <c r="V71" s="1064"/>
    </row>
    <row r="72" spans="2:22" x14ac:dyDescent="0.2">
      <c r="B72" s="1065"/>
      <c r="C72" s="1065"/>
      <c r="D72" s="1065"/>
      <c r="E72" s="1065"/>
      <c r="F72" s="1065"/>
      <c r="G72" s="1066" t="s">
        <v>1325</v>
      </c>
      <c r="H72" s="1065"/>
      <c r="I72" s="1065"/>
      <c r="J72" s="1065"/>
      <c r="K72" s="1066" t="s">
        <v>1056</v>
      </c>
      <c r="L72" s="1066" t="s">
        <v>1326</v>
      </c>
      <c r="M72" s="1066" t="s">
        <v>1060</v>
      </c>
      <c r="N72" s="1066" t="s">
        <v>1061</v>
      </c>
      <c r="O72" s="1066" t="s">
        <v>1210</v>
      </c>
      <c r="P72" s="1066" t="s">
        <v>1244</v>
      </c>
      <c r="Q72" s="1066" t="s">
        <v>1327</v>
      </c>
      <c r="R72" s="1065"/>
      <c r="S72" s="1065"/>
      <c r="U72" s="1064"/>
      <c r="V72" s="1064"/>
    </row>
    <row r="73" spans="2:22" x14ac:dyDescent="0.2">
      <c r="B73" s="1065" t="s">
        <v>1328</v>
      </c>
      <c r="C73" s="1066" t="s">
        <v>1329</v>
      </c>
      <c r="D73" s="1066" t="s">
        <v>1330</v>
      </c>
      <c r="E73" s="1066" t="s">
        <v>1183</v>
      </c>
      <c r="F73" s="1066" t="s">
        <v>1331</v>
      </c>
      <c r="G73" s="1067"/>
      <c r="H73" s="1066" t="s">
        <v>1053</v>
      </c>
      <c r="I73" s="1066" t="s">
        <v>1054</v>
      </c>
      <c r="J73" s="1066" t="s">
        <v>1055</v>
      </c>
      <c r="K73" s="1066" t="s">
        <v>1056</v>
      </c>
      <c r="L73" s="1067"/>
      <c r="M73" s="1067"/>
      <c r="N73" s="1067"/>
      <c r="O73" s="1066" t="s">
        <v>1057</v>
      </c>
      <c r="P73" s="1066" t="s">
        <v>1057</v>
      </c>
      <c r="Q73" s="1066" t="s">
        <v>1057</v>
      </c>
      <c r="R73" s="1066" t="s">
        <v>1332</v>
      </c>
      <c r="S73" s="1067"/>
      <c r="U73" s="1064"/>
      <c r="V73" s="1064"/>
    </row>
    <row r="74" spans="2:22" x14ac:dyDescent="0.2">
      <c r="B74" s="1067"/>
      <c r="C74" s="1067"/>
      <c r="D74" s="1067"/>
      <c r="E74" s="1067"/>
      <c r="F74" s="1067"/>
      <c r="G74" s="1066" t="s">
        <v>1331</v>
      </c>
      <c r="H74" s="1067"/>
      <c r="I74" s="1067"/>
      <c r="J74" s="1067"/>
      <c r="K74" s="1066" t="s">
        <v>1333</v>
      </c>
      <c r="L74" s="1066" t="s">
        <v>1243</v>
      </c>
      <c r="M74" s="1066" t="s">
        <v>1060</v>
      </c>
      <c r="N74" s="1066" t="s">
        <v>1061</v>
      </c>
      <c r="O74" s="1066" t="s">
        <v>1210</v>
      </c>
      <c r="P74" s="1066" t="s">
        <v>1244</v>
      </c>
      <c r="Q74" s="1066" t="s">
        <v>1334</v>
      </c>
      <c r="R74" s="1067"/>
      <c r="S74" s="1067"/>
      <c r="U74" s="1064"/>
      <c r="V74" s="1064"/>
    </row>
    <row r="75" spans="2:22" x14ac:dyDescent="0.2">
      <c r="B75" s="1067"/>
      <c r="C75" s="1066" t="s">
        <v>1335</v>
      </c>
      <c r="D75" s="1066" t="s">
        <v>1336</v>
      </c>
      <c r="E75" s="1066" t="s">
        <v>1337</v>
      </c>
      <c r="F75" s="1066" t="s">
        <v>1338</v>
      </c>
      <c r="G75" s="1067"/>
      <c r="H75" s="1066" t="s">
        <v>1053</v>
      </c>
      <c r="I75" s="1066" t="s">
        <v>1339</v>
      </c>
      <c r="J75" s="1066" t="s">
        <v>1055</v>
      </c>
      <c r="K75" s="1066" t="s">
        <v>1333</v>
      </c>
      <c r="L75" s="1067"/>
      <c r="M75" s="1067"/>
      <c r="N75" s="1067"/>
      <c r="O75" s="1066" t="s">
        <v>1340</v>
      </c>
      <c r="P75" s="1066" t="s">
        <v>1279</v>
      </c>
      <c r="Q75" s="1066" t="s">
        <v>1308</v>
      </c>
      <c r="R75" s="1066" t="s">
        <v>1341</v>
      </c>
      <c r="S75" s="1067"/>
      <c r="U75" s="1064"/>
      <c r="V75" s="1064"/>
    </row>
    <row r="76" spans="2:22" x14ac:dyDescent="0.2">
      <c r="B76" s="1067"/>
      <c r="C76" s="1067"/>
      <c r="D76" s="1067"/>
      <c r="E76" s="1067"/>
      <c r="F76" s="1067"/>
      <c r="G76" s="1066" t="s">
        <v>1342</v>
      </c>
      <c r="H76" s="1067"/>
      <c r="I76" s="1067"/>
      <c r="J76" s="1067"/>
      <c r="K76" s="1066" t="s">
        <v>1343</v>
      </c>
      <c r="L76" s="1066" t="s">
        <v>1243</v>
      </c>
      <c r="M76" s="1066" t="s">
        <v>1060</v>
      </c>
      <c r="N76" s="1066" t="s">
        <v>1061</v>
      </c>
      <c r="O76" s="1066" t="s">
        <v>1344</v>
      </c>
      <c r="P76" s="1066" t="s">
        <v>1095</v>
      </c>
      <c r="Q76" s="1066" t="s">
        <v>1345</v>
      </c>
      <c r="R76" s="1067"/>
      <c r="S76" s="1067"/>
      <c r="U76" s="1064"/>
      <c r="V76" s="1064"/>
    </row>
    <row r="77" spans="2:22" x14ac:dyDescent="0.2">
      <c r="B77" s="1067"/>
      <c r="C77" s="1066" t="s">
        <v>1346</v>
      </c>
      <c r="D77" s="1066" t="s">
        <v>1347</v>
      </c>
      <c r="E77" s="1066" t="s">
        <v>1133</v>
      </c>
      <c r="F77" s="1066" t="s">
        <v>1348</v>
      </c>
      <c r="G77" s="1067"/>
      <c r="H77" s="1066" t="s">
        <v>1053</v>
      </c>
      <c r="I77" s="1066" t="s">
        <v>1349</v>
      </c>
      <c r="J77" s="1066" t="s">
        <v>1055</v>
      </c>
      <c r="K77" s="1066" t="s">
        <v>1343</v>
      </c>
      <c r="L77" s="1067"/>
      <c r="M77" s="1067"/>
      <c r="N77" s="1067"/>
      <c r="O77" s="1066" t="s">
        <v>1350</v>
      </c>
      <c r="P77" s="1066" t="s">
        <v>1297</v>
      </c>
      <c r="Q77" s="1066" t="s">
        <v>1351</v>
      </c>
      <c r="R77" s="1066" t="s">
        <v>1352</v>
      </c>
      <c r="S77" s="1067"/>
      <c r="U77" s="1064"/>
      <c r="V77" s="1064"/>
    </row>
    <row r="78" spans="2:22" x14ac:dyDescent="0.2">
      <c r="B78" s="1065"/>
      <c r="C78" s="1065"/>
      <c r="D78" s="1065"/>
      <c r="E78" s="1065"/>
      <c r="F78" s="1065"/>
      <c r="G78" s="1066" t="s">
        <v>1320</v>
      </c>
      <c r="H78" s="1065"/>
      <c r="I78" s="1065"/>
      <c r="J78" s="1065"/>
      <c r="K78" s="1066" t="s">
        <v>1056</v>
      </c>
      <c r="L78" s="1066" t="s">
        <v>1353</v>
      </c>
      <c r="M78" s="1066" t="s">
        <v>1060</v>
      </c>
      <c r="N78" s="1066" t="s">
        <v>1061</v>
      </c>
      <c r="O78" s="1066" t="s">
        <v>1354</v>
      </c>
      <c r="P78" s="1066" t="s">
        <v>1095</v>
      </c>
      <c r="Q78" s="1066" t="s">
        <v>1355</v>
      </c>
      <c r="R78" s="1065"/>
      <c r="S78" s="1065"/>
      <c r="U78" s="1064"/>
      <c r="V78" s="1064"/>
    </row>
    <row r="79" spans="2:22" x14ac:dyDescent="0.2">
      <c r="B79" s="1065" t="s">
        <v>1356</v>
      </c>
      <c r="C79" s="1066" t="s">
        <v>1357</v>
      </c>
      <c r="D79" s="1066" t="s">
        <v>1304</v>
      </c>
      <c r="E79" s="1066" t="s">
        <v>1358</v>
      </c>
      <c r="F79" s="1066" t="s">
        <v>1359</v>
      </c>
      <c r="G79" s="1067"/>
      <c r="H79" s="1066" t="s">
        <v>1053</v>
      </c>
      <c r="I79" s="1066" t="s">
        <v>1054</v>
      </c>
      <c r="J79" s="1066" t="s">
        <v>1055</v>
      </c>
      <c r="K79" s="1066" t="s">
        <v>1056</v>
      </c>
      <c r="L79" s="1067"/>
      <c r="M79" s="1067"/>
      <c r="N79" s="1067"/>
      <c r="O79" s="1066" t="s">
        <v>1057</v>
      </c>
      <c r="P79" s="1066" t="s">
        <v>1057</v>
      </c>
      <c r="Q79" s="1066" t="s">
        <v>1057</v>
      </c>
      <c r="R79" s="1066" t="s">
        <v>1360</v>
      </c>
      <c r="S79" s="1067"/>
      <c r="U79" s="1064"/>
      <c r="V79" s="1064"/>
    </row>
    <row r="80" spans="2:22" x14ac:dyDescent="0.2">
      <c r="B80" s="1067"/>
      <c r="C80" s="1067"/>
      <c r="D80" s="1067"/>
      <c r="E80" s="1067"/>
      <c r="F80" s="1067"/>
      <c r="G80" s="1066" t="s">
        <v>1359</v>
      </c>
      <c r="H80" s="1067"/>
      <c r="I80" s="1067"/>
      <c r="J80" s="1067"/>
      <c r="K80" s="1066" t="s">
        <v>1361</v>
      </c>
      <c r="L80" s="1066" t="s">
        <v>1243</v>
      </c>
      <c r="M80" s="1066" t="s">
        <v>1060</v>
      </c>
      <c r="N80" s="1066" t="s">
        <v>1061</v>
      </c>
      <c r="O80" s="1066" t="s">
        <v>1290</v>
      </c>
      <c r="P80" s="1066" t="s">
        <v>1309</v>
      </c>
      <c r="Q80" s="1066" t="s">
        <v>1362</v>
      </c>
      <c r="R80" s="1067"/>
      <c r="S80" s="1067"/>
      <c r="U80" s="1064"/>
      <c r="V80" s="1064"/>
    </row>
    <row r="81" spans="2:22" x14ac:dyDescent="0.2">
      <c r="B81" s="1067"/>
      <c r="C81" s="1066" t="s">
        <v>1363</v>
      </c>
      <c r="D81" s="1066" t="s">
        <v>1107</v>
      </c>
      <c r="E81" s="1066" t="s">
        <v>1116</v>
      </c>
      <c r="F81" s="1066" t="s">
        <v>1364</v>
      </c>
      <c r="G81" s="1067"/>
      <c r="H81" s="1066" t="s">
        <v>1053</v>
      </c>
      <c r="I81" s="1066" t="s">
        <v>1365</v>
      </c>
      <c r="J81" s="1066" t="s">
        <v>1055</v>
      </c>
      <c r="K81" s="1066" t="s">
        <v>1361</v>
      </c>
      <c r="L81" s="1067"/>
      <c r="M81" s="1067"/>
      <c r="N81" s="1067"/>
      <c r="O81" s="1066" t="s">
        <v>1366</v>
      </c>
      <c r="P81" s="1066" t="s">
        <v>1367</v>
      </c>
      <c r="Q81" s="1066" t="s">
        <v>1368</v>
      </c>
      <c r="R81" s="1066" t="s">
        <v>1369</v>
      </c>
      <c r="S81" s="1067"/>
      <c r="U81" s="1064"/>
      <c r="V81" s="1064"/>
    </row>
    <row r="82" spans="2:22" x14ac:dyDescent="0.2">
      <c r="B82" s="1065"/>
      <c r="C82" s="1065"/>
      <c r="D82" s="1065"/>
      <c r="E82" s="1065"/>
      <c r="F82" s="1065"/>
      <c r="G82" s="1066" t="s">
        <v>1370</v>
      </c>
      <c r="H82" s="1065"/>
      <c r="I82" s="1065"/>
      <c r="J82" s="1065"/>
      <c r="K82" s="1066" t="s">
        <v>1371</v>
      </c>
      <c r="L82" s="1066" t="s">
        <v>1243</v>
      </c>
      <c r="M82" s="1066" t="s">
        <v>1060</v>
      </c>
      <c r="N82" s="1066" t="s">
        <v>1061</v>
      </c>
      <c r="O82" s="1066" t="s">
        <v>1372</v>
      </c>
      <c r="P82" s="1066" t="s">
        <v>1095</v>
      </c>
      <c r="Q82" s="1066" t="s">
        <v>1373</v>
      </c>
      <c r="R82" s="1065"/>
      <c r="S82" s="1065"/>
      <c r="U82" s="1064"/>
      <c r="V82" s="1064"/>
    </row>
    <row r="83" spans="2:22" x14ac:dyDescent="0.2">
      <c r="B83" s="1065" t="s">
        <v>1374</v>
      </c>
      <c r="C83" s="1066" t="s">
        <v>1375</v>
      </c>
      <c r="D83" s="1066" t="s">
        <v>1376</v>
      </c>
      <c r="E83" s="1066" t="s">
        <v>1206</v>
      </c>
      <c r="F83" s="1066" t="s">
        <v>1377</v>
      </c>
      <c r="G83" s="1067"/>
      <c r="H83" s="1066" t="s">
        <v>1053</v>
      </c>
      <c r="I83" s="1066" t="s">
        <v>1054</v>
      </c>
      <c r="J83" s="1066" t="s">
        <v>1055</v>
      </c>
      <c r="K83" s="1066" t="s">
        <v>1056</v>
      </c>
      <c r="L83" s="1067"/>
      <c r="M83" s="1067"/>
      <c r="N83" s="1067"/>
      <c r="O83" s="1066" t="s">
        <v>1057</v>
      </c>
      <c r="P83" s="1066" t="s">
        <v>1057</v>
      </c>
      <c r="Q83" s="1066" t="s">
        <v>1057</v>
      </c>
      <c r="R83" s="1066" t="s">
        <v>1378</v>
      </c>
      <c r="S83" s="1067"/>
      <c r="U83" s="1064"/>
      <c r="V83" s="1064"/>
    </row>
    <row r="84" spans="2:22" x14ac:dyDescent="0.2">
      <c r="B84" s="1065"/>
      <c r="C84" s="1065"/>
      <c r="D84" s="1065"/>
      <c r="E84" s="1065"/>
      <c r="F84" s="1065"/>
      <c r="G84" s="1066" t="s">
        <v>1377</v>
      </c>
      <c r="H84" s="1065"/>
      <c r="I84" s="1065"/>
      <c r="J84" s="1065"/>
      <c r="K84" s="1066" t="s">
        <v>1379</v>
      </c>
      <c r="L84" s="1066" t="s">
        <v>1243</v>
      </c>
      <c r="M84" s="1066" t="s">
        <v>1060</v>
      </c>
      <c r="N84" s="1066" t="s">
        <v>1061</v>
      </c>
      <c r="O84" s="1066" t="s">
        <v>1062</v>
      </c>
      <c r="P84" s="1066" t="s">
        <v>1244</v>
      </c>
      <c r="Q84" s="1066" t="s">
        <v>1261</v>
      </c>
      <c r="R84" s="1065"/>
      <c r="S84" s="1065"/>
      <c r="U84" s="1064"/>
      <c r="V84" s="1064"/>
    </row>
    <row r="85" spans="2:22" x14ac:dyDescent="0.2">
      <c r="B85" s="1065" t="s">
        <v>1380</v>
      </c>
      <c r="C85" s="1066" t="s">
        <v>1381</v>
      </c>
      <c r="D85" s="1066" t="s">
        <v>1382</v>
      </c>
      <c r="E85" s="1066" t="s">
        <v>1133</v>
      </c>
      <c r="F85" s="1066" t="s">
        <v>1383</v>
      </c>
      <c r="G85" s="1067"/>
      <c r="H85" s="1066" t="s">
        <v>1053</v>
      </c>
      <c r="I85" s="1066" t="s">
        <v>1054</v>
      </c>
      <c r="J85" s="1066" t="s">
        <v>1055</v>
      </c>
      <c r="K85" s="1066" t="s">
        <v>1056</v>
      </c>
      <c r="L85" s="1067"/>
      <c r="M85" s="1067"/>
      <c r="N85" s="1067"/>
      <c r="O85" s="1066" t="s">
        <v>1057</v>
      </c>
      <c r="P85" s="1066" t="s">
        <v>1057</v>
      </c>
      <c r="Q85" s="1066" t="s">
        <v>1057</v>
      </c>
      <c r="R85" s="1066" t="s">
        <v>1384</v>
      </c>
      <c r="S85" s="1067"/>
      <c r="U85" s="1064"/>
      <c r="V85" s="1064"/>
    </row>
    <row r="86" spans="2:22" x14ac:dyDescent="0.2">
      <c r="B86" s="1067"/>
      <c r="C86" s="1067"/>
      <c r="D86" s="1067"/>
      <c r="E86" s="1067"/>
      <c r="F86" s="1067"/>
      <c r="G86" s="1066" t="s">
        <v>1383</v>
      </c>
      <c r="H86" s="1067"/>
      <c r="I86" s="1067"/>
      <c r="J86" s="1067"/>
      <c r="K86" s="1066" t="s">
        <v>1385</v>
      </c>
      <c r="L86" s="1066" t="s">
        <v>1243</v>
      </c>
      <c r="M86" s="1066" t="s">
        <v>1060</v>
      </c>
      <c r="N86" s="1066" t="s">
        <v>1061</v>
      </c>
      <c r="O86" s="1066" t="s">
        <v>1094</v>
      </c>
      <c r="P86" s="1066" t="s">
        <v>1095</v>
      </c>
      <c r="Q86" s="1066" t="s">
        <v>1373</v>
      </c>
      <c r="R86" s="1067"/>
      <c r="S86" s="1067"/>
      <c r="U86" s="1064"/>
      <c r="V86" s="1064"/>
    </row>
    <row r="87" spans="2:22" x14ac:dyDescent="0.2">
      <c r="B87" s="1067"/>
      <c r="C87" s="1066" t="s">
        <v>1386</v>
      </c>
      <c r="D87" s="1066" t="s">
        <v>1387</v>
      </c>
      <c r="E87" s="1066" t="s">
        <v>1305</v>
      </c>
      <c r="F87" s="1066" t="s">
        <v>1388</v>
      </c>
      <c r="G87" s="1067"/>
      <c r="H87" s="1066" t="s">
        <v>1053</v>
      </c>
      <c r="I87" s="1066" t="s">
        <v>1389</v>
      </c>
      <c r="J87" s="1066" t="s">
        <v>1055</v>
      </c>
      <c r="K87" s="1066" t="s">
        <v>1385</v>
      </c>
      <c r="L87" s="1067"/>
      <c r="M87" s="1067"/>
      <c r="N87" s="1067"/>
      <c r="O87" s="1066" t="s">
        <v>1390</v>
      </c>
      <c r="P87" s="1066" t="s">
        <v>1391</v>
      </c>
      <c r="Q87" s="1066" t="s">
        <v>1392</v>
      </c>
      <c r="R87" s="1066" t="s">
        <v>1393</v>
      </c>
      <c r="S87" s="1067"/>
      <c r="U87" s="1064"/>
      <c r="V87" s="1064"/>
    </row>
    <row r="88" spans="2:22" x14ac:dyDescent="0.2">
      <c r="B88" s="1065"/>
      <c r="C88" s="1065"/>
      <c r="D88" s="1065"/>
      <c r="E88" s="1065"/>
      <c r="F88" s="1065"/>
      <c r="G88" s="1066" t="s">
        <v>1394</v>
      </c>
      <c r="H88" s="1065"/>
      <c r="I88" s="1065"/>
      <c r="J88" s="1065"/>
      <c r="K88" s="1066" t="s">
        <v>1056</v>
      </c>
      <c r="L88" s="1066" t="s">
        <v>1395</v>
      </c>
      <c r="M88" s="1066" t="s">
        <v>1060</v>
      </c>
      <c r="N88" s="1066" t="s">
        <v>1252</v>
      </c>
      <c r="O88" s="1066" t="s">
        <v>1396</v>
      </c>
      <c r="P88" s="1066" t="s">
        <v>1244</v>
      </c>
      <c r="Q88" s="1066" t="s">
        <v>1397</v>
      </c>
      <c r="R88" s="1065"/>
      <c r="S88" s="1065"/>
      <c r="U88" s="1064"/>
      <c r="V88" s="1064"/>
    </row>
    <row r="89" spans="2:22" x14ac:dyDescent="0.2">
      <c r="B89" s="1065" t="s">
        <v>1398</v>
      </c>
      <c r="C89" s="1066" t="s">
        <v>1399</v>
      </c>
      <c r="D89" s="1066" t="s">
        <v>1400</v>
      </c>
      <c r="E89" s="1066" t="s">
        <v>1133</v>
      </c>
      <c r="F89" s="1066" t="s">
        <v>1401</v>
      </c>
      <c r="G89" s="1067"/>
      <c r="H89" s="1066" t="s">
        <v>1053</v>
      </c>
      <c r="I89" s="1066" t="s">
        <v>1054</v>
      </c>
      <c r="J89" s="1066" t="s">
        <v>1055</v>
      </c>
      <c r="K89" s="1066" t="s">
        <v>1056</v>
      </c>
      <c r="L89" s="1067"/>
      <c r="M89" s="1067"/>
      <c r="N89" s="1067"/>
      <c r="O89" s="1066" t="s">
        <v>1057</v>
      </c>
      <c r="P89" s="1066" t="s">
        <v>1057</v>
      </c>
      <c r="Q89" s="1066" t="s">
        <v>1057</v>
      </c>
      <c r="R89" s="1066" t="s">
        <v>1402</v>
      </c>
      <c r="S89" s="1067"/>
      <c r="U89" s="1064"/>
      <c r="V89" s="1064"/>
    </row>
    <row r="90" spans="2:22" x14ac:dyDescent="0.2">
      <c r="B90" s="1067"/>
      <c r="C90" s="1067"/>
      <c r="D90" s="1067"/>
      <c r="E90" s="1067"/>
      <c r="F90" s="1067"/>
      <c r="G90" s="1066" t="s">
        <v>1401</v>
      </c>
      <c r="H90" s="1067"/>
      <c r="I90" s="1067"/>
      <c r="J90" s="1067"/>
      <c r="K90" s="1066" t="s">
        <v>1403</v>
      </c>
      <c r="L90" s="1066" t="s">
        <v>1243</v>
      </c>
      <c r="M90" s="1066" t="s">
        <v>1060</v>
      </c>
      <c r="N90" s="1066" t="s">
        <v>1061</v>
      </c>
      <c r="O90" s="1066" t="s">
        <v>1344</v>
      </c>
      <c r="P90" s="1066" t="s">
        <v>1095</v>
      </c>
      <c r="Q90" s="1066" t="s">
        <v>1404</v>
      </c>
      <c r="R90" s="1067"/>
      <c r="S90" s="1067"/>
      <c r="U90" s="1064"/>
      <c r="V90" s="1064"/>
    </row>
    <row r="91" spans="2:22" x14ac:dyDescent="0.2">
      <c r="B91" s="1067"/>
      <c r="C91" s="1066" t="s">
        <v>1405</v>
      </c>
      <c r="D91" s="1066" t="s">
        <v>1406</v>
      </c>
      <c r="E91" s="1066" t="s">
        <v>1407</v>
      </c>
      <c r="F91" s="1066" t="s">
        <v>1287</v>
      </c>
      <c r="G91" s="1067"/>
      <c r="H91" s="1066" t="s">
        <v>1053</v>
      </c>
      <c r="I91" s="1066" t="s">
        <v>1408</v>
      </c>
      <c r="J91" s="1066" t="s">
        <v>1055</v>
      </c>
      <c r="K91" s="1066" t="s">
        <v>1403</v>
      </c>
      <c r="L91" s="1067"/>
      <c r="M91" s="1067"/>
      <c r="N91" s="1067"/>
      <c r="O91" s="1066" t="s">
        <v>1290</v>
      </c>
      <c r="P91" s="1066" t="s">
        <v>1279</v>
      </c>
      <c r="Q91" s="1066" t="s">
        <v>1409</v>
      </c>
      <c r="R91" s="1066" t="s">
        <v>1410</v>
      </c>
      <c r="S91" s="1067"/>
      <c r="U91" s="1064"/>
      <c r="V91" s="1064"/>
    </row>
    <row r="92" spans="2:22" x14ac:dyDescent="0.2">
      <c r="B92" s="1067"/>
      <c r="C92" s="1067"/>
      <c r="D92" s="1067"/>
      <c r="E92" s="1067"/>
      <c r="F92" s="1067"/>
      <c r="G92" s="1066" t="s">
        <v>1258</v>
      </c>
      <c r="H92" s="1067"/>
      <c r="I92" s="1067"/>
      <c r="J92" s="1067"/>
      <c r="K92" s="1066" t="s">
        <v>1411</v>
      </c>
      <c r="L92" s="1066" t="s">
        <v>1243</v>
      </c>
      <c r="M92" s="1066" t="s">
        <v>1060</v>
      </c>
      <c r="N92" s="1066" t="s">
        <v>1061</v>
      </c>
      <c r="O92" s="1066" t="s">
        <v>1412</v>
      </c>
      <c r="P92" s="1066" t="s">
        <v>1095</v>
      </c>
      <c r="Q92" s="1066" t="s">
        <v>1413</v>
      </c>
      <c r="R92" s="1067"/>
      <c r="S92" s="1067"/>
      <c r="U92" s="1064"/>
      <c r="V92" s="1064"/>
    </row>
    <row r="93" spans="2:22" x14ac:dyDescent="0.2">
      <c r="B93" s="1067"/>
      <c r="C93" s="1066" t="s">
        <v>1414</v>
      </c>
      <c r="D93" s="1066" t="s">
        <v>1415</v>
      </c>
      <c r="E93" s="1066" t="s">
        <v>1416</v>
      </c>
      <c r="F93" s="1066" t="s">
        <v>1108</v>
      </c>
      <c r="G93" s="1067"/>
      <c r="H93" s="1066" t="s">
        <v>1053</v>
      </c>
      <c r="I93" s="1066" t="s">
        <v>1417</v>
      </c>
      <c r="J93" s="1066" t="s">
        <v>1055</v>
      </c>
      <c r="K93" s="1066" t="s">
        <v>1411</v>
      </c>
      <c r="L93" s="1067"/>
      <c r="M93" s="1067"/>
      <c r="N93" s="1067"/>
      <c r="O93" s="1066" t="s">
        <v>1418</v>
      </c>
      <c r="P93" s="1066" t="s">
        <v>1279</v>
      </c>
      <c r="Q93" s="1066" t="s">
        <v>1290</v>
      </c>
      <c r="R93" s="1066" t="s">
        <v>1419</v>
      </c>
      <c r="S93" s="1067"/>
      <c r="U93" s="1064"/>
      <c r="V93" s="1064"/>
    </row>
    <row r="94" spans="2:22" x14ac:dyDescent="0.2">
      <c r="B94" s="1065"/>
      <c r="C94" s="1065"/>
      <c r="D94" s="1065"/>
      <c r="E94" s="1065"/>
      <c r="F94" s="1065"/>
      <c r="G94" s="1066" t="s">
        <v>1420</v>
      </c>
      <c r="H94" s="1065"/>
      <c r="I94" s="1065"/>
      <c r="J94" s="1065"/>
      <c r="K94" s="1066" t="s">
        <v>1056</v>
      </c>
      <c r="L94" s="1066" t="s">
        <v>1421</v>
      </c>
      <c r="M94" s="1066" t="s">
        <v>1060</v>
      </c>
      <c r="N94" s="1066" t="s">
        <v>1061</v>
      </c>
      <c r="O94" s="1066" t="s">
        <v>1422</v>
      </c>
      <c r="P94" s="1066" t="s">
        <v>1095</v>
      </c>
      <c r="Q94" s="1066" t="s">
        <v>1112</v>
      </c>
      <c r="R94" s="1065"/>
      <c r="S94" s="1065"/>
      <c r="U94" s="1064"/>
      <c r="V94" s="1064"/>
    </row>
    <row r="95" spans="2:22" x14ac:dyDescent="0.2">
      <c r="B95" s="1065" t="s">
        <v>1423</v>
      </c>
      <c r="C95" s="1066" t="s">
        <v>1424</v>
      </c>
      <c r="D95" s="1066" t="s">
        <v>1425</v>
      </c>
      <c r="E95" s="1066" t="s">
        <v>1206</v>
      </c>
      <c r="F95" s="1066" t="s">
        <v>1426</v>
      </c>
      <c r="G95" s="1067"/>
      <c r="H95" s="1066" t="s">
        <v>1053</v>
      </c>
      <c r="I95" s="1066" t="s">
        <v>1054</v>
      </c>
      <c r="J95" s="1066" t="s">
        <v>1055</v>
      </c>
      <c r="K95" s="1066" t="s">
        <v>1056</v>
      </c>
      <c r="L95" s="1067"/>
      <c r="M95" s="1067"/>
      <c r="N95" s="1067"/>
      <c r="O95" s="1066" t="s">
        <v>1057</v>
      </c>
      <c r="P95" s="1066" t="s">
        <v>1057</v>
      </c>
      <c r="Q95" s="1066" t="s">
        <v>1057</v>
      </c>
      <c r="R95" s="1066" t="s">
        <v>1427</v>
      </c>
      <c r="S95" s="1067"/>
      <c r="U95" s="1064"/>
      <c r="V95" s="1064"/>
    </row>
    <row r="96" spans="2:22" x14ac:dyDescent="0.2">
      <c r="B96" s="1067"/>
      <c r="C96" s="1067"/>
      <c r="D96" s="1067"/>
      <c r="E96" s="1067"/>
      <c r="F96" s="1067"/>
      <c r="G96" s="1066" t="s">
        <v>1426</v>
      </c>
      <c r="H96" s="1067"/>
      <c r="I96" s="1067"/>
      <c r="J96" s="1067"/>
      <c r="K96" s="1066" t="s">
        <v>1428</v>
      </c>
      <c r="L96" s="1066" t="s">
        <v>1243</v>
      </c>
      <c r="M96" s="1066" t="s">
        <v>1060</v>
      </c>
      <c r="N96" s="1066" t="s">
        <v>1061</v>
      </c>
      <c r="O96" s="1066" t="s">
        <v>1429</v>
      </c>
      <c r="P96" s="1066" t="s">
        <v>1244</v>
      </c>
      <c r="Q96" s="1066" t="s">
        <v>1430</v>
      </c>
      <c r="R96" s="1067"/>
      <c r="S96" s="1067"/>
      <c r="U96" s="1064"/>
      <c r="V96" s="1064"/>
    </row>
    <row r="97" spans="2:22" x14ac:dyDescent="0.2">
      <c r="B97" s="1067"/>
      <c r="C97" s="1066" t="s">
        <v>1431</v>
      </c>
      <c r="D97" s="1066" t="s">
        <v>1415</v>
      </c>
      <c r="E97" s="1066" t="s">
        <v>1125</v>
      </c>
      <c r="F97" s="1066" t="s">
        <v>1432</v>
      </c>
      <c r="G97" s="1067"/>
      <c r="H97" s="1066" t="s">
        <v>1053</v>
      </c>
      <c r="I97" s="1066" t="s">
        <v>1433</v>
      </c>
      <c r="J97" s="1066" t="s">
        <v>1055</v>
      </c>
      <c r="K97" s="1066" t="s">
        <v>1428</v>
      </c>
      <c r="L97" s="1067"/>
      <c r="M97" s="1067"/>
      <c r="N97" s="1067"/>
      <c r="O97" s="1066" t="s">
        <v>1137</v>
      </c>
      <c r="P97" s="1066" t="s">
        <v>1367</v>
      </c>
      <c r="Q97" s="1066" t="s">
        <v>1434</v>
      </c>
      <c r="R97" s="1066" t="s">
        <v>1435</v>
      </c>
      <c r="S97" s="1067"/>
      <c r="U97" s="1064"/>
      <c r="V97" s="1064"/>
    </row>
    <row r="98" spans="2:22" x14ac:dyDescent="0.2">
      <c r="B98" s="1065"/>
      <c r="C98" s="1065"/>
      <c r="D98" s="1065"/>
      <c r="E98" s="1065"/>
      <c r="F98" s="1065"/>
      <c r="G98" s="1066" t="s">
        <v>1436</v>
      </c>
      <c r="H98" s="1065"/>
      <c r="I98" s="1065"/>
      <c r="J98" s="1065"/>
      <c r="K98" s="1066" t="s">
        <v>1437</v>
      </c>
      <c r="L98" s="1066" t="s">
        <v>1243</v>
      </c>
      <c r="M98" s="1066" t="s">
        <v>1060</v>
      </c>
      <c r="N98" s="1066" t="s">
        <v>1061</v>
      </c>
      <c r="O98" s="1066" t="s">
        <v>1438</v>
      </c>
      <c r="P98" s="1066" t="s">
        <v>1095</v>
      </c>
      <c r="Q98" s="1066" t="s">
        <v>1439</v>
      </c>
      <c r="R98" s="1065"/>
      <c r="S98" s="1065"/>
      <c r="U98" s="1064"/>
      <c r="V98" s="1064"/>
    </row>
    <row r="99" spans="2:22" x14ac:dyDescent="0.2">
      <c r="B99" s="1065" t="s">
        <v>1440</v>
      </c>
      <c r="C99" s="1066" t="s">
        <v>1441</v>
      </c>
      <c r="D99" s="1066" t="s">
        <v>1442</v>
      </c>
      <c r="E99" s="1066" t="s">
        <v>1443</v>
      </c>
      <c r="F99" s="1066" t="s">
        <v>1444</v>
      </c>
      <c r="G99" s="1067"/>
      <c r="H99" s="1066" t="s">
        <v>1053</v>
      </c>
      <c r="I99" s="1066" t="s">
        <v>1054</v>
      </c>
      <c r="J99" s="1066" t="s">
        <v>1055</v>
      </c>
      <c r="K99" s="1066" t="s">
        <v>1056</v>
      </c>
      <c r="L99" s="1067"/>
      <c r="M99" s="1067"/>
      <c r="N99" s="1067"/>
      <c r="O99" s="1066" t="s">
        <v>1057</v>
      </c>
      <c r="P99" s="1066" t="s">
        <v>1057</v>
      </c>
      <c r="Q99" s="1066" t="s">
        <v>1057</v>
      </c>
      <c r="R99" s="1066" t="s">
        <v>1445</v>
      </c>
      <c r="S99" s="1067"/>
      <c r="U99" s="1064"/>
      <c r="V99" s="1064"/>
    </row>
    <row r="100" spans="2:22" x14ac:dyDescent="0.2">
      <c r="B100" s="1065"/>
      <c r="C100" s="1065"/>
      <c r="D100" s="1065"/>
      <c r="E100" s="1065"/>
      <c r="F100" s="1065"/>
      <c r="G100" s="1066" t="s">
        <v>1444</v>
      </c>
      <c r="H100" s="1065"/>
      <c r="I100" s="1065"/>
      <c r="J100" s="1065"/>
      <c r="K100" s="1066" t="s">
        <v>1446</v>
      </c>
      <c r="L100" s="1066" t="s">
        <v>1243</v>
      </c>
      <c r="M100" s="1066" t="s">
        <v>1060</v>
      </c>
      <c r="N100" s="1066" t="s">
        <v>1061</v>
      </c>
      <c r="O100" s="1066" t="s">
        <v>1366</v>
      </c>
      <c r="P100" s="1066" t="s">
        <v>1244</v>
      </c>
      <c r="Q100" s="1066" t="s">
        <v>1447</v>
      </c>
      <c r="R100" s="1065"/>
      <c r="S100" s="1065"/>
      <c r="U100" s="1064"/>
      <c r="V100" s="1064"/>
    </row>
    <row r="101" spans="2:22" x14ac:dyDescent="0.2">
      <c r="B101" s="1065" t="s">
        <v>1448</v>
      </c>
      <c r="C101" s="1066" t="s">
        <v>1449</v>
      </c>
      <c r="D101" s="1066" t="s">
        <v>1450</v>
      </c>
      <c r="E101" s="1066" t="s">
        <v>1198</v>
      </c>
      <c r="F101" s="1066" t="s">
        <v>1451</v>
      </c>
      <c r="G101" s="1067"/>
      <c r="H101" s="1066" t="s">
        <v>1053</v>
      </c>
      <c r="I101" s="1066" t="s">
        <v>1054</v>
      </c>
      <c r="J101" s="1066" t="s">
        <v>1055</v>
      </c>
      <c r="K101" s="1066" t="s">
        <v>1056</v>
      </c>
      <c r="L101" s="1067"/>
      <c r="M101" s="1067"/>
      <c r="N101" s="1067"/>
      <c r="O101" s="1066" t="s">
        <v>1057</v>
      </c>
      <c r="P101" s="1066" t="s">
        <v>1057</v>
      </c>
      <c r="Q101" s="1066" t="s">
        <v>1057</v>
      </c>
      <c r="R101" s="1066" t="s">
        <v>1200</v>
      </c>
      <c r="S101" s="1067"/>
      <c r="U101" s="1064"/>
      <c r="V101" s="1064"/>
    </row>
    <row r="102" spans="2:22" x14ac:dyDescent="0.2">
      <c r="B102" s="1067"/>
      <c r="C102" s="1067"/>
      <c r="D102" s="1067"/>
      <c r="E102" s="1067"/>
      <c r="F102" s="1067"/>
      <c r="G102" s="1066" t="s">
        <v>1451</v>
      </c>
      <c r="H102" s="1067"/>
      <c r="I102" s="1067"/>
      <c r="J102" s="1067"/>
      <c r="K102" s="1066" t="s">
        <v>1056</v>
      </c>
      <c r="L102" s="1066" t="s">
        <v>1452</v>
      </c>
      <c r="M102" s="1066" t="s">
        <v>1060</v>
      </c>
      <c r="N102" s="1066" t="s">
        <v>1061</v>
      </c>
      <c r="O102" s="1066" t="s">
        <v>1453</v>
      </c>
      <c r="P102" s="1066" t="s">
        <v>1095</v>
      </c>
      <c r="Q102" s="1066" t="s">
        <v>1454</v>
      </c>
      <c r="R102" s="1067"/>
      <c r="S102" s="1067"/>
      <c r="U102" s="1064"/>
      <c r="V102" s="1064"/>
    </row>
    <row r="103" spans="2:22" x14ac:dyDescent="0.2">
      <c r="B103" s="1067"/>
      <c r="C103" s="1066" t="s">
        <v>1455</v>
      </c>
      <c r="D103" s="1066" t="s">
        <v>1456</v>
      </c>
      <c r="E103" s="1066" t="s">
        <v>1125</v>
      </c>
      <c r="F103" s="1066" t="s">
        <v>1457</v>
      </c>
      <c r="G103" s="1067"/>
      <c r="H103" s="1066" t="s">
        <v>1053</v>
      </c>
      <c r="I103" s="1066" t="s">
        <v>1054</v>
      </c>
      <c r="J103" s="1066" t="s">
        <v>1055</v>
      </c>
      <c r="K103" s="1066" t="s">
        <v>1056</v>
      </c>
      <c r="L103" s="1067"/>
      <c r="M103" s="1067"/>
      <c r="N103" s="1067"/>
      <c r="O103" s="1066" t="s">
        <v>1057</v>
      </c>
      <c r="P103" s="1066" t="s">
        <v>1057</v>
      </c>
      <c r="Q103" s="1066" t="s">
        <v>1057</v>
      </c>
      <c r="R103" s="1066" t="s">
        <v>1458</v>
      </c>
      <c r="S103" s="1067"/>
      <c r="U103" s="1064"/>
      <c r="V103" s="1064"/>
    </row>
    <row r="104" spans="2:22" x14ac:dyDescent="0.2">
      <c r="B104" s="1065"/>
      <c r="C104" s="1065"/>
      <c r="D104" s="1065"/>
      <c r="E104" s="1065"/>
      <c r="F104" s="1065"/>
      <c r="G104" s="1066" t="s">
        <v>1457</v>
      </c>
      <c r="H104" s="1065"/>
      <c r="I104" s="1065"/>
      <c r="J104" s="1065"/>
      <c r="K104" s="1066" t="s">
        <v>1056</v>
      </c>
      <c r="L104" s="1066" t="s">
        <v>1459</v>
      </c>
      <c r="M104" s="1066" t="s">
        <v>1060</v>
      </c>
      <c r="N104" s="1066" t="s">
        <v>1061</v>
      </c>
      <c r="O104" s="1066" t="s">
        <v>1120</v>
      </c>
      <c r="P104" s="1066" t="s">
        <v>1095</v>
      </c>
      <c r="Q104" s="1066" t="s">
        <v>1460</v>
      </c>
      <c r="R104" s="1065"/>
      <c r="S104" s="1065"/>
      <c r="U104" s="1064"/>
      <c r="V104" s="1064"/>
    </row>
    <row r="105" spans="2:22" x14ac:dyDescent="0.2">
      <c r="B105" s="1065" t="s">
        <v>1461</v>
      </c>
      <c r="C105" s="1066" t="s">
        <v>1462</v>
      </c>
      <c r="D105" s="1066" t="s">
        <v>1205</v>
      </c>
      <c r="E105" s="1066" t="s">
        <v>1165</v>
      </c>
      <c r="F105" s="1066" t="s">
        <v>1463</v>
      </c>
      <c r="G105" s="1067"/>
      <c r="H105" s="1066" t="s">
        <v>1053</v>
      </c>
      <c r="I105" s="1066" t="s">
        <v>1054</v>
      </c>
      <c r="J105" s="1066" t="s">
        <v>1055</v>
      </c>
      <c r="K105" s="1066" t="s">
        <v>1056</v>
      </c>
      <c r="L105" s="1067"/>
      <c r="M105" s="1067"/>
      <c r="N105" s="1067"/>
      <c r="O105" s="1066" t="s">
        <v>1057</v>
      </c>
      <c r="P105" s="1066" t="s">
        <v>1057</v>
      </c>
      <c r="Q105" s="1066" t="s">
        <v>1057</v>
      </c>
      <c r="R105" s="1066" t="s">
        <v>1464</v>
      </c>
      <c r="S105" s="1067"/>
      <c r="U105" s="1064"/>
      <c r="V105" s="1064"/>
    </row>
    <row r="106" spans="2:22" x14ac:dyDescent="0.2">
      <c r="B106" s="1067"/>
      <c r="C106" s="1067"/>
      <c r="D106" s="1067"/>
      <c r="E106" s="1067"/>
      <c r="F106" s="1067"/>
      <c r="G106" s="1066" t="s">
        <v>1463</v>
      </c>
      <c r="H106" s="1067"/>
      <c r="I106" s="1067"/>
      <c r="J106" s="1067"/>
      <c r="K106" s="1066" t="s">
        <v>1056</v>
      </c>
      <c r="L106" s="1066" t="s">
        <v>1465</v>
      </c>
      <c r="M106" s="1066" t="s">
        <v>1060</v>
      </c>
      <c r="N106" s="1066" t="s">
        <v>1061</v>
      </c>
      <c r="O106" s="1066" t="s">
        <v>1290</v>
      </c>
      <c r="P106" s="1066" t="s">
        <v>1063</v>
      </c>
      <c r="Q106" s="1066" t="s">
        <v>1146</v>
      </c>
      <c r="R106" s="1067"/>
      <c r="S106" s="1067"/>
      <c r="U106" s="1064"/>
      <c r="V106" s="1064"/>
    </row>
    <row r="107" spans="2:22" x14ac:dyDescent="0.2">
      <c r="B107" s="1067"/>
      <c r="C107" s="1066" t="s">
        <v>1466</v>
      </c>
      <c r="D107" s="1066" t="s">
        <v>1467</v>
      </c>
      <c r="E107" s="1066" t="s">
        <v>1337</v>
      </c>
      <c r="F107" s="1066" t="s">
        <v>1134</v>
      </c>
      <c r="G107" s="1067"/>
      <c r="H107" s="1066" t="s">
        <v>1053</v>
      </c>
      <c r="I107" s="1066" t="s">
        <v>1054</v>
      </c>
      <c r="J107" s="1066" t="s">
        <v>1055</v>
      </c>
      <c r="K107" s="1066" t="s">
        <v>1056</v>
      </c>
      <c r="L107" s="1067"/>
      <c r="M107" s="1067"/>
      <c r="N107" s="1067"/>
      <c r="O107" s="1066" t="s">
        <v>1057</v>
      </c>
      <c r="P107" s="1066" t="s">
        <v>1057</v>
      </c>
      <c r="Q107" s="1066" t="s">
        <v>1057</v>
      </c>
      <c r="R107" s="1066" t="s">
        <v>1468</v>
      </c>
      <c r="S107" s="1067"/>
      <c r="U107" s="1064"/>
      <c r="V107" s="1064"/>
    </row>
    <row r="108" spans="2:22" x14ac:dyDescent="0.2">
      <c r="B108" s="1067"/>
      <c r="C108" s="1067"/>
      <c r="D108" s="1067"/>
      <c r="E108" s="1067"/>
      <c r="F108" s="1067"/>
      <c r="G108" s="1066" t="s">
        <v>1134</v>
      </c>
      <c r="H108" s="1067"/>
      <c r="I108" s="1067"/>
      <c r="J108" s="1067"/>
      <c r="K108" s="1066" t="s">
        <v>1056</v>
      </c>
      <c r="L108" s="1066" t="s">
        <v>1469</v>
      </c>
      <c r="M108" s="1066" t="s">
        <v>1060</v>
      </c>
      <c r="N108" s="1066" t="s">
        <v>1061</v>
      </c>
      <c r="O108" s="1066" t="s">
        <v>1453</v>
      </c>
      <c r="P108" s="1066" t="s">
        <v>1063</v>
      </c>
      <c r="Q108" s="1066" t="s">
        <v>1470</v>
      </c>
      <c r="R108" s="1067"/>
      <c r="S108" s="1067"/>
      <c r="U108" s="1064"/>
      <c r="V108" s="1064"/>
    </row>
    <row r="109" spans="2:22" x14ac:dyDescent="0.2">
      <c r="B109" s="1067"/>
      <c r="C109" s="1066" t="s">
        <v>1471</v>
      </c>
      <c r="D109" s="1066" t="s">
        <v>1472</v>
      </c>
      <c r="E109" s="1066" t="s">
        <v>1473</v>
      </c>
      <c r="F109" s="1066" t="s">
        <v>1474</v>
      </c>
      <c r="G109" s="1067"/>
      <c r="H109" s="1066" t="s">
        <v>1053</v>
      </c>
      <c r="I109" s="1066" t="s">
        <v>1054</v>
      </c>
      <c r="J109" s="1066" t="s">
        <v>1055</v>
      </c>
      <c r="K109" s="1066" t="s">
        <v>1056</v>
      </c>
      <c r="L109" s="1067"/>
      <c r="M109" s="1067"/>
      <c r="N109" s="1067"/>
      <c r="O109" s="1066" t="s">
        <v>1057</v>
      </c>
      <c r="P109" s="1066" t="s">
        <v>1057</v>
      </c>
      <c r="Q109" s="1066" t="s">
        <v>1057</v>
      </c>
      <c r="R109" s="1066" t="s">
        <v>1475</v>
      </c>
      <c r="S109" s="1067"/>
      <c r="U109" s="1064"/>
      <c r="V109" s="1064"/>
    </row>
    <row r="110" spans="2:22" x14ac:dyDescent="0.2">
      <c r="B110" s="1067"/>
      <c r="C110" s="1067"/>
      <c r="D110" s="1067"/>
      <c r="E110" s="1067"/>
      <c r="F110" s="1067"/>
      <c r="G110" s="1066" t="s">
        <v>1474</v>
      </c>
      <c r="H110" s="1067"/>
      <c r="I110" s="1067"/>
      <c r="J110" s="1067"/>
      <c r="K110" s="1066" t="s">
        <v>1056</v>
      </c>
      <c r="L110" s="1066" t="s">
        <v>1476</v>
      </c>
      <c r="M110" s="1066" t="s">
        <v>1060</v>
      </c>
      <c r="N110" s="1066" t="s">
        <v>1061</v>
      </c>
      <c r="O110" s="1066" t="s">
        <v>1477</v>
      </c>
      <c r="P110" s="1066" t="s">
        <v>1063</v>
      </c>
      <c r="Q110" s="1066" t="s">
        <v>1129</v>
      </c>
      <c r="R110" s="1067"/>
      <c r="S110" s="1067"/>
      <c r="U110" s="1064"/>
      <c r="V110" s="1064"/>
    </row>
    <row r="111" spans="2:22" x14ac:dyDescent="0.2">
      <c r="B111" s="1067"/>
      <c r="C111" s="1066" t="s">
        <v>1478</v>
      </c>
      <c r="D111" s="1066" t="s">
        <v>1479</v>
      </c>
      <c r="E111" s="1066" t="s">
        <v>1206</v>
      </c>
      <c r="F111" s="1066" t="s">
        <v>1474</v>
      </c>
      <c r="G111" s="1067"/>
      <c r="H111" s="1066" t="s">
        <v>1053</v>
      </c>
      <c r="I111" s="1066" t="s">
        <v>1054</v>
      </c>
      <c r="J111" s="1066" t="s">
        <v>1055</v>
      </c>
      <c r="K111" s="1066" t="s">
        <v>1056</v>
      </c>
      <c r="L111" s="1067"/>
      <c r="M111" s="1067"/>
      <c r="N111" s="1067"/>
      <c r="O111" s="1066" t="s">
        <v>1057</v>
      </c>
      <c r="P111" s="1066" t="s">
        <v>1057</v>
      </c>
      <c r="Q111" s="1066" t="s">
        <v>1057</v>
      </c>
      <c r="R111" s="1066" t="s">
        <v>1480</v>
      </c>
      <c r="S111" s="1067"/>
      <c r="U111" s="1064"/>
      <c r="V111" s="1064"/>
    </row>
    <row r="112" spans="2:22" x14ac:dyDescent="0.2">
      <c r="B112" s="1065"/>
      <c r="C112" s="1065"/>
      <c r="D112" s="1065"/>
      <c r="E112" s="1065"/>
      <c r="F112" s="1065"/>
      <c r="G112" s="1066" t="s">
        <v>1474</v>
      </c>
      <c r="H112" s="1065"/>
      <c r="I112" s="1065"/>
      <c r="J112" s="1065"/>
      <c r="K112" s="1066" t="s">
        <v>1056</v>
      </c>
      <c r="L112" s="1066" t="s">
        <v>1481</v>
      </c>
      <c r="M112" s="1066" t="s">
        <v>1060</v>
      </c>
      <c r="N112" s="1066" t="s">
        <v>1061</v>
      </c>
      <c r="O112" s="1066" t="s">
        <v>1290</v>
      </c>
      <c r="P112" s="1066" t="s">
        <v>1095</v>
      </c>
      <c r="Q112" s="1066" t="s">
        <v>1482</v>
      </c>
      <c r="R112" s="1065"/>
      <c r="S112" s="1065"/>
      <c r="U112" s="1064"/>
      <c r="V112" s="1064"/>
    </row>
    <row r="113" spans="2:22" x14ac:dyDescent="0.2">
      <c r="B113" s="1065" t="s">
        <v>1483</v>
      </c>
      <c r="C113" s="1066" t="s">
        <v>1484</v>
      </c>
      <c r="D113" s="1066" t="s">
        <v>1485</v>
      </c>
      <c r="E113" s="1066" t="s">
        <v>1358</v>
      </c>
      <c r="F113" s="1066" t="s">
        <v>1486</v>
      </c>
      <c r="G113" s="1067"/>
      <c r="H113" s="1066" t="s">
        <v>1053</v>
      </c>
      <c r="I113" s="1066" t="s">
        <v>1054</v>
      </c>
      <c r="J113" s="1066" t="s">
        <v>1055</v>
      </c>
      <c r="K113" s="1066" t="s">
        <v>1056</v>
      </c>
      <c r="L113" s="1067"/>
      <c r="M113" s="1067"/>
      <c r="N113" s="1067"/>
      <c r="O113" s="1066" t="s">
        <v>1057</v>
      </c>
      <c r="P113" s="1066" t="s">
        <v>1057</v>
      </c>
      <c r="Q113" s="1066" t="s">
        <v>1057</v>
      </c>
      <c r="R113" s="1066" t="s">
        <v>1487</v>
      </c>
      <c r="S113" s="1066" t="s">
        <v>1144</v>
      </c>
      <c r="U113" s="1064"/>
      <c r="V113" s="1064"/>
    </row>
    <row r="114" spans="2:22" x14ac:dyDescent="0.2">
      <c r="B114" s="1067"/>
      <c r="C114" s="1067"/>
      <c r="D114" s="1067"/>
      <c r="E114" s="1067"/>
      <c r="F114" s="1067"/>
      <c r="G114" s="1066" t="s">
        <v>1486</v>
      </c>
      <c r="H114" s="1067"/>
      <c r="I114" s="1067"/>
      <c r="J114" s="1067"/>
      <c r="K114" s="1066" t="s">
        <v>1488</v>
      </c>
      <c r="L114" s="1066"/>
      <c r="M114" s="1066"/>
      <c r="N114" s="1066"/>
      <c r="O114" s="1066" t="s">
        <v>1489</v>
      </c>
      <c r="P114" s="1066" t="s">
        <v>1367</v>
      </c>
      <c r="Q114" s="1066" t="s">
        <v>1490</v>
      </c>
      <c r="R114" s="1067"/>
      <c r="S114" s="1067"/>
      <c r="U114" s="1064"/>
      <c r="V114" s="1064"/>
    </row>
    <row r="115" spans="2:22" x14ac:dyDescent="0.2">
      <c r="B115" s="1067"/>
      <c r="C115" s="1066" t="s">
        <v>1491</v>
      </c>
      <c r="D115" s="1066" t="s">
        <v>1492</v>
      </c>
      <c r="E115" s="1066" t="s">
        <v>1133</v>
      </c>
      <c r="F115" s="1066" t="s">
        <v>1493</v>
      </c>
      <c r="G115" s="1067"/>
      <c r="H115" s="1066" t="s">
        <v>1053</v>
      </c>
      <c r="I115" s="1066" t="s">
        <v>1494</v>
      </c>
      <c r="J115" s="1066" t="s">
        <v>1055</v>
      </c>
      <c r="K115" s="1066" t="s">
        <v>1488</v>
      </c>
      <c r="L115" s="1067"/>
      <c r="M115" s="1067"/>
      <c r="N115" s="1067"/>
      <c r="O115" s="1066" t="s">
        <v>1278</v>
      </c>
      <c r="P115" s="1066" t="s">
        <v>1367</v>
      </c>
      <c r="Q115" s="1066" t="s">
        <v>1495</v>
      </c>
      <c r="R115" s="1066" t="s">
        <v>1143</v>
      </c>
      <c r="S115" s="1066" t="s">
        <v>1144</v>
      </c>
      <c r="U115" s="1064"/>
      <c r="V115" s="1064"/>
    </row>
    <row r="116" spans="2:22" x14ac:dyDescent="0.2">
      <c r="B116" s="1065"/>
      <c r="C116" s="1065"/>
      <c r="D116" s="1065"/>
      <c r="E116" s="1065"/>
      <c r="F116" s="1065"/>
      <c r="G116" s="1066" t="s">
        <v>1496</v>
      </c>
      <c r="H116" s="1065"/>
      <c r="I116" s="1065"/>
      <c r="J116" s="1065"/>
      <c r="K116" s="1066" t="s">
        <v>1497</v>
      </c>
      <c r="L116" s="1066"/>
      <c r="M116" s="1066"/>
      <c r="N116" s="1066"/>
      <c r="O116" s="1066" t="s">
        <v>1354</v>
      </c>
      <c r="P116" s="1066" t="s">
        <v>1095</v>
      </c>
      <c r="Q116" s="1066" t="s">
        <v>1498</v>
      </c>
      <c r="R116" s="1065"/>
      <c r="S116" s="1065"/>
      <c r="U116" s="1064"/>
      <c r="V116" s="1064"/>
    </row>
    <row r="117" spans="2:22" x14ac:dyDescent="0.2">
      <c r="B117" s="1065" t="s">
        <v>1499</v>
      </c>
      <c r="C117" s="1066" t="s">
        <v>1500</v>
      </c>
      <c r="D117" s="1066" t="s">
        <v>1501</v>
      </c>
      <c r="E117" s="1066" t="s">
        <v>1502</v>
      </c>
      <c r="F117" s="1066" t="s">
        <v>1068</v>
      </c>
      <c r="G117" s="1067"/>
      <c r="H117" s="1066" t="s">
        <v>1053</v>
      </c>
      <c r="I117" s="1066" t="s">
        <v>1054</v>
      </c>
      <c r="J117" s="1066" t="s">
        <v>1055</v>
      </c>
      <c r="K117" s="1066" t="s">
        <v>1056</v>
      </c>
      <c r="L117" s="1067"/>
      <c r="M117" s="1067"/>
      <c r="N117" s="1067"/>
      <c r="O117" s="1066" t="s">
        <v>1057</v>
      </c>
      <c r="P117" s="1066" t="s">
        <v>1057</v>
      </c>
      <c r="Q117" s="1066" t="s">
        <v>1057</v>
      </c>
      <c r="R117" s="1066" t="s">
        <v>1503</v>
      </c>
      <c r="S117" s="1066" t="s">
        <v>1144</v>
      </c>
      <c r="U117" s="1064"/>
      <c r="V117" s="1064"/>
    </row>
    <row r="118" spans="2:22" x14ac:dyDescent="0.2">
      <c r="B118" s="1065"/>
      <c r="C118" s="1065"/>
      <c r="D118" s="1065"/>
      <c r="E118" s="1065"/>
      <c r="F118" s="1065"/>
      <c r="G118" s="1066" t="s">
        <v>1068</v>
      </c>
      <c r="H118" s="1065"/>
      <c r="I118" s="1065"/>
      <c r="J118" s="1065"/>
      <c r="K118" s="1066" t="s">
        <v>1070</v>
      </c>
      <c r="L118" s="1066"/>
      <c r="M118" s="1066"/>
      <c r="N118" s="1066"/>
      <c r="O118" s="1066" t="s">
        <v>1504</v>
      </c>
      <c r="P118" s="1066" t="s">
        <v>1244</v>
      </c>
      <c r="Q118" s="1066" t="s">
        <v>1505</v>
      </c>
      <c r="R118" s="1065"/>
      <c r="S118" s="1065"/>
      <c r="U118" s="1064"/>
      <c r="V118" s="1064"/>
    </row>
    <row r="119" spans="2:22" x14ac:dyDescent="0.2">
      <c r="B119" s="1065" t="s">
        <v>1506</v>
      </c>
      <c r="C119" s="1066" t="s">
        <v>1507</v>
      </c>
      <c r="D119" s="1066" t="s">
        <v>1508</v>
      </c>
      <c r="E119" s="1066" t="s">
        <v>1099</v>
      </c>
      <c r="F119" s="1066" t="s">
        <v>1432</v>
      </c>
      <c r="G119" s="1067"/>
      <c r="H119" s="1066" t="s">
        <v>1053</v>
      </c>
      <c r="I119" s="1066" t="s">
        <v>1054</v>
      </c>
      <c r="J119" s="1066" t="s">
        <v>1055</v>
      </c>
      <c r="K119" s="1066" t="s">
        <v>1056</v>
      </c>
      <c r="L119" s="1067"/>
      <c r="M119" s="1067"/>
      <c r="N119" s="1067"/>
      <c r="O119" s="1066" t="s">
        <v>1057</v>
      </c>
      <c r="P119" s="1066" t="s">
        <v>1057</v>
      </c>
      <c r="Q119" s="1066" t="s">
        <v>1057</v>
      </c>
      <c r="R119" s="1066" t="s">
        <v>1101</v>
      </c>
      <c r="S119" s="1066" t="s">
        <v>1144</v>
      </c>
      <c r="U119" s="1064"/>
      <c r="V119" s="1064"/>
    </row>
    <row r="120" spans="2:22" x14ac:dyDescent="0.2">
      <c r="B120" s="1065"/>
      <c r="C120" s="1065"/>
      <c r="D120" s="1065"/>
      <c r="E120" s="1065"/>
      <c r="F120" s="1065"/>
      <c r="G120" s="1066" t="s">
        <v>1432</v>
      </c>
      <c r="H120" s="1065"/>
      <c r="I120" s="1065"/>
      <c r="J120" s="1065"/>
      <c r="K120" s="1066" t="s">
        <v>1509</v>
      </c>
      <c r="L120" s="1066"/>
      <c r="M120" s="1066"/>
      <c r="N120" s="1066"/>
      <c r="O120" s="1066" t="s">
        <v>1103</v>
      </c>
      <c r="P120" s="1066" t="s">
        <v>1063</v>
      </c>
      <c r="Q120" s="1066" t="s">
        <v>1194</v>
      </c>
      <c r="R120" s="1065"/>
      <c r="S120" s="1065"/>
      <c r="U120" s="1064"/>
      <c r="V120" s="1064"/>
    </row>
    <row r="121" spans="2:22" x14ac:dyDescent="0.2">
      <c r="B121" s="1065" t="s">
        <v>1510</v>
      </c>
      <c r="C121" s="1066" t="s">
        <v>1511</v>
      </c>
      <c r="D121" s="1066" t="s">
        <v>1512</v>
      </c>
      <c r="E121" s="1066" t="s">
        <v>1513</v>
      </c>
      <c r="F121" s="1066" t="s">
        <v>1514</v>
      </c>
      <c r="G121" s="1067"/>
      <c r="H121" s="1066" t="s">
        <v>1053</v>
      </c>
      <c r="I121" s="1066" t="s">
        <v>1054</v>
      </c>
      <c r="J121" s="1066" t="s">
        <v>1055</v>
      </c>
      <c r="K121" s="1066" t="s">
        <v>1056</v>
      </c>
      <c r="L121" s="1067"/>
      <c r="M121" s="1067"/>
      <c r="N121" s="1067"/>
      <c r="O121" s="1066" t="s">
        <v>1057</v>
      </c>
      <c r="P121" s="1066" t="s">
        <v>1057</v>
      </c>
      <c r="Q121" s="1066" t="s">
        <v>1057</v>
      </c>
      <c r="R121" s="1066" t="s">
        <v>1515</v>
      </c>
      <c r="S121" s="1067"/>
      <c r="U121" s="1064"/>
      <c r="V121" s="1064"/>
    </row>
    <row r="122" spans="2:22" x14ac:dyDescent="0.2">
      <c r="B122" s="1065"/>
      <c r="C122" s="1065"/>
      <c r="D122" s="1065"/>
      <c r="E122" s="1065"/>
      <c r="F122" s="1065"/>
      <c r="G122" s="1066" t="s">
        <v>1514</v>
      </c>
      <c r="H122" s="1065"/>
      <c r="I122" s="1065"/>
      <c r="J122" s="1065"/>
      <c r="K122" s="1066" t="s">
        <v>1056</v>
      </c>
      <c r="L122" s="1066" t="s">
        <v>1516</v>
      </c>
      <c r="M122" s="1066" t="s">
        <v>1060</v>
      </c>
      <c r="N122" s="1066" t="s">
        <v>1061</v>
      </c>
      <c r="O122" s="1066" t="s">
        <v>1517</v>
      </c>
      <c r="P122" s="1066" t="s">
        <v>1063</v>
      </c>
      <c r="Q122" s="1066" t="s">
        <v>1518</v>
      </c>
      <c r="R122" s="1065"/>
      <c r="S122" s="1065"/>
      <c r="U122" s="1064"/>
      <c r="V122" s="1064"/>
    </row>
    <row r="123" spans="2:22" x14ac:dyDescent="0.2">
      <c r="B123" s="1065" t="s">
        <v>1519</v>
      </c>
      <c r="C123" s="1066" t="s">
        <v>1520</v>
      </c>
      <c r="D123" s="1066" t="s">
        <v>1521</v>
      </c>
      <c r="E123" s="1066" t="s">
        <v>1522</v>
      </c>
      <c r="F123" s="1066" t="s">
        <v>1294</v>
      </c>
      <c r="G123" s="1067"/>
      <c r="H123" s="1066" t="s">
        <v>1053</v>
      </c>
      <c r="I123" s="1066" t="s">
        <v>1054</v>
      </c>
      <c r="J123" s="1066" t="s">
        <v>1055</v>
      </c>
      <c r="K123" s="1066" t="s">
        <v>1056</v>
      </c>
      <c r="L123" s="1067"/>
      <c r="M123" s="1067"/>
      <c r="N123" s="1067"/>
      <c r="O123" s="1066" t="s">
        <v>1057</v>
      </c>
      <c r="P123" s="1066" t="s">
        <v>1057</v>
      </c>
      <c r="Q123" s="1066" t="s">
        <v>1057</v>
      </c>
      <c r="R123" s="1066" t="s">
        <v>1523</v>
      </c>
      <c r="S123" s="1066" t="s">
        <v>1144</v>
      </c>
      <c r="U123" s="1064"/>
      <c r="V123" s="1064"/>
    </row>
    <row r="124" spans="2:22" x14ac:dyDescent="0.2">
      <c r="B124" s="1067"/>
      <c r="C124" s="1067"/>
      <c r="D124" s="1067"/>
      <c r="E124" s="1067"/>
      <c r="F124" s="1067"/>
      <c r="G124" s="1066" t="s">
        <v>1294</v>
      </c>
      <c r="H124" s="1067"/>
      <c r="I124" s="1067"/>
      <c r="J124" s="1067"/>
      <c r="K124" s="1066" t="s">
        <v>1524</v>
      </c>
      <c r="L124" s="1066"/>
      <c r="M124" s="1066"/>
      <c r="N124" s="1066"/>
      <c r="O124" s="1066" t="s">
        <v>1525</v>
      </c>
      <c r="P124" s="1066" t="s">
        <v>1095</v>
      </c>
      <c r="Q124" s="1066" t="s">
        <v>1526</v>
      </c>
      <c r="R124" s="1067"/>
      <c r="S124" s="1067"/>
      <c r="U124" s="1064"/>
      <c r="V124" s="1064"/>
    </row>
    <row r="125" spans="2:22" x14ac:dyDescent="0.2">
      <c r="B125" s="1067"/>
      <c r="C125" s="1066" t="s">
        <v>1527</v>
      </c>
      <c r="D125" s="1066" t="s">
        <v>1528</v>
      </c>
      <c r="E125" s="1066" t="s">
        <v>1270</v>
      </c>
      <c r="F125" s="1066" t="s">
        <v>1220</v>
      </c>
      <c r="G125" s="1067"/>
      <c r="H125" s="1066" t="s">
        <v>1053</v>
      </c>
      <c r="I125" s="1066" t="s">
        <v>1529</v>
      </c>
      <c r="J125" s="1066" t="s">
        <v>1055</v>
      </c>
      <c r="K125" s="1066" t="s">
        <v>1524</v>
      </c>
      <c r="L125" s="1067"/>
      <c r="M125" s="1067"/>
      <c r="N125" s="1067"/>
      <c r="O125" s="1066" t="s">
        <v>1202</v>
      </c>
      <c r="P125" s="1066" t="s">
        <v>1095</v>
      </c>
      <c r="Q125" s="1066" t="s">
        <v>1530</v>
      </c>
      <c r="R125" s="1066" t="s">
        <v>1531</v>
      </c>
      <c r="S125" s="1066" t="s">
        <v>1144</v>
      </c>
      <c r="U125" s="1064"/>
      <c r="V125" s="1064"/>
    </row>
    <row r="126" spans="2:22" x14ac:dyDescent="0.2">
      <c r="B126" s="1065"/>
      <c r="C126" s="1065"/>
      <c r="D126" s="1065"/>
      <c r="E126" s="1065"/>
      <c r="F126" s="1065"/>
      <c r="G126" s="1066" t="s">
        <v>1532</v>
      </c>
      <c r="H126" s="1065"/>
      <c r="I126" s="1065"/>
      <c r="J126" s="1065"/>
      <c r="K126" s="1066" t="s">
        <v>1533</v>
      </c>
      <c r="L126" s="1066"/>
      <c r="M126" s="1066"/>
      <c r="N126" s="1066"/>
      <c r="O126" s="1066" t="s">
        <v>1344</v>
      </c>
      <c r="P126" s="1066" t="s">
        <v>1244</v>
      </c>
      <c r="Q126" s="1066" t="s">
        <v>1534</v>
      </c>
      <c r="R126" s="1065"/>
      <c r="S126" s="1065"/>
      <c r="U126" s="1064"/>
      <c r="V126" s="1064"/>
    </row>
    <row r="127" spans="2:22" x14ac:dyDescent="0.2">
      <c r="B127" s="1065" t="s">
        <v>1535</v>
      </c>
      <c r="C127" s="1066" t="s">
        <v>1536</v>
      </c>
      <c r="D127" s="1066" t="s">
        <v>1537</v>
      </c>
      <c r="E127" s="1066" t="s">
        <v>1099</v>
      </c>
      <c r="F127" s="1066" t="s">
        <v>1538</v>
      </c>
      <c r="G127" s="1067"/>
      <c r="H127" s="1066" t="s">
        <v>1053</v>
      </c>
      <c r="I127" s="1066" t="s">
        <v>1054</v>
      </c>
      <c r="J127" s="1066" t="s">
        <v>1055</v>
      </c>
      <c r="K127" s="1066" t="s">
        <v>1056</v>
      </c>
      <c r="L127" s="1067"/>
      <c r="M127" s="1067"/>
      <c r="N127" s="1067"/>
      <c r="O127" s="1066" t="s">
        <v>1057</v>
      </c>
      <c r="P127" s="1066" t="s">
        <v>1057</v>
      </c>
      <c r="Q127" s="1066" t="s">
        <v>1057</v>
      </c>
      <c r="R127" s="1066" t="s">
        <v>1539</v>
      </c>
      <c r="S127" s="1066" t="s">
        <v>1144</v>
      </c>
      <c r="U127" s="1064"/>
      <c r="V127" s="1064"/>
    </row>
    <row r="128" spans="2:22" x14ac:dyDescent="0.2">
      <c r="B128" s="1067"/>
      <c r="C128" s="1067"/>
      <c r="D128" s="1067"/>
      <c r="E128" s="1067"/>
      <c r="F128" s="1067"/>
      <c r="G128" s="1066" t="s">
        <v>1538</v>
      </c>
      <c r="H128" s="1067"/>
      <c r="I128" s="1067"/>
      <c r="J128" s="1067"/>
      <c r="K128" s="1066" t="s">
        <v>1540</v>
      </c>
      <c r="L128" s="1066"/>
      <c r="M128" s="1066"/>
      <c r="N128" s="1066"/>
      <c r="O128" s="1066" t="s">
        <v>1541</v>
      </c>
      <c r="P128" s="1066" t="s">
        <v>1063</v>
      </c>
      <c r="Q128" s="1066" t="s">
        <v>1542</v>
      </c>
      <c r="R128" s="1067"/>
      <c r="S128" s="1067"/>
      <c r="U128" s="1064"/>
      <c r="V128" s="1064"/>
    </row>
    <row r="129" spans="2:22" x14ac:dyDescent="0.2">
      <c r="B129" s="1067"/>
      <c r="C129" s="1066" t="s">
        <v>1543</v>
      </c>
      <c r="D129" s="1066" t="s">
        <v>1107</v>
      </c>
      <c r="E129" s="1066" t="s">
        <v>1206</v>
      </c>
      <c r="F129" s="1066" t="s">
        <v>1544</v>
      </c>
      <c r="G129" s="1067"/>
      <c r="H129" s="1066" t="s">
        <v>1053</v>
      </c>
      <c r="I129" s="1066" t="s">
        <v>1545</v>
      </c>
      <c r="J129" s="1066" t="s">
        <v>1055</v>
      </c>
      <c r="K129" s="1066" t="s">
        <v>1540</v>
      </c>
      <c r="L129" s="1067"/>
      <c r="M129" s="1067"/>
      <c r="N129" s="1067"/>
      <c r="O129" s="1066" t="s">
        <v>1278</v>
      </c>
      <c r="P129" s="1066" t="s">
        <v>1063</v>
      </c>
      <c r="Q129" s="1066" t="s">
        <v>1104</v>
      </c>
      <c r="R129" s="1066" t="s">
        <v>1427</v>
      </c>
      <c r="S129" s="1066" t="s">
        <v>1144</v>
      </c>
      <c r="U129" s="1064"/>
      <c r="V129" s="1064"/>
    </row>
    <row r="130" spans="2:22" x14ac:dyDescent="0.2">
      <c r="B130" s="1065"/>
      <c r="C130" s="1065"/>
      <c r="D130" s="1065"/>
      <c r="E130" s="1065"/>
      <c r="F130" s="1065"/>
      <c r="G130" s="1066" t="s">
        <v>1546</v>
      </c>
      <c r="H130" s="1065"/>
      <c r="I130" s="1065"/>
      <c r="J130" s="1065"/>
      <c r="K130" s="1066" t="s">
        <v>1547</v>
      </c>
      <c r="L130" s="1066"/>
      <c r="M130" s="1066"/>
      <c r="N130" s="1066"/>
      <c r="O130" s="1066" t="s">
        <v>1366</v>
      </c>
      <c r="P130" s="1066" t="s">
        <v>1244</v>
      </c>
      <c r="Q130" s="1066" t="s">
        <v>1334</v>
      </c>
      <c r="R130" s="1065"/>
      <c r="S130" s="1065"/>
      <c r="U130" s="1064"/>
      <c r="V130" s="1064"/>
    </row>
    <row r="131" spans="2:22" x14ac:dyDescent="0.2">
      <c r="B131" s="1065" t="s">
        <v>1548</v>
      </c>
      <c r="C131" s="1066" t="s">
        <v>1549</v>
      </c>
      <c r="D131" s="1066" t="s">
        <v>1550</v>
      </c>
      <c r="E131" s="1066" t="s">
        <v>1513</v>
      </c>
      <c r="F131" s="1066" t="s">
        <v>1551</v>
      </c>
      <c r="G131" s="1067"/>
      <c r="H131" s="1066" t="s">
        <v>1053</v>
      </c>
      <c r="I131" s="1066" t="s">
        <v>1054</v>
      </c>
      <c r="J131" s="1066" t="s">
        <v>1055</v>
      </c>
      <c r="K131" s="1066" t="s">
        <v>1056</v>
      </c>
      <c r="L131" s="1067"/>
      <c r="M131" s="1067"/>
      <c r="N131" s="1067"/>
      <c r="O131" s="1066" t="s">
        <v>1057</v>
      </c>
      <c r="P131" s="1066" t="s">
        <v>1057</v>
      </c>
      <c r="Q131" s="1066" t="s">
        <v>1057</v>
      </c>
      <c r="R131" s="1066" t="s">
        <v>1552</v>
      </c>
      <c r="S131" s="1067"/>
      <c r="U131" s="1064"/>
      <c r="V131" s="1064"/>
    </row>
    <row r="132" spans="2:22" x14ac:dyDescent="0.2">
      <c r="B132" s="1065"/>
      <c r="C132" s="1065"/>
      <c r="D132" s="1065"/>
      <c r="E132" s="1065"/>
      <c r="F132" s="1065"/>
      <c r="G132" s="1066" t="s">
        <v>1551</v>
      </c>
      <c r="H132" s="1065"/>
      <c r="I132" s="1065"/>
      <c r="J132" s="1065"/>
      <c r="K132" s="1066" t="s">
        <v>1056</v>
      </c>
      <c r="L132" s="1066" t="s">
        <v>1553</v>
      </c>
      <c r="M132" s="1066" t="s">
        <v>1060</v>
      </c>
      <c r="N132" s="1066" t="s">
        <v>1061</v>
      </c>
      <c r="O132" s="1066" t="s">
        <v>1554</v>
      </c>
      <c r="P132" s="1066" t="s">
        <v>1063</v>
      </c>
      <c r="Q132" s="1066" t="s">
        <v>1555</v>
      </c>
      <c r="R132" s="1065"/>
      <c r="S132" s="1065"/>
      <c r="U132" s="1064"/>
      <c r="V132" s="1064"/>
    </row>
    <row r="133" spans="2:22" x14ac:dyDescent="0.2">
      <c r="B133" s="1065" t="s">
        <v>1556</v>
      </c>
      <c r="C133" s="1066" t="s">
        <v>1557</v>
      </c>
      <c r="D133" s="1066" t="s">
        <v>1558</v>
      </c>
      <c r="E133" s="1066" t="s">
        <v>1522</v>
      </c>
      <c r="F133" s="1066" t="s">
        <v>1559</v>
      </c>
      <c r="G133" s="1067"/>
      <c r="H133" s="1066" t="s">
        <v>1053</v>
      </c>
      <c r="I133" s="1066" t="s">
        <v>1054</v>
      </c>
      <c r="J133" s="1066" t="s">
        <v>1055</v>
      </c>
      <c r="K133" s="1066" t="s">
        <v>1056</v>
      </c>
      <c r="L133" s="1067"/>
      <c r="M133" s="1067"/>
      <c r="N133" s="1067"/>
      <c r="O133" s="1066" t="s">
        <v>1057</v>
      </c>
      <c r="P133" s="1066" t="s">
        <v>1057</v>
      </c>
      <c r="Q133" s="1066" t="s">
        <v>1057</v>
      </c>
      <c r="R133" s="1066" t="s">
        <v>1560</v>
      </c>
      <c r="S133" s="1066" t="s">
        <v>1144</v>
      </c>
      <c r="U133" s="1064"/>
      <c r="V133" s="1064"/>
    </row>
    <row r="134" spans="2:22" x14ac:dyDescent="0.2">
      <c r="B134" s="1065"/>
      <c r="C134" s="1065"/>
      <c r="D134" s="1065"/>
      <c r="E134" s="1065"/>
      <c r="F134" s="1065"/>
      <c r="G134" s="1066" t="s">
        <v>1559</v>
      </c>
      <c r="H134" s="1065"/>
      <c r="I134" s="1065"/>
      <c r="J134" s="1065"/>
      <c r="K134" s="1066" t="s">
        <v>1561</v>
      </c>
      <c r="L134" s="1066"/>
      <c r="M134" s="1066"/>
      <c r="N134" s="1066"/>
      <c r="O134" s="1066" t="s">
        <v>1323</v>
      </c>
      <c r="P134" s="1066" t="s">
        <v>1367</v>
      </c>
      <c r="Q134" s="1066" t="s">
        <v>1562</v>
      </c>
      <c r="R134" s="1065"/>
      <c r="S134" s="1065"/>
      <c r="U134" s="1064"/>
      <c r="V134" s="1064"/>
    </row>
    <row r="135" spans="2:22" x14ac:dyDescent="0.2">
      <c r="B135" s="1065" t="s">
        <v>1563</v>
      </c>
      <c r="C135" s="1066" t="s">
        <v>1564</v>
      </c>
      <c r="D135" s="1066" t="s">
        <v>1565</v>
      </c>
      <c r="E135" s="1066" t="s">
        <v>1165</v>
      </c>
      <c r="F135" s="1066" t="s">
        <v>1544</v>
      </c>
      <c r="G135" s="1067"/>
      <c r="H135" s="1066" t="s">
        <v>1053</v>
      </c>
      <c r="I135" s="1066" t="s">
        <v>1054</v>
      </c>
      <c r="J135" s="1066" t="s">
        <v>1055</v>
      </c>
      <c r="K135" s="1066" t="s">
        <v>1056</v>
      </c>
      <c r="L135" s="1067"/>
      <c r="M135" s="1067"/>
      <c r="N135" s="1067"/>
      <c r="O135" s="1066" t="s">
        <v>1057</v>
      </c>
      <c r="P135" s="1066" t="s">
        <v>1057</v>
      </c>
      <c r="Q135" s="1066" t="s">
        <v>1057</v>
      </c>
      <c r="R135" s="1066" t="s">
        <v>1566</v>
      </c>
      <c r="S135" s="1066" t="s">
        <v>1144</v>
      </c>
      <c r="U135" s="1064"/>
      <c r="V135" s="1064"/>
    </row>
    <row r="136" spans="2:22" x14ac:dyDescent="0.2">
      <c r="B136" s="1065"/>
      <c r="C136" s="1065"/>
      <c r="D136" s="1065"/>
      <c r="E136" s="1065"/>
      <c r="F136" s="1065"/>
      <c r="G136" s="1066" t="s">
        <v>1544</v>
      </c>
      <c r="H136" s="1065"/>
      <c r="I136" s="1065"/>
      <c r="J136" s="1065"/>
      <c r="K136" s="1066" t="s">
        <v>1567</v>
      </c>
      <c r="L136" s="1066"/>
      <c r="M136" s="1066"/>
      <c r="N136" s="1066"/>
      <c r="O136" s="1066" t="s">
        <v>1169</v>
      </c>
      <c r="P136" s="1066" t="s">
        <v>1063</v>
      </c>
      <c r="Q136" s="1066" t="s">
        <v>1194</v>
      </c>
      <c r="R136" s="1065"/>
      <c r="S136" s="1065"/>
      <c r="U136" s="1064"/>
      <c r="V136" s="1064"/>
    </row>
    <row r="137" spans="2:22" x14ac:dyDescent="0.2">
      <c r="B137" s="1065" t="s">
        <v>1568</v>
      </c>
      <c r="C137" s="1066" t="s">
        <v>1569</v>
      </c>
      <c r="D137" s="1066" t="s">
        <v>1570</v>
      </c>
      <c r="E137" s="1066" t="s">
        <v>1571</v>
      </c>
      <c r="F137" s="1066" t="s">
        <v>1572</v>
      </c>
      <c r="G137" s="1067"/>
      <c r="H137" s="1066" t="s">
        <v>1053</v>
      </c>
      <c r="I137" s="1066" t="s">
        <v>1054</v>
      </c>
      <c r="J137" s="1066" t="s">
        <v>1055</v>
      </c>
      <c r="K137" s="1066" t="s">
        <v>1056</v>
      </c>
      <c r="L137" s="1067"/>
      <c r="M137" s="1067"/>
      <c r="N137" s="1067"/>
      <c r="O137" s="1066" t="s">
        <v>1057</v>
      </c>
      <c r="P137" s="1066" t="s">
        <v>1057</v>
      </c>
      <c r="Q137" s="1066" t="s">
        <v>1057</v>
      </c>
      <c r="R137" s="1066" t="s">
        <v>1573</v>
      </c>
      <c r="S137" s="1067"/>
      <c r="U137" s="1064"/>
      <c r="V137" s="1064"/>
    </row>
    <row r="138" spans="2:22" x14ac:dyDescent="0.2">
      <c r="B138" s="1065"/>
      <c r="C138" s="1065"/>
      <c r="D138" s="1065"/>
      <c r="E138" s="1065"/>
      <c r="F138" s="1065"/>
      <c r="G138" s="1066" t="s">
        <v>1572</v>
      </c>
      <c r="H138" s="1065"/>
      <c r="I138" s="1065"/>
      <c r="J138" s="1065"/>
      <c r="K138" s="1066" t="s">
        <v>1056</v>
      </c>
      <c r="L138" s="1066" t="s">
        <v>1574</v>
      </c>
      <c r="M138" s="1066" t="s">
        <v>1060</v>
      </c>
      <c r="N138" s="1066" t="s">
        <v>1061</v>
      </c>
      <c r="O138" s="1066" t="s">
        <v>1412</v>
      </c>
      <c r="P138" s="1066" t="s">
        <v>1063</v>
      </c>
      <c r="Q138" s="1066" t="s">
        <v>1555</v>
      </c>
      <c r="R138" s="1065"/>
      <c r="S138" s="1065"/>
      <c r="U138" s="1064"/>
      <c r="V138" s="1064"/>
    </row>
    <row r="139" spans="2:22" x14ac:dyDescent="0.2">
      <c r="B139" s="1065" t="s">
        <v>1575</v>
      </c>
      <c r="C139" s="1066" t="s">
        <v>1576</v>
      </c>
      <c r="D139" s="1066" t="s">
        <v>1577</v>
      </c>
      <c r="E139" s="1066" t="s">
        <v>1150</v>
      </c>
      <c r="F139" s="1066" t="s">
        <v>1578</v>
      </c>
      <c r="G139" s="1067"/>
      <c r="H139" s="1066" t="s">
        <v>1053</v>
      </c>
      <c r="I139" s="1066" t="s">
        <v>1054</v>
      </c>
      <c r="J139" s="1066" t="s">
        <v>1055</v>
      </c>
      <c r="K139" s="1066" t="s">
        <v>1056</v>
      </c>
      <c r="L139" s="1067"/>
      <c r="M139" s="1067"/>
      <c r="N139" s="1067"/>
      <c r="O139" s="1066" t="s">
        <v>1057</v>
      </c>
      <c r="P139" s="1066" t="s">
        <v>1057</v>
      </c>
      <c r="Q139" s="1066" t="s">
        <v>1057</v>
      </c>
      <c r="R139" s="1066" t="s">
        <v>1579</v>
      </c>
      <c r="S139" s="1066" t="s">
        <v>1144</v>
      </c>
      <c r="U139" s="1064"/>
      <c r="V139" s="1064"/>
    </row>
    <row r="140" spans="2:22" x14ac:dyDescent="0.2">
      <c r="B140" s="1067"/>
      <c r="C140" s="1067"/>
      <c r="D140" s="1067"/>
      <c r="E140" s="1067"/>
      <c r="F140" s="1067"/>
      <c r="G140" s="1066" t="s">
        <v>1578</v>
      </c>
      <c r="H140" s="1067"/>
      <c r="I140" s="1067"/>
      <c r="J140" s="1067"/>
      <c r="K140" s="1066" t="s">
        <v>1580</v>
      </c>
      <c r="L140" s="1066"/>
      <c r="M140" s="1066"/>
      <c r="N140" s="1066"/>
      <c r="O140" s="1066" t="s">
        <v>1581</v>
      </c>
      <c r="P140" s="1066" t="s">
        <v>1063</v>
      </c>
      <c r="Q140" s="1066" t="s">
        <v>1080</v>
      </c>
      <c r="R140" s="1067"/>
      <c r="S140" s="1067"/>
      <c r="U140" s="1064"/>
      <c r="V140" s="1064"/>
    </row>
    <row r="141" spans="2:22" x14ac:dyDescent="0.2">
      <c r="B141" s="1067"/>
      <c r="C141" s="1066" t="s">
        <v>1582</v>
      </c>
      <c r="D141" s="1066" t="s">
        <v>1583</v>
      </c>
      <c r="E141" s="1066" t="s">
        <v>1133</v>
      </c>
      <c r="F141" s="1066" t="s">
        <v>1234</v>
      </c>
      <c r="G141" s="1067"/>
      <c r="H141" s="1066" t="s">
        <v>1053</v>
      </c>
      <c r="I141" s="1066" t="s">
        <v>1584</v>
      </c>
      <c r="J141" s="1066" t="s">
        <v>1055</v>
      </c>
      <c r="K141" s="1066" t="s">
        <v>1580</v>
      </c>
      <c r="L141" s="1067"/>
      <c r="M141" s="1067"/>
      <c r="N141" s="1067"/>
      <c r="O141" s="1066" t="s">
        <v>1290</v>
      </c>
      <c r="P141" s="1066" t="s">
        <v>1367</v>
      </c>
      <c r="Q141" s="1066" t="s">
        <v>1585</v>
      </c>
      <c r="R141" s="1066" t="s">
        <v>1143</v>
      </c>
      <c r="S141" s="1066" t="s">
        <v>1144</v>
      </c>
      <c r="U141" s="1064"/>
      <c r="V141" s="1064"/>
    </row>
    <row r="142" spans="2:22" x14ac:dyDescent="0.2">
      <c r="B142" s="1065"/>
      <c r="C142" s="1065"/>
      <c r="D142" s="1065"/>
      <c r="E142" s="1065"/>
      <c r="F142" s="1065"/>
      <c r="G142" s="1066" t="s">
        <v>1586</v>
      </c>
      <c r="H142" s="1065"/>
      <c r="I142" s="1065"/>
      <c r="J142" s="1065"/>
      <c r="K142" s="1066" t="s">
        <v>1587</v>
      </c>
      <c r="L142" s="1066"/>
      <c r="M142" s="1066"/>
      <c r="N142" s="1066"/>
      <c r="O142" s="1066" t="s">
        <v>1422</v>
      </c>
      <c r="P142" s="1066" t="s">
        <v>1095</v>
      </c>
      <c r="Q142" s="1066" t="s">
        <v>1588</v>
      </c>
      <c r="R142" s="1065"/>
      <c r="S142" s="1065"/>
      <c r="U142" s="1064"/>
      <c r="V142" s="1064"/>
    </row>
    <row r="143" spans="2:22" x14ac:dyDescent="0.2">
      <c r="B143" s="1065" t="s">
        <v>1589</v>
      </c>
      <c r="C143" s="1066" t="s">
        <v>1590</v>
      </c>
      <c r="D143" s="1066" t="s">
        <v>1591</v>
      </c>
      <c r="E143" s="1066" t="s">
        <v>1051</v>
      </c>
      <c r="F143" s="1066" t="s">
        <v>1432</v>
      </c>
      <c r="G143" s="1067"/>
      <c r="H143" s="1066" t="s">
        <v>1053</v>
      </c>
      <c r="I143" s="1066" t="s">
        <v>1054</v>
      </c>
      <c r="J143" s="1066" t="s">
        <v>1055</v>
      </c>
      <c r="K143" s="1066" t="s">
        <v>1056</v>
      </c>
      <c r="L143" s="1067"/>
      <c r="M143" s="1067"/>
      <c r="N143" s="1067"/>
      <c r="O143" s="1066" t="s">
        <v>1057</v>
      </c>
      <c r="P143" s="1066" t="s">
        <v>1057</v>
      </c>
      <c r="Q143" s="1066" t="s">
        <v>1057</v>
      </c>
      <c r="R143" s="1066" t="s">
        <v>1592</v>
      </c>
      <c r="S143" s="1066" t="s">
        <v>1144</v>
      </c>
      <c r="U143" s="1064"/>
      <c r="V143" s="1064"/>
    </row>
    <row r="144" spans="2:22" x14ac:dyDescent="0.2">
      <c r="B144" s="1067"/>
      <c r="C144" s="1067"/>
      <c r="D144" s="1067"/>
      <c r="E144" s="1067"/>
      <c r="F144" s="1067"/>
      <c r="G144" s="1066" t="s">
        <v>1432</v>
      </c>
      <c r="H144" s="1067"/>
      <c r="I144" s="1067"/>
      <c r="J144" s="1067"/>
      <c r="K144" s="1066" t="s">
        <v>1509</v>
      </c>
      <c r="L144" s="1066"/>
      <c r="M144" s="1066"/>
      <c r="N144" s="1066"/>
      <c r="O144" s="1066" t="s">
        <v>1137</v>
      </c>
      <c r="P144" s="1066" t="s">
        <v>1063</v>
      </c>
      <c r="Q144" s="1066" t="s">
        <v>1593</v>
      </c>
      <c r="R144" s="1067"/>
      <c r="S144" s="1067"/>
      <c r="U144" s="1064"/>
      <c r="V144" s="1064"/>
    </row>
    <row r="145" spans="2:22" x14ac:dyDescent="0.2">
      <c r="B145" s="1067"/>
      <c r="C145" s="1066" t="s">
        <v>1594</v>
      </c>
      <c r="D145" s="1066" t="s">
        <v>1595</v>
      </c>
      <c r="E145" s="1066" t="s">
        <v>1596</v>
      </c>
      <c r="F145" s="1066" t="s">
        <v>1538</v>
      </c>
      <c r="G145" s="1067"/>
      <c r="H145" s="1066" t="s">
        <v>1053</v>
      </c>
      <c r="I145" s="1066" t="s">
        <v>1597</v>
      </c>
      <c r="J145" s="1066" t="s">
        <v>1055</v>
      </c>
      <c r="K145" s="1066" t="s">
        <v>1509</v>
      </c>
      <c r="L145" s="1067"/>
      <c r="M145" s="1067"/>
      <c r="N145" s="1067"/>
      <c r="O145" s="1066" t="s">
        <v>1079</v>
      </c>
      <c r="P145" s="1066" t="s">
        <v>1063</v>
      </c>
      <c r="Q145" s="1066" t="s">
        <v>1598</v>
      </c>
      <c r="R145" s="1066" t="s">
        <v>1599</v>
      </c>
      <c r="S145" s="1066" t="s">
        <v>1144</v>
      </c>
      <c r="U145" s="1064"/>
      <c r="V145" s="1064"/>
    </row>
    <row r="146" spans="2:22" x14ac:dyDescent="0.2">
      <c r="B146" s="1065"/>
      <c r="C146" s="1065"/>
      <c r="D146" s="1065"/>
      <c r="E146" s="1065"/>
      <c r="F146" s="1065"/>
      <c r="G146" s="1066" t="s">
        <v>1600</v>
      </c>
      <c r="H146" s="1065"/>
      <c r="I146" s="1065"/>
      <c r="J146" s="1065"/>
      <c r="K146" s="1066" t="s">
        <v>1601</v>
      </c>
      <c r="L146" s="1066"/>
      <c r="M146" s="1066"/>
      <c r="N146" s="1066"/>
      <c r="O146" s="1066" t="s">
        <v>1087</v>
      </c>
      <c r="P146" s="1066" t="s">
        <v>1095</v>
      </c>
      <c r="Q146" s="1066" t="s">
        <v>1602</v>
      </c>
      <c r="R146" s="1065"/>
      <c r="S146" s="1065"/>
      <c r="U146" s="1064"/>
      <c r="V146" s="1064"/>
    </row>
    <row r="147" spans="2:22" x14ac:dyDescent="0.2">
      <c r="B147" s="1065" t="s">
        <v>1603</v>
      </c>
      <c r="C147" s="1066" t="s">
        <v>1604</v>
      </c>
      <c r="D147" s="1066" t="s">
        <v>1605</v>
      </c>
      <c r="E147" s="1066" t="s">
        <v>1571</v>
      </c>
      <c r="F147" s="1066" t="s">
        <v>1342</v>
      </c>
      <c r="G147" s="1067"/>
      <c r="H147" s="1066" t="s">
        <v>1053</v>
      </c>
      <c r="I147" s="1066" t="s">
        <v>1054</v>
      </c>
      <c r="J147" s="1066" t="s">
        <v>1055</v>
      </c>
      <c r="K147" s="1066" t="s">
        <v>1056</v>
      </c>
      <c r="L147" s="1067"/>
      <c r="M147" s="1067"/>
      <c r="N147" s="1067"/>
      <c r="O147" s="1066" t="s">
        <v>1057</v>
      </c>
      <c r="P147" s="1066" t="s">
        <v>1057</v>
      </c>
      <c r="Q147" s="1066" t="s">
        <v>1057</v>
      </c>
      <c r="R147" s="1066" t="s">
        <v>1606</v>
      </c>
      <c r="S147" s="1067"/>
      <c r="U147" s="1064"/>
      <c r="V147" s="1064"/>
    </row>
    <row r="148" spans="2:22" x14ac:dyDescent="0.2">
      <c r="B148" s="1065"/>
      <c r="C148" s="1065"/>
      <c r="D148" s="1065"/>
      <c r="E148" s="1065"/>
      <c r="F148" s="1065"/>
      <c r="G148" s="1066" t="s">
        <v>1342</v>
      </c>
      <c r="H148" s="1065"/>
      <c r="I148" s="1065"/>
      <c r="J148" s="1065"/>
      <c r="K148" s="1066" t="s">
        <v>1607</v>
      </c>
      <c r="L148" s="1066" t="s">
        <v>1243</v>
      </c>
      <c r="M148" s="1066" t="s">
        <v>1060</v>
      </c>
      <c r="N148" s="1066" t="s">
        <v>1061</v>
      </c>
      <c r="O148" s="1066" t="s">
        <v>1608</v>
      </c>
      <c r="P148" s="1066" t="s">
        <v>1095</v>
      </c>
      <c r="Q148" s="1066" t="s">
        <v>1609</v>
      </c>
      <c r="R148" s="1065"/>
      <c r="S148" s="1065"/>
      <c r="U148" s="1064"/>
      <c r="V148" s="1064"/>
    </row>
    <row r="149" spans="2:22" x14ac:dyDescent="0.2">
      <c r="B149" s="1065" t="s">
        <v>1610</v>
      </c>
      <c r="C149" s="1066" t="s">
        <v>1611</v>
      </c>
      <c r="D149" s="1066" t="s">
        <v>1612</v>
      </c>
      <c r="E149" s="1066" t="s">
        <v>1522</v>
      </c>
      <c r="F149" s="1066" t="s">
        <v>1613</v>
      </c>
      <c r="G149" s="1067"/>
      <c r="H149" s="1066" t="s">
        <v>1053</v>
      </c>
      <c r="I149" s="1066" t="s">
        <v>1054</v>
      </c>
      <c r="J149" s="1066" t="s">
        <v>1055</v>
      </c>
      <c r="K149" s="1066" t="s">
        <v>1056</v>
      </c>
      <c r="L149" s="1067"/>
      <c r="M149" s="1067"/>
      <c r="N149" s="1067"/>
      <c r="O149" s="1066" t="s">
        <v>1057</v>
      </c>
      <c r="P149" s="1066" t="s">
        <v>1057</v>
      </c>
      <c r="Q149" s="1066" t="s">
        <v>1057</v>
      </c>
      <c r="R149" s="1066" t="s">
        <v>1614</v>
      </c>
      <c r="S149" s="1066" t="s">
        <v>1144</v>
      </c>
      <c r="U149" s="1064"/>
      <c r="V149" s="1064"/>
    </row>
    <row r="150" spans="2:22" x14ac:dyDescent="0.2">
      <c r="B150" s="1065"/>
      <c r="C150" s="1065"/>
      <c r="D150" s="1065"/>
      <c r="E150" s="1065"/>
      <c r="F150" s="1065"/>
      <c r="G150" s="1066" t="s">
        <v>1613</v>
      </c>
      <c r="H150" s="1065"/>
      <c r="I150" s="1065"/>
      <c r="J150" s="1065"/>
      <c r="K150" s="1066" t="s">
        <v>1615</v>
      </c>
      <c r="L150" s="1066"/>
      <c r="M150" s="1066"/>
      <c r="N150" s="1066"/>
      <c r="O150" s="1066" t="s">
        <v>1323</v>
      </c>
      <c r="P150" s="1066" t="s">
        <v>1367</v>
      </c>
      <c r="Q150" s="1066" t="s">
        <v>1616</v>
      </c>
      <c r="R150" s="1065"/>
      <c r="S150" s="1065"/>
      <c r="U150" s="1064"/>
      <c r="V150" s="1064"/>
    </row>
    <row r="151" spans="2:22" x14ac:dyDescent="0.2">
      <c r="B151" s="1065" t="s">
        <v>1617</v>
      </c>
      <c r="C151" s="1066" t="s">
        <v>1618</v>
      </c>
      <c r="D151" s="1066" t="s">
        <v>1619</v>
      </c>
      <c r="E151" s="1066" t="s">
        <v>1620</v>
      </c>
      <c r="F151" s="1066" t="s">
        <v>1166</v>
      </c>
      <c r="G151" s="1067"/>
      <c r="H151" s="1066" t="s">
        <v>1053</v>
      </c>
      <c r="I151" s="1066" t="s">
        <v>1054</v>
      </c>
      <c r="J151" s="1066" t="s">
        <v>1055</v>
      </c>
      <c r="K151" s="1066" t="s">
        <v>1056</v>
      </c>
      <c r="L151" s="1067"/>
      <c r="M151" s="1067"/>
      <c r="N151" s="1067"/>
      <c r="O151" s="1066" t="s">
        <v>1057</v>
      </c>
      <c r="P151" s="1066" t="s">
        <v>1057</v>
      </c>
      <c r="Q151" s="1066" t="s">
        <v>1057</v>
      </c>
      <c r="R151" s="1066" t="s">
        <v>1621</v>
      </c>
      <c r="S151" s="1066" t="s">
        <v>1144</v>
      </c>
      <c r="U151" s="1064"/>
      <c r="V151" s="1064"/>
    </row>
    <row r="152" spans="2:22" x14ac:dyDescent="0.2">
      <c r="B152" s="1065"/>
      <c r="C152" s="1065"/>
      <c r="D152" s="1065"/>
      <c r="E152" s="1065"/>
      <c r="F152" s="1065"/>
      <c r="G152" s="1066" t="s">
        <v>1166</v>
      </c>
      <c r="H152" s="1065"/>
      <c r="I152" s="1065"/>
      <c r="J152" s="1065"/>
      <c r="K152" s="1066" t="s">
        <v>1622</v>
      </c>
      <c r="L152" s="1066"/>
      <c r="M152" s="1066"/>
      <c r="N152" s="1066"/>
      <c r="O152" s="1066" t="s">
        <v>1372</v>
      </c>
      <c r="P152" s="1066" t="s">
        <v>1367</v>
      </c>
      <c r="Q152" s="1066" t="s">
        <v>1562</v>
      </c>
      <c r="R152" s="1065"/>
      <c r="S152" s="1065"/>
      <c r="U152" s="1064"/>
      <c r="V152" s="1064"/>
    </row>
    <row r="153" spans="2:22" x14ac:dyDescent="0.2">
      <c r="B153" s="1065" t="s">
        <v>1623</v>
      </c>
      <c r="C153" s="1066" t="s">
        <v>1624</v>
      </c>
      <c r="D153" s="1066" t="s">
        <v>1625</v>
      </c>
      <c r="E153" s="1066" t="s">
        <v>1596</v>
      </c>
      <c r="F153" s="1066" t="s">
        <v>1626</v>
      </c>
      <c r="G153" s="1067"/>
      <c r="H153" s="1066" t="s">
        <v>1053</v>
      </c>
      <c r="I153" s="1066" t="s">
        <v>1054</v>
      </c>
      <c r="J153" s="1066" t="s">
        <v>1055</v>
      </c>
      <c r="K153" s="1066" t="s">
        <v>1056</v>
      </c>
      <c r="L153" s="1067"/>
      <c r="M153" s="1067"/>
      <c r="N153" s="1067"/>
      <c r="O153" s="1066" t="s">
        <v>1057</v>
      </c>
      <c r="P153" s="1066" t="s">
        <v>1057</v>
      </c>
      <c r="Q153" s="1066" t="s">
        <v>1057</v>
      </c>
      <c r="R153" s="1066" t="s">
        <v>1627</v>
      </c>
      <c r="S153" s="1067"/>
      <c r="U153" s="1064"/>
      <c r="V153" s="1064"/>
    </row>
    <row r="154" spans="2:22" x14ac:dyDescent="0.2">
      <c r="B154" s="1065"/>
      <c r="C154" s="1065"/>
      <c r="D154" s="1065"/>
      <c r="E154" s="1065"/>
      <c r="F154" s="1065"/>
      <c r="G154" s="1066" t="s">
        <v>1626</v>
      </c>
      <c r="H154" s="1065"/>
      <c r="I154" s="1065"/>
      <c r="J154" s="1065"/>
      <c r="K154" s="1066" t="s">
        <v>1056</v>
      </c>
      <c r="L154" s="1066" t="s">
        <v>1628</v>
      </c>
      <c r="M154" s="1066" t="s">
        <v>1060</v>
      </c>
      <c r="N154" s="1066" t="s">
        <v>1061</v>
      </c>
      <c r="O154" s="1066" t="s">
        <v>1517</v>
      </c>
      <c r="P154" s="1066" t="s">
        <v>1095</v>
      </c>
      <c r="Q154" s="1066" t="s">
        <v>1096</v>
      </c>
      <c r="R154" s="1065"/>
      <c r="S154" s="1065"/>
      <c r="U154" s="1064"/>
      <c r="V154" s="1064"/>
    </row>
    <row r="155" spans="2:22" x14ac:dyDescent="0.2">
      <c r="B155" s="1065" t="s">
        <v>1629</v>
      </c>
      <c r="C155" s="1066" t="s">
        <v>1630</v>
      </c>
      <c r="D155" s="1066" t="s">
        <v>1631</v>
      </c>
      <c r="E155" s="1066" t="s">
        <v>1632</v>
      </c>
      <c r="F155" s="1066" t="s">
        <v>1633</v>
      </c>
      <c r="G155" s="1067"/>
      <c r="H155" s="1066" t="s">
        <v>1053</v>
      </c>
      <c r="I155" s="1066" t="s">
        <v>1054</v>
      </c>
      <c r="J155" s="1066" t="s">
        <v>1055</v>
      </c>
      <c r="K155" s="1066" t="s">
        <v>1056</v>
      </c>
      <c r="L155" s="1067"/>
      <c r="M155" s="1067"/>
      <c r="N155" s="1067"/>
      <c r="O155" s="1066" t="s">
        <v>1057</v>
      </c>
      <c r="P155" s="1066" t="s">
        <v>1057</v>
      </c>
      <c r="Q155" s="1066" t="s">
        <v>1057</v>
      </c>
      <c r="R155" s="1066" t="s">
        <v>1634</v>
      </c>
      <c r="S155" s="1066" t="s">
        <v>1144</v>
      </c>
      <c r="U155" s="1064"/>
      <c r="V155" s="1064"/>
    </row>
    <row r="156" spans="2:22" x14ac:dyDescent="0.2">
      <c r="B156" s="1067"/>
      <c r="C156" s="1067"/>
      <c r="D156" s="1067"/>
      <c r="E156" s="1067"/>
      <c r="F156" s="1067"/>
      <c r="G156" s="1066" t="s">
        <v>1633</v>
      </c>
      <c r="H156" s="1067"/>
      <c r="I156" s="1067"/>
      <c r="J156" s="1067"/>
      <c r="K156" s="1066" t="s">
        <v>1635</v>
      </c>
      <c r="L156" s="1066"/>
      <c r="M156" s="1066"/>
      <c r="N156" s="1066"/>
      <c r="O156" s="1066" t="s">
        <v>1071</v>
      </c>
      <c r="P156" s="1066" t="s">
        <v>1636</v>
      </c>
      <c r="Q156" s="1066" t="s">
        <v>1637</v>
      </c>
      <c r="R156" s="1067"/>
      <c r="S156" s="1067"/>
      <c r="U156" s="1064"/>
      <c r="V156" s="1064"/>
    </row>
    <row r="157" spans="2:22" x14ac:dyDescent="0.2">
      <c r="B157" s="1067"/>
      <c r="C157" s="1066" t="s">
        <v>1638</v>
      </c>
      <c r="D157" s="1066" t="s">
        <v>1107</v>
      </c>
      <c r="E157" s="1066" t="s">
        <v>1305</v>
      </c>
      <c r="F157" s="1066" t="s">
        <v>1493</v>
      </c>
      <c r="G157" s="1067"/>
      <c r="H157" s="1066" t="s">
        <v>1053</v>
      </c>
      <c r="I157" s="1066" t="s">
        <v>1639</v>
      </c>
      <c r="J157" s="1066" t="s">
        <v>1055</v>
      </c>
      <c r="K157" s="1066" t="s">
        <v>1635</v>
      </c>
      <c r="L157" s="1067"/>
      <c r="M157" s="1067"/>
      <c r="N157" s="1067"/>
      <c r="O157" s="1066" t="s">
        <v>1504</v>
      </c>
      <c r="P157" s="1066" t="s">
        <v>1063</v>
      </c>
      <c r="Q157" s="1066" t="s">
        <v>1640</v>
      </c>
      <c r="R157" s="1066" t="s">
        <v>1641</v>
      </c>
      <c r="S157" s="1066" t="s">
        <v>1144</v>
      </c>
      <c r="U157" s="1064"/>
      <c r="V157" s="1064"/>
    </row>
    <row r="158" spans="2:22" x14ac:dyDescent="0.2">
      <c r="B158" s="1065"/>
      <c r="C158" s="1065"/>
      <c r="D158" s="1065"/>
      <c r="E158" s="1065"/>
      <c r="F158" s="1065"/>
      <c r="G158" s="1066" t="s">
        <v>1642</v>
      </c>
      <c r="H158" s="1065"/>
      <c r="I158" s="1065"/>
      <c r="J158" s="1065"/>
      <c r="K158" s="1066" t="s">
        <v>1643</v>
      </c>
      <c r="L158" s="1066"/>
      <c r="M158" s="1066"/>
      <c r="N158" s="1066"/>
      <c r="O158" s="1066" t="s">
        <v>1525</v>
      </c>
      <c r="P158" s="1066" t="s">
        <v>1244</v>
      </c>
      <c r="Q158" s="1066" t="s">
        <v>1644</v>
      </c>
      <c r="R158" s="1065"/>
      <c r="S158" s="1065"/>
      <c r="U158" s="1064"/>
      <c r="V158" s="1064"/>
    </row>
    <row r="159" spans="2:22" x14ac:dyDescent="0.2">
      <c r="B159" s="1065" t="s">
        <v>1645</v>
      </c>
      <c r="C159" s="1066" t="s">
        <v>1646</v>
      </c>
      <c r="D159" s="1066" t="s">
        <v>1647</v>
      </c>
      <c r="E159" s="1066" t="s">
        <v>1133</v>
      </c>
      <c r="F159" s="1066" t="s">
        <v>1648</v>
      </c>
      <c r="G159" s="1067"/>
      <c r="H159" s="1066" t="s">
        <v>1053</v>
      </c>
      <c r="I159" s="1066" t="s">
        <v>1054</v>
      </c>
      <c r="J159" s="1066" t="s">
        <v>1055</v>
      </c>
      <c r="K159" s="1066" t="s">
        <v>1056</v>
      </c>
      <c r="L159" s="1067"/>
      <c r="M159" s="1067"/>
      <c r="N159" s="1067"/>
      <c r="O159" s="1066" t="s">
        <v>1057</v>
      </c>
      <c r="P159" s="1066" t="s">
        <v>1057</v>
      </c>
      <c r="Q159" s="1066" t="s">
        <v>1057</v>
      </c>
      <c r="R159" s="1066" t="s">
        <v>1649</v>
      </c>
      <c r="S159" s="1066" t="s">
        <v>1144</v>
      </c>
      <c r="U159" s="1064"/>
      <c r="V159" s="1064"/>
    </row>
    <row r="160" spans="2:22" x14ac:dyDescent="0.2">
      <c r="B160" s="1067"/>
      <c r="C160" s="1067"/>
      <c r="D160" s="1067"/>
      <c r="E160" s="1067"/>
      <c r="F160" s="1067"/>
      <c r="G160" s="1066" t="s">
        <v>1648</v>
      </c>
      <c r="H160" s="1067"/>
      <c r="I160" s="1067"/>
      <c r="J160" s="1067"/>
      <c r="K160" s="1066" t="s">
        <v>1650</v>
      </c>
      <c r="L160" s="1066"/>
      <c r="M160" s="1066"/>
      <c r="N160" s="1066"/>
      <c r="O160" s="1066" t="s">
        <v>1111</v>
      </c>
      <c r="P160" s="1066" t="s">
        <v>1063</v>
      </c>
      <c r="Q160" s="1066" t="s">
        <v>1651</v>
      </c>
      <c r="R160" s="1067"/>
      <c r="S160" s="1067"/>
      <c r="U160" s="1064"/>
      <c r="V160" s="1064"/>
    </row>
    <row r="161" spans="2:22" x14ac:dyDescent="0.2">
      <c r="B161" s="1067"/>
      <c r="C161" s="1066" t="s">
        <v>1652</v>
      </c>
      <c r="D161" s="1066" t="s">
        <v>1653</v>
      </c>
      <c r="E161" s="1066" t="s">
        <v>1165</v>
      </c>
      <c r="F161" s="1066" t="s">
        <v>1654</v>
      </c>
      <c r="G161" s="1067"/>
      <c r="H161" s="1066" t="s">
        <v>1053</v>
      </c>
      <c r="I161" s="1066" t="s">
        <v>1295</v>
      </c>
      <c r="J161" s="1066" t="s">
        <v>1055</v>
      </c>
      <c r="K161" s="1066" t="s">
        <v>1650</v>
      </c>
      <c r="L161" s="1067"/>
      <c r="M161" s="1067"/>
      <c r="N161" s="1067"/>
      <c r="O161" s="1066" t="s">
        <v>1210</v>
      </c>
      <c r="P161" s="1066" t="s">
        <v>1063</v>
      </c>
      <c r="Q161" s="1066" t="s">
        <v>1655</v>
      </c>
      <c r="R161" s="1066" t="s">
        <v>1656</v>
      </c>
      <c r="S161" s="1066" t="s">
        <v>1144</v>
      </c>
      <c r="U161" s="1064"/>
      <c r="V161" s="1064"/>
    </row>
    <row r="162" spans="2:22" x14ac:dyDescent="0.2">
      <c r="B162" s="1065"/>
      <c r="C162" s="1065"/>
      <c r="D162" s="1065"/>
      <c r="E162" s="1065"/>
      <c r="F162" s="1065"/>
      <c r="G162" s="1066" t="s">
        <v>1657</v>
      </c>
      <c r="H162" s="1065"/>
      <c r="I162" s="1065"/>
      <c r="J162" s="1065"/>
      <c r="K162" s="1066" t="s">
        <v>1658</v>
      </c>
      <c r="L162" s="1066"/>
      <c r="M162" s="1066"/>
      <c r="N162" s="1066"/>
      <c r="O162" s="1066" t="s">
        <v>1137</v>
      </c>
      <c r="P162" s="1066" t="s">
        <v>1244</v>
      </c>
      <c r="Q162" s="1066" t="s">
        <v>1659</v>
      </c>
      <c r="R162" s="1065"/>
      <c r="S162" s="1065"/>
      <c r="U162" s="1064"/>
      <c r="V162" s="1064"/>
    </row>
    <row r="163" spans="2:22" x14ac:dyDescent="0.2">
      <c r="B163" s="1065" t="s">
        <v>1660</v>
      </c>
      <c r="C163" s="1066" t="s">
        <v>1661</v>
      </c>
      <c r="D163" s="1066" t="s">
        <v>1662</v>
      </c>
      <c r="E163" s="1066" t="s">
        <v>1596</v>
      </c>
      <c r="F163" s="1066" t="s">
        <v>1271</v>
      </c>
      <c r="G163" s="1067"/>
      <c r="H163" s="1066" t="s">
        <v>1053</v>
      </c>
      <c r="I163" s="1066" t="s">
        <v>1054</v>
      </c>
      <c r="J163" s="1066" t="s">
        <v>1055</v>
      </c>
      <c r="K163" s="1066" t="s">
        <v>1056</v>
      </c>
      <c r="L163" s="1067"/>
      <c r="M163" s="1067"/>
      <c r="N163" s="1067"/>
      <c r="O163" s="1066" t="s">
        <v>1057</v>
      </c>
      <c r="P163" s="1066" t="s">
        <v>1057</v>
      </c>
      <c r="Q163" s="1066" t="s">
        <v>1057</v>
      </c>
      <c r="R163" s="1066" t="s">
        <v>1663</v>
      </c>
      <c r="S163" s="1067"/>
      <c r="U163" s="1064"/>
      <c r="V163" s="1064"/>
    </row>
    <row r="164" spans="2:22" x14ac:dyDescent="0.2">
      <c r="B164" s="1065"/>
      <c r="C164" s="1065"/>
      <c r="D164" s="1065"/>
      <c r="E164" s="1065"/>
      <c r="F164" s="1065"/>
      <c r="G164" s="1066" t="s">
        <v>1271</v>
      </c>
      <c r="H164" s="1065"/>
      <c r="I164" s="1065"/>
      <c r="J164" s="1065"/>
      <c r="K164" s="1066" t="s">
        <v>1664</v>
      </c>
      <c r="L164" s="1066" t="s">
        <v>1243</v>
      </c>
      <c r="M164" s="1066" t="s">
        <v>1060</v>
      </c>
      <c r="N164" s="1066" t="s">
        <v>1061</v>
      </c>
      <c r="O164" s="1066" t="s">
        <v>1665</v>
      </c>
      <c r="P164" s="1066" t="s">
        <v>1095</v>
      </c>
      <c r="Q164" s="1066" t="s">
        <v>1301</v>
      </c>
      <c r="R164" s="1065"/>
      <c r="S164" s="1065"/>
      <c r="U164" s="1064"/>
      <c r="V164" s="1064"/>
    </row>
    <row r="165" spans="2:22" x14ac:dyDescent="0.2">
      <c r="B165" s="1065" t="s">
        <v>1666</v>
      </c>
      <c r="C165" s="1066" t="s">
        <v>1667</v>
      </c>
      <c r="D165" s="1066" t="s">
        <v>1668</v>
      </c>
      <c r="E165" s="1066" t="s">
        <v>1669</v>
      </c>
      <c r="F165" s="1066" t="s">
        <v>1670</v>
      </c>
      <c r="G165" s="1067"/>
      <c r="H165" s="1066" t="s">
        <v>1053</v>
      </c>
      <c r="I165" s="1066" t="s">
        <v>1054</v>
      </c>
      <c r="J165" s="1066" t="s">
        <v>1055</v>
      </c>
      <c r="K165" s="1066" t="s">
        <v>1056</v>
      </c>
      <c r="L165" s="1067"/>
      <c r="M165" s="1067"/>
      <c r="N165" s="1067"/>
      <c r="O165" s="1066" t="s">
        <v>1057</v>
      </c>
      <c r="P165" s="1066" t="s">
        <v>1057</v>
      </c>
      <c r="Q165" s="1066" t="s">
        <v>1057</v>
      </c>
      <c r="R165" s="1066" t="s">
        <v>1671</v>
      </c>
      <c r="S165" s="1066" t="s">
        <v>1144</v>
      </c>
      <c r="U165" s="1064"/>
      <c r="V165" s="1064"/>
    </row>
    <row r="166" spans="2:22" x14ac:dyDescent="0.2">
      <c r="B166" s="1065"/>
      <c r="C166" s="1065"/>
      <c r="D166" s="1065"/>
      <c r="E166" s="1065"/>
      <c r="F166" s="1065"/>
      <c r="G166" s="1066" t="s">
        <v>1670</v>
      </c>
      <c r="H166" s="1065"/>
      <c r="I166" s="1065"/>
      <c r="J166" s="1065"/>
      <c r="K166" s="1066" t="s">
        <v>1672</v>
      </c>
      <c r="L166" s="1066"/>
      <c r="M166" s="1066"/>
      <c r="N166" s="1066"/>
      <c r="O166" s="1066" t="s">
        <v>1673</v>
      </c>
      <c r="P166" s="1066" t="s">
        <v>1063</v>
      </c>
      <c r="Q166" s="1066" t="s">
        <v>1518</v>
      </c>
      <c r="R166" s="1065"/>
      <c r="S166" s="1065"/>
      <c r="U166" s="1064"/>
      <c r="V166" s="1064"/>
    </row>
    <row r="167" spans="2:22" x14ac:dyDescent="0.2">
      <c r="B167" s="1065" t="s">
        <v>1674</v>
      </c>
      <c r="C167" s="1066" t="s">
        <v>1675</v>
      </c>
      <c r="D167" s="1066" t="s">
        <v>1676</v>
      </c>
      <c r="E167" s="1066" t="s">
        <v>1358</v>
      </c>
      <c r="F167" s="1066" t="s">
        <v>1184</v>
      </c>
      <c r="G167" s="1067"/>
      <c r="H167" s="1066" t="s">
        <v>1053</v>
      </c>
      <c r="I167" s="1066" t="s">
        <v>1054</v>
      </c>
      <c r="J167" s="1066" t="s">
        <v>1055</v>
      </c>
      <c r="K167" s="1066" t="s">
        <v>1056</v>
      </c>
      <c r="L167" s="1067"/>
      <c r="M167" s="1067"/>
      <c r="N167" s="1067"/>
      <c r="O167" s="1066" t="s">
        <v>1057</v>
      </c>
      <c r="P167" s="1066" t="s">
        <v>1057</v>
      </c>
      <c r="Q167" s="1066" t="s">
        <v>1057</v>
      </c>
      <c r="R167" s="1066" t="s">
        <v>1677</v>
      </c>
      <c r="S167" s="1066" t="s">
        <v>1144</v>
      </c>
      <c r="U167" s="1064"/>
      <c r="V167" s="1064"/>
    </row>
    <row r="168" spans="2:22" x14ac:dyDescent="0.2">
      <c r="B168" s="1065"/>
      <c r="C168" s="1065"/>
      <c r="D168" s="1065"/>
      <c r="E168" s="1065"/>
      <c r="F168" s="1065"/>
      <c r="G168" s="1066" t="s">
        <v>1184</v>
      </c>
      <c r="H168" s="1065"/>
      <c r="I168" s="1065"/>
      <c r="J168" s="1065"/>
      <c r="K168" s="1066" t="s">
        <v>1678</v>
      </c>
      <c r="L168" s="1066"/>
      <c r="M168" s="1066"/>
      <c r="N168" s="1066"/>
      <c r="O168" s="1066" t="s">
        <v>1161</v>
      </c>
      <c r="P168" s="1066" t="s">
        <v>1095</v>
      </c>
      <c r="Q168" s="1066" t="s">
        <v>1679</v>
      </c>
      <c r="R168" s="1065"/>
      <c r="S168" s="1065"/>
      <c r="U168" s="1064"/>
      <c r="V168" s="1064"/>
    </row>
    <row r="169" spans="2:22" x14ac:dyDescent="0.2">
      <c r="B169" s="1065" t="s">
        <v>1680</v>
      </c>
      <c r="C169" s="1066" t="s">
        <v>1681</v>
      </c>
      <c r="D169" s="1066" t="s">
        <v>1682</v>
      </c>
      <c r="E169" s="1066" t="s">
        <v>1116</v>
      </c>
      <c r="F169" s="1066" t="s">
        <v>1683</v>
      </c>
      <c r="G169" s="1067"/>
      <c r="H169" s="1066" t="s">
        <v>1053</v>
      </c>
      <c r="I169" s="1066" t="s">
        <v>1054</v>
      </c>
      <c r="J169" s="1066" t="s">
        <v>1055</v>
      </c>
      <c r="K169" s="1066" t="s">
        <v>1056</v>
      </c>
      <c r="L169" s="1067"/>
      <c r="M169" s="1067"/>
      <c r="N169" s="1067"/>
      <c r="O169" s="1066" t="s">
        <v>1057</v>
      </c>
      <c r="P169" s="1066" t="s">
        <v>1057</v>
      </c>
      <c r="Q169" s="1066" t="s">
        <v>1057</v>
      </c>
      <c r="R169" s="1066" t="s">
        <v>1684</v>
      </c>
      <c r="S169" s="1067"/>
      <c r="U169" s="1064"/>
      <c r="V169" s="1064"/>
    </row>
    <row r="170" spans="2:22" x14ac:dyDescent="0.2">
      <c r="B170" s="1065"/>
      <c r="C170" s="1065"/>
      <c r="D170" s="1065"/>
      <c r="E170" s="1065"/>
      <c r="F170" s="1065"/>
      <c r="G170" s="1066" t="s">
        <v>1683</v>
      </c>
      <c r="H170" s="1065"/>
      <c r="I170" s="1065"/>
      <c r="J170" s="1065"/>
      <c r="K170" s="1066" t="s">
        <v>1685</v>
      </c>
      <c r="L170" s="1066" t="s">
        <v>1243</v>
      </c>
      <c r="M170" s="1066" t="s">
        <v>1060</v>
      </c>
      <c r="N170" s="1066" t="s">
        <v>1061</v>
      </c>
      <c r="O170" s="1066" t="s">
        <v>1372</v>
      </c>
      <c r="P170" s="1066" t="s">
        <v>1095</v>
      </c>
      <c r="Q170" s="1066" t="s">
        <v>1686</v>
      </c>
      <c r="R170" s="1065"/>
      <c r="S170" s="1065"/>
      <c r="U170" s="1064"/>
      <c r="V170" s="1064"/>
    </row>
    <row r="171" spans="2:22" x14ac:dyDescent="0.2">
      <c r="B171" s="1065" t="s">
        <v>1687</v>
      </c>
      <c r="C171" s="1066" t="s">
        <v>1688</v>
      </c>
      <c r="D171" s="1066" t="s">
        <v>1689</v>
      </c>
      <c r="E171" s="1066" t="s">
        <v>1502</v>
      </c>
      <c r="F171" s="1066" t="s">
        <v>1690</v>
      </c>
      <c r="G171" s="1067"/>
      <c r="H171" s="1066" t="s">
        <v>1053</v>
      </c>
      <c r="I171" s="1066" t="s">
        <v>1054</v>
      </c>
      <c r="J171" s="1066" t="s">
        <v>1055</v>
      </c>
      <c r="K171" s="1066" t="s">
        <v>1056</v>
      </c>
      <c r="L171" s="1067"/>
      <c r="M171" s="1067"/>
      <c r="N171" s="1067"/>
      <c r="O171" s="1066" t="s">
        <v>1057</v>
      </c>
      <c r="P171" s="1066" t="s">
        <v>1057</v>
      </c>
      <c r="Q171" s="1066" t="s">
        <v>1057</v>
      </c>
      <c r="R171" s="1066" t="s">
        <v>1691</v>
      </c>
      <c r="S171" s="1066" t="s">
        <v>1144</v>
      </c>
      <c r="U171" s="1064"/>
      <c r="V171" s="1064"/>
    </row>
    <row r="172" spans="2:22" x14ac:dyDescent="0.2">
      <c r="B172" s="1067"/>
      <c r="C172" s="1067"/>
      <c r="D172" s="1067"/>
      <c r="E172" s="1067"/>
      <c r="F172" s="1067"/>
      <c r="G172" s="1066" t="s">
        <v>1690</v>
      </c>
      <c r="H172" s="1067"/>
      <c r="I172" s="1067"/>
      <c r="J172" s="1067"/>
      <c r="K172" s="1066" t="s">
        <v>1692</v>
      </c>
      <c r="L172" s="1066"/>
      <c r="M172" s="1066"/>
      <c r="N172" s="1066"/>
      <c r="O172" s="1066" t="s">
        <v>1693</v>
      </c>
      <c r="P172" s="1066" t="s">
        <v>1095</v>
      </c>
      <c r="Q172" s="1066" t="s">
        <v>1694</v>
      </c>
      <c r="R172" s="1067"/>
      <c r="S172" s="1067"/>
      <c r="U172" s="1064"/>
      <c r="V172" s="1064"/>
    </row>
    <row r="173" spans="2:22" x14ac:dyDescent="0.2">
      <c r="B173" s="1067"/>
      <c r="C173" s="1066" t="s">
        <v>1695</v>
      </c>
      <c r="D173" s="1066" t="s">
        <v>1696</v>
      </c>
      <c r="E173" s="1066" t="s">
        <v>1198</v>
      </c>
      <c r="F173" s="1066" t="s">
        <v>1697</v>
      </c>
      <c r="G173" s="1067"/>
      <c r="H173" s="1066" t="s">
        <v>1053</v>
      </c>
      <c r="I173" s="1066" t="s">
        <v>1698</v>
      </c>
      <c r="J173" s="1066" t="s">
        <v>1055</v>
      </c>
      <c r="K173" s="1066" t="s">
        <v>1692</v>
      </c>
      <c r="L173" s="1067"/>
      <c r="M173" s="1067"/>
      <c r="N173" s="1067"/>
      <c r="O173" s="1066" t="s">
        <v>1290</v>
      </c>
      <c r="P173" s="1066" t="s">
        <v>1367</v>
      </c>
      <c r="Q173" s="1066" t="s">
        <v>1699</v>
      </c>
      <c r="R173" s="1066" t="s">
        <v>1700</v>
      </c>
      <c r="S173" s="1066" t="s">
        <v>1144</v>
      </c>
      <c r="U173" s="1064"/>
      <c r="V173" s="1064"/>
    </row>
    <row r="174" spans="2:22" x14ac:dyDescent="0.2">
      <c r="B174" s="1065"/>
      <c r="C174" s="1065"/>
      <c r="D174" s="1065"/>
      <c r="E174" s="1065"/>
      <c r="F174" s="1065"/>
      <c r="G174" s="1066" t="s">
        <v>1701</v>
      </c>
      <c r="H174" s="1065"/>
      <c r="I174" s="1065"/>
      <c r="J174" s="1065"/>
      <c r="K174" s="1066" t="s">
        <v>1702</v>
      </c>
      <c r="L174" s="1066"/>
      <c r="M174" s="1066"/>
      <c r="N174" s="1066"/>
      <c r="O174" s="1066" t="s">
        <v>1703</v>
      </c>
      <c r="P174" s="1066" t="s">
        <v>1095</v>
      </c>
      <c r="Q174" s="1066" t="s">
        <v>1274</v>
      </c>
      <c r="R174" s="1065"/>
      <c r="S174" s="1065"/>
      <c r="U174" s="1064"/>
      <c r="V174" s="1064"/>
    </row>
    <row r="175" spans="2:22" x14ac:dyDescent="0.2">
      <c r="B175" s="1065" t="s">
        <v>1704</v>
      </c>
      <c r="C175" s="1066" t="s">
        <v>1705</v>
      </c>
      <c r="D175" s="1066" t="s">
        <v>1706</v>
      </c>
      <c r="E175" s="1066" t="s">
        <v>1150</v>
      </c>
      <c r="F175" s="1066" t="s">
        <v>1697</v>
      </c>
      <c r="G175" s="1067"/>
      <c r="H175" s="1066" t="s">
        <v>1053</v>
      </c>
      <c r="I175" s="1066" t="s">
        <v>1054</v>
      </c>
      <c r="J175" s="1066" t="s">
        <v>1055</v>
      </c>
      <c r="K175" s="1066" t="s">
        <v>1056</v>
      </c>
      <c r="L175" s="1067"/>
      <c r="M175" s="1067"/>
      <c r="N175" s="1067"/>
      <c r="O175" s="1066" t="s">
        <v>1057</v>
      </c>
      <c r="P175" s="1066" t="s">
        <v>1057</v>
      </c>
      <c r="Q175" s="1066" t="s">
        <v>1057</v>
      </c>
      <c r="R175" s="1066" t="s">
        <v>1707</v>
      </c>
      <c r="S175" s="1066" t="s">
        <v>1144</v>
      </c>
      <c r="U175" s="1064"/>
      <c r="V175" s="1064"/>
    </row>
    <row r="176" spans="2:22" x14ac:dyDescent="0.2">
      <c r="B176" s="1067"/>
      <c r="C176" s="1067"/>
      <c r="D176" s="1067"/>
      <c r="E176" s="1067"/>
      <c r="F176" s="1067"/>
      <c r="G176" s="1066" t="s">
        <v>1697</v>
      </c>
      <c r="H176" s="1067"/>
      <c r="I176" s="1067"/>
      <c r="J176" s="1067"/>
      <c r="K176" s="1066" t="s">
        <v>1708</v>
      </c>
      <c r="L176" s="1066"/>
      <c r="M176" s="1066"/>
      <c r="N176" s="1066"/>
      <c r="O176" s="1066" t="s">
        <v>1187</v>
      </c>
      <c r="P176" s="1066" t="s">
        <v>1095</v>
      </c>
      <c r="Q176" s="1066" t="s">
        <v>1686</v>
      </c>
      <c r="R176" s="1067"/>
      <c r="S176" s="1067"/>
      <c r="U176" s="1064"/>
      <c r="V176" s="1064"/>
    </row>
    <row r="177" spans="1:22" x14ac:dyDescent="0.2">
      <c r="B177" s="1067"/>
      <c r="C177" s="1066" t="s">
        <v>1709</v>
      </c>
      <c r="D177" s="1066" t="s">
        <v>1710</v>
      </c>
      <c r="E177" s="1066" t="s">
        <v>1099</v>
      </c>
      <c r="F177" s="1066" t="s">
        <v>1076</v>
      </c>
      <c r="G177" s="1067"/>
      <c r="H177" s="1066" t="s">
        <v>1053</v>
      </c>
      <c r="I177" s="1066" t="s">
        <v>1711</v>
      </c>
      <c r="J177" s="1066" t="s">
        <v>1055</v>
      </c>
      <c r="K177" s="1066" t="s">
        <v>1708</v>
      </c>
      <c r="L177" s="1067"/>
      <c r="M177" s="1067"/>
      <c r="N177" s="1067"/>
      <c r="O177" s="1066" t="s">
        <v>1712</v>
      </c>
      <c r="P177" s="1066" t="s">
        <v>1063</v>
      </c>
      <c r="Q177" s="1066" t="s">
        <v>1138</v>
      </c>
      <c r="R177" s="1066" t="s">
        <v>1713</v>
      </c>
      <c r="S177" s="1066" t="s">
        <v>1144</v>
      </c>
      <c r="U177" s="1064"/>
      <c r="V177" s="1064"/>
    </row>
    <row r="178" spans="1:22" x14ac:dyDescent="0.2">
      <c r="B178" s="1065"/>
      <c r="C178" s="1065"/>
      <c r="D178" s="1065"/>
      <c r="E178" s="1065"/>
      <c r="F178" s="1065"/>
      <c r="G178" s="1066" t="s">
        <v>1714</v>
      </c>
      <c r="H178" s="1065"/>
      <c r="I178" s="1065"/>
      <c r="J178" s="1065"/>
      <c r="K178" s="1066" t="s">
        <v>1715</v>
      </c>
      <c r="L178" s="1066"/>
      <c r="M178" s="1066"/>
      <c r="N178" s="1066"/>
      <c r="O178" s="1066" t="s">
        <v>1422</v>
      </c>
      <c r="P178" s="1066" t="s">
        <v>1244</v>
      </c>
      <c r="Q178" s="1066" t="s">
        <v>1716</v>
      </c>
      <c r="R178" s="1065"/>
      <c r="S178" s="1065"/>
      <c r="U178" s="1064"/>
      <c r="V178" s="1064"/>
    </row>
    <row r="179" spans="1:22" x14ac:dyDescent="0.2">
      <c r="B179" s="1065" t="s">
        <v>1717</v>
      </c>
      <c r="C179" s="1066" t="s">
        <v>1718</v>
      </c>
      <c r="D179" s="1066" t="s">
        <v>1719</v>
      </c>
      <c r="E179" s="1066" t="s">
        <v>1116</v>
      </c>
      <c r="F179" s="1066" t="s">
        <v>1720</v>
      </c>
      <c r="G179" s="1067"/>
      <c r="H179" s="1066" t="s">
        <v>1053</v>
      </c>
      <c r="I179" s="1066" t="s">
        <v>1054</v>
      </c>
      <c r="J179" s="1066" t="s">
        <v>1055</v>
      </c>
      <c r="K179" s="1066" t="s">
        <v>1056</v>
      </c>
      <c r="L179" s="1067"/>
      <c r="M179" s="1067"/>
      <c r="N179" s="1067"/>
      <c r="O179" s="1066" t="s">
        <v>1057</v>
      </c>
      <c r="P179" s="1066" t="s">
        <v>1057</v>
      </c>
      <c r="Q179" s="1066" t="s">
        <v>1057</v>
      </c>
      <c r="R179" s="1066" t="s">
        <v>1721</v>
      </c>
      <c r="S179" s="1067"/>
      <c r="U179" s="1064"/>
      <c r="V179" s="1064"/>
    </row>
    <row r="180" spans="1:22" x14ac:dyDescent="0.2">
      <c r="B180" s="1065"/>
      <c r="C180" s="1065"/>
      <c r="D180" s="1065"/>
      <c r="E180" s="1065"/>
      <c r="F180" s="1065"/>
      <c r="G180" s="1066" t="s">
        <v>1720</v>
      </c>
      <c r="H180" s="1065"/>
      <c r="I180" s="1065"/>
      <c r="J180" s="1065"/>
      <c r="K180" s="1066" t="s">
        <v>1722</v>
      </c>
      <c r="L180" s="1066" t="s">
        <v>1243</v>
      </c>
      <c r="M180" s="1066" t="s">
        <v>1060</v>
      </c>
      <c r="N180" s="1066" t="s">
        <v>1061</v>
      </c>
      <c r="O180" s="1066" t="s">
        <v>1723</v>
      </c>
      <c r="P180" s="1066" t="s">
        <v>1095</v>
      </c>
      <c r="Q180" s="1066" t="s">
        <v>1724</v>
      </c>
      <c r="R180" s="1065"/>
      <c r="S180" s="1065"/>
      <c r="U180" s="1064"/>
      <c r="V180" s="1064"/>
    </row>
    <row r="181" spans="1:22" x14ac:dyDescent="0.2">
      <c r="B181" s="1065" t="s">
        <v>1725</v>
      </c>
      <c r="C181" s="1066" t="s">
        <v>1726</v>
      </c>
      <c r="D181" s="1066" t="s">
        <v>1727</v>
      </c>
      <c r="E181" s="1066" t="s">
        <v>1133</v>
      </c>
      <c r="F181" s="1066" t="s">
        <v>1084</v>
      </c>
      <c r="G181" s="1067"/>
      <c r="H181" s="1066" t="s">
        <v>1053</v>
      </c>
      <c r="I181" s="1066" t="s">
        <v>1054</v>
      </c>
      <c r="J181" s="1066" t="s">
        <v>1055</v>
      </c>
      <c r="K181" s="1066" t="s">
        <v>1056</v>
      </c>
      <c r="L181" s="1067"/>
      <c r="M181" s="1067"/>
      <c r="N181" s="1067"/>
      <c r="O181" s="1066" t="s">
        <v>1057</v>
      </c>
      <c r="P181" s="1066" t="s">
        <v>1057</v>
      </c>
      <c r="Q181" s="1066" t="s">
        <v>1057</v>
      </c>
      <c r="R181" s="1066" t="s">
        <v>1728</v>
      </c>
      <c r="S181" s="1067"/>
      <c r="U181" s="1064"/>
      <c r="V181" s="1064"/>
    </row>
    <row r="182" spans="1:22" x14ac:dyDescent="0.2">
      <c r="B182" s="1065"/>
      <c r="C182" s="1065"/>
      <c r="D182" s="1065"/>
      <c r="E182" s="1065"/>
      <c r="F182" s="1065"/>
      <c r="G182" s="1066" t="s">
        <v>1084</v>
      </c>
      <c r="H182" s="1065"/>
      <c r="I182" s="1065"/>
      <c r="J182" s="1065"/>
      <c r="K182" s="1066" t="s">
        <v>1056</v>
      </c>
      <c r="L182" s="1066" t="s">
        <v>1086</v>
      </c>
      <c r="M182" s="1066" t="s">
        <v>1060</v>
      </c>
      <c r="N182" s="1066" t="s">
        <v>1061</v>
      </c>
      <c r="O182" s="1066" t="s">
        <v>1062</v>
      </c>
      <c r="P182" s="1066" t="s">
        <v>1063</v>
      </c>
      <c r="Q182" s="1066" t="s">
        <v>1729</v>
      </c>
      <c r="R182" s="1065"/>
      <c r="S182" s="1065"/>
      <c r="U182" s="1064"/>
      <c r="V182" s="1064"/>
    </row>
    <row r="183" spans="1:22" ht="15" x14ac:dyDescent="0.2">
      <c r="B183" s="1653" t="s">
        <v>555</v>
      </c>
      <c r="C183" s="1654"/>
      <c r="D183" s="1654"/>
      <c r="E183" s="1654"/>
      <c r="F183" s="1654"/>
      <c r="G183" s="1654"/>
      <c r="H183" s="1654"/>
      <c r="I183" s="1654"/>
      <c r="J183" s="1654"/>
      <c r="K183" s="1654"/>
      <c r="L183" s="1654"/>
      <c r="M183" s="1654"/>
      <c r="N183" s="1654"/>
      <c r="O183" s="1654"/>
      <c r="P183" s="1654"/>
      <c r="Q183" s="1654"/>
      <c r="R183" s="1654"/>
      <c r="S183" s="1655"/>
      <c r="U183" s="1064"/>
      <c r="V183" s="1064"/>
    </row>
    <row r="184" spans="1:22" x14ac:dyDescent="0.2">
      <c r="A184" s="1059">
        <v>1</v>
      </c>
      <c r="B184" s="1066" t="s">
        <v>1048</v>
      </c>
      <c r="C184" s="1066" t="s">
        <v>1049</v>
      </c>
      <c r="D184" s="1066" t="s">
        <v>1730</v>
      </c>
      <c r="E184" s="1066" t="s">
        <v>1051</v>
      </c>
      <c r="F184" s="1066" t="s">
        <v>1731</v>
      </c>
      <c r="G184" s="1068"/>
      <c r="H184" s="1066" t="s">
        <v>1732</v>
      </c>
      <c r="I184" s="1066" t="s">
        <v>1054</v>
      </c>
      <c r="J184" s="1066" t="s">
        <v>1055</v>
      </c>
      <c r="K184" s="1066">
        <v>0</v>
      </c>
      <c r="L184" s="1068"/>
      <c r="M184" s="1068"/>
      <c r="N184" s="1068"/>
      <c r="O184" s="1066" t="s">
        <v>1057</v>
      </c>
      <c r="P184" s="1066" t="s">
        <v>1057</v>
      </c>
      <c r="Q184" s="1066" t="s">
        <v>1057</v>
      </c>
      <c r="R184" s="1066" t="s">
        <v>1733</v>
      </c>
      <c r="S184" s="1066" t="s">
        <v>1144</v>
      </c>
      <c r="U184" s="1064">
        <v>1</v>
      </c>
      <c r="V184" s="1064"/>
    </row>
    <row r="185" spans="1:22" x14ac:dyDescent="0.2">
      <c r="A185" s="1059">
        <v>2</v>
      </c>
      <c r="B185" s="1066"/>
      <c r="C185" s="1066"/>
      <c r="D185" s="1066"/>
      <c r="E185" s="1066"/>
      <c r="F185" s="1066"/>
      <c r="G185" s="1066" t="s">
        <v>1731</v>
      </c>
      <c r="H185" s="1066"/>
      <c r="I185" s="1066"/>
      <c r="J185" s="1066"/>
      <c r="K185" s="1066" t="s">
        <v>1734</v>
      </c>
      <c r="L185" s="1066"/>
      <c r="M185" s="1066"/>
      <c r="N185" s="1066"/>
      <c r="O185" s="1066" t="s">
        <v>1735</v>
      </c>
      <c r="P185" s="1066" t="s">
        <v>1095</v>
      </c>
      <c r="Q185" s="1066" t="s">
        <v>1736</v>
      </c>
      <c r="R185" s="1066"/>
      <c r="S185" s="1066"/>
      <c r="U185" s="1064"/>
      <c r="V185" s="1064"/>
    </row>
    <row r="186" spans="1:22" x14ac:dyDescent="0.2">
      <c r="A186" s="1059">
        <v>3</v>
      </c>
      <c r="B186" s="1066" t="s">
        <v>1060</v>
      </c>
      <c r="C186" s="1066" t="s">
        <v>1065</v>
      </c>
      <c r="D186" s="1066" t="s">
        <v>1737</v>
      </c>
      <c r="E186" s="1066" t="s">
        <v>1416</v>
      </c>
      <c r="F186" s="1066" t="s">
        <v>1738</v>
      </c>
      <c r="G186" s="1068"/>
      <c r="H186" s="1066" t="s">
        <v>1732</v>
      </c>
      <c r="I186" s="1066" t="s">
        <v>1054</v>
      </c>
      <c r="J186" s="1066" t="s">
        <v>1055</v>
      </c>
      <c r="K186" s="1066" t="s">
        <v>1056</v>
      </c>
      <c r="L186" s="1068"/>
      <c r="M186" s="1068"/>
      <c r="N186" s="1068"/>
      <c r="O186" s="1066" t="s">
        <v>1057</v>
      </c>
      <c r="P186" s="1066" t="s">
        <v>1057</v>
      </c>
      <c r="Q186" s="1066" t="s">
        <v>1057</v>
      </c>
      <c r="R186" s="1066" t="s">
        <v>1739</v>
      </c>
      <c r="S186" s="1066" t="s">
        <v>1144</v>
      </c>
      <c r="U186" s="1064"/>
      <c r="V186" s="1064"/>
    </row>
    <row r="187" spans="1:22" x14ac:dyDescent="0.2">
      <c r="A187" s="1059">
        <v>4</v>
      </c>
      <c r="B187" s="1066"/>
      <c r="C187" s="1066"/>
      <c r="D187" s="1066"/>
      <c r="E187" s="1066"/>
      <c r="F187" s="1066"/>
      <c r="G187" s="1066" t="s">
        <v>1738</v>
      </c>
      <c r="H187" s="1066"/>
      <c r="I187" s="1066"/>
      <c r="J187" s="1066"/>
      <c r="K187" s="1066" t="s">
        <v>1740</v>
      </c>
      <c r="L187" s="1066"/>
      <c r="M187" s="1066"/>
      <c r="N187" s="1066"/>
      <c r="O187" s="1066" t="s">
        <v>1741</v>
      </c>
      <c r="P187" s="1066" t="s">
        <v>1095</v>
      </c>
      <c r="Q187" s="1066" t="s">
        <v>1373</v>
      </c>
      <c r="R187" s="1066"/>
      <c r="S187" s="1066"/>
      <c r="U187" s="1064"/>
      <c r="V187" s="1064"/>
    </row>
    <row r="188" spans="1:22" x14ac:dyDescent="0.2">
      <c r="A188" s="1059">
        <v>5</v>
      </c>
      <c r="B188" s="1066" t="s">
        <v>1105</v>
      </c>
      <c r="C188" s="1066" t="s">
        <v>1073</v>
      </c>
      <c r="D188" s="1066" t="s">
        <v>1742</v>
      </c>
      <c r="E188" s="1066" t="s">
        <v>1337</v>
      </c>
      <c r="F188" s="1066" t="s">
        <v>1388</v>
      </c>
      <c r="G188" s="1068"/>
      <c r="H188" s="1066" t="s">
        <v>1732</v>
      </c>
      <c r="I188" s="1066" t="s">
        <v>1054</v>
      </c>
      <c r="J188" s="1066" t="s">
        <v>1055</v>
      </c>
      <c r="K188" s="1066" t="s">
        <v>1056</v>
      </c>
      <c r="L188" s="1068"/>
      <c r="M188" s="1068"/>
      <c r="N188" s="1068"/>
      <c r="O188" s="1066" t="s">
        <v>1057</v>
      </c>
      <c r="P188" s="1066" t="s">
        <v>1057</v>
      </c>
      <c r="Q188" s="1066" t="s">
        <v>1057</v>
      </c>
      <c r="R188" s="1066" t="s">
        <v>1743</v>
      </c>
      <c r="S188" s="1066" t="s">
        <v>1144</v>
      </c>
      <c r="U188" s="1064"/>
      <c r="V188" s="1064">
        <v>1</v>
      </c>
    </row>
    <row r="189" spans="1:22" x14ac:dyDescent="0.2">
      <c r="A189" s="1059">
        <v>6</v>
      </c>
      <c r="B189" s="1066"/>
      <c r="C189" s="1066"/>
      <c r="D189" s="1066"/>
      <c r="E189" s="1066"/>
      <c r="F189" s="1066"/>
      <c r="G189" s="1066" t="s">
        <v>1388</v>
      </c>
      <c r="H189" s="1066"/>
      <c r="I189" s="1066"/>
      <c r="J189" s="1066"/>
      <c r="K189" s="1066" t="s">
        <v>1744</v>
      </c>
      <c r="L189" s="1066"/>
      <c r="M189" s="1066"/>
      <c r="N189" s="1066"/>
      <c r="O189" s="1066" t="s">
        <v>1703</v>
      </c>
      <c r="P189" s="1066" t="s">
        <v>1095</v>
      </c>
      <c r="Q189" s="1066" t="s">
        <v>1745</v>
      </c>
      <c r="R189" s="1066"/>
      <c r="S189" s="1066"/>
      <c r="U189" s="1064"/>
      <c r="V189" s="1064"/>
    </row>
    <row r="190" spans="1:22" x14ac:dyDescent="0.2">
      <c r="A190" s="1059">
        <v>7</v>
      </c>
      <c r="B190" s="1066" t="s">
        <v>1113</v>
      </c>
      <c r="C190" s="1066" t="s">
        <v>1081</v>
      </c>
      <c r="D190" s="1066" t="s">
        <v>1746</v>
      </c>
      <c r="E190" s="1066" t="s">
        <v>1133</v>
      </c>
      <c r="F190" s="1066" t="s">
        <v>1747</v>
      </c>
      <c r="G190" s="1068"/>
      <c r="H190" s="1066" t="s">
        <v>1732</v>
      </c>
      <c r="I190" s="1066" t="s">
        <v>1054</v>
      </c>
      <c r="J190" s="1066" t="s">
        <v>1055</v>
      </c>
      <c r="K190" s="1066" t="s">
        <v>1056</v>
      </c>
      <c r="L190" s="1068"/>
      <c r="M190" s="1068"/>
      <c r="N190" s="1068"/>
      <c r="O190" s="1066" t="s">
        <v>1057</v>
      </c>
      <c r="P190" s="1066" t="s">
        <v>1057</v>
      </c>
      <c r="Q190" s="1066" t="s">
        <v>1057</v>
      </c>
      <c r="R190" s="1066" t="s">
        <v>1748</v>
      </c>
      <c r="S190" s="1066" t="s">
        <v>1144</v>
      </c>
      <c r="U190" s="1064">
        <v>1</v>
      </c>
      <c r="V190" s="1064"/>
    </row>
    <row r="191" spans="1:22" x14ac:dyDescent="0.2">
      <c r="A191" s="1059">
        <v>8</v>
      </c>
      <c r="B191" s="1066"/>
      <c r="C191" s="1066"/>
      <c r="D191" s="1066"/>
      <c r="E191" s="1066"/>
      <c r="F191" s="1066"/>
      <c r="G191" s="1066" t="s">
        <v>1747</v>
      </c>
      <c r="H191" s="1066"/>
      <c r="I191" s="1066"/>
      <c r="J191" s="1066"/>
      <c r="K191" s="1066" t="s">
        <v>1749</v>
      </c>
      <c r="L191" s="1066"/>
      <c r="M191" s="1066"/>
      <c r="N191" s="1066"/>
      <c r="O191" s="1066" t="s">
        <v>1703</v>
      </c>
      <c r="P191" s="1066" t="s">
        <v>1095</v>
      </c>
      <c r="Q191" s="1066" t="s">
        <v>1750</v>
      </c>
      <c r="R191" s="1066"/>
      <c r="S191" s="1066"/>
      <c r="U191" s="1064"/>
      <c r="V191" s="1064"/>
    </row>
    <row r="192" spans="1:22" x14ac:dyDescent="0.2">
      <c r="A192" s="1059">
        <v>9</v>
      </c>
      <c r="B192" s="1066" t="s">
        <v>1122</v>
      </c>
      <c r="C192" s="1066" t="s">
        <v>1089</v>
      </c>
      <c r="D192" s="1066" t="s">
        <v>1751</v>
      </c>
      <c r="E192" s="1066" t="s">
        <v>1198</v>
      </c>
      <c r="F192" s="1066" t="s">
        <v>1394</v>
      </c>
      <c r="G192" s="1068"/>
      <c r="H192" s="1066" t="s">
        <v>1732</v>
      </c>
      <c r="I192" s="1066" t="s">
        <v>1054</v>
      </c>
      <c r="J192" s="1066" t="s">
        <v>1055</v>
      </c>
      <c r="K192" s="1066" t="s">
        <v>1056</v>
      </c>
      <c r="L192" s="1068"/>
      <c r="M192" s="1068"/>
      <c r="N192" s="1068"/>
      <c r="O192" s="1066" t="s">
        <v>1057</v>
      </c>
      <c r="P192" s="1066" t="s">
        <v>1057</v>
      </c>
      <c r="Q192" s="1066" t="s">
        <v>1057</v>
      </c>
      <c r="R192" s="1066" t="s">
        <v>1752</v>
      </c>
      <c r="S192" s="1068"/>
      <c r="U192" s="1064">
        <v>1</v>
      </c>
      <c r="V192" s="1064"/>
    </row>
    <row r="193" spans="1:22" x14ac:dyDescent="0.2">
      <c r="A193" s="1059">
        <v>10</v>
      </c>
      <c r="B193" s="1066"/>
      <c r="C193" s="1066"/>
      <c r="D193" s="1066"/>
      <c r="E193" s="1066"/>
      <c r="F193" s="1066"/>
      <c r="G193" s="1066" t="s">
        <v>1394</v>
      </c>
      <c r="H193" s="1066"/>
      <c r="I193" s="1066"/>
      <c r="J193" s="1066"/>
      <c r="K193" s="1066" t="s">
        <v>1056</v>
      </c>
      <c r="L193" s="1066" t="s">
        <v>1753</v>
      </c>
      <c r="M193" s="1066" t="s">
        <v>1060</v>
      </c>
      <c r="N193" s="1066" t="s">
        <v>1061</v>
      </c>
      <c r="O193" s="1066" t="s">
        <v>1453</v>
      </c>
      <c r="P193" s="1066" t="s">
        <v>1095</v>
      </c>
      <c r="Q193" s="1066" t="s">
        <v>1602</v>
      </c>
      <c r="R193" s="1066"/>
      <c r="S193" s="1066"/>
      <c r="U193" s="1064"/>
      <c r="V193" s="1064"/>
    </row>
    <row r="194" spans="1:22" x14ac:dyDescent="0.2">
      <c r="A194" s="1059">
        <v>11</v>
      </c>
      <c r="B194" s="1066" t="s">
        <v>1130</v>
      </c>
      <c r="C194" s="1066" t="s">
        <v>1726</v>
      </c>
      <c r="D194" s="1066" t="s">
        <v>1754</v>
      </c>
      <c r="E194" s="1066" t="s">
        <v>1198</v>
      </c>
      <c r="F194" s="1066" t="s">
        <v>1287</v>
      </c>
      <c r="G194" s="1068"/>
      <c r="H194" s="1066" t="s">
        <v>1732</v>
      </c>
      <c r="I194" s="1066" t="s">
        <v>1054</v>
      </c>
      <c r="J194" s="1066" t="s">
        <v>1055</v>
      </c>
      <c r="K194" s="1066" t="s">
        <v>1056</v>
      </c>
      <c r="L194" s="1068"/>
      <c r="M194" s="1068"/>
      <c r="N194" s="1068"/>
      <c r="O194" s="1066" t="s">
        <v>1057</v>
      </c>
      <c r="P194" s="1066" t="s">
        <v>1057</v>
      </c>
      <c r="Q194" s="1066" t="s">
        <v>1057</v>
      </c>
      <c r="R194" s="1066" t="s">
        <v>1755</v>
      </c>
      <c r="S194" s="1068"/>
      <c r="U194" s="1064"/>
      <c r="V194" s="1064"/>
    </row>
    <row r="195" spans="1:22" x14ac:dyDescent="0.2">
      <c r="A195" s="1059">
        <v>12</v>
      </c>
      <c r="B195" s="1066"/>
      <c r="C195" s="1066"/>
      <c r="D195" s="1066"/>
      <c r="E195" s="1066"/>
      <c r="F195" s="1066"/>
      <c r="G195" s="1066" t="s">
        <v>1287</v>
      </c>
      <c r="H195" s="1066"/>
      <c r="I195" s="1066"/>
      <c r="J195" s="1066"/>
      <c r="K195" s="1066" t="s">
        <v>1056</v>
      </c>
      <c r="L195" s="1066" t="s">
        <v>1756</v>
      </c>
      <c r="M195" s="1066" t="s">
        <v>1105</v>
      </c>
      <c r="N195" s="1066" t="s">
        <v>1061</v>
      </c>
      <c r="O195" s="1066" t="s">
        <v>1703</v>
      </c>
      <c r="P195" s="1066" t="s">
        <v>1095</v>
      </c>
      <c r="Q195" s="1066" t="s">
        <v>1588</v>
      </c>
      <c r="R195" s="1066"/>
      <c r="S195" s="1066"/>
      <c r="U195" s="1064"/>
      <c r="V195" s="1064">
        <v>1</v>
      </c>
    </row>
    <row r="196" spans="1:22" x14ac:dyDescent="0.2">
      <c r="A196" s="1059">
        <v>13</v>
      </c>
      <c r="B196" s="1066" t="s">
        <v>1139</v>
      </c>
      <c r="C196" s="1066" t="s">
        <v>1275</v>
      </c>
      <c r="D196" s="1066" t="s">
        <v>1757</v>
      </c>
      <c r="E196" s="1066" t="s">
        <v>1270</v>
      </c>
      <c r="F196" s="1066" t="s">
        <v>1758</v>
      </c>
      <c r="G196" s="1068"/>
      <c r="H196" s="1066" t="s">
        <v>1732</v>
      </c>
      <c r="I196" s="1066" t="s">
        <v>1054</v>
      </c>
      <c r="J196" s="1066" t="s">
        <v>1055</v>
      </c>
      <c r="K196" s="1066" t="s">
        <v>1056</v>
      </c>
      <c r="L196" s="1068"/>
      <c r="M196" s="1068"/>
      <c r="N196" s="1068"/>
      <c r="O196" s="1066" t="s">
        <v>1057</v>
      </c>
      <c r="P196" s="1066" t="s">
        <v>1057</v>
      </c>
      <c r="Q196" s="1066" t="s">
        <v>1057</v>
      </c>
      <c r="R196" s="1066" t="s">
        <v>1759</v>
      </c>
      <c r="S196" s="1068"/>
      <c r="U196" s="1064">
        <f>SUM(U184:U195)</f>
        <v>3</v>
      </c>
      <c r="V196" s="1064">
        <f>SUM(V184:V195)</f>
        <v>2</v>
      </c>
    </row>
    <row r="197" spans="1:22" x14ac:dyDescent="0.2">
      <c r="A197" s="1059">
        <v>14</v>
      </c>
      <c r="B197" s="1066"/>
      <c r="C197" s="1066"/>
      <c r="D197" s="1066"/>
      <c r="E197" s="1066"/>
      <c r="F197" s="1066"/>
      <c r="G197" s="1066" t="s">
        <v>1758</v>
      </c>
      <c r="H197" s="1066"/>
      <c r="I197" s="1066"/>
      <c r="J197" s="1066"/>
      <c r="K197" s="1066" t="s">
        <v>1056</v>
      </c>
      <c r="L197" s="1066" t="s">
        <v>1760</v>
      </c>
      <c r="M197" s="1066" t="s">
        <v>1060</v>
      </c>
      <c r="N197" s="1066" t="s">
        <v>1061</v>
      </c>
      <c r="O197" s="1066" t="s">
        <v>1111</v>
      </c>
      <c r="P197" s="1066" t="s">
        <v>1095</v>
      </c>
      <c r="Q197" s="1066" t="s">
        <v>1345</v>
      </c>
      <c r="R197" s="1066"/>
      <c r="S197" s="1066"/>
    </row>
    <row r="198" spans="1:22" x14ac:dyDescent="0.2">
      <c r="A198" s="1059">
        <v>15</v>
      </c>
      <c r="B198" s="1066" t="s">
        <v>1147</v>
      </c>
      <c r="C198" s="1066" t="s">
        <v>1346</v>
      </c>
      <c r="D198" s="1066" t="s">
        <v>1761</v>
      </c>
      <c r="E198" s="1066" t="s">
        <v>1270</v>
      </c>
      <c r="F198" s="1066" t="s">
        <v>1762</v>
      </c>
      <c r="G198" s="1068"/>
      <c r="H198" s="1066" t="s">
        <v>1732</v>
      </c>
      <c r="I198" s="1066" t="s">
        <v>1054</v>
      </c>
      <c r="J198" s="1066" t="s">
        <v>1055</v>
      </c>
      <c r="K198" s="1066" t="s">
        <v>1056</v>
      </c>
      <c r="L198" s="1068"/>
      <c r="M198" s="1068"/>
      <c r="N198" s="1068"/>
      <c r="O198" s="1066" t="s">
        <v>1057</v>
      </c>
      <c r="P198" s="1066" t="s">
        <v>1057</v>
      </c>
      <c r="Q198" s="1066" t="s">
        <v>1057</v>
      </c>
      <c r="R198" s="1066" t="s">
        <v>1272</v>
      </c>
      <c r="S198" s="1068"/>
    </row>
    <row r="199" spans="1:22" x14ac:dyDescent="0.2">
      <c r="A199" s="1059">
        <v>16</v>
      </c>
      <c r="B199" s="1066"/>
      <c r="C199" s="1066"/>
      <c r="D199" s="1066"/>
      <c r="E199" s="1066"/>
      <c r="F199" s="1066"/>
      <c r="G199" s="1066" t="s">
        <v>1762</v>
      </c>
      <c r="H199" s="1066"/>
      <c r="I199" s="1066"/>
      <c r="J199" s="1066"/>
      <c r="K199" s="1066" t="s">
        <v>1056</v>
      </c>
      <c r="L199" s="1066" t="s">
        <v>1168</v>
      </c>
      <c r="M199" s="1066" t="s">
        <v>1060</v>
      </c>
      <c r="N199" s="1066" t="s">
        <v>1061</v>
      </c>
      <c r="O199" s="1066" t="s">
        <v>1169</v>
      </c>
      <c r="P199" s="1066" t="s">
        <v>1063</v>
      </c>
      <c r="Q199" s="1066" t="s">
        <v>1763</v>
      </c>
      <c r="R199" s="1066"/>
      <c r="S199" s="1066"/>
    </row>
    <row r="200" spans="1:22" x14ac:dyDescent="0.2">
      <c r="A200" s="1059">
        <v>17</v>
      </c>
      <c r="B200" s="1066" t="s">
        <v>1156</v>
      </c>
      <c r="C200" s="1066" t="s">
        <v>1414</v>
      </c>
      <c r="D200" s="1066" t="s">
        <v>1764</v>
      </c>
      <c r="E200" s="1066" t="s">
        <v>1165</v>
      </c>
      <c r="F200" s="1066" t="s">
        <v>1207</v>
      </c>
      <c r="G200" s="1068"/>
      <c r="H200" s="1066" t="s">
        <v>1732</v>
      </c>
      <c r="I200" s="1066" t="s">
        <v>1054</v>
      </c>
      <c r="J200" s="1066" t="s">
        <v>1055</v>
      </c>
      <c r="K200" s="1066" t="s">
        <v>1056</v>
      </c>
      <c r="L200" s="1068"/>
      <c r="M200" s="1068"/>
      <c r="N200" s="1068"/>
      <c r="O200" s="1066" t="s">
        <v>1057</v>
      </c>
      <c r="P200" s="1066" t="s">
        <v>1057</v>
      </c>
      <c r="Q200" s="1066" t="s">
        <v>1057</v>
      </c>
      <c r="R200" s="1066" t="s">
        <v>1235</v>
      </c>
      <c r="S200" s="1066" t="s">
        <v>1144</v>
      </c>
    </row>
    <row r="201" spans="1:22" x14ac:dyDescent="0.2">
      <c r="A201" s="1059">
        <v>18</v>
      </c>
      <c r="B201" s="1066"/>
      <c r="C201" s="1066"/>
      <c r="D201" s="1066"/>
      <c r="E201" s="1066"/>
      <c r="F201" s="1066"/>
      <c r="G201" s="1066" t="s">
        <v>1207</v>
      </c>
      <c r="H201" s="1066"/>
      <c r="I201" s="1066"/>
      <c r="J201" s="1066"/>
      <c r="K201" s="1066" t="s">
        <v>1765</v>
      </c>
      <c r="L201" s="1066"/>
      <c r="M201" s="1066"/>
      <c r="N201" s="1066"/>
      <c r="O201" s="1066" t="s">
        <v>1541</v>
      </c>
      <c r="P201" s="1066" t="s">
        <v>1095</v>
      </c>
      <c r="Q201" s="1066" t="s">
        <v>1530</v>
      </c>
      <c r="R201" s="1066"/>
      <c r="S201" s="1066"/>
    </row>
    <row r="202" spans="1:22" x14ac:dyDescent="0.2">
      <c r="A202" s="1059">
        <v>19</v>
      </c>
      <c r="B202" s="1066" t="s">
        <v>1163</v>
      </c>
      <c r="C202" s="1066" t="s">
        <v>1478</v>
      </c>
      <c r="D202" s="1066" t="s">
        <v>1766</v>
      </c>
      <c r="E202" s="1066" t="s">
        <v>1270</v>
      </c>
      <c r="F202" s="1066" t="s">
        <v>1068</v>
      </c>
      <c r="G202" s="1068"/>
      <c r="H202" s="1066" t="s">
        <v>1732</v>
      </c>
      <c r="I202" s="1066" t="s">
        <v>1054</v>
      </c>
      <c r="J202" s="1066" t="s">
        <v>1055</v>
      </c>
      <c r="K202" s="1066" t="s">
        <v>1056</v>
      </c>
      <c r="L202" s="1068"/>
      <c r="M202" s="1068"/>
      <c r="N202" s="1068"/>
      <c r="O202" s="1066" t="s">
        <v>1057</v>
      </c>
      <c r="P202" s="1066" t="s">
        <v>1057</v>
      </c>
      <c r="Q202" s="1066" t="s">
        <v>1057</v>
      </c>
      <c r="R202" s="1066" t="s">
        <v>1767</v>
      </c>
      <c r="S202" s="1066" t="s">
        <v>1144</v>
      </c>
    </row>
    <row r="203" spans="1:22" x14ac:dyDescent="0.2">
      <c r="A203" s="1059">
        <v>20</v>
      </c>
      <c r="B203" s="1066"/>
      <c r="C203" s="1066"/>
      <c r="D203" s="1066"/>
      <c r="E203" s="1066"/>
      <c r="F203" s="1066"/>
      <c r="G203" s="1066" t="s">
        <v>1068</v>
      </c>
      <c r="H203" s="1066"/>
      <c r="I203" s="1066"/>
      <c r="J203" s="1066"/>
      <c r="K203" s="1066" t="s">
        <v>1768</v>
      </c>
      <c r="L203" s="1066"/>
      <c r="M203" s="1066"/>
      <c r="N203" s="1066"/>
      <c r="O203" s="1066" t="s">
        <v>1202</v>
      </c>
      <c r="P203" s="1066" t="s">
        <v>1095</v>
      </c>
      <c r="Q203" s="1066" t="s">
        <v>1769</v>
      </c>
      <c r="R203" s="1066"/>
      <c r="S203" s="1066"/>
    </row>
    <row r="204" spans="1:22" x14ac:dyDescent="0.2">
      <c r="A204" s="1059">
        <v>21</v>
      </c>
      <c r="B204" s="1066" t="s">
        <v>1171</v>
      </c>
      <c r="C204" s="1066" t="s">
        <v>1106</v>
      </c>
      <c r="D204" s="1066" t="s">
        <v>1770</v>
      </c>
      <c r="E204" s="1066" t="s">
        <v>1443</v>
      </c>
      <c r="F204" s="1066" t="s">
        <v>1771</v>
      </c>
      <c r="G204" s="1068"/>
      <c r="H204" s="1066" t="s">
        <v>1732</v>
      </c>
      <c r="I204" s="1066" t="s">
        <v>1054</v>
      </c>
      <c r="J204" s="1066" t="s">
        <v>1055</v>
      </c>
      <c r="K204" s="1066" t="s">
        <v>1056</v>
      </c>
      <c r="L204" s="1068"/>
      <c r="M204" s="1068"/>
      <c r="N204" s="1068"/>
      <c r="O204" s="1066" t="s">
        <v>1057</v>
      </c>
      <c r="P204" s="1066" t="s">
        <v>1057</v>
      </c>
      <c r="Q204" s="1066" t="s">
        <v>1057</v>
      </c>
      <c r="R204" s="1066" t="s">
        <v>1772</v>
      </c>
      <c r="S204" s="1066" t="s">
        <v>1144</v>
      </c>
    </row>
    <row r="205" spans="1:22" x14ac:dyDescent="0.2">
      <c r="A205" s="1059">
        <v>22</v>
      </c>
      <c r="B205" s="1066"/>
      <c r="C205" s="1066"/>
      <c r="D205" s="1066"/>
      <c r="E205" s="1066"/>
      <c r="F205" s="1066"/>
      <c r="G205" s="1066" t="s">
        <v>1771</v>
      </c>
      <c r="H205" s="1066"/>
      <c r="I205" s="1066"/>
      <c r="J205" s="1066"/>
      <c r="K205" s="1066" t="s">
        <v>1773</v>
      </c>
      <c r="L205" s="1066"/>
      <c r="M205" s="1066"/>
      <c r="N205" s="1066"/>
      <c r="O205" s="1066" t="s">
        <v>1210</v>
      </c>
      <c r="P205" s="1066" t="s">
        <v>1095</v>
      </c>
      <c r="Q205" s="1066" t="s">
        <v>1155</v>
      </c>
      <c r="R205" s="1066"/>
      <c r="S205" s="1066"/>
    </row>
    <row r="206" spans="1:22" x14ac:dyDescent="0.2">
      <c r="A206" s="1059">
        <v>23</v>
      </c>
      <c r="B206" s="1066" t="s">
        <v>1180</v>
      </c>
      <c r="C206" s="1066" t="s">
        <v>1114</v>
      </c>
      <c r="D206" s="1066" t="s">
        <v>1774</v>
      </c>
      <c r="E206" s="1066" t="s">
        <v>1270</v>
      </c>
      <c r="F206" s="1066" t="s">
        <v>1775</v>
      </c>
      <c r="G206" s="1068"/>
      <c r="H206" s="1066" t="s">
        <v>1732</v>
      </c>
      <c r="I206" s="1066" t="s">
        <v>1054</v>
      </c>
      <c r="J206" s="1066" t="s">
        <v>1055</v>
      </c>
      <c r="K206" s="1066" t="s">
        <v>1056</v>
      </c>
      <c r="L206" s="1068"/>
      <c r="M206" s="1068"/>
      <c r="N206" s="1068"/>
      <c r="O206" s="1066" t="s">
        <v>1057</v>
      </c>
      <c r="P206" s="1066" t="s">
        <v>1057</v>
      </c>
      <c r="Q206" s="1066" t="s">
        <v>1057</v>
      </c>
      <c r="R206" s="1066" t="s">
        <v>1776</v>
      </c>
      <c r="S206" s="1066" t="s">
        <v>1144</v>
      </c>
    </row>
    <row r="207" spans="1:22" x14ac:dyDescent="0.2">
      <c r="A207" s="1059">
        <v>24</v>
      </c>
      <c r="B207" s="1066"/>
      <c r="C207" s="1066"/>
      <c r="D207" s="1066"/>
      <c r="E207" s="1066"/>
      <c r="F207" s="1066"/>
      <c r="G207" s="1066" t="s">
        <v>1775</v>
      </c>
      <c r="H207" s="1066"/>
      <c r="I207" s="1066"/>
      <c r="J207" s="1066"/>
      <c r="K207" s="1066" t="s">
        <v>1777</v>
      </c>
      <c r="L207" s="1066"/>
      <c r="M207" s="1066"/>
      <c r="N207" s="1066"/>
      <c r="O207" s="1066" t="s">
        <v>1453</v>
      </c>
      <c r="P207" s="1066" t="s">
        <v>1244</v>
      </c>
      <c r="Q207" s="1066" t="s">
        <v>1778</v>
      </c>
      <c r="R207" s="1066"/>
      <c r="S207" s="1066"/>
    </row>
    <row r="208" spans="1:22" x14ac:dyDescent="0.2">
      <c r="A208" s="1059">
        <v>25</v>
      </c>
      <c r="B208" s="1066" t="s">
        <v>1188</v>
      </c>
      <c r="C208" s="1066" t="s">
        <v>1131</v>
      </c>
      <c r="D208" s="1066" t="s">
        <v>1779</v>
      </c>
      <c r="E208" s="1066" t="s">
        <v>1198</v>
      </c>
      <c r="F208" s="1066" t="s">
        <v>1780</v>
      </c>
      <c r="G208" s="1068"/>
      <c r="H208" s="1066" t="s">
        <v>1732</v>
      </c>
      <c r="I208" s="1066" t="s">
        <v>1054</v>
      </c>
      <c r="J208" s="1066" t="s">
        <v>1055</v>
      </c>
      <c r="K208" s="1066" t="s">
        <v>1056</v>
      </c>
      <c r="L208" s="1068"/>
      <c r="M208" s="1068"/>
      <c r="N208" s="1068"/>
      <c r="O208" s="1066" t="s">
        <v>1057</v>
      </c>
      <c r="P208" s="1066" t="s">
        <v>1057</v>
      </c>
      <c r="Q208" s="1066" t="s">
        <v>1057</v>
      </c>
      <c r="R208" s="1066" t="s">
        <v>1781</v>
      </c>
      <c r="S208" s="1066" t="s">
        <v>1144</v>
      </c>
    </row>
    <row r="209" spans="1:19" x14ac:dyDescent="0.2">
      <c r="A209" s="1059">
        <v>26</v>
      </c>
      <c r="B209" s="1066"/>
      <c r="C209" s="1066"/>
      <c r="D209" s="1066"/>
      <c r="E209" s="1066"/>
      <c r="F209" s="1066"/>
      <c r="G209" s="1066" t="s">
        <v>1780</v>
      </c>
      <c r="H209" s="1066"/>
      <c r="I209" s="1066"/>
      <c r="J209" s="1066"/>
      <c r="K209" s="1066" t="s">
        <v>1782</v>
      </c>
      <c r="L209" s="1066"/>
      <c r="M209" s="1066"/>
      <c r="N209" s="1066"/>
      <c r="O209" s="1066" t="s">
        <v>1094</v>
      </c>
      <c r="P209" s="1066" t="s">
        <v>1244</v>
      </c>
      <c r="Q209" s="1066" t="s">
        <v>1783</v>
      </c>
      <c r="R209" s="1066"/>
      <c r="S209" s="1066"/>
    </row>
    <row r="210" spans="1:19" x14ac:dyDescent="0.2">
      <c r="A210" s="1059">
        <v>27</v>
      </c>
      <c r="B210" s="1066" t="s">
        <v>1195</v>
      </c>
      <c r="C210" s="1066" t="s">
        <v>1431</v>
      </c>
      <c r="D210" s="1066" t="s">
        <v>1784</v>
      </c>
      <c r="E210" s="1066" t="s">
        <v>1198</v>
      </c>
      <c r="F210" s="1066" t="s">
        <v>1785</v>
      </c>
      <c r="G210" s="1068"/>
      <c r="H210" s="1066" t="s">
        <v>1732</v>
      </c>
      <c r="I210" s="1066" t="s">
        <v>1054</v>
      </c>
      <c r="J210" s="1066" t="s">
        <v>1055</v>
      </c>
      <c r="K210" s="1066" t="s">
        <v>1056</v>
      </c>
      <c r="L210" s="1068"/>
      <c r="M210" s="1068"/>
      <c r="N210" s="1068"/>
      <c r="O210" s="1066" t="s">
        <v>1057</v>
      </c>
      <c r="P210" s="1066" t="s">
        <v>1057</v>
      </c>
      <c r="Q210" s="1066" t="s">
        <v>1057</v>
      </c>
      <c r="R210" s="1066" t="s">
        <v>1781</v>
      </c>
      <c r="S210" s="1066" t="s">
        <v>1144</v>
      </c>
    </row>
    <row r="211" spans="1:19" x14ac:dyDescent="0.2">
      <c r="A211" s="1059">
        <v>28</v>
      </c>
      <c r="B211" s="1066"/>
      <c r="C211" s="1066"/>
      <c r="D211" s="1066"/>
      <c r="E211" s="1066"/>
      <c r="F211" s="1066"/>
      <c r="G211" s="1066" t="s">
        <v>1785</v>
      </c>
      <c r="H211" s="1066"/>
      <c r="I211" s="1066"/>
      <c r="J211" s="1066"/>
      <c r="K211" s="1066" t="s">
        <v>1786</v>
      </c>
      <c r="L211" s="1066"/>
      <c r="M211" s="1066"/>
      <c r="N211" s="1066"/>
      <c r="O211" s="1066" t="s">
        <v>1094</v>
      </c>
      <c r="P211" s="1066" t="s">
        <v>1244</v>
      </c>
      <c r="Q211" s="1066" t="s">
        <v>1327</v>
      </c>
      <c r="R211" s="1066"/>
      <c r="S211" s="1066"/>
    </row>
    <row r="212" spans="1:19" x14ac:dyDescent="0.2">
      <c r="A212" s="1059">
        <v>29</v>
      </c>
      <c r="B212" s="1066" t="s">
        <v>1203</v>
      </c>
      <c r="C212" s="1066" t="s">
        <v>1491</v>
      </c>
      <c r="D212" s="1066" t="s">
        <v>1787</v>
      </c>
      <c r="E212" s="1066" t="s">
        <v>1165</v>
      </c>
      <c r="F212" s="1066" t="s">
        <v>1788</v>
      </c>
      <c r="G212" s="1068"/>
      <c r="H212" s="1066" t="s">
        <v>1732</v>
      </c>
      <c r="I212" s="1066" t="s">
        <v>1054</v>
      </c>
      <c r="J212" s="1066" t="s">
        <v>1055</v>
      </c>
      <c r="K212" s="1066" t="s">
        <v>1056</v>
      </c>
      <c r="L212" s="1068"/>
      <c r="M212" s="1068"/>
      <c r="N212" s="1068"/>
      <c r="O212" s="1066" t="s">
        <v>1057</v>
      </c>
      <c r="P212" s="1066" t="s">
        <v>1057</v>
      </c>
      <c r="Q212" s="1066" t="s">
        <v>1057</v>
      </c>
      <c r="R212" s="1066" t="s">
        <v>1789</v>
      </c>
      <c r="S212" s="1066" t="s">
        <v>1144</v>
      </c>
    </row>
    <row r="213" spans="1:19" x14ac:dyDescent="0.2">
      <c r="A213" s="1059">
        <v>30</v>
      </c>
      <c r="B213" s="1066"/>
      <c r="C213" s="1066"/>
      <c r="D213" s="1066"/>
      <c r="E213" s="1066"/>
      <c r="F213" s="1066"/>
      <c r="G213" s="1066" t="s">
        <v>1788</v>
      </c>
      <c r="H213" s="1066"/>
      <c r="I213" s="1066"/>
      <c r="J213" s="1066"/>
      <c r="K213" s="1066" t="s">
        <v>1790</v>
      </c>
      <c r="L213" s="1066"/>
      <c r="M213" s="1066"/>
      <c r="N213" s="1066"/>
      <c r="O213" s="1066" t="s">
        <v>1137</v>
      </c>
      <c r="P213" s="1066" t="s">
        <v>1244</v>
      </c>
      <c r="Q213" s="1066" t="s">
        <v>1317</v>
      </c>
      <c r="R213" s="1066"/>
      <c r="S213" s="1066"/>
    </row>
    <row r="214" spans="1:19" x14ac:dyDescent="0.2">
      <c r="A214" s="1059">
        <v>31</v>
      </c>
      <c r="B214" s="1066" t="s">
        <v>1211</v>
      </c>
      <c r="C214" s="1066" t="s">
        <v>1148</v>
      </c>
      <c r="D214" s="1066" t="s">
        <v>1791</v>
      </c>
      <c r="E214" s="1066" t="s">
        <v>1792</v>
      </c>
      <c r="F214" s="1066" t="s">
        <v>1463</v>
      </c>
      <c r="G214" s="1068"/>
      <c r="H214" s="1066" t="s">
        <v>1732</v>
      </c>
      <c r="I214" s="1066" t="s">
        <v>1054</v>
      </c>
      <c r="J214" s="1066" t="s">
        <v>1055</v>
      </c>
      <c r="K214" s="1066" t="s">
        <v>1056</v>
      </c>
      <c r="L214" s="1068"/>
      <c r="M214" s="1068"/>
      <c r="N214" s="1068"/>
      <c r="O214" s="1066" t="s">
        <v>1057</v>
      </c>
      <c r="P214" s="1066" t="s">
        <v>1057</v>
      </c>
      <c r="Q214" s="1066" t="s">
        <v>1057</v>
      </c>
      <c r="R214" s="1066" t="s">
        <v>1793</v>
      </c>
      <c r="S214" s="1066" t="s">
        <v>1144</v>
      </c>
    </row>
    <row r="215" spans="1:19" x14ac:dyDescent="0.2">
      <c r="A215" s="1059">
        <v>32</v>
      </c>
      <c r="B215" s="1066"/>
      <c r="C215" s="1066"/>
      <c r="D215" s="1066"/>
      <c r="E215" s="1066"/>
      <c r="F215" s="1066"/>
      <c r="G215" s="1066" t="s">
        <v>1463</v>
      </c>
      <c r="H215" s="1066"/>
      <c r="I215" s="1066"/>
      <c r="J215" s="1066"/>
      <c r="K215" s="1066" t="s">
        <v>1794</v>
      </c>
      <c r="L215" s="1066"/>
      <c r="M215" s="1066"/>
      <c r="N215" s="1066"/>
      <c r="O215" s="1066" t="s">
        <v>1795</v>
      </c>
      <c r="P215" s="1066" t="s">
        <v>1063</v>
      </c>
      <c r="Q215" s="1066" t="s">
        <v>1796</v>
      </c>
      <c r="R215" s="1066"/>
      <c r="S215" s="1066"/>
    </row>
    <row r="216" spans="1:19" x14ac:dyDescent="0.2">
      <c r="A216" s="1059">
        <v>33</v>
      </c>
      <c r="B216" s="1066" t="s">
        <v>1217</v>
      </c>
      <c r="C216" s="1066" t="s">
        <v>1527</v>
      </c>
      <c r="D216" s="1066" t="s">
        <v>1797</v>
      </c>
      <c r="E216" s="1066" t="s">
        <v>1798</v>
      </c>
      <c r="F216" s="1066" t="s">
        <v>1799</v>
      </c>
      <c r="G216" s="1068"/>
      <c r="H216" s="1066" t="s">
        <v>1732</v>
      </c>
      <c r="I216" s="1066" t="s">
        <v>1054</v>
      </c>
      <c r="J216" s="1066" t="s">
        <v>1055</v>
      </c>
      <c r="K216" s="1066" t="s">
        <v>1056</v>
      </c>
      <c r="L216" s="1068"/>
      <c r="M216" s="1068"/>
      <c r="N216" s="1068"/>
      <c r="O216" s="1066" t="s">
        <v>1057</v>
      </c>
      <c r="P216" s="1066" t="s">
        <v>1057</v>
      </c>
      <c r="Q216" s="1066" t="s">
        <v>1057</v>
      </c>
      <c r="R216" s="1066" t="s">
        <v>1800</v>
      </c>
      <c r="S216" s="1066" t="s">
        <v>1144</v>
      </c>
    </row>
    <row r="217" spans="1:19" x14ac:dyDescent="0.2">
      <c r="A217" s="1059">
        <v>34</v>
      </c>
      <c r="B217" s="1066"/>
      <c r="C217" s="1066"/>
      <c r="D217" s="1066"/>
      <c r="E217" s="1066"/>
      <c r="F217" s="1066"/>
      <c r="G217" s="1066" t="s">
        <v>1799</v>
      </c>
      <c r="H217" s="1066"/>
      <c r="I217" s="1066"/>
      <c r="J217" s="1066"/>
      <c r="K217" s="1066" t="s">
        <v>1093</v>
      </c>
      <c r="L217" s="1066"/>
      <c r="M217" s="1066"/>
      <c r="N217" s="1066"/>
      <c r="O217" s="1066" t="s">
        <v>1087</v>
      </c>
      <c r="P217" s="1066" t="s">
        <v>1063</v>
      </c>
      <c r="Q217" s="1066" t="s">
        <v>1801</v>
      </c>
      <c r="R217" s="1066"/>
      <c r="S217" s="1066"/>
    </row>
    <row r="218" spans="1:19" x14ac:dyDescent="0.2">
      <c r="A218" s="1059">
        <v>35</v>
      </c>
      <c r="B218" s="1066" t="s">
        <v>1225</v>
      </c>
      <c r="C218" s="1066" t="s">
        <v>1582</v>
      </c>
      <c r="D218" s="1066" t="s">
        <v>1802</v>
      </c>
      <c r="E218" s="1066" t="s">
        <v>1792</v>
      </c>
      <c r="F218" s="1066" t="s">
        <v>1432</v>
      </c>
      <c r="G218" s="1068"/>
      <c r="H218" s="1066" t="s">
        <v>1732</v>
      </c>
      <c r="I218" s="1066" t="s">
        <v>1054</v>
      </c>
      <c r="J218" s="1066" t="s">
        <v>1055</v>
      </c>
      <c r="K218" s="1066" t="s">
        <v>1056</v>
      </c>
      <c r="L218" s="1068"/>
      <c r="M218" s="1068"/>
      <c r="N218" s="1068"/>
      <c r="O218" s="1066" t="s">
        <v>1057</v>
      </c>
      <c r="P218" s="1066" t="s">
        <v>1057</v>
      </c>
      <c r="Q218" s="1066" t="s">
        <v>1057</v>
      </c>
      <c r="R218" s="1066" t="s">
        <v>1803</v>
      </c>
      <c r="S218" s="1068"/>
    </row>
    <row r="219" spans="1:19" x14ac:dyDescent="0.2">
      <c r="A219" s="1059">
        <v>36</v>
      </c>
      <c r="B219" s="1066"/>
      <c r="C219" s="1066"/>
      <c r="D219" s="1066"/>
      <c r="E219" s="1066"/>
      <c r="F219" s="1066"/>
      <c r="G219" s="1066" t="s">
        <v>1432</v>
      </c>
      <c r="H219" s="1066"/>
      <c r="I219" s="1066"/>
      <c r="J219" s="1066"/>
      <c r="K219" s="1066" t="s">
        <v>1056</v>
      </c>
      <c r="L219" s="1066" t="s">
        <v>1804</v>
      </c>
      <c r="M219" s="1066" t="s">
        <v>1060</v>
      </c>
      <c r="N219" s="1066" t="s">
        <v>1061</v>
      </c>
      <c r="O219" s="1066" t="s">
        <v>1665</v>
      </c>
      <c r="P219" s="1066" t="s">
        <v>1063</v>
      </c>
      <c r="Q219" s="1066" t="s">
        <v>1805</v>
      </c>
      <c r="R219" s="1066"/>
      <c r="S219" s="1066"/>
    </row>
    <row r="220" spans="1:19" x14ac:dyDescent="0.2">
      <c r="A220" s="1059">
        <v>37</v>
      </c>
      <c r="B220" s="1066" t="s">
        <v>1231</v>
      </c>
      <c r="C220" s="1066" t="s">
        <v>1695</v>
      </c>
      <c r="D220" s="1066" t="s">
        <v>1806</v>
      </c>
      <c r="E220" s="1066" t="s">
        <v>1116</v>
      </c>
      <c r="F220" s="1066" t="s">
        <v>1184</v>
      </c>
      <c r="G220" s="1068"/>
      <c r="H220" s="1066" t="s">
        <v>1732</v>
      </c>
      <c r="I220" s="1066" t="s">
        <v>1054</v>
      </c>
      <c r="J220" s="1066" t="s">
        <v>1055</v>
      </c>
      <c r="K220" s="1066" t="s">
        <v>1056</v>
      </c>
      <c r="L220" s="1068"/>
      <c r="M220" s="1068"/>
      <c r="N220" s="1068"/>
      <c r="O220" s="1066" t="s">
        <v>1057</v>
      </c>
      <c r="P220" s="1066" t="s">
        <v>1057</v>
      </c>
      <c r="Q220" s="1066" t="s">
        <v>1057</v>
      </c>
      <c r="R220" s="1066" t="s">
        <v>1807</v>
      </c>
      <c r="S220" s="1066" t="s">
        <v>1144</v>
      </c>
    </row>
    <row r="221" spans="1:19" x14ac:dyDescent="0.2">
      <c r="A221" s="1059">
        <v>38</v>
      </c>
      <c r="B221" s="1066"/>
      <c r="C221" s="1066"/>
      <c r="D221" s="1066"/>
      <c r="E221" s="1066"/>
      <c r="F221" s="1066"/>
      <c r="G221" s="1066" t="s">
        <v>1184</v>
      </c>
      <c r="H221" s="1066"/>
      <c r="I221" s="1066"/>
      <c r="J221" s="1066"/>
      <c r="K221" s="1066" t="s">
        <v>1808</v>
      </c>
      <c r="L221" s="1066"/>
      <c r="M221" s="1066"/>
      <c r="N221" s="1066"/>
      <c r="O221" s="1066" t="s">
        <v>1422</v>
      </c>
      <c r="P221" s="1066" t="s">
        <v>1063</v>
      </c>
      <c r="Q221" s="1066" t="s">
        <v>1809</v>
      </c>
      <c r="R221" s="1066"/>
      <c r="S221" s="1066"/>
    </row>
    <row r="222" spans="1:19" x14ac:dyDescent="0.2">
      <c r="A222" s="1059">
        <v>39</v>
      </c>
      <c r="B222" s="1066" t="s">
        <v>1238</v>
      </c>
      <c r="C222" s="1066" t="s">
        <v>1172</v>
      </c>
      <c r="D222" s="1066" t="s">
        <v>1810</v>
      </c>
      <c r="E222" s="1066" t="s">
        <v>1416</v>
      </c>
      <c r="F222" s="1066" t="s">
        <v>1738</v>
      </c>
      <c r="G222" s="1068"/>
      <c r="H222" s="1066" t="s">
        <v>1732</v>
      </c>
      <c r="I222" s="1066" t="s">
        <v>1054</v>
      </c>
      <c r="J222" s="1066" t="s">
        <v>1055</v>
      </c>
      <c r="K222" s="1066" t="s">
        <v>1056</v>
      </c>
      <c r="L222" s="1068"/>
      <c r="M222" s="1068"/>
      <c r="N222" s="1068"/>
      <c r="O222" s="1066" t="s">
        <v>1057</v>
      </c>
      <c r="P222" s="1066" t="s">
        <v>1057</v>
      </c>
      <c r="Q222" s="1066" t="s">
        <v>1057</v>
      </c>
      <c r="R222" s="1066" t="s">
        <v>1811</v>
      </c>
      <c r="S222" s="1066" t="s">
        <v>1144</v>
      </c>
    </row>
    <row r="223" spans="1:19" x14ac:dyDescent="0.2">
      <c r="A223" s="1059">
        <v>40</v>
      </c>
      <c r="B223" s="1066"/>
      <c r="C223" s="1066"/>
      <c r="D223" s="1066"/>
      <c r="E223" s="1066"/>
      <c r="F223" s="1066"/>
      <c r="G223" s="1066" t="s">
        <v>1738</v>
      </c>
      <c r="H223" s="1066"/>
      <c r="I223" s="1066"/>
      <c r="J223" s="1066"/>
      <c r="K223" s="1066" t="s">
        <v>1740</v>
      </c>
      <c r="L223" s="1066"/>
      <c r="M223" s="1066"/>
      <c r="N223" s="1066"/>
      <c r="O223" s="1066" t="s">
        <v>1741</v>
      </c>
      <c r="P223" s="1066" t="s">
        <v>1095</v>
      </c>
      <c r="Q223" s="1066" t="s">
        <v>1602</v>
      </c>
      <c r="R223" s="1066"/>
      <c r="S223" s="1066"/>
    </row>
    <row r="224" spans="1:19" x14ac:dyDescent="0.2">
      <c r="A224" s="1059">
        <v>41</v>
      </c>
      <c r="B224" s="1066" t="s">
        <v>1246</v>
      </c>
      <c r="C224" s="1066" t="s">
        <v>1181</v>
      </c>
      <c r="D224" s="1066" t="s">
        <v>1812</v>
      </c>
      <c r="E224" s="1066" t="s">
        <v>1813</v>
      </c>
      <c r="F224" s="1066" t="s">
        <v>1108</v>
      </c>
      <c r="G224" s="1068"/>
      <c r="H224" s="1066" t="s">
        <v>1732</v>
      </c>
      <c r="I224" s="1066" t="s">
        <v>1054</v>
      </c>
      <c r="J224" s="1066" t="s">
        <v>1055</v>
      </c>
      <c r="K224" s="1066" t="s">
        <v>1056</v>
      </c>
      <c r="L224" s="1068"/>
      <c r="M224" s="1068"/>
      <c r="N224" s="1068"/>
      <c r="O224" s="1066" t="s">
        <v>1057</v>
      </c>
      <c r="P224" s="1066" t="s">
        <v>1057</v>
      </c>
      <c r="Q224" s="1066" t="s">
        <v>1057</v>
      </c>
      <c r="R224" s="1066" t="s">
        <v>1814</v>
      </c>
      <c r="S224" s="1066" t="s">
        <v>1144</v>
      </c>
    </row>
    <row r="225" spans="1:19" x14ac:dyDescent="0.2">
      <c r="A225" s="1059">
        <v>42</v>
      </c>
      <c r="B225" s="1066"/>
      <c r="C225" s="1066"/>
      <c r="D225" s="1066"/>
      <c r="E225" s="1066"/>
      <c r="F225" s="1066"/>
      <c r="G225" s="1066" t="s">
        <v>1108</v>
      </c>
      <c r="H225" s="1066"/>
      <c r="I225" s="1066"/>
      <c r="J225" s="1066"/>
      <c r="K225" s="1066" t="s">
        <v>1452</v>
      </c>
      <c r="L225" s="1066"/>
      <c r="M225" s="1066"/>
      <c r="N225" s="1066"/>
      <c r="O225" s="1066" t="s">
        <v>1795</v>
      </c>
      <c r="P225" s="1066" t="s">
        <v>1063</v>
      </c>
      <c r="Q225" s="1066" t="s">
        <v>1815</v>
      </c>
      <c r="R225" s="1066"/>
      <c r="S225" s="1066"/>
    </row>
    <row r="226" spans="1:19" x14ac:dyDescent="0.2">
      <c r="A226" s="1059">
        <v>43</v>
      </c>
      <c r="B226" s="1066" t="s">
        <v>1262</v>
      </c>
      <c r="C226" s="1066" t="s">
        <v>1189</v>
      </c>
      <c r="D226" s="1066" t="s">
        <v>1816</v>
      </c>
      <c r="E226" s="1066" t="s">
        <v>1813</v>
      </c>
      <c r="F226" s="1066" t="s">
        <v>1091</v>
      </c>
      <c r="G226" s="1068"/>
      <c r="H226" s="1066" t="s">
        <v>1732</v>
      </c>
      <c r="I226" s="1066" t="s">
        <v>1054</v>
      </c>
      <c r="J226" s="1066" t="s">
        <v>1055</v>
      </c>
      <c r="K226" s="1066" t="s">
        <v>1056</v>
      </c>
      <c r="L226" s="1068"/>
      <c r="M226" s="1068"/>
      <c r="N226" s="1068"/>
      <c r="O226" s="1066" t="s">
        <v>1057</v>
      </c>
      <c r="P226" s="1066" t="s">
        <v>1057</v>
      </c>
      <c r="Q226" s="1066" t="s">
        <v>1057</v>
      </c>
      <c r="R226" s="1066" t="s">
        <v>1817</v>
      </c>
      <c r="S226" s="1066" t="s">
        <v>1144</v>
      </c>
    </row>
    <row r="227" spans="1:19" x14ac:dyDescent="0.2">
      <c r="A227" s="1059">
        <v>44</v>
      </c>
      <c r="B227" s="1066"/>
      <c r="C227" s="1066"/>
      <c r="D227" s="1066"/>
      <c r="E227" s="1066"/>
      <c r="F227" s="1066"/>
      <c r="G227" s="1066" t="s">
        <v>1091</v>
      </c>
      <c r="H227" s="1066"/>
      <c r="I227" s="1066"/>
      <c r="J227" s="1066"/>
      <c r="K227" s="1066" t="s">
        <v>1818</v>
      </c>
      <c r="L227" s="1066"/>
      <c r="M227" s="1066"/>
      <c r="N227" s="1066"/>
      <c r="O227" s="1066" t="s">
        <v>1087</v>
      </c>
      <c r="P227" s="1066" t="s">
        <v>1063</v>
      </c>
      <c r="Q227" s="1066" t="s">
        <v>1819</v>
      </c>
      <c r="R227" s="1066"/>
      <c r="S227" s="1066"/>
    </row>
    <row r="228" spans="1:19" x14ac:dyDescent="0.2">
      <c r="A228" s="1059">
        <v>45</v>
      </c>
      <c r="B228" s="1066" t="s">
        <v>1284</v>
      </c>
      <c r="C228" s="1066" t="s">
        <v>1196</v>
      </c>
      <c r="D228" s="1066" t="s">
        <v>1213</v>
      </c>
      <c r="E228" s="1066" t="s">
        <v>1820</v>
      </c>
      <c r="F228" s="1066" t="s">
        <v>1821</v>
      </c>
      <c r="G228" s="1068"/>
      <c r="H228" s="1066" t="s">
        <v>1732</v>
      </c>
      <c r="I228" s="1066" t="s">
        <v>1054</v>
      </c>
      <c r="J228" s="1066" t="s">
        <v>1055</v>
      </c>
      <c r="K228" s="1066" t="s">
        <v>1056</v>
      </c>
      <c r="L228" s="1068"/>
      <c r="M228" s="1068"/>
      <c r="N228" s="1068"/>
      <c r="O228" s="1066" t="s">
        <v>1057</v>
      </c>
      <c r="P228" s="1066" t="s">
        <v>1057</v>
      </c>
      <c r="Q228" s="1066" t="s">
        <v>1057</v>
      </c>
      <c r="R228" s="1066" t="s">
        <v>1822</v>
      </c>
      <c r="S228" s="1066" t="s">
        <v>1144</v>
      </c>
    </row>
    <row r="229" spans="1:19" x14ac:dyDescent="0.2">
      <c r="A229" s="1059">
        <v>46</v>
      </c>
      <c r="B229" s="1066"/>
      <c r="C229" s="1066"/>
      <c r="D229" s="1066"/>
      <c r="E229" s="1066"/>
      <c r="F229" s="1066"/>
      <c r="G229" s="1066" t="s">
        <v>1821</v>
      </c>
      <c r="H229" s="1066"/>
      <c r="I229" s="1066"/>
      <c r="J229" s="1066"/>
      <c r="K229" s="1066" t="s">
        <v>1823</v>
      </c>
      <c r="L229" s="1066"/>
      <c r="M229" s="1066"/>
      <c r="N229" s="1066"/>
      <c r="O229" s="1066" t="s">
        <v>1824</v>
      </c>
      <c r="P229" s="1066" t="s">
        <v>1367</v>
      </c>
      <c r="Q229" s="1066" t="s">
        <v>1825</v>
      </c>
      <c r="R229" s="1066"/>
      <c r="S229" s="1066"/>
    </row>
    <row r="230" spans="1:19" x14ac:dyDescent="0.2">
      <c r="A230" s="1059">
        <v>47</v>
      </c>
      <c r="B230" s="1066" t="s">
        <v>1302</v>
      </c>
      <c r="C230" s="1066" t="s">
        <v>1594</v>
      </c>
      <c r="D230" s="1066" t="s">
        <v>1826</v>
      </c>
      <c r="E230" s="1066" t="s">
        <v>1632</v>
      </c>
      <c r="F230" s="1066" t="s">
        <v>1827</v>
      </c>
      <c r="G230" s="1068"/>
      <c r="H230" s="1066" t="s">
        <v>1732</v>
      </c>
      <c r="I230" s="1066" t="s">
        <v>1054</v>
      </c>
      <c r="J230" s="1066" t="s">
        <v>1055</v>
      </c>
      <c r="K230" s="1066" t="s">
        <v>1056</v>
      </c>
      <c r="L230" s="1068"/>
      <c r="M230" s="1068"/>
      <c r="N230" s="1068"/>
      <c r="O230" s="1066" t="s">
        <v>1057</v>
      </c>
      <c r="P230" s="1066" t="s">
        <v>1057</v>
      </c>
      <c r="Q230" s="1066" t="s">
        <v>1057</v>
      </c>
      <c r="R230" s="1066" t="s">
        <v>1828</v>
      </c>
      <c r="S230" s="1068"/>
    </row>
    <row r="231" spans="1:19" x14ac:dyDescent="0.2">
      <c r="A231" s="1059">
        <v>48</v>
      </c>
      <c r="B231" s="1066"/>
      <c r="C231" s="1066"/>
      <c r="D231" s="1066"/>
      <c r="E231" s="1066"/>
      <c r="F231" s="1066"/>
      <c r="G231" s="1066" t="s">
        <v>1827</v>
      </c>
      <c r="H231" s="1066"/>
      <c r="I231" s="1066"/>
      <c r="J231" s="1066"/>
      <c r="K231" s="1066" t="s">
        <v>1056</v>
      </c>
      <c r="L231" s="1066" t="s">
        <v>1829</v>
      </c>
      <c r="M231" s="1066" t="s">
        <v>1105</v>
      </c>
      <c r="N231" s="1066" t="s">
        <v>1061</v>
      </c>
      <c r="O231" s="1066" t="s">
        <v>1830</v>
      </c>
      <c r="P231" s="1066" t="s">
        <v>1063</v>
      </c>
      <c r="Q231" s="1066" t="s">
        <v>1831</v>
      </c>
      <c r="R231" s="1066"/>
      <c r="S231" s="1066"/>
    </row>
    <row r="232" spans="1:19" x14ac:dyDescent="0.2">
      <c r="A232" s="1059">
        <v>49</v>
      </c>
      <c r="B232" s="1066" t="s">
        <v>1311</v>
      </c>
      <c r="C232" s="1066" t="s">
        <v>1652</v>
      </c>
      <c r="D232" s="1066" t="s">
        <v>1832</v>
      </c>
      <c r="E232" s="1066" t="s">
        <v>1813</v>
      </c>
      <c r="F232" s="1066" t="s">
        <v>1758</v>
      </c>
      <c r="G232" s="1068"/>
      <c r="H232" s="1066" t="s">
        <v>1732</v>
      </c>
      <c r="I232" s="1066" t="s">
        <v>1054</v>
      </c>
      <c r="J232" s="1066" t="s">
        <v>1055</v>
      </c>
      <c r="K232" s="1066" t="s">
        <v>1056</v>
      </c>
      <c r="L232" s="1068"/>
      <c r="M232" s="1068"/>
      <c r="N232" s="1068"/>
      <c r="O232" s="1066" t="s">
        <v>1057</v>
      </c>
      <c r="P232" s="1066" t="s">
        <v>1057</v>
      </c>
      <c r="Q232" s="1066" t="s">
        <v>1057</v>
      </c>
      <c r="R232" s="1066" t="s">
        <v>1814</v>
      </c>
      <c r="S232" s="1068"/>
    </row>
    <row r="233" spans="1:19" x14ac:dyDescent="0.2">
      <c r="A233" s="1059">
        <v>50</v>
      </c>
      <c r="B233" s="1066"/>
      <c r="C233" s="1066"/>
      <c r="D233" s="1066"/>
      <c r="E233" s="1066"/>
      <c r="F233" s="1066"/>
      <c r="G233" s="1066" t="s">
        <v>1758</v>
      </c>
      <c r="H233" s="1066"/>
      <c r="I233" s="1066"/>
      <c r="J233" s="1066"/>
      <c r="K233" s="1066" t="s">
        <v>1056</v>
      </c>
      <c r="L233" s="1066" t="s">
        <v>1833</v>
      </c>
      <c r="M233" s="1066" t="s">
        <v>1060</v>
      </c>
      <c r="N233" s="1066" t="s">
        <v>1061</v>
      </c>
      <c r="O233" s="1066" t="s">
        <v>1087</v>
      </c>
      <c r="P233" s="1066" t="s">
        <v>1063</v>
      </c>
      <c r="Q233" s="1066" t="s">
        <v>1655</v>
      </c>
      <c r="R233" s="1066"/>
      <c r="S233" s="1066"/>
    </row>
    <row r="234" spans="1:19" x14ac:dyDescent="0.2">
      <c r="A234" s="1059">
        <v>51</v>
      </c>
      <c r="B234" s="1066" t="s">
        <v>1328</v>
      </c>
      <c r="C234" s="1066" t="s">
        <v>1709</v>
      </c>
      <c r="D234" s="1066" t="s">
        <v>1834</v>
      </c>
      <c r="E234" s="1066" t="s">
        <v>1835</v>
      </c>
      <c r="F234" s="1066" t="s">
        <v>1626</v>
      </c>
      <c r="G234" s="1068"/>
      <c r="H234" s="1066" t="s">
        <v>1732</v>
      </c>
      <c r="I234" s="1066" t="s">
        <v>1054</v>
      </c>
      <c r="J234" s="1066" t="s">
        <v>1055</v>
      </c>
      <c r="K234" s="1066" t="s">
        <v>1056</v>
      </c>
      <c r="L234" s="1068"/>
      <c r="M234" s="1068"/>
      <c r="N234" s="1068"/>
      <c r="O234" s="1066" t="s">
        <v>1057</v>
      </c>
      <c r="P234" s="1066" t="s">
        <v>1057</v>
      </c>
      <c r="Q234" s="1066" t="s">
        <v>1057</v>
      </c>
      <c r="R234" s="1066" t="s">
        <v>1836</v>
      </c>
      <c r="S234" s="1068"/>
    </row>
    <row r="235" spans="1:19" x14ac:dyDescent="0.2">
      <c r="A235" s="1059">
        <v>52</v>
      </c>
      <c r="B235" s="1066"/>
      <c r="C235" s="1066"/>
      <c r="D235" s="1066"/>
      <c r="E235" s="1066"/>
      <c r="F235" s="1066"/>
      <c r="G235" s="1066" t="s">
        <v>1626</v>
      </c>
      <c r="H235" s="1066"/>
      <c r="I235" s="1066"/>
      <c r="J235" s="1066"/>
      <c r="K235" s="1066" t="s">
        <v>1056</v>
      </c>
      <c r="L235" s="1066" t="s">
        <v>1837</v>
      </c>
      <c r="M235" s="1066" t="s">
        <v>1105</v>
      </c>
      <c r="N235" s="1066" t="s">
        <v>1061</v>
      </c>
      <c r="O235" s="1066" t="s">
        <v>1079</v>
      </c>
      <c r="P235" s="1066" t="s">
        <v>1095</v>
      </c>
      <c r="Q235" s="1066" t="s">
        <v>1439</v>
      </c>
      <c r="R235" s="1066"/>
      <c r="S235" s="1066"/>
    </row>
    <row r="236" spans="1:19" x14ac:dyDescent="0.2">
      <c r="A236" s="1059">
        <v>53</v>
      </c>
      <c r="B236" s="1066" t="s">
        <v>1356</v>
      </c>
      <c r="C236" s="1066" t="s">
        <v>1204</v>
      </c>
      <c r="D236" s="1066" t="s">
        <v>1838</v>
      </c>
      <c r="E236" s="1066" t="s">
        <v>1835</v>
      </c>
      <c r="F236" s="1066" t="s">
        <v>1420</v>
      </c>
      <c r="G236" s="1068"/>
      <c r="H236" s="1066" t="s">
        <v>1732</v>
      </c>
      <c r="I236" s="1066" t="s">
        <v>1054</v>
      </c>
      <c r="J236" s="1066" t="s">
        <v>1055</v>
      </c>
      <c r="K236" s="1066" t="s">
        <v>1056</v>
      </c>
      <c r="L236" s="1068"/>
      <c r="M236" s="1068"/>
      <c r="N236" s="1068"/>
      <c r="O236" s="1066" t="s">
        <v>1057</v>
      </c>
      <c r="P236" s="1066" t="s">
        <v>1057</v>
      </c>
      <c r="Q236" s="1066" t="s">
        <v>1057</v>
      </c>
      <c r="R236" s="1066" t="s">
        <v>1839</v>
      </c>
      <c r="S236" s="1068"/>
    </row>
    <row r="237" spans="1:19" x14ac:dyDescent="0.2">
      <c r="A237" s="1059">
        <v>54</v>
      </c>
      <c r="B237" s="1066"/>
      <c r="C237" s="1066"/>
      <c r="D237" s="1066"/>
      <c r="E237" s="1066"/>
      <c r="F237" s="1066"/>
      <c r="G237" s="1066" t="s">
        <v>1420</v>
      </c>
      <c r="H237" s="1066"/>
      <c r="I237" s="1066"/>
      <c r="J237" s="1066"/>
      <c r="K237" s="1066" t="s">
        <v>1056</v>
      </c>
      <c r="L237" s="1066" t="s">
        <v>1840</v>
      </c>
      <c r="M237" s="1066" t="s">
        <v>1105</v>
      </c>
      <c r="N237" s="1066" t="s">
        <v>1061</v>
      </c>
      <c r="O237" s="1066" t="s">
        <v>1071</v>
      </c>
      <c r="P237" s="1066" t="s">
        <v>1095</v>
      </c>
      <c r="Q237" s="1066" t="s">
        <v>1454</v>
      </c>
      <c r="R237" s="1066"/>
      <c r="S237" s="1066"/>
    </row>
    <row r="238" spans="1:19" x14ac:dyDescent="0.2">
      <c r="A238" s="1059">
        <v>55</v>
      </c>
      <c r="B238" s="1066" t="s">
        <v>1374</v>
      </c>
      <c r="C238" s="1066" t="s">
        <v>1212</v>
      </c>
      <c r="D238" s="1066" t="s">
        <v>1841</v>
      </c>
      <c r="E238" s="1066" t="s">
        <v>1842</v>
      </c>
      <c r="F238" s="1066" t="s">
        <v>1843</v>
      </c>
      <c r="G238" s="1068"/>
      <c r="H238" s="1066" t="s">
        <v>1732</v>
      </c>
      <c r="I238" s="1066" t="s">
        <v>1054</v>
      </c>
      <c r="J238" s="1066" t="s">
        <v>1055</v>
      </c>
      <c r="K238" s="1066" t="s">
        <v>1056</v>
      </c>
      <c r="L238" s="1068"/>
      <c r="M238" s="1068"/>
      <c r="N238" s="1068"/>
      <c r="O238" s="1066" t="s">
        <v>1057</v>
      </c>
      <c r="P238" s="1066" t="s">
        <v>1057</v>
      </c>
      <c r="Q238" s="1066" t="s">
        <v>1057</v>
      </c>
      <c r="R238" s="1066" t="s">
        <v>1844</v>
      </c>
      <c r="S238" s="1066" t="s">
        <v>1144</v>
      </c>
    </row>
    <row r="239" spans="1:19" x14ac:dyDescent="0.2">
      <c r="A239" s="1059">
        <v>56</v>
      </c>
      <c r="B239" s="1066"/>
      <c r="C239" s="1066"/>
      <c r="D239" s="1066"/>
      <c r="E239" s="1066"/>
      <c r="F239" s="1066"/>
      <c r="G239" s="1066" t="s">
        <v>1843</v>
      </c>
      <c r="H239" s="1066"/>
      <c r="I239" s="1066"/>
      <c r="J239" s="1066"/>
      <c r="K239" s="1066" t="s">
        <v>1845</v>
      </c>
      <c r="L239" s="1066"/>
      <c r="M239" s="1066"/>
      <c r="N239" s="1066"/>
      <c r="O239" s="1066" t="s">
        <v>1846</v>
      </c>
      <c r="P239" s="1066" t="s">
        <v>1367</v>
      </c>
      <c r="Q239" s="1066" t="s">
        <v>1847</v>
      </c>
      <c r="R239" s="1066"/>
      <c r="S239" s="1066"/>
    </row>
    <row r="240" spans="1:19" x14ac:dyDescent="0.2">
      <c r="A240" s="1059">
        <v>57</v>
      </c>
      <c r="B240" s="1066" t="s">
        <v>1380</v>
      </c>
      <c r="C240" s="1066" t="s">
        <v>1226</v>
      </c>
      <c r="D240" s="1066" t="s">
        <v>1848</v>
      </c>
      <c r="E240" s="1066" t="s">
        <v>1165</v>
      </c>
      <c r="F240" s="1066" t="s">
        <v>1849</v>
      </c>
      <c r="G240" s="1068"/>
      <c r="H240" s="1066" t="s">
        <v>1732</v>
      </c>
      <c r="I240" s="1066" t="s">
        <v>1054</v>
      </c>
      <c r="J240" s="1066" t="s">
        <v>1055</v>
      </c>
      <c r="K240" s="1066" t="s">
        <v>1056</v>
      </c>
      <c r="L240" s="1068"/>
      <c r="M240" s="1068"/>
      <c r="N240" s="1068"/>
      <c r="O240" s="1066" t="s">
        <v>1057</v>
      </c>
      <c r="P240" s="1066" t="s">
        <v>1057</v>
      </c>
      <c r="Q240" s="1066" t="s">
        <v>1057</v>
      </c>
      <c r="R240" s="1066" t="s">
        <v>1850</v>
      </c>
      <c r="S240" s="1066" t="s">
        <v>1144</v>
      </c>
    </row>
    <row r="241" spans="1:19" x14ac:dyDescent="0.2">
      <c r="A241" s="1059">
        <v>58</v>
      </c>
      <c r="B241" s="1066"/>
      <c r="C241" s="1066"/>
      <c r="D241" s="1066"/>
      <c r="E241" s="1066"/>
      <c r="F241" s="1066"/>
      <c r="G241" s="1066" t="s">
        <v>1849</v>
      </c>
      <c r="H241" s="1066"/>
      <c r="I241" s="1066"/>
      <c r="J241" s="1066"/>
      <c r="K241" s="1066" t="s">
        <v>1851</v>
      </c>
      <c r="L241" s="1066"/>
      <c r="M241" s="1066"/>
      <c r="N241" s="1066"/>
      <c r="O241" s="1066" t="s">
        <v>1366</v>
      </c>
      <c r="P241" s="1066" t="s">
        <v>1095</v>
      </c>
      <c r="Q241" s="1066" t="s">
        <v>1852</v>
      </c>
      <c r="R241" s="1066"/>
      <c r="S241" s="1066"/>
    </row>
    <row r="242" spans="1:19" x14ac:dyDescent="0.2">
      <c r="A242" s="1059">
        <v>59</v>
      </c>
      <c r="B242" s="1066" t="s">
        <v>1398</v>
      </c>
      <c r="C242" s="1066" t="s">
        <v>1232</v>
      </c>
      <c r="D242" s="1066" t="s">
        <v>1853</v>
      </c>
      <c r="E242" s="1066" t="s">
        <v>1270</v>
      </c>
      <c r="F242" s="1066" t="s">
        <v>1747</v>
      </c>
      <c r="G242" s="1068"/>
      <c r="H242" s="1066" t="s">
        <v>1732</v>
      </c>
      <c r="I242" s="1066" t="s">
        <v>1054</v>
      </c>
      <c r="J242" s="1066" t="s">
        <v>1055</v>
      </c>
      <c r="K242" s="1066" t="s">
        <v>1056</v>
      </c>
      <c r="L242" s="1068"/>
      <c r="M242" s="1068"/>
      <c r="N242" s="1068"/>
      <c r="O242" s="1066" t="s">
        <v>1057</v>
      </c>
      <c r="P242" s="1066" t="s">
        <v>1057</v>
      </c>
      <c r="Q242" s="1066" t="s">
        <v>1057</v>
      </c>
      <c r="R242" s="1066" t="s">
        <v>1854</v>
      </c>
      <c r="S242" s="1066" t="s">
        <v>1144</v>
      </c>
    </row>
    <row r="243" spans="1:19" x14ac:dyDescent="0.2">
      <c r="A243" s="1059">
        <v>60</v>
      </c>
      <c r="B243" s="1066"/>
      <c r="C243" s="1066"/>
      <c r="D243" s="1066"/>
      <c r="E243" s="1066"/>
      <c r="F243" s="1066"/>
      <c r="G243" s="1066" t="s">
        <v>1747</v>
      </c>
      <c r="H243" s="1066"/>
      <c r="I243" s="1066"/>
      <c r="J243" s="1066"/>
      <c r="K243" s="1066" t="s">
        <v>1749</v>
      </c>
      <c r="L243" s="1066"/>
      <c r="M243" s="1066"/>
      <c r="N243" s="1066"/>
      <c r="O243" s="1066" t="s">
        <v>1366</v>
      </c>
      <c r="P243" s="1066" t="s">
        <v>1095</v>
      </c>
      <c r="Q243" s="1066" t="s">
        <v>1855</v>
      </c>
      <c r="R243" s="1066"/>
      <c r="S243" s="1066"/>
    </row>
    <row r="244" spans="1:19" x14ac:dyDescent="0.2">
      <c r="A244" s="1059">
        <v>61</v>
      </c>
      <c r="B244" s="1066" t="s">
        <v>1423</v>
      </c>
      <c r="C244" s="1066" t="s">
        <v>1239</v>
      </c>
      <c r="D244" s="1066" t="s">
        <v>1856</v>
      </c>
      <c r="E244" s="1066" t="s">
        <v>1165</v>
      </c>
      <c r="F244" s="1066" t="s">
        <v>1857</v>
      </c>
      <c r="G244" s="1068"/>
      <c r="H244" s="1066" t="s">
        <v>1732</v>
      </c>
      <c r="I244" s="1066" t="s">
        <v>1054</v>
      </c>
      <c r="J244" s="1066" t="s">
        <v>1055</v>
      </c>
      <c r="K244" s="1066" t="s">
        <v>1056</v>
      </c>
      <c r="L244" s="1068"/>
      <c r="M244" s="1068"/>
      <c r="N244" s="1068"/>
      <c r="O244" s="1066" t="s">
        <v>1057</v>
      </c>
      <c r="P244" s="1066" t="s">
        <v>1057</v>
      </c>
      <c r="Q244" s="1066" t="s">
        <v>1057</v>
      </c>
      <c r="R244" s="1066" t="s">
        <v>1858</v>
      </c>
      <c r="S244" s="1066" t="s">
        <v>1144</v>
      </c>
    </row>
    <row r="245" spans="1:19" x14ac:dyDescent="0.2">
      <c r="A245" s="1059">
        <v>62</v>
      </c>
      <c r="B245" s="1066"/>
      <c r="C245" s="1066"/>
      <c r="D245" s="1066"/>
      <c r="E245" s="1066"/>
      <c r="F245" s="1066"/>
      <c r="G245" s="1066" t="s">
        <v>1857</v>
      </c>
      <c r="H245" s="1066"/>
      <c r="I245" s="1066"/>
      <c r="J245" s="1066"/>
      <c r="K245" s="1066" t="s">
        <v>1859</v>
      </c>
      <c r="L245" s="1066"/>
      <c r="M245" s="1066"/>
      <c r="N245" s="1066"/>
      <c r="O245" s="1066" t="s">
        <v>1712</v>
      </c>
      <c r="P245" s="1066" t="s">
        <v>1095</v>
      </c>
      <c r="Q245" s="1066" t="s">
        <v>1724</v>
      </c>
      <c r="R245" s="1066"/>
      <c r="S245" s="1066"/>
    </row>
    <row r="246" spans="1:19" x14ac:dyDescent="0.2">
      <c r="A246" s="1059">
        <v>63</v>
      </c>
      <c r="B246" s="1066" t="s">
        <v>1440</v>
      </c>
      <c r="C246" s="1066" t="s">
        <v>1247</v>
      </c>
      <c r="D246" s="1066" t="s">
        <v>1860</v>
      </c>
      <c r="E246" s="1066" t="s">
        <v>1165</v>
      </c>
      <c r="F246" s="1066" t="s">
        <v>1420</v>
      </c>
      <c r="G246" s="1068"/>
      <c r="H246" s="1066" t="s">
        <v>1732</v>
      </c>
      <c r="I246" s="1066" t="s">
        <v>1054</v>
      </c>
      <c r="J246" s="1066" t="s">
        <v>1055</v>
      </c>
      <c r="K246" s="1066" t="s">
        <v>1056</v>
      </c>
      <c r="L246" s="1068"/>
      <c r="M246" s="1068"/>
      <c r="N246" s="1068"/>
      <c r="O246" s="1066" t="s">
        <v>1057</v>
      </c>
      <c r="P246" s="1066" t="s">
        <v>1057</v>
      </c>
      <c r="Q246" s="1066" t="s">
        <v>1057</v>
      </c>
      <c r="R246" s="1066" t="s">
        <v>1861</v>
      </c>
      <c r="S246" s="1066" t="s">
        <v>1144</v>
      </c>
    </row>
    <row r="247" spans="1:19" x14ac:dyDescent="0.2">
      <c r="A247" s="1059">
        <v>64</v>
      </c>
      <c r="B247" s="1066"/>
      <c r="C247" s="1066"/>
      <c r="D247" s="1066"/>
      <c r="E247" s="1066"/>
      <c r="F247" s="1066"/>
      <c r="G247" s="1066" t="s">
        <v>1420</v>
      </c>
      <c r="H247" s="1066"/>
      <c r="I247" s="1066"/>
      <c r="J247" s="1066"/>
      <c r="K247" s="1066" t="s">
        <v>1862</v>
      </c>
      <c r="L247" s="1066"/>
      <c r="M247" s="1066"/>
      <c r="N247" s="1066"/>
      <c r="O247" s="1066" t="s">
        <v>1863</v>
      </c>
      <c r="P247" s="1066" t="s">
        <v>1095</v>
      </c>
      <c r="Q247" s="1066" t="s">
        <v>1864</v>
      </c>
      <c r="R247" s="1066"/>
      <c r="S247" s="1066"/>
    </row>
    <row r="248" spans="1:19" x14ac:dyDescent="0.2">
      <c r="A248" s="1059">
        <v>65</v>
      </c>
      <c r="B248" s="1066" t="s">
        <v>1448</v>
      </c>
      <c r="C248" s="1066" t="s">
        <v>1285</v>
      </c>
      <c r="D248" s="1066" t="s">
        <v>1865</v>
      </c>
      <c r="E248" s="1066" t="s">
        <v>1835</v>
      </c>
      <c r="F248" s="1066" t="s">
        <v>1544</v>
      </c>
      <c r="G248" s="1068"/>
      <c r="H248" s="1066" t="s">
        <v>1732</v>
      </c>
      <c r="I248" s="1066" t="s">
        <v>1054</v>
      </c>
      <c r="J248" s="1066" t="s">
        <v>1055</v>
      </c>
      <c r="K248" s="1066" t="s">
        <v>1056</v>
      </c>
      <c r="L248" s="1068"/>
      <c r="M248" s="1068"/>
      <c r="N248" s="1068"/>
      <c r="O248" s="1066" t="s">
        <v>1057</v>
      </c>
      <c r="P248" s="1066" t="s">
        <v>1057</v>
      </c>
      <c r="Q248" s="1066" t="s">
        <v>1057</v>
      </c>
      <c r="R248" s="1066" t="s">
        <v>1866</v>
      </c>
      <c r="S248" s="1066" t="s">
        <v>1144</v>
      </c>
    </row>
    <row r="249" spans="1:19" x14ac:dyDescent="0.2">
      <c r="A249" s="1059">
        <v>66</v>
      </c>
      <c r="B249" s="1066"/>
      <c r="C249" s="1066"/>
      <c r="D249" s="1066"/>
      <c r="E249" s="1066"/>
      <c r="F249" s="1066"/>
      <c r="G249" s="1066" t="s">
        <v>1544</v>
      </c>
      <c r="H249" s="1066"/>
      <c r="I249" s="1066"/>
      <c r="J249" s="1066"/>
      <c r="K249" s="1066" t="s">
        <v>1867</v>
      </c>
      <c r="L249" s="1066"/>
      <c r="M249" s="1066"/>
      <c r="N249" s="1066"/>
      <c r="O249" s="1066" t="s">
        <v>1422</v>
      </c>
      <c r="P249" s="1066" t="s">
        <v>1063</v>
      </c>
      <c r="Q249" s="1066" t="s">
        <v>1593</v>
      </c>
      <c r="R249" s="1066"/>
      <c r="S249" s="1066"/>
    </row>
    <row r="250" spans="1:19" x14ac:dyDescent="0.2">
      <c r="A250" s="1059">
        <v>67</v>
      </c>
      <c r="B250" s="1066" t="s">
        <v>1461</v>
      </c>
      <c r="C250" s="1066" t="s">
        <v>1263</v>
      </c>
      <c r="D250" s="1066" t="s">
        <v>1868</v>
      </c>
      <c r="E250" s="1066" t="s">
        <v>1099</v>
      </c>
      <c r="F250" s="1066" t="s">
        <v>1849</v>
      </c>
      <c r="G250" s="1068"/>
      <c r="H250" s="1066" t="s">
        <v>1732</v>
      </c>
      <c r="I250" s="1066" t="s">
        <v>1054</v>
      </c>
      <c r="J250" s="1066" t="s">
        <v>1055</v>
      </c>
      <c r="K250" s="1066" t="s">
        <v>1056</v>
      </c>
      <c r="L250" s="1068"/>
      <c r="M250" s="1068"/>
      <c r="N250" s="1068"/>
      <c r="O250" s="1066" t="s">
        <v>1057</v>
      </c>
      <c r="P250" s="1066" t="s">
        <v>1057</v>
      </c>
      <c r="Q250" s="1066" t="s">
        <v>1057</v>
      </c>
      <c r="R250" s="1066" t="s">
        <v>1869</v>
      </c>
      <c r="S250" s="1066" t="s">
        <v>1144</v>
      </c>
    </row>
    <row r="251" spans="1:19" x14ac:dyDescent="0.2">
      <c r="A251" s="1059">
        <v>68</v>
      </c>
      <c r="B251" s="1066"/>
      <c r="C251" s="1066"/>
      <c r="D251" s="1066"/>
      <c r="E251" s="1066"/>
      <c r="F251" s="1066"/>
      <c r="G251" s="1066" t="s">
        <v>1849</v>
      </c>
      <c r="H251" s="1066"/>
      <c r="I251" s="1066"/>
      <c r="J251" s="1066"/>
      <c r="K251" s="1066" t="s">
        <v>1870</v>
      </c>
      <c r="L251" s="1066"/>
      <c r="M251" s="1066"/>
      <c r="N251" s="1066"/>
      <c r="O251" s="1066" t="s">
        <v>1453</v>
      </c>
      <c r="P251" s="1066" t="s">
        <v>1095</v>
      </c>
      <c r="Q251" s="1066" t="s">
        <v>1871</v>
      </c>
      <c r="R251" s="1066"/>
      <c r="S251" s="1066"/>
    </row>
    <row r="252" spans="1:19" x14ac:dyDescent="0.2">
      <c r="A252" s="1059">
        <v>69</v>
      </c>
      <c r="B252" s="1066" t="s">
        <v>1483</v>
      </c>
      <c r="C252" s="1066" t="s">
        <v>1268</v>
      </c>
      <c r="D252" s="1066" t="s">
        <v>1872</v>
      </c>
      <c r="E252" s="1066" t="s">
        <v>1099</v>
      </c>
      <c r="F252" s="1066" t="s">
        <v>1758</v>
      </c>
      <c r="G252" s="1068"/>
      <c r="H252" s="1066" t="s">
        <v>1732</v>
      </c>
      <c r="I252" s="1066" t="s">
        <v>1054</v>
      </c>
      <c r="J252" s="1066" t="s">
        <v>1055</v>
      </c>
      <c r="K252" s="1066" t="s">
        <v>1056</v>
      </c>
      <c r="L252" s="1068"/>
      <c r="M252" s="1068"/>
      <c r="N252" s="1068"/>
      <c r="O252" s="1066" t="s">
        <v>1057</v>
      </c>
      <c r="P252" s="1066" t="s">
        <v>1057</v>
      </c>
      <c r="Q252" s="1066" t="s">
        <v>1057</v>
      </c>
      <c r="R252" s="1066" t="s">
        <v>1873</v>
      </c>
      <c r="S252" s="1066" t="s">
        <v>1144</v>
      </c>
    </row>
    <row r="253" spans="1:19" x14ac:dyDescent="0.2">
      <c r="A253" s="1059">
        <v>70</v>
      </c>
      <c r="B253" s="1066"/>
      <c r="C253" s="1066"/>
      <c r="D253" s="1066"/>
      <c r="E253" s="1066"/>
      <c r="F253" s="1066"/>
      <c r="G253" s="1066" t="s">
        <v>1758</v>
      </c>
      <c r="H253" s="1066"/>
      <c r="I253" s="1066"/>
      <c r="J253" s="1066"/>
      <c r="K253" s="1066" t="s">
        <v>1874</v>
      </c>
      <c r="L253" s="1066"/>
      <c r="M253" s="1066"/>
      <c r="N253" s="1066"/>
      <c r="O253" s="1066" t="s">
        <v>1137</v>
      </c>
      <c r="P253" s="1066" t="s">
        <v>1095</v>
      </c>
      <c r="Q253" s="1066" t="s">
        <v>1602</v>
      </c>
      <c r="R253" s="1066"/>
      <c r="S253" s="1066"/>
    </row>
    <row r="254" spans="1:19" x14ac:dyDescent="0.2">
      <c r="A254" s="1059">
        <v>71</v>
      </c>
      <c r="B254" s="1066" t="s">
        <v>1499</v>
      </c>
      <c r="C254" s="1066" t="s">
        <v>1303</v>
      </c>
      <c r="D254" s="1066" t="s">
        <v>1875</v>
      </c>
      <c r="E254" s="1066" t="s">
        <v>1502</v>
      </c>
      <c r="F254" s="1066" t="s">
        <v>1876</v>
      </c>
      <c r="G254" s="1068"/>
      <c r="H254" s="1066" t="s">
        <v>1732</v>
      </c>
      <c r="I254" s="1066" t="s">
        <v>1054</v>
      </c>
      <c r="J254" s="1066" t="s">
        <v>1055</v>
      </c>
      <c r="K254" s="1066" t="s">
        <v>1056</v>
      </c>
      <c r="L254" s="1068"/>
      <c r="M254" s="1068"/>
      <c r="N254" s="1068"/>
      <c r="O254" s="1066" t="s">
        <v>1057</v>
      </c>
      <c r="P254" s="1066" t="s">
        <v>1057</v>
      </c>
      <c r="Q254" s="1066" t="s">
        <v>1057</v>
      </c>
      <c r="R254" s="1066" t="s">
        <v>1877</v>
      </c>
      <c r="S254" s="1066" t="s">
        <v>1144</v>
      </c>
    </row>
    <row r="255" spans="1:19" x14ac:dyDescent="0.2">
      <c r="A255" s="1059">
        <v>72</v>
      </c>
      <c r="B255" s="1066"/>
      <c r="C255" s="1066"/>
      <c r="D255" s="1066"/>
      <c r="E255" s="1066"/>
      <c r="F255" s="1066"/>
      <c r="G255" s="1066" t="s">
        <v>1876</v>
      </c>
      <c r="H255" s="1066"/>
      <c r="I255" s="1066"/>
      <c r="J255" s="1066"/>
      <c r="K255" s="1066" t="s">
        <v>1878</v>
      </c>
      <c r="L255" s="1066"/>
      <c r="M255" s="1066"/>
      <c r="N255" s="1066"/>
      <c r="O255" s="1066" t="s">
        <v>1323</v>
      </c>
      <c r="P255" s="1066" t="s">
        <v>1244</v>
      </c>
      <c r="Q255" s="1066" t="s">
        <v>1447</v>
      </c>
      <c r="R255" s="1066"/>
      <c r="S255" s="1066"/>
    </row>
    <row r="256" spans="1:19" x14ac:dyDescent="0.2">
      <c r="A256" s="1059">
        <v>73</v>
      </c>
      <c r="B256" s="1066" t="s">
        <v>1506</v>
      </c>
      <c r="C256" s="1066" t="s">
        <v>1312</v>
      </c>
      <c r="D256" s="1066" t="s">
        <v>1879</v>
      </c>
      <c r="E256" s="1066" t="s">
        <v>1270</v>
      </c>
      <c r="F256" s="1066" t="s">
        <v>1142</v>
      </c>
      <c r="G256" s="1068"/>
      <c r="H256" s="1066" t="s">
        <v>1732</v>
      </c>
      <c r="I256" s="1066" t="s">
        <v>1054</v>
      </c>
      <c r="J256" s="1066" t="s">
        <v>1055</v>
      </c>
      <c r="K256" s="1066" t="s">
        <v>1056</v>
      </c>
      <c r="L256" s="1068"/>
      <c r="M256" s="1068"/>
      <c r="N256" s="1068"/>
      <c r="O256" s="1066" t="s">
        <v>1057</v>
      </c>
      <c r="P256" s="1066" t="s">
        <v>1057</v>
      </c>
      <c r="Q256" s="1066" t="s">
        <v>1057</v>
      </c>
      <c r="R256" s="1066" t="s">
        <v>1880</v>
      </c>
      <c r="S256" s="1068"/>
    </row>
    <row r="257" spans="1:19" x14ac:dyDescent="0.2">
      <c r="A257" s="1059">
        <v>74</v>
      </c>
      <c r="B257" s="1066"/>
      <c r="C257" s="1066"/>
      <c r="D257" s="1066"/>
      <c r="E257" s="1066"/>
      <c r="F257" s="1066"/>
      <c r="G257" s="1066" t="s">
        <v>1142</v>
      </c>
      <c r="H257" s="1066"/>
      <c r="I257" s="1066"/>
      <c r="J257" s="1066"/>
      <c r="K257" s="1066" t="s">
        <v>1056</v>
      </c>
      <c r="L257" s="1066" t="s">
        <v>1881</v>
      </c>
      <c r="M257" s="1066" t="s">
        <v>1060</v>
      </c>
      <c r="N257" s="1066" t="s">
        <v>1061</v>
      </c>
      <c r="O257" s="1066" t="s">
        <v>1712</v>
      </c>
      <c r="P257" s="1066" t="s">
        <v>1095</v>
      </c>
      <c r="Q257" s="1066" t="s">
        <v>1155</v>
      </c>
      <c r="R257" s="1066"/>
      <c r="S257" s="1066"/>
    </row>
    <row r="258" spans="1:19" x14ac:dyDescent="0.2">
      <c r="A258" s="1059">
        <v>75</v>
      </c>
      <c r="B258" s="1066" t="s">
        <v>1510</v>
      </c>
      <c r="C258" s="1066" t="s">
        <v>1318</v>
      </c>
      <c r="D258" s="1066" t="s">
        <v>1882</v>
      </c>
      <c r="E258" s="1066" t="s">
        <v>1502</v>
      </c>
      <c r="F258" s="1066" t="s">
        <v>1883</v>
      </c>
      <c r="G258" s="1068"/>
      <c r="H258" s="1066" t="s">
        <v>1732</v>
      </c>
      <c r="I258" s="1066" t="s">
        <v>1054</v>
      </c>
      <c r="J258" s="1066" t="s">
        <v>1055</v>
      </c>
      <c r="K258" s="1066" t="s">
        <v>1056</v>
      </c>
      <c r="L258" s="1068"/>
      <c r="M258" s="1068"/>
      <c r="N258" s="1068"/>
      <c r="O258" s="1066" t="s">
        <v>1057</v>
      </c>
      <c r="P258" s="1066" t="s">
        <v>1057</v>
      </c>
      <c r="Q258" s="1066" t="s">
        <v>1057</v>
      </c>
      <c r="R258" s="1066" t="s">
        <v>1452</v>
      </c>
      <c r="S258" s="1068"/>
    </row>
    <row r="259" spans="1:19" x14ac:dyDescent="0.2">
      <c r="A259" s="1059">
        <v>76</v>
      </c>
      <c r="B259" s="1068"/>
      <c r="C259" s="1068"/>
      <c r="D259" s="1068"/>
      <c r="E259" s="1068"/>
      <c r="F259" s="1068"/>
      <c r="G259" s="1066" t="s">
        <v>1883</v>
      </c>
      <c r="H259" s="1068"/>
      <c r="I259" s="1068"/>
      <c r="J259" s="1068"/>
      <c r="K259" s="1066" t="s">
        <v>1884</v>
      </c>
      <c r="L259" s="1066"/>
      <c r="M259" s="1066"/>
      <c r="N259" s="1066"/>
      <c r="O259" s="1066" t="s">
        <v>1322</v>
      </c>
      <c r="P259" s="1066" t="s">
        <v>1244</v>
      </c>
      <c r="Q259" s="1066" t="s">
        <v>1885</v>
      </c>
      <c r="R259" s="1066"/>
      <c r="S259" s="1068"/>
    </row>
    <row r="260" spans="1:19" x14ac:dyDescent="0.2">
      <c r="A260" s="1059">
        <v>77</v>
      </c>
      <c r="B260" s="1068"/>
      <c r="C260" s="1066" t="s">
        <v>1357</v>
      </c>
      <c r="D260" s="1066" t="s">
        <v>1886</v>
      </c>
      <c r="E260" s="1066" t="s">
        <v>1206</v>
      </c>
      <c r="F260" s="1066" t="s">
        <v>1091</v>
      </c>
      <c r="G260" s="1068"/>
      <c r="H260" s="1066" t="s">
        <v>1732</v>
      </c>
      <c r="I260" s="1066" t="s">
        <v>1494</v>
      </c>
      <c r="J260" s="1066" t="s">
        <v>1055</v>
      </c>
      <c r="K260" s="1066" t="s">
        <v>1884</v>
      </c>
      <c r="L260" s="1068"/>
      <c r="M260" s="1068"/>
      <c r="N260" s="1068"/>
      <c r="O260" s="1066" t="s">
        <v>1541</v>
      </c>
      <c r="P260" s="1066" t="s">
        <v>1095</v>
      </c>
      <c r="Q260" s="1066" t="s">
        <v>1439</v>
      </c>
      <c r="R260" s="1066" t="s">
        <v>1887</v>
      </c>
      <c r="S260" s="1068"/>
    </row>
    <row r="261" spans="1:19" x14ac:dyDescent="0.2">
      <c r="A261" s="1059">
        <v>78</v>
      </c>
      <c r="B261" s="1066"/>
      <c r="C261" s="1066"/>
      <c r="D261" s="1066"/>
      <c r="E261" s="1066"/>
      <c r="F261" s="1066"/>
      <c r="G261" s="1066" t="s">
        <v>1888</v>
      </c>
      <c r="H261" s="1066"/>
      <c r="I261" s="1066"/>
      <c r="J261" s="1066"/>
      <c r="K261" s="1066" t="s">
        <v>1056</v>
      </c>
      <c r="L261" s="1066" t="s">
        <v>1889</v>
      </c>
      <c r="M261" s="1066" t="s">
        <v>1113</v>
      </c>
      <c r="N261" s="1066" t="s">
        <v>1061</v>
      </c>
      <c r="O261" s="1066" t="s">
        <v>1703</v>
      </c>
      <c r="P261" s="1066" t="s">
        <v>1309</v>
      </c>
      <c r="Q261" s="1066" t="s">
        <v>1890</v>
      </c>
      <c r="R261" s="1066"/>
      <c r="S261" s="1066"/>
    </row>
    <row r="262" spans="1:19" x14ac:dyDescent="0.2">
      <c r="A262" s="1059">
        <v>79</v>
      </c>
      <c r="B262" s="1066" t="s">
        <v>1519</v>
      </c>
      <c r="C262" s="1066" t="s">
        <v>1335</v>
      </c>
      <c r="D262" s="1066" t="s">
        <v>1891</v>
      </c>
      <c r="E262" s="1066" t="s">
        <v>1892</v>
      </c>
      <c r="F262" s="1066" t="s">
        <v>1893</v>
      </c>
      <c r="G262" s="1068"/>
      <c r="H262" s="1066" t="s">
        <v>1732</v>
      </c>
      <c r="I262" s="1066" t="s">
        <v>1054</v>
      </c>
      <c r="J262" s="1066" t="s">
        <v>1055</v>
      </c>
      <c r="K262" s="1066" t="s">
        <v>1056</v>
      </c>
      <c r="L262" s="1068"/>
      <c r="M262" s="1068"/>
      <c r="N262" s="1068"/>
      <c r="O262" s="1066" t="s">
        <v>1057</v>
      </c>
      <c r="P262" s="1066" t="s">
        <v>1057</v>
      </c>
      <c r="Q262" s="1066" t="s">
        <v>1057</v>
      </c>
      <c r="R262" s="1066" t="s">
        <v>1894</v>
      </c>
      <c r="S262" s="1068"/>
    </row>
    <row r="263" spans="1:19" x14ac:dyDescent="0.2">
      <c r="A263" s="1059">
        <v>80</v>
      </c>
      <c r="B263" s="1066"/>
      <c r="C263" s="1066"/>
      <c r="D263" s="1066"/>
      <c r="E263" s="1066"/>
      <c r="F263" s="1066"/>
      <c r="G263" s="1066" t="s">
        <v>1893</v>
      </c>
      <c r="H263" s="1066"/>
      <c r="I263" s="1066"/>
      <c r="J263" s="1066"/>
      <c r="K263" s="1066" t="s">
        <v>1056</v>
      </c>
      <c r="L263" s="1066" t="s">
        <v>1895</v>
      </c>
      <c r="M263" s="1066" t="s">
        <v>1060</v>
      </c>
      <c r="N263" s="1066" t="s">
        <v>1252</v>
      </c>
      <c r="O263" s="1066" t="s">
        <v>1409</v>
      </c>
      <c r="P263" s="1066" t="s">
        <v>1309</v>
      </c>
      <c r="Q263" s="1066" t="s">
        <v>1362</v>
      </c>
      <c r="R263" s="1066"/>
      <c r="S263" s="1066"/>
    </row>
    <row r="264" spans="1:19" x14ac:dyDescent="0.2">
      <c r="A264" s="1059">
        <v>81</v>
      </c>
      <c r="B264" s="1066" t="s">
        <v>1535</v>
      </c>
      <c r="C264" s="1066" t="s">
        <v>1375</v>
      </c>
      <c r="D264" s="1066" t="s">
        <v>1896</v>
      </c>
      <c r="E264" s="1066" t="s">
        <v>1443</v>
      </c>
      <c r="F264" s="1066" t="s">
        <v>1897</v>
      </c>
      <c r="G264" s="1068"/>
      <c r="H264" s="1066" t="s">
        <v>1732</v>
      </c>
      <c r="I264" s="1066" t="s">
        <v>1054</v>
      </c>
      <c r="J264" s="1066" t="s">
        <v>1055</v>
      </c>
      <c r="K264" s="1066" t="s">
        <v>1056</v>
      </c>
      <c r="L264" s="1068"/>
      <c r="M264" s="1068"/>
      <c r="N264" s="1068"/>
      <c r="O264" s="1066" t="s">
        <v>1057</v>
      </c>
      <c r="P264" s="1066" t="s">
        <v>1057</v>
      </c>
      <c r="Q264" s="1066" t="s">
        <v>1057</v>
      </c>
      <c r="R264" s="1066" t="s">
        <v>1898</v>
      </c>
      <c r="S264" s="1068"/>
    </row>
    <row r="265" spans="1:19" x14ac:dyDescent="0.2">
      <c r="A265" s="1059">
        <v>82</v>
      </c>
      <c r="B265" s="1068"/>
      <c r="C265" s="1068"/>
      <c r="D265" s="1068"/>
      <c r="E265" s="1068"/>
      <c r="F265" s="1068"/>
      <c r="G265" s="1066" t="s">
        <v>1897</v>
      </c>
      <c r="H265" s="1068"/>
      <c r="I265" s="1068"/>
      <c r="J265" s="1068"/>
      <c r="K265" s="1066" t="s">
        <v>1056</v>
      </c>
      <c r="L265" s="1066" t="s">
        <v>1899</v>
      </c>
      <c r="M265" s="1066" t="s">
        <v>1105</v>
      </c>
      <c r="N265" s="1066" t="s">
        <v>1061</v>
      </c>
      <c r="O265" s="1066" t="s">
        <v>1712</v>
      </c>
      <c r="P265" s="1066" t="s">
        <v>1244</v>
      </c>
      <c r="Q265" s="1066" t="s">
        <v>1900</v>
      </c>
      <c r="R265" s="1068"/>
      <c r="S265" s="1068"/>
    </row>
    <row r="266" spans="1:19" x14ac:dyDescent="0.2">
      <c r="A266" s="1059">
        <v>83</v>
      </c>
      <c r="B266" s="1068"/>
      <c r="C266" s="1066" t="s">
        <v>1381</v>
      </c>
      <c r="D266" s="1066" t="s">
        <v>1901</v>
      </c>
      <c r="E266" s="1066" t="s">
        <v>1174</v>
      </c>
      <c r="F266" s="1066" t="s">
        <v>1902</v>
      </c>
      <c r="G266" s="1068"/>
      <c r="H266" s="1066" t="s">
        <v>1732</v>
      </c>
      <c r="I266" s="1066" t="s">
        <v>1054</v>
      </c>
      <c r="J266" s="1066" t="s">
        <v>1055</v>
      </c>
      <c r="K266" s="1066" t="s">
        <v>1056</v>
      </c>
      <c r="L266" s="1068"/>
      <c r="M266" s="1068"/>
      <c r="N266" s="1068"/>
      <c r="O266" s="1066" t="s">
        <v>1057</v>
      </c>
      <c r="P266" s="1066" t="s">
        <v>1057</v>
      </c>
      <c r="Q266" s="1066" t="s">
        <v>1057</v>
      </c>
      <c r="R266" s="1066" t="s">
        <v>1903</v>
      </c>
      <c r="S266" s="1068"/>
    </row>
    <row r="267" spans="1:19" x14ac:dyDescent="0.2">
      <c r="A267" s="1059">
        <v>84</v>
      </c>
      <c r="B267" s="1066"/>
      <c r="C267" s="1066"/>
      <c r="D267" s="1066"/>
      <c r="E267" s="1066"/>
      <c r="F267" s="1066"/>
      <c r="G267" s="1066" t="s">
        <v>1902</v>
      </c>
      <c r="H267" s="1066"/>
      <c r="I267" s="1066"/>
      <c r="J267" s="1066"/>
      <c r="K267" s="1066" t="s">
        <v>1056</v>
      </c>
      <c r="L267" s="1066" t="s">
        <v>1428</v>
      </c>
      <c r="M267" s="1066" t="s">
        <v>1048</v>
      </c>
      <c r="N267" s="1066" t="s">
        <v>1061</v>
      </c>
      <c r="O267" s="1066" t="s">
        <v>1187</v>
      </c>
      <c r="P267" s="1066" t="s">
        <v>1063</v>
      </c>
      <c r="Q267" s="1066" t="s">
        <v>1129</v>
      </c>
      <c r="R267" s="1066"/>
      <c r="S267" s="1066"/>
    </row>
    <row r="268" spans="1:19" x14ac:dyDescent="0.2">
      <c r="A268" s="1059">
        <v>85</v>
      </c>
      <c r="B268" s="1066" t="s">
        <v>1548</v>
      </c>
      <c r="C268" s="1066" t="s">
        <v>1424</v>
      </c>
      <c r="D268" s="1066" t="s">
        <v>1904</v>
      </c>
      <c r="E268" s="1066" t="s">
        <v>1270</v>
      </c>
      <c r="F268" s="1066" t="s">
        <v>1905</v>
      </c>
      <c r="G268" s="1068"/>
      <c r="H268" s="1066" t="s">
        <v>1732</v>
      </c>
      <c r="I268" s="1066" t="s">
        <v>1054</v>
      </c>
      <c r="J268" s="1066" t="s">
        <v>1055</v>
      </c>
      <c r="K268" s="1066" t="s">
        <v>1056</v>
      </c>
      <c r="L268" s="1068"/>
      <c r="M268" s="1068"/>
      <c r="N268" s="1068"/>
      <c r="O268" s="1066" t="s">
        <v>1057</v>
      </c>
      <c r="P268" s="1066" t="s">
        <v>1057</v>
      </c>
      <c r="Q268" s="1066" t="s">
        <v>1057</v>
      </c>
      <c r="R268" s="1066" t="s">
        <v>1906</v>
      </c>
      <c r="S268" s="1068"/>
    </row>
    <row r="269" spans="1:19" x14ac:dyDescent="0.2">
      <c r="A269" s="1059">
        <v>86</v>
      </c>
      <c r="B269" s="1066"/>
      <c r="C269" s="1066"/>
      <c r="D269" s="1066"/>
      <c r="E269" s="1066"/>
      <c r="F269" s="1066"/>
      <c r="G269" s="1066" t="s">
        <v>1905</v>
      </c>
      <c r="H269" s="1066"/>
      <c r="I269" s="1066"/>
      <c r="J269" s="1066"/>
      <c r="K269" s="1066" t="s">
        <v>1056</v>
      </c>
      <c r="L269" s="1066" t="s">
        <v>1907</v>
      </c>
      <c r="M269" s="1066" t="s">
        <v>1060</v>
      </c>
      <c r="N269" s="1066" t="s">
        <v>1061</v>
      </c>
      <c r="O269" s="1066" t="s">
        <v>1169</v>
      </c>
      <c r="P269" s="1066" t="s">
        <v>1063</v>
      </c>
      <c r="Q269" s="1066" t="s">
        <v>1908</v>
      </c>
      <c r="R269" s="1066"/>
      <c r="S269" s="1066"/>
    </row>
    <row r="270" spans="1:19" x14ac:dyDescent="0.2">
      <c r="A270" s="1059">
        <v>87</v>
      </c>
      <c r="B270" s="1066" t="s">
        <v>1556</v>
      </c>
      <c r="C270" s="1066" t="s">
        <v>1399</v>
      </c>
      <c r="D270" s="1066" t="s">
        <v>1909</v>
      </c>
      <c r="E270" s="1066" t="s">
        <v>1910</v>
      </c>
      <c r="F270" s="1066" t="s">
        <v>1911</v>
      </c>
      <c r="G270" s="1068"/>
      <c r="H270" s="1066" t="s">
        <v>1732</v>
      </c>
      <c r="I270" s="1066" t="s">
        <v>1054</v>
      </c>
      <c r="J270" s="1066" t="s">
        <v>1055</v>
      </c>
      <c r="K270" s="1066" t="s">
        <v>1056</v>
      </c>
      <c r="L270" s="1068"/>
      <c r="M270" s="1068"/>
      <c r="N270" s="1068"/>
      <c r="O270" s="1066" t="s">
        <v>1057</v>
      </c>
      <c r="P270" s="1066" t="s">
        <v>1057</v>
      </c>
      <c r="Q270" s="1066" t="s">
        <v>1057</v>
      </c>
      <c r="R270" s="1066" t="s">
        <v>1912</v>
      </c>
      <c r="S270" s="1066" t="s">
        <v>1144</v>
      </c>
    </row>
    <row r="271" spans="1:19" x14ac:dyDescent="0.2">
      <c r="A271" s="1059">
        <v>88</v>
      </c>
      <c r="B271" s="1066"/>
      <c r="C271" s="1066"/>
      <c r="D271" s="1066"/>
      <c r="E271" s="1066"/>
      <c r="F271" s="1066"/>
      <c r="G271" s="1066" t="s">
        <v>1911</v>
      </c>
      <c r="H271" s="1066"/>
      <c r="I271" s="1066"/>
      <c r="J271" s="1066"/>
      <c r="K271" s="1066" t="s">
        <v>1913</v>
      </c>
      <c r="L271" s="1066"/>
      <c r="M271" s="1066"/>
      <c r="N271" s="1066"/>
      <c r="O271" s="1066" t="s">
        <v>1296</v>
      </c>
      <c r="P271" s="1066" t="s">
        <v>1063</v>
      </c>
      <c r="Q271" s="1066" t="s">
        <v>1831</v>
      </c>
      <c r="R271" s="1066"/>
      <c r="S271" s="1066"/>
    </row>
    <row r="272" spans="1:19" x14ac:dyDescent="0.2">
      <c r="A272" s="1059">
        <v>89</v>
      </c>
      <c r="B272" s="1066" t="s">
        <v>1563</v>
      </c>
      <c r="C272" s="1066" t="s">
        <v>1405</v>
      </c>
      <c r="D272" s="1066" t="s">
        <v>1914</v>
      </c>
      <c r="E272" s="1066" t="s">
        <v>1051</v>
      </c>
      <c r="F272" s="1066" t="s">
        <v>1915</v>
      </c>
      <c r="G272" s="1068"/>
      <c r="H272" s="1066" t="s">
        <v>1732</v>
      </c>
      <c r="I272" s="1066" t="s">
        <v>1054</v>
      </c>
      <c r="J272" s="1066" t="s">
        <v>1055</v>
      </c>
      <c r="K272" s="1066" t="s">
        <v>1056</v>
      </c>
      <c r="L272" s="1068"/>
      <c r="M272" s="1068"/>
      <c r="N272" s="1068"/>
      <c r="O272" s="1066" t="s">
        <v>1057</v>
      </c>
      <c r="P272" s="1066" t="s">
        <v>1057</v>
      </c>
      <c r="Q272" s="1066" t="s">
        <v>1057</v>
      </c>
      <c r="R272" s="1066" t="s">
        <v>1916</v>
      </c>
      <c r="S272" s="1066" t="s">
        <v>1144</v>
      </c>
    </row>
    <row r="273" spans="1:19" x14ac:dyDescent="0.2">
      <c r="A273" s="1059">
        <v>90</v>
      </c>
      <c r="B273" s="1068"/>
      <c r="C273" s="1068"/>
      <c r="D273" s="1068"/>
      <c r="E273" s="1068"/>
      <c r="F273" s="1068"/>
      <c r="G273" s="1066" t="s">
        <v>1915</v>
      </c>
      <c r="H273" s="1068"/>
      <c r="I273" s="1068"/>
      <c r="J273" s="1068"/>
      <c r="K273" s="1066" t="s">
        <v>1553</v>
      </c>
      <c r="L273" s="1066"/>
      <c r="M273" s="1066"/>
      <c r="N273" s="1066"/>
      <c r="O273" s="1066" t="s">
        <v>1422</v>
      </c>
      <c r="P273" s="1066" t="s">
        <v>1095</v>
      </c>
      <c r="Q273" s="1066" t="s">
        <v>1454</v>
      </c>
      <c r="R273" s="1068"/>
      <c r="S273" s="1068"/>
    </row>
    <row r="274" spans="1:19" x14ac:dyDescent="0.2">
      <c r="A274" s="1059">
        <v>91</v>
      </c>
      <c r="B274" s="1068"/>
      <c r="C274" s="1066" t="s">
        <v>1441</v>
      </c>
      <c r="D274" s="1066" t="s">
        <v>1917</v>
      </c>
      <c r="E274" s="1066" t="s">
        <v>1116</v>
      </c>
      <c r="F274" s="1066" t="s">
        <v>1191</v>
      </c>
      <c r="G274" s="1068"/>
      <c r="H274" s="1066" t="s">
        <v>1732</v>
      </c>
      <c r="I274" s="1066" t="s">
        <v>1918</v>
      </c>
      <c r="J274" s="1066" t="s">
        <v>1055</v>
      </c>
      <c r="K274" s="1066" t="s">
        <v>1553</v>
      </c>
      <c r="L274" s="1068"/>
      <c r="M274" s="1068"/>
      <c r="N274" s="1068"/>
      <c r="O274" s="1066" t="s">
        <v>1438</v>
      </c>
      <c r="P274" s="1066" t="s">
        <v>1095</v>
      </c>
      <c r="Q274" s="1066" t="s">
        <v>1769</v>
      </c>
      <c r="R274" s="1066" t="s">
        <v>1919</v>
      </c>
      <c r="S274" s="1068"/>
    </row>
    <row r="275" spans="1:19" x14ac:dyDescent="0.2">
      <c r="A275" s="1059">
        <v>92</v>
      </c>
      <c r="B275" s="1066"/>
      <c r="C275" s="1066"/>
      <c r="D275" s="1066"/>
      <c r="E275" s="1066"/>
      <c r="F275" s="1066"/>
      <c r="G275" s="1066" t="s">
        <v>1920</v>
      </c>
      <c r="H275" s="1066"/>
      <c r="I275" s="1066"/>
      <c r="J275" s="1066"/>
      <c r="K275" s="1066" t="s">
        <v>1056</v>
      </c>
      <c r="L275" s="1066" t="s">
        <v>1921</v>
      </c>
      <c r="M275" s="1066" t="s">
        <v>1113</v>
      </c>
      <c r="N275" s="1066" t="s">
        <v>1061</v>
      </c>
      <c r="O275" s="1066" t="s">
        <v>1846</v>
      </c>
      <c r="P275" s="1066" t="s">
        <v>1244</v>
      </c>
      <c r="Q275" s="1066" t="s">
        <v>1922</v>
      </c>
      <c r="R275" s="1066"/>
      <c r="S275" s="1066"/>
    </row>
    <row r="276" spans="1:19" x14ac:dyDescent="0.2">
      <c r="A276" s="1059">
        <v>93</v>
      </c>
      <c r="B276" s="1066" t="s">
        <v>1568</v>
      </c>
      <c r="C276" s="1066" t="s">
        <v>1455</v>
      </c>
      <c r="D276" s="1066" t="s">
        <v>1923</v>
      </c>
      <c r="E276" s="1066" t="s">
        <v>1835</v>
      </c>
      <c r="F276" s="1066" t="s">
        <v>1785</v>
      </c>
      <c r="G276" s="1068"/>
      <c r="H276" s="1066" t="s">
        <v>1732</v>
      </c>
      <c r="I276" s="1066" t="s">
        <v>1054</v>
      </c>
      <c r="J276" s="1066" t="s">
        <v>1055</v>
      </c>
      <c r="K276" s="1066" t="s">
        <v>1056</v>
      </c>
      <c r="L276" s="1068"/>
      <c r="M276" s="1068"/>
      <c r="N276" s="1068"/>
      <c r="O276" s="1066" t="s">
        <v>1057</v>
      </c>
      <c r="P276" s="1066" t="s">
        <v>1057</v>
      </c>
      <c r="Q276" s="1066" t="s">
        <v>1057</v>
      </c>
      <c r="R276" s="1066" t="s">
        <v>1924</v>
      </c>
      <c r="S276" s="1066" t="s">
        <v>1144</v>
      </c>
    </row>
    <row r="277" spans="1:19" x14ac:dyDescent="0.2">
      <c r="A277" s="1059">
        <v>94</v>
      </c>
      <c r="B277" s="1068"/>
      <c r="C277" s="1068"/>
      <c r="D277" s="1068"/>
      <c r="E277" s="1068"/>
      <c r="F277" s="1068"/>
      <c r="G277" s="1066" t="s">
        <v>1785</v>
      </c>
      <c r="H277" s="1068"/>
      <c r="I277" s="1068"/>
      <c r="J277" s="1068"/>
      <c r="K277" s="1066" t="s">
        <v>1925</v>
      </c>
      <c r="L277" s="1066"/>
      <c r="M277" s="1066"/>
      <c r="N277" s="1066"/>
      <c r="O277" s="1066" t="s">
        <v>1926</v>
      </c>
      <c r="P277" s="1066" t="s">
        <v>1095</v>
      </c>
      <c r="Q277" s="1066" t="s">
        <v>1404</v>
      </c>
      <c r="R277" s="1068"/>
      <c r="S277" s="1068"/>
    </row>
    <row r="278" spans="1:19" x14ac:dyDescent="0.2">
      <c r="A278" s="1059">
        <v>95</v>
      </c>
      <c r="B278" s="1068"/>
      <c r="C278" s="1066" t="s">
        <v>1140</v>
      </c>
      <c r="D278" s="1066" t="s">
        <v>1927</v>
      </c>
      <c r="E278" s="1066" t="s">
        <v>1165</v>
      </c>
      <c r="F278" s="1066" t="s">
        <v>1928</v>
      </c>
      <c r="G278" s="1068"/>
      <c r="H278" s="1066" t="s">
        <v>1732</v>
      </c>
      <c r="I278" s="1066" t="s">
        <v>1929</v>
      </c>
      <c r="J278" s="1066" t="s">
        <v>1055</v>
      </c>
      <c r="K278" s="1066" t="s">
        <v>1925</v>
      </c>
      <c r="L278" s="1068"/>
      <c r="M278" s="1068"/>
      <c r="N278" s="1068"/>
      <c r="O278" s="1066" t="s">
        <v>1137</v>
      </c>
      <c r="P278" s="1066" t="s">
        <v>1244</v>
      </c>
      <c r="Q278" s="1066" t="s">
        <v>1930</v>
      </c>
      <c r="R278" s="1066" t="s">
        <v>1566</v>
      </c>
      <c r="S278" s="1068"/>
    </row>
    <row r="279" spans="1:19" x14ac:dyDescent="0.2">
      <c r="A279" s="1059">
        <v>96</v>
      </c>
      <c r="B279" s="1066"/>
      <c r="C279" s="1066"/>
      <c r="D279" s="1066"/>
      <c r="E279" s="1066"/>
      <c r="F279" s="1066"/>
      <c r="G279" s="1066" t="s">
        <v>1931</v>
      </c>
      <c r="H279" s="1066"/>
      <c r="I279" s="1066"/>
      <c r="J279" s="1066"/>
      <c r="K279" s="1066" t="s">
        <v>1932</v>
      </c>
      <c r="L279" s="1066"/>
      <c r="M279" s="1066"/>
      <c r="N279" s="1066"/>
      <c r="O279" s="1066" t="s">
        <v>1735</v>
      </c>
      <c r="P279" s="1066" t="s">
        <v>1254</v>
      </c>
      <c r="Q279" s="1066" t="s">
        <v>1933</v>
      </c>
      <c r="R279" s="1066"/>
      <c r="S279" s="1066"/>
    </row>
    <row r="280" spans="1:19" x14ac:dyDescent="0.2">
      <c r="A280" s="1059">
        <v>97</v>
      </c>
      <c r="B280" s="1066" t="s">
        <v>1575</v>
      </c>
      <c r="C280" s="1066" t="s">
        <v>1329</v>
      </c>
      <c r="D280" s="1066" t="s">
        <v>1934</v>
      </c>
      <c r="E280" s="1066" t="s">
        <v>1892</v>
      </c>
      <c r="F280" s="1066" t="s">
        <v>1142</v>
      </c>
      <c r="G280" s="1068"/>
      <c r="H280" s="1066" t="s">
        <v>1732</v>
      </c>
      <c r="I280" s="1066" t="s">
        <v>1054</v>
      </c>
      <c r="J280" s="1066" t="s">
        <v>1055</v>
      </c>
      <c r="K280" s="1066" t="s">
        <v>1056</v>
      </c>
      <c r="L280" s="1068"/>
      <c r="M280" s="1068"/>
      <c r="N280" s="1068"/>
      <c r="O280" s="1066" t="s">
        <v>1057</v>
      </c>
      <c r="P280" s="1066" t="s">
        <v>1057</v>
      </c>
      <c r="Q280" s="1066" t="s">
        <v>1057</v>
      </c>
      <c r="R280" s="1066" t="s">
        <v>1643</v>
      </c>
      <c r="S280" s="1068"/>
    </row>
    <row r="281" spans="1:19" x14ac:dyDescent="0.2">
      <c r="A281" s="1059">
        <v>98</v>
      </c>
      <c r="B281" s="1068"/>
      <c r="C281" s="1068"/>
      <c r="D281" s="1068"/>
      <c r="E281" s="1068"/>
      <c r="F281" s="1068"/>
      <c r="G281" s="1066" t="s">
        <v>1142</v>
      </c>
      <c r="H281" s="1068"/>
      <c r="I281" s="1068"/>
      <c r="J281" s="1068"/>
      <c r="K281" s="1066" t="s">
        <v>1056</v>
      </c>
      <c r="L281" s="1066" t="s">
        <v>1881</v>
      </c>
      <c r="M281" s="1066" t="s">
        <v>1060</v>
      </c>
      <c r="N281" s="1066" t="s">
        <v>1252</v>
      </c>
      <c r="O281" s="1066" t="s">
        <v>1409</v>
      </c>
      <c r="P281" s="1066" t="s">
        <v>1244</v>
      </c>
      <c r="Q281" s="1066" t="s">
        <v>1935</v>
      </c>
      <c r="R281" s="1068"/>
      <c r="S281" s="1068"/>
    </row>
    <row r="282" spans="1:19" x14ac:dyDescent="0.2">
      <c r="A282" s="1059">
        <v>99</v>
      </c>
      <c r="B282" s="1068"/>
      <c r="C282" s="1066" t="s">
        <v>1097</v>
      </c>
      <c r="D282" s="1066" t="s">
        <v>1936</v>
      </c>
      <c r="E282" s="1066" t="s">
        <v>1443</v>
      </c>
      <c r="F282" s="1066" t="s">
        <v>1199</v>
      </c>
      <c r="G282" s="1068"/>
      <c r="H282" s="1066" t="s">
        <v>1732</v>
      </c>
      <c r="I282" s="1066" t="s">
        <v>1054</v>
      </c>
      <c r="J282" s="1066" t="s">
        <v>1055</v>
      </c>
      <c r="K282" s="1066" t="s">
        <v>1056</v>
      </c>
      <c r="L282" s="1068"/>
      <c r="M282" s="1068"/>
      <c r="N282" s="1068"/>
      <c r="O282" s="1066" t="s">
        <v>1057</v>
      </c>
      <c r="P282" s="1066" t="s">
        <v>1057</v>
      </c>
      <c r="Q282" s="1066" t="s">
        <v>1057</v>
      </c>
      <c r="R282" s="1066" t="s">
        <v>1772</v>
      </c>
      <c r="S282" s="1066" t="s">
        <v>1144</v>
      </c>
    </row>
    <row r="283" spans="1:19" x14ac:dyDescent="0.2">
      <c r="A283" s="1059">
        <v>100</v>
      </c>
      <c r="B283" s="1066"/>
      <c r="C283" s="1066"/>
      <c r="D283" s="1066"/>
      <c r="E283" s="1066"/>
      <c r="F283" s="1066"/>
      <c r="G283" s="1066" t="s">
        <v>1199</v>
      </c>
      <c r="H283" s="1066"/>
      <c r="I283" s="1066"/>
      <c r="J283" s="1066"/>
      <c r="K283" s="1066" t="s">
        <v>1102</v>
      </c>
      <c r="L283" s="1066"/>
      <c r="M283" s="1066"/>
      <c r="N283" s="1066"/>
      <c r="O283" s="1066" t="s">
        <v>1937</v>
      </c>
      <c r="P283" s="1066" t="s">
        <v>1063</v>
      </c>
      <c r="Q283" s="1066" t="s">
        <v>1938</v>
      </c>
      <c r="R283" s="1066"/>
      <c r="S283" s="1066"/>
    </row>
    <row r="284" spans="1:19" x14ac:dyDescent="0.2">
      <c r="A284" s="1059">
        <v>101</v>
      </c>
      <c r="B284" s="1066" t="s">
        <v>1589</v>
      </c>
      <c r="C284" s="1066" t="s">
        <v>1386</v>
      </c>
      <c r="D284" s="1066" t="s">
        <v>1939</v>
      </c>
      <c r="E284" s="1066" t="s">
        <v>1206</v>
      </c>
      <c r="F284" s="1066" t="s">
        <v>1451</v>
      </c>
      <c r="G284" s="1068"/>
      <c r="H284" s="1066" t="s">
        <v>1732</v>
      </c>
      <c r="I284" s="1066" t="s">
        <v>1054</v>
      </c>
      <c r="J284" s="1066" t="s">
        <v>1055</v>
      </c>
      <c r="K284" s="1066" t="s">
        <v>1056</v>
      </c>
      <c r="L284" s="1068"/>
      <c r="M284" s="1068"/>
      <c r="N284" s="1068"/>
      <c r="O284" s="1066" t="s">
        <v>1057</v>
      </c>
      <c r="P284" s="1066" t="s">
        <v>1057</v>
      </c>
      <c r="Q284" s="1066" t="s">
        <v>1057</v>
      </c>
      <c r="R284" s="1066" t="s">
        <v>1940</v>
      </c>
      <c r="S284" s="1068"/>
    </row>
    <row r="285" spans="1:19" x14ac:dyDescent="0.2">
      <c r="A285" s="1059">
        <v>102</v>
      </c>
      <c r="B285" s="1066"/>
      <c r="C285" s="1066"/>
      <c r="D285" s="1066"/>
      <c r="E285" s="1066"/>
      <c r="F285" s="1066"/>
      <c r="G285" s="1066" t="s">
        <v>1451</v>
      </c>
      <c r="H285" s="1066"/>
      <c r="I285" s="1066"/>
      <c r="J285" s="1066"/>
      <c r="K285" s="1066" t="s">
        <v>1056</v>
      </c>
      <c r="L285" s="1066" t="s">
        <v>1941</v>
      </c>
      <c r="M285" s="1066" t="s">
        <v>1105</v>
      </c>
      <c r="N285" s="1066" t="s">
        <v>1061</v>
      </c>
      <c r="O285" s="1066" t="s">
        <v>1202</v>
      </c>
      <c r="P285" s="1066" t="s">
        <v>1095</v>
      </c>
      <c r="Q285" s="1066" t="s">
        <v>1942</v>
      </c>
      <c r="R285" s="1066"/>
      <c r="S285" s="1066"/>
    </row>
    <row r="286" spans="1:19" x14ac:dyDescent="0.2">
      <c r="A286" s="1059">
        <v>103</v>
      </c>
      <c r="B286" s="1066" t="s">
        <v>1603</v>
      </c>
      <c r="C286" s="1066" t="s">
        <v>1449</v>
      </c>
      <c r="D286" s="1066" t="s">
        <v>1943</v>
      </c>
      <c r="E286" s="1066" t="s">
        <v>1892</v>
      </c>
      <c r="F286" s="1066" t="s">
        <v>1915</v>
      </c>
      <c r="G286" s="1068"/>
      <c r="H286" s="1066" t="s">
        <v>1732</v>
      </c>
      <c r="I286" s="1066" t="s">
        <v>1054</v>
      </c>
      <c r="J286" s="1066" t="s">
        <v>1055</v>
      </c>
      <c r="K286" s="1066" t="s">
        <v>1056</v>
      </c>
      <c r="L286" s="1068"/>
      <c r="M286" s="1068"/>
      <c r="N286" s="1068"/>
      <c r="O286" s="1066" t="s">
        <v>1057</v>
      </c>
      <c r="P286" s="1066" t="s">
        <v>1057</v>
      </c>
      <c r="Q286" s="1066" t="s">
        <v>1057</v>
      </c>
      <c r="R286" s="1066" t="s">
        <v>1944</v>
      </c>
      <c r="S286" s="1066" t="s">
        <v>1144</v>
      </c>
    </row>
    <row r="287" spans="1:19" x14ac:dyDescent="0.2">
      <c r="A287" s="1059">
        <v>104</v>
      </c>
      <c r="B287" s="1068"/>
      <c r="C287" s="1068"/>
      <c r="D287" s="1068"/>
      <c r="E287" s="1068"/>
      <c r="F287" s="1068"/>
      <c r="G287" s="1066" t="s">
        <v>1915</v>
      </c>
      <c r="H287" s="1068"/>
      <c r="I287" s="1068"/>
      <c r="J287" s="1068"/>
      <c r="K287" s="1066" t="s">
        <v>1945</v>
      </c>
      <c r="L287" s="1066"/>
      <c r="M287" s="1066"/>
      <c r="N287" s="1066"/>
      <c r="O287" s="1066" t="s">
        <v>1581</v>
      </c>
      <c r="P287" s="1066" t="s">
        <v>1244</v>
      </c>
      <c r="Q287" s="1066" t="s">
        <v>1430</v>
      </c>
      <c r="R287" s="1068"/>
      <c r="S287" s="1068"/>
    </row>
    <row r="288" spans="1:19" x14ac:dyDescent="0.2">
      <c r="A288" s="1059">
        <v>105</v>
      </c>
      <c r="B288" s="1068"/>
      <c r="C288" s="1066" t="s">
        <v>1363</v>
      </c>
      <c r="D288" s="1066" t="s">
        <v>1946</v>
      </c>
      <c r="E288" s="1066" t="s">
        <v>1099</v>
      </c>
      <c r="F288" s="1066" t="s">
        <v>1947</v>
      </c>
      <c r="G288" s="1068"/>
      <c r="H288" s="1066" t="s">
        <v>1732</v>
      </c>
      <c r="I288" s="1066" t="s">
        <v>1948</v>
      </c>
      <c r="J288" s="1066" t="s">
        <v>1055</v>
      </c>
      <c r="K288" s="1066" t="s">
        <v>1945</v>
      </c>
      <c r="L288" s="1068"/>
      <c r="M288" s="1068"/>
      <c r="N288" s="1068"/>
      <c r="O288" s="1066" t="s">
        <v>1062</v>
      </c>
      <c r="P288" s="1066" t="s">
        <v>1095</v>
      </c>
      <c r="Q288" s="1066" t="s">
        <v>1949</v>
      </c>
      <c r="R288" s="1066" t="s">
        <v>1109</v>
      </c>
      <c r="S288" s="1068"/>
    </row>
    <row r="289" spans="1:19" x14ac:dyDescent="0.2">
      <c r="A289" s="1059">
        <v>106</v>
      </c>
      <c r="B289" s="1066"/>
      <c r="C289" s="1066"/>
      <c r="D289" s="1066"/>
      <c r="E289" s="1066"/>
      <c r="F289" s="1066"/>
      <c r="G289" s="1066" t="s">
        <v>1950</v>
      </c>
      <c r="H289" s="1066"/>
      <c r="I289" s="1066"/>
      <c r="J289" s="1066"/>
      <c r="K289" s="1066" t="s">
        <v>1951</v>
      </c>
      <c r="L289" s="1066"/>
      <c r="M289" s="1066"/>
      <c r="N289" s="1066"/>
      <c r="O289" s="1066" t="s">
        <v>1926</v>
      </c>
      <c r="P289" s="1066" t="s">
        <v>1309</v>
      </c>
      <c r="Q289" s="1066" t="s">
        <v>1952</v>
      </c>
      <c r="R289" s="1066"/>
      <c r="S289" s="1066"/>
    </row>
    <row r="290" spans="1:19" x14ac:dyDescent="0.2">
      <c r="A290" s="1059">
        <v>107</v>
      </c>
      <c r="B290" s="1066" t="s">
        <v>1610</v>
      </c>
      <c r="C290" s="1066" t="s">
        <v>1484</v>
      </c>
      <c r="D290" s="1066" t="s">
        <v>1953</v>
      </c>
      <c r="E290" s="1066" t="s">
        <v>1067</v>
      </c>
      <c r="F290" s="1066" t="s">
        <v>1325</v>
      </c>
      <c r="G290" s="1068"/>
      <c r="H290" s="1066" t="s">
        <v>1732</v>
      </c>
      <c r="I290" s="1066" t="s">
        <v>1054</v>
      </c>
      <c r="J290" s="1066" t="s">
        <v>1055</v>
      </c>
      <c r="K290" s="1066" t="s">
        <v>1056</v>
      </c>
      <c r="L290" s="1068"/>
      <c r="M290" s="1068"/>
      <c r="N290" s="1068"/>
      <c r="O290" s="1066" t="s">
        <v>1057</v>
      </c>
      <c r="P290" s="1066" t="s">
        <v>1057</v>
      </c>
      <c r="Q290" s="1066" t="s">
        <v>1057</v>
      </c>
      <c r="R290" s="1066" t="s">
        <v>1954</v>
      </c>
      <c r="S290" s="1068"/>
    </row>
    <row r="291" spans="1:19" x14ac:dyDescent="0.2">
      <c r="A291" s="1059">
        <v>108</v>
      </c>
      <c r="B291" s="1066"/>
      <c r="C291" s="1066"/>
      <c r="D291" s="1066"/>
      <c r="E291" s="1066"/>
      <c r="F291" s="1066"/>
      <c r="G291" s="1066" t="s">
        <v>1325</v>
      </c>
      <c r="H291" s="1066"/>
      <c r="I291" s="1066"/>
      <c r="J291" s="1066"/>
      <c r="K291" s="1066" t="s">
        <v>1056</v>
      </c>
      <c r="L291" s="1066" t="s">
        <v>1955</v>
      </c>
      <c r="M291" s="1066" t="s">
        <v>1105</v>
      </c>
      <c r="N291" s="1066" t="s">
        <v>1061</v>
      </c>
      <c r="O291" s="1066" t="s">
        <v>1723</v>
      </c>
      <c r="P291" s="1066" t="s">
        <v>1095</v>
      </c>
      <c r="Q291" s="1066" t="s">
        <v>1413</v>
      </c>
      <c r="R291" s="1066"/>
      <c r="S291" s="1066"/>
    </row>
    <row r="292" spans="1:19" x14ac:dyDescent="0.2">
      <c r="A292" s="1059">
        <v>109</v>
      </c>
      <c r="B292" s="1066" t="s">
        <v>1617</v>
      </c>
      <c r="C292" s="1066" t="s">
        <v>1462</v>
      </c>
      <c r="D292" s="1066" t="s">
        <v>1956</v>
      </c>
      <c r="E292" s="1066" t="s">
        <v>1337</v>
      </c>
      <c r="F292" s="1066" t="s">
        <v>1957</v>
      </c>
      <c r="G292" s="1068"/>
      <c r="H292" s="1066" t="s">
        <v>1732</v>
      </c>
      <c r="I292" s="1066" t="s">
        <v>1054</v>
      </c>
      <c r="J292" s="1066" t="s">
        <v>1055</v>
      </c>
      <c r="K292" s="1066" t="s">
        <v>1056</v>
      </c>
      <c r="L292" s="1068"/>
      <c r="M292" s="1068"/>
      <c r="N292" s="1068"/>
      <c r="O292" s="1066" t="s">
        <v>1057</v>
      </c>
      <c r="P292" s="1066" t="s">
        <v>1057</v>
      </c>
      <c r="Q292" s="1066" t="s">
        <v>1057</v>
      </c>
      <c r="R292" s="1066" t="s">
        <v>1958</v>
      </c>
      <c r="S292" s="1066" t="s">
        <v>1144</v>
      </c>
    </row>
    <row r="293" spans="1:19" x14ac:dyDescent="0.2">
      <c r="A293" s="1059">
        <v>110</v>
      </c>
      <c r="B293" s="1066"/>
      <c r="C293" s="1066"/>
      <c r="D293" s="1066"/>
      <c r="E293" s="1066"/>
      <c r="F293" s="1066"/>
      <c r="G293" s="1066" t="s">
        <v>1957</v>
      </c>
      <c r="H293" s="1066"/>
      <c r="I293" s="1066"/>
      <c r="J293" s="1066"/>
      <c r="K293" s="1066" t="s">
        <v>1959</v>
      </c>
      <c r="L293" s="1066"/>
      <c r="M293" s="1066"/>
      <c r="N293" s="1066"/>
      <c r="O293" s="1066" t="s">
        <v>1960</v>
      </c>
      <c r="P293" s="1066" t="s">
        <v>1636</v>
      </c>
      <c r="Q293" s="1066" t="s">
        <v>1608</v>
      </c>
      <c r="R293" s="1066"/>
      <c r="S293" s="1066"/>
    </row>
    <row r="294" spans="1:19" x14ac:dyDescent="0.2">
      <c r="A294" s="1059">
        <v>111</v>
      </c>
      <c r="B294" s="1066" t="s">
        <v>1623</v>
      </c>
      <c r="C294" s="1066" t="s">
        <v>1466</v>
      </c>
      <c r="D294" s="1066" t="s">
        <v>1433</v>
      </c>
      <c r="E294" s="1066" t="s">
        <v>1337</v>
      </c>
      <c r="F294" s="1066" t="s">
        <v>1961</v>
      </c>
      <c r="G294" s="1068"/>
      <c r="H294" s="1066" t="s">
        <v>1732</v>
      </c>
      <c r="I294" s="1066" t="s">
        <v>1054</v>
      </c>
      <c r="J294" s="1066" t="s">
        <v>1055</v>
      </c>
      <c r="K294" s="1066" t="s">
        <v>1056</v>
      </c>
      <c r="L294" s="1068"/>
      <c r="M294" s="1068"/>
      <c r="N294" s="1068"/>
      <c r="O294" s="1066" t="s">
        <v>1057</v>
      </c>
      <c r="P294" s="1066" t="s">
        <v>1057</v>
      </c>
      <c r="Q294" s="1066" t="s">
        <v>1057</v>
      </c>
      <c r="R294" s="1066" t="s">
        <v>1962</v>
      </c>
      <c r="S294" s="1066" t="s">
        <v>1144</v>
      </c>
    </row>
    <row r="295" spans="1:19" x14ac:dyDescent="0.2">
      <c r="A295" s="1059">
        <v>112</v>
      </c>
      <c r="B295" s="1068"/>
      <c r="C295" s="1068"/>
      <c r="D295" s="1068"/>
      <c r="E295" s="1068"/>
      <c r="F295" s="1068"/>
      <c r="G295" s="1066" t="s">
        <v>1961</v>
      </c>
      <c r="H295" s="1068"/>
      <c r="I295" s="1068"/>
      <c r="J295" s="1068"/>
      <c r="K295" s="1066" t="s">
        <v>1963</v>
      </c>
      <c r="L295" s="1066"/>
      <c r="M295" s="1066"/>
      <c r="N295" s="1066"/>
      <c r="O295" s="1066" t="s">
        <v>1290</v>
      </c>
      <c r="P295" s="1066" t="s">
        <v>1367</v>
      </c>
      <c r="Q295" s="1066" t="s">
        <v>1964</v>
      </c>
      <c r="R295" s="1068"/>
      <c r="S295" s="1068"/>
    </row>
    <row r="296" spans="1:19" x14ac:dyDescent="0.2">
      <c r="A296" s="1059">
        <v>113</v>
      </c>
      <c r="B296" s="1068"/>
      <c r="C296" s="1066" t="s">
        <v>1292</v>
      </c>
      <c r="D296" s="1066" t="s">
        <v>1965</v>
      </c>
      <c r="E296" s="1066" t="s">
        <v>1099</v>
      </c>
      <c r="F296" s="1066" t="s">
        <v>1731</v>
      </c>
      <c r="G296" s="1068"/>
      <c r="H296" s="1066" t="s">
        <v>1732</v>
      </c>
      <c r="I296" s="1066" t="s">
        <v>1966</v>
      </c>
      <c r="J296" s="1066" t="s">
        <v>1055</v>
      </c>
      <c r="K296" s="1066" t="s">
        <v>1963</v>
      </c>
      <c r="L296" s="1068"/>
      <c r="M296" s="1068"/>
      <c r="N296" s="1068"/>
      <c r="O296" s="1066" t="s">
        <v>1418</v>
      </c>
      <c r="P296" s="1066" t="s">
        <v>1367</v>
      </c>
      <c r="Q296" s="1066" t="s">
        <v>1967</v>
      </c>
      <c r="R296" s="1066" t="s">
        <v>1539</v>
      </c>
      <c r="S296" s="1066" t="s">
        <v>1144</v>
      </c>
    </row>
    <row r="297" spans="1:19" x14ac:dyDescent="0.2">
      <c r="A297" s="1059">
        <v>114</v>
      </c>
      <c r="B297" s="1066"/>
      <c r="C297" s="1066"/>
      <c r="D297" s="1066"/>
      <c r="E297" s="1066"/>
      <c r="F297" s="1066"/>
      <c r="G297" s="1066" t="s">
        <v>1720</v>
      </c>
      <c r="H297" s="1066"/>
      <c r="I297" s="1066"/>
      <c r="J297" s="1066"/>
      <c r="K297" s="1066" t="s">
        <v>1968</v>
      </c>
      <c r="L297" s="1066"/>
      <c r="M297" s="1066"/>
      <c r="N297" s="1066"/>
      <c r="O297" s="1066" t="s">
        <v>1283</v>
      </c>
      <c r="P297" s="1066" t="s">
        <v>1244</v>
      </c>
      <c r="Q297" s="1066" t="s">
        <v>1969</v>
      </c>
      <c r="R297" s="1066"/>
      <c r="S297" s="1066"/>
    </row>
    <row r="298" spans="1:19" x14ac:dyDescent="0.2">
      <c r="A298" s="1059">
        <v>115</v>
      </c>
      <c r="B298" s="1066" t="s">
        <v>1629</v>
      </c>
      <c r="C298" s="1066" t="s">
        <v>1471</v>
      </c>
      <c r="D298" s="1066" t="s">
        <v>1970</v>
      </c>
      <c r="E298" s="1066" t="s">
        <v>1174</v>
      </c>
      <c r="F298" s="1066" t="s">
        <v>1338</v>
      </c>
      <c r="G298" s="1068"/>
      <c r="H298" s="1066" t="s">
        <v>1732</v>
      </c>
      <c r="I298" s="1066" t="s">
        <v>1054</v>
      </c>
      <c r="J298" s="1066" t="s">
        <v>1055</v>
      </c>
      <c r="K298" s="1066" t="s">
        <v>1056</v>
      </c>
      <c r="L298" s="1068"/>
      <c r="M298" s="1068"/>
      <c r="N298" s="1068"/>
      <c r="O298" s="1066" t="s">
        <v>1057</v>
      </c>
      <c r="P298" s="1066" t="s">
        <v>1057</v>
      </c>
      <c r="Q298" s="1066" t="s">
        <v>1057</v>
      </c>
      <c r="R298" s="1066" t="s">
        <v>1903</v>
      </c>
      <c r="S298" s="1068"/>
    </row>
    <row r="299" spans="1:19" x14ac:dyDescent="0.2">
      <c r="A299" s="1059">
        <v>116</v>
      </c>
      <c r="B299" s="1068"/>
      <c r="C299" s="1068"/>
      <c r="D299" s="1068"/>
      <c r="E299" s="1068"/>
      <c r="F299" s="1068"/>
      <c r="G299" s="1066" t="s">
        <v>1338</v>
      </c>
      <c r="H299" s="1068"/>
      <c r="I299" s="1068"/>
      <c r="J299" s="1068"/>
      <c r="K299" s="1066" t="s">
        <v>1056</v>
      </c>
      <c r="L299" s="1066" t="s">
        <v>1971</v>
      </c>
      <c r="M299" s="1066" t="s">
        <v>1105</v>
      </c>
      <c r="N299" s="1066" t="s">
        <v>1061</v>
      </c>
      <c r="O299" s="1066" t="s">
        <v>1223</v>
      </c>
      <c r="P299" s="1066" t="s">
        <v>1244</v>
      </c>
      <c r="Q299" s="1066" t="s">
        <v>1972</v>
      </c>
      <c r="R299" s="1068"/>
      <c r="S299" s="1068"/>
    </row>
    <row r="300" spans="1:19" x14ac:dyDescent="0.2">
      <c r="A300" s="1059">
        <v>117</v>
      </c>
      <c r="B300" s="1068"/>
      <c r="C300" s="1066" t="s">
        <v>1500</v>
      </c>
      <c r="D300" s="1066" t="s">
        <v>1973</v>
      </c>
      <c r="E300" s="1066" t="s">
        <v>1443</v>
      </c>
      <c r="F300" s="1066" t="s">
        <v>1974</v>
      </c>
      <c r="G300" s="1068"/>
      <c r="H300" s="1066" t="s">
        <v>1732</v>
      </c>
      <c r="I300" s="1066" t="s">
        <v>1054</v>
      </c>
      <c r="J300" s="1066" t="s">
        <v>1055</v>
      </c>
      <c r="K300" s="1066" t="s">
        <v>1056</v>
      </c>
      <c r="L300" s="1068"/>
      <c r="M300" s="1068"/>
      <c r="N300" s="1068"/>
      <c r="O300" s="1066" t="s">
        <v>1057</v>
      </c>
      <c r="P300" s="1066" t="s">
        <v>1057</v>
      </c>
      <c r="Q300" s="1066" t="s">
        <v>1057</v>
      </c>
      <c r="R300" s="1066" t="s">
        <v>1715</v>
      </c>
      <c r="S300" s="1068"/>
    </row>
    <row r="301" spans="1:19" x14ac:dyDescent="0.2">
      <c r="A301" s="1059">
        <v>118</v>
      </c>
      <c r="B301" s="1066"/>
      <c r="C301" s="1066"/>
      <c r="D301" s="1066"/>
      <c r="E301" s="1066"/>
      <c r="F301" s="1066"/>
      <c r="G301" s="1066" t="s">
        <v>1974</v>
      </c>
      <c r="H301" s="1066"/>
      <c r="I301" s="1066"/>
      <c r="J301" s="1066"/>
      <c r="K301" s="1066" t="s">
        <v>1056</v>
      </c>
      <c r="L301" s="1066" t="s">
        <v>1975</v>
      </c>
      <c r="M301" s="1066" t="s">
        <v>1048</v>
      </c>
      <c r="N301" s="1066" t="s">
        <v>1061</v>
      </c>
      <c r="O301" s="1066" t="s">
        <v>1340</v>
      </c>
      <c r="P301" s="1066" t="s">
        <v>1063</v>
      </c>
      <c r="Q301" s="1066" t="s">
        <v>1976</v>
      </c>
      <c r="R301" s="1066"/>
      <c r="S301" s="1066"/>
    </row>
    <row r="302" spans="1:19" x14ac:dyDescent="0.2">
      <c r="A302" s="1059">
        <v>119</v>
      </c>
      <c r="B302" s="1066" t="s">
        <v>1645</v>
      </c>
      <c r="C302" s="1066" t="s">
        <v>1511</v>
      </c>
      <c r="D302" s="1066" t="s">
        <v>1977</v>
      </c>
      <c r="E302" s="1066" t="s">
        <v>1443</v>
      </c>
      <c r="F302" s="1066" t="s">
        <v>1348</v>
      </c>
      <c r="G302" s="1068"/>
      <c r="H302" s="1066" t="s">
        <v>1732</v>
      </c>
      <c r="I302" s="1066" t="s">
        <v>1054</v>
      </c>
      <c r="J302" s="1066" t="s">
        <v>1055</v>
      </c>
      <c r="K302" s="1066" t="s">
        <v>1056</v>
      </c>
      <c r="L302" s="1068"/>
      <c r="M302" s="1068"/>
      <c r="N302" s="1068"/>
      <c r="O302" s="1066" t="s">
        <v>1057</v>
      </c>
      <c r="P302" s="1066" t="s">
        <v>1057</v>
      </c>
      <c r="Q302" s="1066" t="s">
        <v>1057</v>
      </c>
      <c r="R302" s="1066" t="s">
        <v>1978</v>
      </c>
      <c r="S302" s="1068"/>
    </row>
    <row r="303" spans="1:19" x14ac:dyDescent="0.2">
      <c r="A303" s="1059">
        <v>120</v>
      </c>
      <c r="B303" s="1066"/>
      <c r="C303" s="1066"/>
      <c r="D303" s="1066"/>
      <c r="E303" s="1066"/>
      <c r="F303" s="1066"/>
      <c r="G303" s="1066" t="s">
        <v>1348</v>
      </c>
      <c r="H303" s="1066"/>
      <c r="I303" s="1066"/>
      <c r="J303" s="1066"/>
      <c r="K303" s="1066" t="s">
        <v>1056</v>
      </c>
      <c r="L303" s="1066" t="s">
        <v>1979</v>
      </c>
      <c r="M303" s="1066" t="s">
        <v>1105</v>
      </c>
      <c r="N303" s="1066" t="s">
        <v>1061</v>
      </c>
      <c r="O303" s="1066" t="s">
        <v>1541</v>
      </c>
      <c r="P303" s="1066" t="s">
        <v>1095</v>
      </c>
      <c r="Q303" s="1066" t="s">
        <v>1588</v>
      </c>
      <c r="R303" s="1066"/>
      <c r="S303" s="1066"/>
    </row>
    <row r="304" spans="1:19" x14ac:dyDescent="0.2">
      <c r="A304" s="1059">
        <v>121</v>
      </c>
      <c r="B304" s="1066" t="s">
        <v>1660</v>
      </c>
      <c r="C304" s="1066" t="s">
        <v>1520</v>
      </c>
      <c r="D304" s="1066" t="s">
        <v>1980</v>
      </c>
      <c r="E304" s="1066" t="s">
        <v>1305</v>
      </c>
      <c r="F304" s="1066" t="s">
        <v>1981</v>
      </c>
      <c r="G304" s="1068"/>
      <c r="H304" s="1066" t="s">
        <v>1732</v>
      </c>
      <c r="I304" s="1066" t="s">
        <v>1054</v>
      </c>
      <c r="J304" s="1066" t="s">
        <v>1055</v>
      </c>
      <c r="K304" s="1066" t="s">
        <v>1056</v>
      </c>
      <c r="L304" s="1068"/>
      <c r="M304" s="1068"/>
      <c r="N304" s="1068"/>
      <c r="O304" s="1066" t="s">
        <v>1057</v>
      </c>
      <c r="P304" s="1066" t="s">
        <v>1057</v>
      </c>
      <c r="Q304" s="1066" t="s">
        <v>1057</v>
      </c>
      <c r="R304" s="1066" t="s">
        <v>1307</v>
      </c>
      <c r="S304" s="1066" t="s">
        <v>1144</v>
      </c>
    </row>
    <row r="305" spans="1:19" x14ac:dyDescent="0.2">
      <c r="A305" s="1059">
        <v>122</v>
      </c>
      <c r="B305" s="1066"/>
      <c r="C305" s="1066"/>
      <c r="D305" s="1066"/>
      <c r="E305" s="1066"/>
      <c r="F305" s="1066"/>
      <c r="G305" s="1066" t="s">
        <v>1981</v>
      </c>
      <c r="H305" s="1066"/>
      <c r="I305" s="1066"/>
      <c r="J305" s="1066"/>
      <c r="K305" s="1066" t="s">
        <v>1982</v>
      </c>
      <c r="L305" s="1066"/>
      <c r="M305" s="1066"/>
      <c r="N305" s="1066"/>
      <c r="O305" s="1066" t="s">
        <v>1409</v>
      </c>
      <c r="P305" s="1066" t="s">
        <v>1063</v>
      </c>
      <c r="Q305" s="1066" t="s">
        <v>1470</v>
      </c>
      <c r="R305" s="1066"/>
      <c r="S305" s="1066"/>
    </row>
    <row r="306" spans="1:19" x14ac:dyDescent="0.2">
      <c r="A306" s="1059">
        <v>123</v>
      </c>
      <c r="B306" s="1066" t="s">
        <v>1666</v>
      </c>
      <c r="C306" s="1066" t="s">
        <v>1536</v>
      </c>
      <c r="D306" s="1066" t="s">
        <v>1983</v>
      </c>
      <c r="E306" s="1066" t="s">
        <v>1051</v>
      </c>
      <c r="F306" s="1066" t="s">
        <v>1984</v>
      </c>
      <c r="G306" s="1068"/>
      <c r="H306" s="1066" t="s">
        <v>1732</v>
      </c>
      <c r="I306" s="1066" t="s">
        <v>1054</v>
      </c>
      <c r="J306" s="1066" t="s">
        <v>1055</v>
      </c>
      <c r="K306" s="1066" t="s">
        <v>1056</v>
      </c>
      <c r="L306" s="1068"/>
      <c r="M306" s="1068"/>
      <c r="N306" s="1068"/>
      <c r="O306" s="1066" t="s">
        <v>1057</v>
      </c>
      <c r="P306" s="1066" t="s">
        <v>1057</v>
      </c>
      <c r="Q306" s="1066" t="s">
        <v>1057</v>
      </c>
      <c r="R306" s="1066" t="s">
        <v>1985</v>
      </c>
      <c r="S306" s="1066" t="s">
        <v>1144</v>
      </c>
    </row>
    <row r="307" spans="1:19" x14ac:dyDescent="0.2">
      <c r="A307" s="1059">
        <v>124</v>
      </c>
      <c r="B307" s="1066"/>
      <c r="C307" s="1066"/>
      <c r="D307" s="1066"/>
      <c r="E307" s="1066"/>
      <c r="F307" s="1066"/>
      <c r="G307" s="1066" t="s">
        <v>1984</v>
      </c>
      <c r="H307" s="1066"/>
      <c r="I307" s="1066"/>
      <c r="J307" s="1066"/>
      <c r="K307" s="1066" t="s">
        <v>1986</v>
      </c>
      <c r="L307" s="1066"/>
      <c r="M307" s="1066"/>
      <c r="N307" s="1066"/>
      <c r="O307" s="1066" t="s">
        <v>1283</v>
      </c>
      <c r="P307" s="1066" t="s">
        <v>1095</v>
      </c>
      <c r="Q307" s="1066" t="s">
        <v>1602</v>
      </c>
      <c r="R307" s="1066"/>
      <c r="S307" s="1066"/>
    </row>
    <row r="308" spans="1:19" x14ac:dyDescent="0.2">
      <c r="A308" s="1059">
        <v>125</v>
      </c>
      <c r="B308" s="1066" t="s">
        <v>1674</v>
      </c>
      <c r="C308" s="1066" t="s">
        <v>1549</v>
      </c>
      <c r="D308" s="1066" t="s">
        <v>1987</v>
      </c>
      <c r="E308" s="1066" t="s">
        <v>1416</v>
      </c>
      <c r="F308" s="1066" t="s">
        <v>1738</v>
      </c>
      <c r="G308" s="1068"/>
      <c r="H308" s="1066" t="s">
        <v>1732</v>
      </c>
      <c r="I308" s="1066" t="s">
        <v>1054</v>
      </c>
      <c r="J308" s="1066" t="s">
        <v>1055</v>
      </c>
      <c r="K308" s="1066" t="s">
        <v>1056</v>
      </c>
      <c r="L308" s="1068"/>
      <c r="M308" s="1068"/>
      <c r="N308" s="1068"/>
      <c r="O308" s="1066" t="s">
        <v>1057</v>
      </c>
      <c r="P308" s="1066" t="s">
        <v>1057</v>
      </c>
      <c r="Q308" s="1066" t="s">
        <v>1057</v>
      </c>
      <c r="R308" s="1066" t="s">
        <v>1988</v>
      </c>
      <c r="S308" s="1066" t="s">
        <v>1144</v>
      </c>
    </row>
    <row r="309" spans="1:19" x14ac:dyDescent="0.2">
      <c r="A309" s="1059">
        <v>126</v>
      </c>
      <c r="B309" s="1066"/>
      <c r="C309" s="1066"/>
      <c r="D309" s="1066"/>
      <c r="E309" s="1066"/>
      <c r="F309" s="1066"/>
      <c r="G309" s="1066" t="s">
        <v>1738</v>
      </c>
      <c r="H309" s="1066"/>
      <c r="I309" s="1066"/>
      <c r="J309" s="1066"/>
      <c r="K309" s="1066" t="s">
        <v>1641</v>
      </c>
      <c r="L309" s="1066"/>
      <c r="M309" s="1066"/>
      <c r="N309" s="1066"/>
      <c r="O309" s="1066" t="s">
        <v>1735</v>
      </c>
      <c r="P309" s="1066" t="s">
        <v>1095</v>
      </c>
      <c r="Q309" s="1066" t="s">
        <v>1949</v>
      </c>
      <c r="R309" s="1066"/>
      <c r="S309" s="1066"/>
    </row>
    <row r="310" spans="1:19" x14ac:dyDescent="0.2">
      <c r="A310" s="1059">
        <v>127</v>
      </c>
      <c r="B310" s="1066" t="s">
        <v>1680</v>
      </c>
      <c r="C310" s="1066" t="s">
        <v>1557</v>
      </c>
      <c r="D310" s="1066" t="s">
        <v>1989</v>
      </c>
      <c r="E310" s="1066" t="s">
        <v>1198</v>
      </c>
      <c r="F310" s="1066" t="s">
        <v>1474</v>
      </c>
      <c r="G310" s="1068"/>
      <c r="H310" s="1066" t="s">
        <v>1732</v>
      </c>
      <c r="I310" s="1066" t="s">
        <v>1054</v>
      </c>
      <c r="J310" s="1066" t="s">
        <v>1055</v>
      </c>
      <c r="K310" s="1066" t="s">
        <v>1056</v>
      </c>
      <c r="L310" s="1068"/>
      <c r="M310" s="1068"/>
      <c r="N310" s="1068"/>
      <c r="O310" s="1066" t="s">
        <v>1057</v>
      </c>
      <c r="P310" s="1066" t="s">
        <v>1057</v>
      </c>
      <c r="Q310" s="1066" t="s">
        <v>1057</v>
      </c>
      <c r="R310" s="1066" t="s">
        <v>1200</v>
      </c>
      <c r="S310" s="1066" t="s">
        <v>1144</v>
      </c>
    </row>
    <row r="311" spans="1:19" x14ac:dyDescent="0.2">
      <c r="A311" s="1059">
        <v>128</v>
      </c>
      <c r="B311" s="1066"/>
      <c r="C311" s="1066"/>
      <c r="D311" s="1066"/>
      <c r="E311" s="1066"/>
      <c r="F311" s="1066"/>
      <c r="G311" s="1066" t="s">
        <v>1474</v>
      </c>
      <c r="H311" s="1066"/>
      <c r="I311" s="1066"/>
      <c r="J311" s="1066"/>
      <c r="K311" s="1066" t="s">
        <v>1990</v>
      </c>
      <c r="L311" s="1066"/>
      <c r="M311" s="1066"/>
      <c r="N311" s="1066"/>
      <c r="O311" s="1066" t="s">
        <v>1429</v>
      </c>
      <c r="P311" s="1066" t="s">
        <v>1095</v>
      </c>
      <c r="Q311" s="1066" t="s">
        <v>1482</v>
      </c>
      <c r="R311" s="1066"/>
      <c r="S311" s="1066"/>
    </row>
    <row r="312" spans="1:19" x14ac:dyDescent="0.2">
      <c r="A312" s="1059">
        <v>129</v>
      </c>
      <c r="B312" s="1066" t="s">
        <v>1687</v>
      </c>
      <c r="C312" s="1066" t="s">
        <v>1564</v>
      </c>
      <c r="D312" s="1066" t="s">
        <v>1991</v>
      </c>
      <c r="E312" s="1066" t="s">
        <v>1992</v>
      </c>
      <c r="F312" s="1066" t="s">
        <v>1883</v>
      </c>
      <c r="G312" s="1068"/>
      <c r="H312" s="1066" t="s">
        <v>1732</v>
      </c>
      <c r="I312" s="1066" t="s">
        <v>1054</v>
      </c>
      <c r="J312" s="1066" t="s">
        <v>1055</v>
      </c>
      <c r="K312" s="1066" t="s">
        <v>1056</v>
      </c>
      <c r="L312" s="1068"/>
      <c r="M312" s="1068"/>
      <c r="N312" s="1068"/>
      <c r="O312" s="1066" t="s">
        <v>1057</v>
      </c>
      <c r="P312" s="1066" t="s">
        <v>1057</v>
      </c>
      <c r="Q312" s="1066" t="s">
        <v>1057</v>
      </c>
      <c r="R312" s="1066" t="s">
        <v>1993</v>
      </c>
      <c r="S312" s="1068"/>
    </row>
    <row r="313" spans="1:19" x14ac:dyDescent="0.2">
      <c r="A313" s="1059">
        <v>130</v>
      </c>
      <c r="B313" s="1068"/>
      <c r="C313" s="1068"/>
      <c r="D313" s="1068"/>
      <c r="E313" s="1068"/>
      <c r="F313" s="1068"/>
      <c r="G313" s="1066" t="s">
        <v>1883</v>
      </c>
      <c r="H313" s="1068"/>
      <c r="I313" s="1068"/>
      <c r="J313" s="1068"/>
      <c r="K313" s="1066" t="s">
        <v>1459</v>
      </c>
      <c r="L313" s="1066"/>
      <c r="M313" s="1066"/>
      <c r="N313" s="1066"/>
      <c r="O313" s="1066" t="s">
        <v>1994</v>
      </c>
      <c r="P313" s="1066" t="s">
        <v>1995</v>
      </c>
      <c r="Q313" s="1066" t="s">
        <v>1996</v>
      </c>
      <c r="R313" s="1066"/>
      <c r="S313" s="1068"/>
    </row>
    <row r="314" spans="1:19" x14ac:dyDescent="0.2">
      <c r="A314" s="1059">
        <v>131</v>
      </c>
      <c r="B314" s="1068"/>
      <c r="C314" s="1066" t="s">
        <v>1569</v>
      </c>
      <c r="D314" s="1066" t="s">
        <v>1997</v>
      </c>
      <c r="E314" s="1066" t="s">
        <v>1125</v>
      </c>
      <c r="F314" s="1066" t="s">
        <v>1998</v>
      </c>
      <c r="G314" s="1068"/>
      <c r="H314" s="1066" t="s">
        <v>1732</v>
      </c>
      <c r="I314" s="1066" t="s">
        <v>1999</v>
      </c>
      <c r="J314" s="1066" t="s">
        <v>1055</v>
      </c>
      <c r="K314" s="1066" t="s">
        <v>1459</v>
      </c>
      <c r="L314" s="1068"/>
      <c r="M314" s="1068"/>
      <c r="N314" s="1068"/>
      <c r="O314" s="1066" t="s">
        <v>1120</v>
      </c>
      <c r="P314" s="1066" t="s">
        <v>1095</v>
      </c>
      <c r="Q314" s="1066" t="s">
        <v>1112</v>
      </c>
      <c r="R314" s="1066" t="s">
        <v>2000</v>
      </c>
      <c r="S314" s="1066" t="s">
        <v>1144</v>
      </c>
    </row>
    <row r="315" spans="1:19" x14ac:dyDescent="0.2">
      <c r="A315" s="1059">
        <v>132</v>
      </c>
      <c r="B315" s="1068"/>
      <c r="C315" s="1068"/>
      <c r="D315" s="1068"/>
      <c r="E315" s="1068"/>
      <c r="F315" s="1068"/>
      <c r="G315" s="1066" t="s">
        <v>2001</v>
      </c>
      <c r="H315" s="1068"/>
      <c r="I315" s="1068"/>
      <c r="J315" s="1068"/>
      <c r="K315" s="1066" t="s">
        <v>2002</v>
      </c>
      <c r="L315" s="1066"/>
      <c r="M315" s="1066"/>
      <c r="N315" s="1066"/>
      <c r="O315" s="1066" t="s">
        <v>1554</v>
      </c>
      <c r="P315" s="1066" t="s">
        <v>1244</v>
      </c>
      <c r="Q315" s="1066" t="s">
        <v>2003</v>
      </c>
      <c r="R315" s="1068"/>
      <c r="S315" s="1068"/>
    </row>
    <row r="316" spans="1:19" x14ac:dyDescent="0.2">
      <c r="A316" s="1059">
        <v>133</v>
      </c>
      <c r="B316" s="1068"/>
      <c r="C316" s="1066" t="s">
        <v>1256</v>
      </c>
      <c r="D316" s="1066" t="s">
        <v>2004</v>
      </c>
      <c r="E316" s="1066" t="s">
        <v>1835</v>
      </c>
      <c r="F316" s="1066" t="s">
        <v>1538</v>
      </c>
      <c r="G316" s="1068"/>
      <c r="H316" s="1066" t="s">
        <v>1732</v>
      </c>
      <c r="I316" s="1066" t="s">
        <v>2005</v>
      </c>
      <c r="J316" s="1066" t="s">
        <v>1055</v>
      </c>
      <c r="K316" s="1066" t="s">
        <v>2002</v>
      </c>
      <c r="L316" s="1068"/>
      <c r="M316" s="1068"/>
      <c r="N316" s="1068"/>
      <c r="O316" s="1066" t="s">
        <v>1554</v>
      </c>
      <c r="P316" s="1066" t="s">
        <v>1244</v>
      </c>
      <c r="Q316" s="1066" t="s">
        <v>2006</v>
      </c>
      <c r="R316" s="1066" t="s">
        <v>2007</v>
      </c>
      <c r="S316" s="1068"/>
    </row>
    <row r="317" spans="1:19" x14ac:dyDescent="0.2">
      <c r="A317" s="1059">
        <v>134</v>
      </c>
      <c r="B317" s="1066"/>
      <c r="C317" s="1066"/>
      <c r="D317" s="1066"/>
      <c r="E317" s="1066"/>
      <c r="F317" s="1066"/>
      <c r="G317" s="1066" t="s">
        <v>2008</v>
      </c>
      <c r="H317" s="1066"/>
      <c r="I317" s="1066"/>
      <c r="J317" s="1066"/>
      <c r="K317" s="1066" t="s">
        <v>2009</v>
      </c>
      <c r="L317" s="1066"/>
      <c r="M317" s="1066"/>
      <c r="N317" s="1066"/>
      <c r="O317" s="1066" t="s">
        <v>2010</v>
      </c>
      <c r="P317" s="1066" t="s">
        <v>1309</v>
      </c>
      <c r="Q317" s="1066" t="s">
        <v>1952</v>
      </c>
      <c r="R317" s="1066"/>
      <c r="S317" s="1066"/>
    </row>
    <row r="318" spans="1:19" x14ac:dyDescent="0.2">
      <c r="A318" s="1059">
        <v>135</v>
      </c>
      <c r="B318" s="1066" t="s">
        <v>1704</v>
      </c>
      <c r="C318" s="1066" t="s">
        <v>1507</v>
      </c>
      <c r="D318" s="1066" t="s">
        <v>2011</v>
      </c>
      <c r="E318" s="1066" t="s">
        <v>1270</v>
      </c>
      <c r="F318" s="1066" t="s">
        <v>2012</v>
      </c>
      <c r="G318" s="1068"/>
      <c r="H318" s="1066" t="s">
        <v>1732</v>
      </c>
      <c r="I318" s="1066" t="s">
        <v>1054</v>
      </c>
      <c r="J318" s="1066" t="s">
        <v>1055</v>
      </c>
      <c r="K318" s="1066" t="s">
        <v>1056</v>
      </c>
      <c r="L318" s="1068"/>
      <c r="M318" s="1068"/>
      <c r="N318" s="1068"/>
      <c r="O318" s="1066" t="s">
        <v>1057</v>
      </c>
      <c r="P318" s="1066" t="s">
        <v>1057</v>
      </c>
      <c r="Q318" s="1066" t="s">
        <v>1057</v>
      </c>
      <c r="R318" s="1066" t="s">
        <v>2013</v>
      </c>
      <c r="S318" s="1068"/>
    </row>
    <row r="319" spans="1:19" x14ac:dyDescent="0.2">
      <c r="A319" s="1059">
        <v>136</v>
      </c>
      <c r="B319" s="1068"/>
      <c r="C319" s="1068"/>
      <c r="D319" s="1068"/>
      <c r="E319" s="1068"/>
      <c r="F319" s="1068"/>
      <c r="G319" s="1066" t="s">
        <v>2012</v>
      </c>
      <c r="H319" s="1068"/>
      <c r="I319" s="1068"/>
      <c r="J319" s="1068"/>
      <c r="K319" s="1066" t="s">
        <v>1056</v>
      </c>
      <c r="L319" s="1066" t="s">
        <v>2014</v>
      </c>
      <c r="M319" s="1066" t="s">
        <v>1105</v>
      </c>
      <c r="N319" s="1066" t="s">
        <v>1061</v>
      </c>
      <c r="O319" s="1066" t="s">
        <v>1094</v>
      </c>
      <c r="P319" s="1066" t="s">
        <v>1244</v>
      </c>
      <c r="Q319" s="1066" t="s">
        <v>1659</v>
      </c>
      <c r="R319" s="1068"/>
      <c r="S319" s="1068"/>
    </row>
    <row r="320" spans="1:19" x14ac:dyDescent="0.2">
      <c r="A320" s="1059">
        <v>137</v>
      </c>
      <c r="B320" s="1068"/>
      <c r="C320" s="1066" t="s">
        <v>1123</v>
      </c>
      <c r="D320" s="1066" t="s">
        <v>2015</v>
      </c>
      <c r="E320" s="1066" t="s">
        <v>1270</v>
      </c>
      <c r="F320" s="1066" t="s">
        <v>2016</v>
      </c>
      <c r="G320" s="1068"/>
      <c r="H320" s="1066" t="s">
        <v>1732</v>
      </c>
      <c r="I320" s="1066" t="s">
        <v>1054</v>
      </c>
      <c r="J320" s="1066" t="s">
        <v>1055</v>
      </c>
      <c r="K320" s="1066" t="s">
        <v>1056</v>
      </c>
      <c r="L320" s="1068"/>
      <c r="M320" s="1068"/>
      <c r="N320" s="1068"/>
      <c r="O320" s="1066" t="s">
        <v>1057</v>
      </c>
      <c r="P320" s="1066" t="s">
        <v>1057</v>
      </c>
      <c r="Q320" s="1066" t="s">
        <v>1057</v>
      </c>
      <c r="R320" s="1066" t="s">
        <v>2017</v>
      </c>
      <c r="S320" s="1066" t="s">
        <v>1144</v>
      </c>
    </row>
    <row r="321" spans="1:19" x14ac:dyDescent="0.2">
      <c r="A321" s="1059">
        <v>138</v>
      </c>
      <c r="B321" s="1066"/>
      <c r="C321" s="1066"/>
      <c r="D321" s="1066"/>
      <c r="E321" s="1066"/>
      <c r="F321" s="1066"/>
      <c r="G321" s="1066" t="s">
        <v>2016</v>
      </c>
      <c r="H321" s="1066"/>
      <c r="I321" s="1066"/>
      <c r="J321" s="1066"/>
      <c r="K321" s="1066" t="s">
        <v>1152</v>
      </c>
      <c r="L321" s="1066"/>
      <c r="M321" s="1066"/>
      <c r="N321" s="1066"/>
      <c r="O321" s="1066" t="s">
        <v>1429</v>
      </c>
      <c r="P321" s="1066" t="s">
        <v>1244</v>
      </c>
      <c r="Q321" s="1066" t="s">
        <v>2018</v>
      </c>
      <c r="R321" s="1066"/>
      <c r="S321" s="1066"/>
    </row>
    <row r="322" spans="1:19" x14ac:dyDescent="0.2">
      <c r="A322" s="1059">
        <v>139</v>
      </c>
      <c r="B322" s="1066" t="s">
        <v>1717</v>
      </c>
      <c r="C322" s="1066" t="s">
        <v>1576</v>
      </c>
      <c r="D322" s="1066" t="s">
        <v>2019</v>
      </c>
      <c r="E322" s="1066" t="s">
        <v>1051</v>
      </c>
      <c r="F322" s="1066" t="s">
        <v>1496</v>
      </c>
      <c r="G322" s="1068"/>
      <c r="H322" s="1066" t="s">
        <v>1732</v>
      </c>
      <c r="I322" s="1066" t="s">
        <v>1054</v>
      </c>
      <c r="J322" s="1066" t="s">
        <v>1055</v>
      </c>
      <c r="K322" s="1066" t="s">
        <v>1056</v>
      </c>
      <c r="L322" s="1068"/>
      <c r="M322" s="1068"/>
      <c r="N322" s="1068"/>
      <c r="O322" s="1066" t="s">
        <v>1057</v>
      </c>
      <c r="P322" s="1066" t="s">
        <v>1057</v>
      </c>
      <c r="Q322" s="1066" t="s">
        <v>1057</v>
      </c>
      <c r="R322" s="1066" t="s">
        <v>2020</v>
      </c>
      <c r="S322" s="1066" t="s">
        <v>1144</v>
      </c>
    </row>
    <row r="323" spans="1:19" x14ac:dyDescent="0.2">
      <c r="A323" s="1059">
        <v>140</v>
      </c>
      <c r="B323" s="1068"/>
      <c r="C323" s="1068"/>
      <c r="D323" s="1068"/>
      <c r="E323" s="1068"/>
      <c r="F323" s="1068"/>
      <c r="G323" s="1066" t="s">
        <v>1496</v>
      </c>
      <c r="H323" s="1068"/>
      <c r="I323" s="1068"/>
      <c r="J323" s="1068"/>
      <c r="K323" s="1066" t="s">
        <v>2021</v>
      </c>
      <c r="L323" s="1066"/>
      <c r="M323" s="1066"/>
      <c r="N323" s="1066"/>
      <c r="O323" s="1066" t="s">
        <v>1120</v>
      </c>
      <c r="P323" s="1066" t="s">
        <v>1095</v>
      </c>
      <c r="Q323" s="1066" t="s">
        <v>2022</v>
      </c>
      <c r="R323" s="1068"/>
      <c r="S323" s="1068"/>
    </row>
    <row r="324" spans="1:19" x14ac:dyDescent="0.2">
      <c r="A324" s="1059">
        <v>141</v>
      </c>
      <c r="B324" s="1068"/>
      <c r="C324" s="1066" t="s">
        <v>1590</v>
      </c>
      <c r="D324" s="1066" t="s">
        <v>2023</v>
      </c>
      <c r="E324" s="1066" t="s">
        <v>1133</v>
      </c>
      <c r="F324" s="1066" t="s">
        <v>1314</v>
      </c>
      <c r="G324" s="1068"/>
      <c r="H324" s="1066" t="s">
        <v>1732</v>
      </c>
      <c r="I324" s="1066" t="s">
        <v>1545</v>
      </c>
      <c r="J324" s="1066" t="s">
        <v>1055</v>
      </c>
      <c r="K324" s="1066" t="s">
        <v>2021</v>
      </c>
      <c r="L324" s="1068"/>
      <c r="M324" s="1068"/>
      <c r="N324" s="1068"/>
      <c r="O324" s="1066" t="s">
        <v>1703</v>
      </c>
      <c r="P324" s="1066" t="s">
        <v>1095</v>
      </c>
      <c r="Q324" s="1066" t="s">
        <v>2024</v>
      </c>
      <c r="R324" s="1066" t="s">
        <v>2025</v>
      </c>
      <c r="S324" s="1068"/>
    </row>
    <row r="325" spans="1:19" x14ac:dyDescent="0.2">
      <c r="A325" s="1059">
        <v>142</v>
      </c>
      <c r="B325" s="1066"/>
      <c r="C325" s="1066"/>
      <c r="D325" s="1066"/>
      <c r="E325" s="1066"/>
      <c r="F325" s="1066"/>
      <c r="G325" s="1066" t="s">
        <v>2026</v>
      </c>
      <c r="H325" s="1066"/>
      <c r="I325" s="1066"/>
      <c r="J325" s="1066"/>
      <c r="K325" s="1066" t="s">
        <v>1800</v>
      </c>
      <c r="L325" s="1066"/>
      <c r="M325" s="1066"/>
      <c r="N325" s="1066"/>
      <c r="O325" s="1066" t="s">
        <v>2027</v>
      </c>
      <c r="P325" s="1066" t="s">
        <v>1254</v>
      </c>
      <c r="Q325" s="1066" t="s">
        <v>2028</v>
      </c>
      <c r="R325" s="1066"/>
      <c r="S325" s="1066"/>
    </row>
    <row r="326" spans="1:19" x14ac:dyDescent="0.2">
      <c r="A326" s="1059">
        <v>143</v>
      </c>
      <c r="B326" s="1066" t="s">
        <v>1725</v>
      </c>
      <c r="C326" s="1066" t="s">
        <v>1611</v>
      </c>
      <c r="D326" s="1066" t="s">
        <v>2029</v>
      </c>
      <c r="E326" s="1066" t="s">
        <v>1165</v>
      </c>
      <c r="F326" s="1066" t="s">
        <v>1572</v>
      </c>
      <c r="G326" s="1068"/>
      <c r="H326" s="1066" t="s">
        <v>1732</v>
      </c>
      <c r="I326" s="1066" t="s">
        <v>1054</v>
      </c>
      <c r="J326" s="1066" t="s">
        <v>1055</v>
      </c>
      <c r="K326" s="1066" t="s">
        <v>1056</v>
      </c>
      <c r="L326" s="1068"/>
      <c r="M326" s="1068"/>
      <c r="N326" s="1068"/>
      <c r="O326" s="1066" t="s">
        <v>1057</v>
      </c>
      <c r="P326" s="1066" t="s">
        <v>1057</v>
      </c>
      <c r="Q326" s="1066" t="s">
        <v>1057</v>
      </c>
      <c r="R326" s="1066" t="s">
        <v>1533</v>
      </c>
      <c r="S326" s="1066" t="s">
        <v>1144</v>
      </c>
    </row>
    <row r="327" spans="1:19" x14ac:dyDescent="0.2">
      <c r="A327" s="1059">
        <v>144</v>
      </c>
      <c r="B327" s="1066"/>
      <c r="C327" s="1066"/>
      <c r="D327" s="1066"/>
      <c r="E327" s="1066"/>
      <c r="F327" s="1066"/>
      <c r="G327" s="1066" t="s">
        <v>1572</v>
      </c>
      <c r="H327" s="1066"/>
      <c r="I327" s="1066"/>
      <c r="J327" s="1066"/>
      <c r="K327" s="1066" t="s">
        <v>2030</v>
      </c>
      <c r="L327" s="1066"/>
      <c r="M327" s="1066"/>
      <c r="N327" s="1066"/>
      <c r="O327" s="1066" t="s">
        <v>1111</v>
      </c>
      <c r="P327" s="1066" t="s">
        <v>1095</v>
      </c>
      <c r="Q327" s="1066" t="s">
        <v>2031</v>
      </c>
      <c r="R327" s="1066"/>
      <c r="S327" s="1066"/>
    </row>
    <row r="328" spans="1:19" x14ac:dyDescent="0.2">
      <c r="A328" s="1059">
        <v>145</v>
      </c>
      <c r="B328" s="1066" t="s">
        <v>2032</v>
      </c>
      <c r="C328" s="1066" t="s">
        <v>1618</v>
      </c>
      <c r="D328" s="1066" t="s">
        <v>2033</v>
      </c>
      <c r="E328" s="1066" t="s">
        <v>1165</v>
      </c>
      <c r="F328" s="1066" t="s">
        <v>2034</v>
      </c>
      <c r="G328" s="1068"/>
      <c r="H328" s="1066" t="s">
        <v>1732</v>
      </c>
      <c r="I328" s="1066" t="s">
        <v>1054</v>
      </c>
      <c r="J328" s="1066" t="s">
        <v>1055</v>
      </c>
      <c r="K328" s="1066" t="s">
        <v>1056</v>
      </c>
      <c r="L328" s="1068"/>
      <c r="M328" s="1068"/>
      <c r="N328" s="1068"/>
      <c r="O328" s="1066" t="s">
        <v>1057</v>
      </c>
      <c r="P328" s="1066" t="s">
        <v>1057</v>
      </c>
      <c r="Q328" s="1066" t="s">
        <v>1057</v>
      </c>
      <c r="R328" s="1066" t="s">
        <v>1221</v>
      </c>
      <c r="S328" s="1068"/>
    </row>
    <row r="329" spans="1:19" x14ac:dyDescent="0.2">
      <c r="A329" s="1059">
        <v>146</v>
      </c>
      <c r="B329" s="1068"/>
      <c r="C329" s="1068"/>
      <c r="D329" s="1068"/>
      <c r="E329" s="1068"/>
      <c r="F329" s="1068"/>
      <c r="G329" s="1066" t="s">
        <v>2034</v>
      </c>
      <c r="H329" s="1068"/>
      <c r="I329" s="1068"/>
      <c r="J329" s="1068"/>
      <c r="K329" s="1066" t="s">
        <v>1056</v>
      </c>
      <c r="L329" s="1066" t="s">
        <v>2035</v>
      </c>
      <c r="M329" s="1066" t="s">
        <v>1105</v>
      </c>
      <c r="N329" s="1066" t="s">
        <v>1061</v>
      </c>
      <c r="O329" s="1066" t="s">
        <v>1137</v>
      </c>
      <c r="P329" s="1066" t="s">
        <v>1244</v>
      </c>
      <c r="Q329" s="1066" t="s">
        <v>1317</v>
      </c>
      <c r="R329" s="1068"/>
      <c r="S329" s="1068"/>
    </row>
    <row r="330" spans="1:19" x14ac:dyDescent="0.2">
      <c r="A330" s="1059">
        <v>147</v>
      </c>
      <c r="B330" s="1068"/>
      <c r="C330" s="1066" t="s">
        <v>1624</v>
      </c>
      <c r="D330" s="1066" t="s">
        <v>1276</v>
      </c>
      <c r="E330" s="1066" t="s">
        <v>1443</v>
      </c>
      <c r="F330" s="1066" t="s">
        <v>1320</v>
      </c>
      <c r="G330" s="1068"/>
      <c r="H330" s="1066" t="s">
        <v>1732</v>
      </c>
      <c r="I330" s="1066" t="s">
        <v>1054</v>
      </c>
      <c r="J330" s="1066" t="s">
        <v>1055</v>
      </c>
      <c r="K330" s="1066" t="s">
        <v>1056</v>
      </c>
      <c r="L330" s="1068"/>
      <c r="M330" s="1068"/>
      <c r="N330" s="1068"/>
      <c r="O330" s="1066" t="s">
        <v>1057</v>
      </c>
      <c r="P330" s="1066" t="s">
        <v>1057</v>
      </c>
      <c r="Q330" s="1066" t="s">
        <v>1057</v>
      </c>
      <c r="R330" s="1066" t="s">
        <v>2036</v>
      </c>
      <c r="S330" s="1066" t="s">
        <v>1144</v>
      </c>
    </row>
    <row r="331" spans="1:19" x14ac:dyDescent="0.2">
      <c r="A331" s="1059">
        <v>148</v>
      </c>
      <c r="B331" s="1068"/>
      <c r="C331" s="1068"/>
      <c r="D331" s="1068"/>
      <c r="E331" s="1068"/>
      <c r="F331" s="1068"/>
      <c r="G331" s="1066" t="s">
        <v>1320</v>
      </c>
      <c r="H331" s="1068"/>
      <c r="I331" s="1068"/>
      <c r="J331" s="1068"/>
      <c r="K331" s="1066" t="s">
        <v>2037</v>
      </c>
      <c r="L331" s="1066"/>
      <c r="M331" s="1066"/>
      <c r="N331" s="1066"/>
      <c r="O331" s="1066" t="s">
        <v>1103</v>
      </c>
      <c r="P331" s="1066" t="s">
        <v>1244</v>
      </c>
      <c r="Q331" s="1066" t="s">
        <v>1505</v>
      </c>
      <c r="R331" s="1068"/>
      <c r="S331" s="1068"/>
    </row>
    <row r="332" spans="1:19" x14ac:dyDescent="0.2">
      <c r="A332" s="1059">
        <v>149</v>
      </c>
      <c r="B332" s="1068"/>
      <c r="C332" s="1066" t="s">
        <v>1543</v>
      </c>
      <c r="D332" s="1066" t="s">
        <v>2038</v>
      </c>
      <c r="E332" s="1066" t="s">
        <v>1820</v>
      </c>
      <c r="F332" s="1066" t="s">
        <v>2039</v>
      </c>
      <c r="G332" s="1068"/>
      <c r="H332" s="1066" t="s">
        <v>1732</v>
      </c>
      <c r="I332" s="1066" t="s">
        <v>1948</v>
      </c>
      <c r="J332" s="1066" t="s">
        <v>1055</v>
      </c>
      <c r="K332" s="1066" t="s">
        <v>2037</v>
      </c>
      <c r="L332" s="1068"/>
      <c r="M332" s="1068"/>
      <c r="N332" s="1068"/>
      <c r="O332" s="1066" t="s">
        <v>2040</v>
      </c>
      <c r="P332" s="1066" t="s">
        <v>1063</v>
      </c>
      <c r="Q332" s="1066" t="s">
        <v>1470</v>
      </c>
      <c r="R332" s="1066" t="s">
        <v>2041</v>
      </c>
      <c r="S332" s="1066" t="s">
        <v>1144</v>
      </c>
    </row>
    <row r="333" spans="1:19" x14ac:dyDescent="0.2">
      <c r="A333" s="1059">
        <v>150</v>
      </c>
      <c r="B333" s="1066"/>
      <c r="C333" s="1066"/>
      <c r="D333" s="1066"/>
      <c r="E333" s="1066"/>
      <c r="F333" s="1066"/>
      <c r="G333" s="1066" t="s">
        <v>2042</v>
      </c>
      <c r="H333" s="1066"/>
      <c r="I333" s="1066"/>
      <c r="J333" s="1066"/>
      <c r="K333" s="1066" t="s">
        <v>2043</v>
      </c>
      <c r="L333" s="1066"/>
      <c r="M333" s="1066"/>
      <c r="N333" s="1066"/>
      <c r="O333" s="1066" t="s">
        <v>1637</v>
      </c>
      <c r="P333" s="1066" t="s">
        <v>1095</v>
      </c>
      <c r="Q333" s="1066" t="s">
        <v>2031</v>
      </c>
      <c r="R333" s="1066"/>
      <c r="S333" s="1066"/>
    </row>
    <row r="334" spans="1:19" x14ac:dyDescent="0.2">
      <c r="A334" s="1059">
        <v>151</v>
      </c>
      <c r="B334" s="1066" t="s">
        <v>2044</v>
      </c>
      <c r="C334" s="1066" t="s">
        <v>1604</v>
      </c>
      <c r="D334" s="1066" t="s">
        <v>2045</v>
      </c>
      <c r="E334" s="1066" t="s">
        <v>1165</v>
      </c>
      <c r="F334" s="1066" t="s">
        <v>1572</v>
      </c>
      <c r="G334" s="1068"/>
      <c r="H334" s="1066" t="s">
        <v>1732</v>
      </c>
      <c r="I334" s="1066" t="s">
        <v>1054</v>
      </c>
      <c r="J334" s="1066" t="s">
        <v>1055</v>
      </c>
      <c r="K334" s="1066" t="s">
        <v>1056</v>
      </c>
      <c r="L334" s="1068"/>
      <c r="M334" s="1068"/>
      <c r="N334" s="1068"/>
      <c r="O334" s="1066" t="s">
        <v>1057</v>
      </c>
      <c r="P334" s="1066" t="s">
        <v>1057</v>
      </c>
      <c r="Q334" s="1066" t="s">
        <v>1057</v>
      </c>
      <c r="R334" s="1066" t="s">
        <v>2046</v>
      </c>
      <c r="S334" s="1068"/>
    </row>
    <row r="335" spans="1:19" x14ac:dyDescent="0.2">
      <c r="A335" s="1059">
        <v>152</v>
      </c>
      <c r="B335" s="1066"/>
      <c r="C335" s="1066"/>
      <c r="D335" s="1066"/>
      <c r="E335" s="1066"/>
      <c r="F335" s="1066"/>
      <c r="G335" s="1066" t="s">
        <v>1572</v>
      </c>
      <c r="H335" s="1066"/>
      <c r="I335" s="1066"/>
      <c r="J335" s="1066"/>
      <c r="K335" s="1066" t="s">
        <v>1056</v>
      </c>
      <c r="L335" s="1066" t="s">
        <v>2047</v>
      </c>
      <c r="M335" s="1066" t="s">
        <v>1105</v>
      </c>
      <c r="N335" s="1066" t="s">
        <v>1061</v>
      </c>
      <c r="O335" s="1066" t="s">
        <v>1111</v>
      </c>
      <c r="P335" s="1066" t="s">
        <v>1095</v>
      </c>
      <c r="Q335" s="1066" t="s">
        <v>1855</v>
      </c>
      <c r="R335" s="1066"/>
      <c r="S335" s="1066"/>
    </row>
    <row r="336" spans="1:19" x14ac:dyDescent="0.2">
      <c r="A336" s="1059">
        <v>153</v>
      </c>
      <c r="B336" s="1066" t="s">
        <v>2048</v>
      </c>
      <c r="C336" s="1066" t="s">
        <v>1630</v>
      </c>
      <c r="D336" s="1066" t="s">
        <v>2049</v>
      </c>
      <c r="E336" s="1066" t="s">
        <v>1305</v>
      </c>
      <c r="F336" s="1066" t="s">
        <v>1883</v>
      </c>
      <c r="G336" s="1068"/>
      <c r="H336" s="1066" t="s">
        <v>1732</v>
      </c>
      <c r="I336" s="1066" t="s">
        <v>1054</v>
      </c>
      <c r="J336" s="1066" t="s">
        <v>1055</v>
      </c>
      <c r="K336" s="1066" t="s">
        <v>1056</v>
      </c>
      <c r="L336" s="1068"/>
      <c r="M336" s="1068"/>
      <c r="N336" s="1068"/>
      <c r="O336" s="1066" t="s">
        <v>1057</v>
      </c>
      <c r="P336" s="1066" t="s">
        <v>1057</v>
      </c>
      <c r="Q336" s="1066" t="s">
        <v>1057</v>
      </c>
      <c r="R336" s="1066" t="s">
        <v>2050</v>
      </c>
      <c r="S336" s="1066" t="s">
        <v>1144</v>
      </c>
    </row>
    <row r="337" spans="1:19" x14ac:dyDescent="0.2">
      <c r="A337" s="1059">
        <v>154</v>
      </c>
      <c r="B337" s="1066"/>
      <c r="C337" s="1066"/>
      <c r="D337" s="1066"/>
      <c r="E337" s="1066"/>
      <c r="F337" s="1066"/>
      <c r="G337" s="1066" t="s">
        <v>1883</v>
      </c>
      <c r="H337" s="1066"/>
      <c r="I337" s="1066"/>
      <c r="J337" s="1066"/>
      <c r="K337" s="1066" t="s">
        <v>2051</v>
      </c>
      <c r="L337" s="1066"/>
      <c r="M337" s="1066"/>
      <c r="N337" s="1066"/>
      <c r="O337" s="1066" t="s">
        <v>1396</v>
      </c>
      <c r="P337" s="1066" t="s">
        <v>1244</v>
      </c>
      <c r="Q337" s="1066" t="s">
        <v>2052</v>
      </c>
      <c r="R337" s="1066"/>
      <c r="S337" s="1066"/>
    </row>
    <row r="338" spans="1:19" x14ac:dyDescent="0.2">
      <c r="A338" s="1059">
        <v>155</v>
      </c>
      <c r="B338" s="1066" t="s">
        <v>2053</v>
      </c>
      <c r="C338" s="1066" t="s">
        <v>1646</v>
      </c>
      <c r="D338" s="1066" t="s">
        <v>2054</v>
      </c>
      <c r="E338" s="1066" t="s">
        <v>1305</v>
      </c>
      <c r="F338" s="1066" t="s">
        <v>1843</v>
      </c>
      <c r="G338" s="1068"/>
      <c r="H338" s="1066" t="s">
        <v>1732</v>
      </c>
      <c r="I338" s="1066" t="s">
        <v>1054</v>
      </c>
      <c r="J338" s="1066" t="s">
        <v>1055</v>
      </c>
      <c r="K338" s="1066" t="s">
        <v>1056</v>
      </c>
      <c r="L338" s="1068"/>
      <c r="M338" s="1068"/>
      <c r="N338" s="1068"/>
      <c r="O338" s="1066" t="s">
        <v>1057</v>
      </c>
      <c r="P338" s="1066" t="s">
        <v>1057</v>
      </c>
      <c r="Q338" s="1066" t="s">
        <v>1057</v>
      </c>
      <c r="R338" s="1066" t="s">
        <v>2037</v>
      </c>
      <c r="S338" s="1066" t="s">
        <v>1144</v>
      </c>
    </row>
    <row r="339" spans="1:19" x14ac:dyDescent="0.2">
      <c r="A339" s="1059">
        <v>156</v>
      </c>
      <c r="B339" s="1068"/>
      <c r="C339" s="1068"/>
      <c r="D339" s="1068"/>
      <c r="E339" s="1068"/>
      <c r="F339" s="1068"/>
      <c r="G339" s="1066" t="s">
        <v>1843</v>
      </c>
      <c r="H339" s="1068"/>
      <c r="I339" s="1068"/>
      <c r="J339" s="1068"/>
      <c r="K339" s="1066" t="s">
        <v>1622</v>
      </c>
      <c r="L339" s="1066"/>
      <c r="M339" s="1066"/>
      <c r="N339" s="1066"/>
      <c r="O339" s="1066" t="s">
        <v>1581</v>
      </c>
      <c r="P339" s="1066" t="s">
        <v>1095</v>
      </c>
      <c r="Q339" s="1066" t="s">
        <v>2055</v>
      </c>
      <c r="R339" s="1068"/>
      <c r="S339" s="1068"/>
    </row>
    <row r="340" spans="1:19" x14ac:dyDescent="0.2">
      <c r="A340" s="1059">
        <v>157</v>
      </c>
      <c r="B340" s="1068"/>
      <c r="C340" s="1066" t="s">
        <v>1638</v>
      </c>
      <c r="D340" s="1066" t="s">
        <v>2056</v>
      </c>
      <c r="E340" s="1066" t="s">
        <v>1798</v>
      </c>
      <c r="F340" s="1066" t="s">
        <v>2057</v>
      </c>
      <c r="G340" s="1068"/>
      <c r="H340" s="1066" t="s">
        <v>1732</v>
      </c>
      <c r="I340" s="1066" t="s">
        <v>2058</v>
      </c>
      <c r="J340" s="1066" t="s">
        <v>1055</v>
      </c>
      <c r="K340" s="1066" t="s">
        <v>1622</v>
      </c>
      <c r="L340" s="1068"/>
      <c r="M340" s="1068"/>
      <c r="N340" s="1068"/>
      <c r="O340" s="1066" t="s">
        <v>1517</v>
      </c>
      <c r="P340" s="1066" t="s">
        <v>1367</v>
      </c>
      <c r="Q340" s="1066" t="s">
        <v>2059</v>
      </c>
      <c r="R340" s="1066" t="s">
        <v>2060</v>
      </c>
      <c r="S340" s="1068"/>
    </row>
    <row r="341" spans="1:19" x14ac:dyDescent="0.2">
      <c r="A341" s="1059">
        <v>158</v>
      </c>
      <c r="B341" s="1066"/>
      <c r="C341" s="1066"/>
      <c r="D341" s="1066"/>
      <c r="E341" s="1066"/>
      <c r="F341" s="1066"/>
      <c r="G341" s="1066" t="s">
        <v>1788</v>
      </c>
      <c r="H341" s="1066"/>
      <c r="I341" s="1066"/>
      <c r="J341" s="1066"/>
      <c r="K341" s="1066" t="s">
        <v>1056</v>
      </c>
      <c r="L341" s="1066" t="s">
        <v>1259</v>
      </c>
      <c r="M341" s="1066" t="s">
        <v>1105</v>
      </c>
      <c r="N341" s="1066" t="s">
        <v>1061</v>
      </c>
      <c r="O341" s="1066" t="s">
        <v>2061</v>
      </c>
      <c r="P341" s="1066" t="s">
        <v>1095</v>
      </c>
      <c r="Q341" s="1066" t="s">
        <v>1301</v>
      </c>
      <c r="R341" s="1066"/>
      <c r="S341" s="1066"/>
    </row>
    <row r="342" spans="1:19" x14ac:dyDescent="0.2">
      <c r="A342" s="1059">
        <v>159</v>
      </c>
      <c r="B342" s="1066" t="s">
        <v>2062</v>
      </c>
      <c r="C342" s="1066" t="s">
        <v>1661</v>
      </c>
      <c r="D342" s="1066" t="s">
        <v>2063</v>
      </c>
      <c r="E342" s="1066" t="s">
        <v>1305</v>
      </c>
      <c r="F342" s="1066" t="s">
        <v>2064</v>
      </c>
      <c r="G342" s="1068"/>
      <c r="H342" s="1066" t="s">
        <v>1732</v>
      </c>
      <c r="I342" s="1066" t="s">
        <v>1054</v>
      </c>
      <c r="J342" s="1066" t="s">
        <v>1055</v>
      </c>
      <c r="K342" s="1066" t="s">
        <v>1056</v>
      </c>
      <c r="L342" s="1068"/>
      <c r="M342" s="1068"/>
      <c r="N342" s="1068"/>
      <c r="O342" s="1066" t="s">
        <v>1057</v>
      </c>
      <c r="P342" s="1066" t="s">
        <v>1057</v>
      </c>
      <c r="Q342" s="1066" t="s">
        <v>1057</v>
      </c>
      <c r="R342" s="1066" t="s">
        <v>1641</v>
      </c>
      <c r="S342" s="1068"/>
    </row>
    <row r="343" spans="1:19" x14ac:dyDescent="0.2">
      <c r="A343" s="1059">
        <v>160</v>
      </c>
      <c r="B343" s="1066"/>
      <c r="C343" s="1066"/>
      <c r="D343" s="1066"/>
      <c r="E343" s="1066"/>
      <c r="F343" s="1066"/>
      <c r="G343" s="1066" t="s">
        <v>2064</v>
      </c>
      <c r="H343" s="1066"/>
      <c r="I343" s="1066"/>
      <c r="J343" s="1066"/>
      <c r="K343" s="1066" t="s">
        <v>2065</v>
      </c>
      <c r="L343" s="1066"/>
      <c r="M343" s="1066"/>
      <c r="N343" s="1066"/>
      <c r="O343" s="1066" t="s">
        <v>1340</v>
      </c>
      <c r="P343" s="1066" t="s">
        <v>1254</v>
      </c>
      <c r="Q343" s="1066" t="s">
        <v>2066</v>
      </c>
      <c r="R343" s="1066"/>
      <c r="S343" s="1066"/>
    </row>
    <row r="344" spans="1:19" x14ac:dyDescent="0.2">
      <c r="A344" s="1059">
        <v>161</v>
      </c>
      <c r="B344" s="1066" t="s">
        <v>2067</v>
      </c>
      <c r="C344" s="1066" t="s">
        <v>1667</v>
      </c>
      <c r="D344" s="1066" t="s">
        <v>2068</v>
      </c>
      <c r="E344" s="1066" t="s">
        <v>1443</v>
      </c>
      <c r="F344" s="1066" t="s">
        <v>1420</v>
      </c>
      <c r="G344" s="1068"/>
      <c r="H344" s="1066" t="s">
        <v>1732</v>
      </c>
      <c r="I344" s="1066" t="s">
        <v>1054</v>
      </c>
      <c r="J344" s="1066" t="s">
        <v>1055</v>
      </c>
      <c r="K344" s="1066" t="s">
        <v>1056</v>
      </c>
      <c r="L344" s="1068"/>
      <c r="M344" s="1068"/>
      <c r="N344" s="1068"/>
      <c r="O344" s="1066" t="s">
        <v>1057</v>
      </c>
      <c r="P344" s="1066" t="s">
        <v>1057</v>
      </c>
      <c r="Q344" s="1066" t="s">
        <v>1057</v>
      </c>
      <c r="R344" s="1066" t="s">
        <v>1715</v>
      </c>
      <c r="S344" s="1066" t="s">
        <v>1144</v>
      </c>
    </row>
    <row r="345" spans="1:19" x14ac:dyDescent="0.2">
      <c r="A345" s="1059">
        <v>162</v>
      </c>
      <c r="B345" s="1068"/>
      <c r="C345" s="1068"/>
      <c r="D345" s="1068"/>
      <c r="E345" s="1068"/>
      <c r="F345" s="1068"/>
      <c r="G345" s="1066" t="s">
        <v>1420</v>
      </c>
      <c r="H345" s="1068"/>
      <c r="I345" s="1068"/>
      <c r="J345" s="1068"/>
      <c r="K345" s="1066" t="s">
        <v>1912</v>
      </c>
      <c r="L345" s="1066"/>
      <c r="M345" s="1066"/>
      <c r="N345" s="1066"/>
      <c r="O345" s="1066" t="s">
        <v>1541</v>
      </c>
      <c r="P345" s="1066" t="s">
        <v>1095</v>
      </c>
      <c r="Q345" s="1066" t="s">
        <v>1588</v>
      </c>
      <c r="R345" s="1068"/>
      <c r="S345" s="1068"/>
    </row>
    <row r="346" spans="1:19" x14ac:dyDescent="0.2">
      <c r="A346" s="1059">
        <v>163</v>
      </c>
      <c r="B346" s="1068"/>
      <c r="C346" s="1066" t="s">
        <v>1675</v>
      </c>
      <c r="D346" s="1066" t="s">
        <v>2069</v>
      </c>
      <c r="E346" s="1066" t="s">
        <v>1165</v>
      </c>
      <c r="F346" s="1066" t="s">
        <v>1915</v>
      </c>
      <c r="G346" s="1068"/>
      <c r="H346" s="1066" t="s">
        <v>1732</v>
      </c>
      <c r="I346" s="1066" t="s">
        <v>2070</v>
      </c>
      <c r="J346" s="1066" t="s">
        <v>1055</v>
      </c>
      <c r="K346" s="1066" t="s">
        <v>1912</v>
      </c>
      <c r="L346" s="1068"/>
      <c r="M346" s="1068"/>
      <c r="N346" s="1068"/>
      <c r="O346" s="1066" t="s">
        <v>1863</v>
      </c>
      <c r="P346" s="1066" t="s">
        <v>1095</v>
      </c>
      <c r="Q346" s="1066" t="s">
        <v>1864</v>
      </c>
      <c r="R346" s="1066" t="s">
        <v>1861</v>
      </c>
      <c r="S346" s="1068"/>
    </row>
    <row r="347" spans="1:19" x14ac:dyDescent="0.2">
      <c r="A347" s="1059">
        <v>164</v>
      </c>
      <c r="B347" s="1066"/>
      <c r="C347" s="1066"/>
      <c r="D347" s="1066"/>
      <c r="E347" s="1066"/>
      <c r="F347" s="1066"/>
      <c r="G347" s="1066" t="s">
        <v>2071</v>
      </c>
      <c r="H347" s="1066"/>
      <c r="I347" s="1066"/>
      <c r="J347" s="1066"/>
      <c r="K347" s="1066" t="s">
        <v>2072</v>
      </c>
      <c r="L347" s="1066"/>
      <c r="M347" s="1066"/>
      <c r="N347" s="1066"/>
      <c r="O347" s="1066" t="s">
        <v>1283</v>
      </c>
      <c r="P347" s="1066" t="s">
        <v>1309</v>
      </c>
      <c r="Q347" s="1066" t="s">
        <v>2073</v>
      </c>
      <c r="R347" s="1066"/>
      <c r="S347" s="1066"/>
    </row>
    <row r="348" spans="1:19" x14ac:dyDescent="0.2">
      <c r="A348" s="1059">
        <v>165</v>
      </c>
      <c r="B348" s="1066" t="s">
        <v>2074</v>
      </c>
      <c r="C348" s="1066" t="s">
        <v>1688</v>
      </c>
      <c r="D348" s="1066" t="s">
        <v>2075</v>
      </c>
      <c r="E348" s="1066" t="s">
        <v>1443</v>
      </c>
      <c r="F348" s="1066" t="s">
        <v>1068</v>
      </c>
      <c r="G348" s="1068"/>
      <c r="H348" s="1066" t="s">
        <v>1732</v>
      </c>
      <c r="I348" s="1066" t="s">
        <v>1054</v>
      </c>
      <c r="J348" s="1066" t="s">
        <v>1055</v>
      </c>
      <c r="K348" s="1066" t="s">
        <v>1056</v>
      </c>
      <c r="L348" s="1068"/>
      <c r="M348" s="1068"/>
      <c r="N348" s="1068"/>
      <c r="O348" s="1066" t="s">
        <v>1057</v>
      </c>
      <c r="P348" s="1066" t="s">
        <v>1057</v>
      </c>
      <c r="Q348" s="1066" t="s">
        <v>1057</v>
      </c>
      <c r="R348" s="1066" t="s">
        <v>2076</v>
      </c>
      <c r="S348" s="1066" t="s">
        <v>1144</v>
      </c>
    </row>
    <row r="349" spans="1:19" x14ac:dyDescent="0.2">
      <c r="A349" s="1059">
        <v>166</v>
      </c>
      <c r="B349" s="1068"/>
      <c r="C349" s="1068"/>
      <c r="D349" s="1068"/>
      <c r="E349" s="1068"/>
      <c r="F349" s="1068"/>
      <c r="G349" s="1066" t="s">
        <v>1068</v>
      </c>
      <c r="H349" s="1068"/>
      <c r="I349" s="1068"/>
      <c r="J349" s="1068"/>
      <c r="K349" s="1066" t="s">
        <v>2077</v>
      </c>
      <c r="L349" s="1066"/>
      <c r="M349" s="1066"/>
      <c r="N349" s="1066"/>
      <c r="O349" s="1066" t="s">
        <v>1210</v>
      </c>
      <c r="P349" s="1066" t="s">
        <v>1095</v>
      </c>
      <c r="Q349" s="1066" t="s">
        <v>1355</v>
      </c>
      <c r="R349" s="1068"/>
      <c r="S349" s="1068"/>
    </row>
    <row r="350" spans="1:19" x14ac:dyDescent="0.2">
      <c r="A350" s="1059">
        <v>167</v>
      </c>
      <c r="B350" s="1068"/>
      <c r="C350" s="1066" t="s">
        <v>1705</v>
      </c>
      <c r="D350" s="1066" t="s">
        <v>2078</v>
      </c>
      <c r="E350" s="1066" t="s">
        <v>1165</v>
      </c>
      <c r="F350" s="1066" t="s">
        <v>2079</v>
      </c>
      <c r="G350" s="1068"/>
      <c r="H350" s="1066" t="s">
        <v>1732</v>
      </c>
      <c r="I350" s="1066" t="s">
        <v>2080</v>
      </c>
      <c r="J350" s="1066" t="s">
        <v>1055</v>
      </c>
      <c r="K350" s="1066" t="s">
        <v>2077</v>
      </c>
      <c r="L350" s="1068"/>
      <c r="M350" s="1068"/>
      <c r="N350" s="1068"/>
      <c r="O350" s="1066" t="s">
        <v>1541</v>
      </c>
      <c r="P350" s="1066" t="s">
        <v>1095</v>
      </c>
      <c r="Q350" s="1066" t="s">
        <v>1301</v>
      </c>
      <c r="R350" s="1066" t="s">
        <v>1789</v>
      </c>
      <c r="S350" s="1066" t="s">
        <v>1144</v>
      </c>
    </row>
    <row r="351" spans="1:19" x14ac:dyDescent="0.2">
      <c r="A351" s="1059">
        <v>168</v>
      </c>
      <c r="B351" s="1066"/>
      <c r="C351" s="1066"/>
      <c r="D351" s="1066"/>
      <c r="E351" s="1066"/>
      <c r="F351" s="1066"/>
      <c r="G351" s="1066" t="s">
        <v>2081</v>
      </c>
      <c r="H351" s="1066"/>
      <c r="I351" s="1066"/>
      <c r="J351" s="1066"/>
      <c r="K351" s="1066" t="s">
        <v>2082</v>
      </c>
      <c r="L351" s="1066"/>
      <c r="M351" s="1066"/>
      <c r="N351" s="1066"/>
      <c r="O351" s="1066" t="s">
        <v>1429</v>
      </c>
      <c r="P351" s="1066" t="s">
        <v>1244</v>
      </c>
      <c r="Q351" s="1066" t="s">
        <v>1534</v>
      </c>
      <c r="R351" s="1066"/>
      <c r="S351" s="1066"/>
    </row>
    <row r="352" spans="1:19" x14ac:dyDescent="0.2">
      <c r="A352" s="1059">
        <v>169</v>
      </c>
      <c r="B352" s="1066" t="s">
        <v>2083</v>
      </c>
      <c r="C352" s="1066" t="s">
        <v>2084</v>
      </c>
      <c r="D352" s="1066" t="s">
        <v>2085</v>
      </c>
      <c r="E352" s="1066" t="s">
        <v>1270</v>
      </c>
      <c r="F352" s="1066" t="s">
        <v>1559</v>
      </c>
      <c r="G352" s="1068"/>
      <c r="H352" s="1066" t="s">
        <v>1732</v>
      </c>
      <c r="I352" s="1066" t="s">
        <v>1054</v>
      </c>
      <c r="J352" s="1066" t="s">
        <v>1055</v>
      </c>
      <c r="K352" s="1066" t="s">
        <v>1056</v>
      </c>
      <c r="L352" s="1068"/>
      <c r="M352" s="1068"/>
      <c r="N352" s="1068"/>
      <c r="O352" s="1066" t="s">
        <v>1057</v>
      </c>
      <c r="P352" s="1066" t="s">
        <v>1057</v>
      </c>
      <c r="Q352" s="1066" t="s">
        <v>1057</v>
      </c>
      <c r="R352" s="1066" t="s">
        <v>2086</v>
      </c>
      <c r="S352" s="1068"/>
    </row>
    <row r="353" spans="1:19" x14ac:dyDescent="0.2">
      <c r="A353" s="1059">
        <v>170</v>
      </c>
      <c r="B353" s="1066"/>
      <c r="C353" s="1066"/>
      <c r="D353" s="1066"/>
      <c r="E353" s="1066"/>
      <c r="F353" s="1066"/>
      <c r="G353" s="1066" t="s">
        <v>1559</v>
      </c>
      <c r="H353" s="1066"/>
      <c r="I353" s="1066"/>
      <c r="J353" s="1066"/>
      <c r="K353" s="1066" t="s">
        <v>1056</v>
      </c>
      <c r="L353" s="1066" t="s">
        <v>2087</v>
      </c>
      <c r="M353" s="1066" t="s">
        <v>1048</v>
      </c>
      <c r="N353" s="1066" t="s">
        <v>1061</v>
      </c>
      <c r="O353" s="1066" t="s">
        <v>1178</v>
      </c>
      <c r="P353" s="1066" t="s">
        <v>1367</v>
      </c>
      <c r="Q353" s="1066" t="s">
        <v>1490</v>
      </c>
      <c r="R353" s="1066"/>
      <c r="S353" s="1066"/>
    </row>
    <row r="354" spans="1:19" x14ac:dyDescent="0.2">
      <c r="A354" s="1059">
        <v>171</v>
      </c>
      <c r="B354" s="1066" t="s">
        <v>2088</v>
      </c>
      <c r="C354" s="1066" t="s">
        <v>2089</v>
      </c>
      <c r="D354" s="1066" t="s">
        <v>2090</v>
      </c>
      <c r="E354" s="1066" t="s">
        <v>1099</v>
      </c>
      <c r="F354" s="1066" t="s">
        <v>2091</v>
      </c>
      <c r="G354" s="1068"/>
      <c r="H354" s="1066" t="s">
        <v>1732</v>
      </c>
      <c r="I354" s="1066" t="s">
        <v>1054</v>
      </c>
      <c r="J354" s="1066" t="s">
        <v>1055</v>
      </c>
      <c r="K354" s="1066" t="s">
        <v>1056</v>
      </c>
      <c r="L354" s="1068"/>
      <c r="M354" s="1068"/>
      <c r="N354" s="1068"/>
      <c r="O354" s="1066" t="s">
        <v>1057</v>
      </c>
      <c r="P354" s="1066" t="s">
        <v>1057</v>
      </c>
      <c r="Q354" s="1066" t="s">
        <v>1057</v>
      </c>
      <c r="R354" s="1066" t="s">
        <v>2092</v>
      </c>
      <c r="S354" s="1068"/>
    </row>
    <row r="355" spans="1:19" x14ac:dyDescent="0.2">
      <c r="A355" s="1059">
        <v>172</v>
      </c>
      <c r="B355" s="1068"/>
      <c r="C355" s="1068"/>
      <c r="D355" s="1068"/>
      <c r="E355" s="1068"/>
      <c r="F355" s="1068"/>
      <c r="G355" s="1066" t="s">
        <v>2091</v>
      </c>
      <c r="H355" s="1068"/>
      <c r="I355" s="1068"/>
      <c r="J355" s="1068"/>
      <c r="K355" s="1066" t="s">
        <v>1056</v>
      </c>
      <c r="L355" s="1066" t="s">
        <v>2093</v>
      </c>
      <c r="M355" s="1066" t="s">
        <v>1105</v>
      </c>
      <c r="N355" s="1066" t="s">
        <v>1061</v>
      </c>
      <c r="O355" s="1066" t="s">
        <v>1094</v>
      </c>
      <c r="P355" s="1066" t="s">
        <v>1244</v>
      </c>
      <c r="Q355" s="1066" t="s">
        <v>1317</v>
      </c>
      <c r="R355" s="1068"/>
      <c r="S355" s="1068"/>
    </row>
    <row r="356" spans="1:19" x14ac:dyDescent="0.2">
      <c r="A356" s="1059">
        <v>173</v>
      </c>
      <c r="B356" s="1068"/>
      <c r="C356" s="1066" t="s">
        <v>2094</v>
      </c>
      <c r="D356" s="1066" t="s">
        <v>2095</v>
      </c>
      <c r="E356" s="1066" t="s">
        <v>1443</v>
      </c>
      <c r="F356" s="1066" t="s">
        <v>1420</v>
      </c>
      <c r="G356" s="1068"/>
      <c r="H356" s="1066" t="s">
        <v>1732</v>
      </c>
      <c r="I356" s="1066" t="s">
        <v>1054</v>
      </c>
      <c r="J356" s="1066" t="s">
        <v>1055</v>
      </c>
      <c r="K356" s="1066" t="s">
        <v>1056</v>
      </c>
      <c r="L356" s="1068"/>
      <c r="M356" s="1068"/>
      <c r="N356" s="1068"/>
      <c r="O356" s="1066" t="s">
        <v>1057</v>
      </c>
      <c r="P356" s="1066" t="s">
        <v>1057</v>
      </c>
      <c r="Q356" s="1066" t="s">
        <v>1057</v>
      </c>
      <c r="R356" s="1066" t="s">
        <v>1898</v>
      </c>
      <c r="S356" s="1066" t="s">
        <v>1144</v>
      </c>
    </row>
    <row r="357" spans="1:19" x14ac:dyDescent="0.2">
      <c r="A357" s="1059">
        <v>174</v>
      </c>
      <c r="B357" s="1066"/>
      <c r="C357" s="1066"/>
      <c r="D357" s="1066"/>
      <c r="E357" s="1066"/>
      <c r="F357" s="1066"/>
      <c r="G357" s="1066" t="s">
        <v>1420</v>
      </c>
      <c r="H357" s="1066"/>
      <c r="I357" s="1066"/>
      <c r="J357" s="1066"/>
      <c r="K357" s="1066" t="s">
        <v>2096</v>
      </c>
      <c r="L357" s="1066"/>
      <c r="M357" s="1066"/>
      <c r="N357" s="1066"/>
      <c r="O357" s="1066" t="s">
        <v>1103</v>
      </c>
      <c r="P357" s="1066" t="s">
        <v>1095</v>
      </c>
      <c r="Q357" s="1066" t="s">
        <v>1942</v>
      </c>
      <c r="R357" s="1066"/>
      <c r="S357" s="1066"/>
    </row>
    <row r="358" spans="1:19" x14ac:dyDescent="0.2">
      <c r="A358" s="1059">
        <v>175</v>
      </c>
      <c r="B358" s="1066" t="s">
        <v>2097</v>
      </c>
      <c r="C358" s="1066" t="s">
        <v>2098</v>
      </c>
      <c r="D358" s="1066" t="s">
        <v>2099</v>
      </c>
      <c r="E358" s="1066" t="s">
        <v>2100</v>
      </c>
      <c r="F358" s="1066" t="s">
        <v>1821</v>
      </c>
      <c r="G358" s="1068"/>
      <c r="H358" s="1066" t="s">
        <v>1732</v>
      </c>
      <c r="I358" s="1066" t="s">
        <v>1054</v>
      </c>
      <c r="J358" s="1066" t="s">
        <v>1055</v>
      </c>
      <c r="K358" s="1066" t="s">
        <v>1056</v>
      </c>
      <c r="L358" s="1068"/>
      <c r="M358" s="1068"/>
      <c r="N358" s="1068"/>
      <c r="O358" s="1066" t="s">
        <v>1057</v>
      </c>
      <c r="P358" s="1066" t="s">
        <v>1057</v>
      </c>
      <c r="Q358" s="1066" t="s">
        <v>1057</v>
      </c>
      <c r="R358" s="1066" t="s">
        <v>2101</v>
      </c>
      <c r="S358" s="1068"/>
    </row>
    <row r="359" spans="1:19" x14ac:dyDescent="0.2">
      <c r="A359" s="1059">
        <v>176</v>
      </c>
      <c r="B359" s="1066"/>
      <c r="C359" s="1066"/>
      <c r="D359" s="1066"/>
      <c r="E359" s="1066"/>
      <c r="F359" s="1066"/>
      <c r="G359" s="1066" t="s">
        <v>1821</v>
      </c>
      <c r="H359" s="1066"/>
      <c r="I359" s="1066"/>
      <c r="J359" s="1066"/>
      <c r="K359" s="1066" t="s">
        <v>1056</v>
      </c>
      <c r="L359" s="1066" t="s">
        <v>1823</v>
      </c>
      <c r="M359" s="1066" t="s">
        <v>1048</v>
      </c>
      <c r="N359" s="1066" t="s">
        <v>1252</v>
      </c>
      <c r="O359" s="1066" t="s">
        <v>2102</v>
      </c>
      <c r="P359" s="1066" t="s">
        <v>1254</v>
      </c>
      <c r="Q359" s="1066" t="s">
        <v>2103</v>
      </c>
      <c r="R359" s="1066"/>
      <c r="S359" s="1066"/>
    </row>
    <row r="360" spans="1:19" x14ac:dyDescent="0.2">
      <c r="A360" s="1059">
        <v>177</v>
      </c>
      <c r="B360" s="1066" t="s">
        <v>2104</v>
      </c>
      <c r="C360" s="1066" t="s">
        <v>2105</v>
      </c>
      <c r="D360" s="1066" t="s">
        <v>2106</v>
      </c>
      <c r="E360" s="1066" t="s">
        <v>1992</v>
      </c>
      <c r="F360" s="1066" t="s">
        <v>2107</v>
      </c>
      <c r="G360" s="1068"/>
      <c r="H360" s="1066" t="s">
        <v>1732</v>
      </c>
      <c r="I360" s="1066" t="s">
        <v>1054</v>
      </c>
      <c r="J360" s="1066" t="s">
        <v>1055</v>
      </c>
      <c r="K360" s="1066" t="s">
        <v>1056</v>
      </c>
      <c r="L360" s="1068"/>
      <c r="M360" s="1068"/>
      <c r="N360" s="1068"/>
      <c r="O360" s="1066" t="s">
        <v>1057</v>
      </c>
      <c r="P360" s="1066" t="s">
        <v>1057</v>
      </c>
      <c r="Q360" s="1066" t="s">
        <v>1057</v>
      </c>
      <c r="R360" s="1066" t="s">
        <v>2108</v>
      </c>
      <c r="S360" s="1068"/>
    </row>
    <row r="361" spans="1:19" x14ac:dyDescent="0.2">
      <c r="A361" s="1059">
        <v>178</v>
      </c>
      <c r="B361" s="1068"/>
      <c r="C361" s="1068"/>
      <c r="D361" s="1068"/>
      <c r="E361" s="1068"/>
      <c r="F361" s="1068"/>
      <c r="G361" s="1066" t="s">
        <v>2107</v>
      </c>
      <c r="H361" s="1068"/>
      <c r="I361" s="1068"/>
      <c r="J361" s="1068"/>
      <c r="K361" s="1066" t="s">
        <v>1056</v>
      </c>
      <c r="L361" s="1066" t="s">
        <v>2109</v>
      </c>
      <c r="M361" s="1066" t="s">
        <v>1048</v>
      </c>
      <c r="N361" s="1066" t="s">
        <v>1252</v>
      </c>
      <c r="O361" s="1066" t="s">
        <v>2110</v>
      </c>
      <c r="P361" s="1066" t="s">
        <v>1309</v>
      </c>
      <c r="Q361" s="1066" t="s">
        <v>2111</v>
      </c>
      <c r="R361" s="1068"/>
      <c r="S361" s="1068"/>
    </row>
    <row r="362" spans="1:19" x14ac:dyDescent="0.2">
      <c r="A362" s="1059">
        <v>179</v>
      </c>
      <c r="B362" s="1068"/>
      <c r="C362" s="1066" t="s">
        <v>1157</v>
      </c>
      <c r="D362" s="1066" t="s">
        <v>2112</v>
      </c>
      <c r="E362" s="1066" t="s">
        <v>1116</v>
      </c>
      <c r="F362" s="1066" t="s">
        <v>2113</v>
      </c>
      <c r="G362" s="1068"/>
      <c r="H362" s="1066" t="s">
        <v>1732</v>
      </c>
      <c r="I362" s="1066" t="s">
        <v>1054</v>
      </c>
      <c r="J362" s="1066" t="s">
        <v>1055</v>
      </c>
      <c r="K362" s="1066" t="s">
        <v>1056</v>
      </c>
      <c r="L362" s="1068"/>
      <c r="M362" s="1068"/>
      <c r="N362" s="1068"/>
      <c r="O362" s="1066" t="s">
        <v>1057</v>
      </c>
      <c r="P362" s="1066" t="s">
        <v>1057</v>
      </c>
      <c r="Q362" s="1066" t="s">
        <v>1057</v>
      </c>
      <c r="R362" s="1066" t="s">
        <v>1684</v>
      </c>
      <c r="S362" s="1066" t="s">
        <v>1144</v>
      </c>
    </row>
    <row r="363" spans="1:19" x14ac:dyDescent="0.2">
      <c r="A363" s="1059">
        <v>180</v>
      </c>
      <c r="B363" s="1066"/>
      <c r="C363" s="1066"/>
      <c r="D363" s="1066"/>
      <c r="E363" s="1066"/>
      <c r="F363" s="1066"/>
      <c r="G363" s="1066" t="s">
        <v>2113</v>
      </c>
      <c r="H363" s="1066"/>
      <c r="I363" s="1066"/>
      <c r="J363" s="1066"/>
      <c r="K363" s="1066" t="s">
        <v>2114</v>
      </c>
      <c r="L363" s="1066"/>
      <c r="M363" s="1066"/>
      <c r="N363" s="1066"/>
      <c r="O363" s="1066" t="s">
        <v>1094</v>
      </c>
      <c r="P363" s="1066" t="s">
        <v>1367</v>
      </c>
      <c r="Q363" s="1066" t="s">
        <v>2115</v>
      </c>
      <c r="R363" s="1066"/>
      <c r="S363" s="1066"/>
    </row>
    <row r="364" spans="1:19" x14ac:dyDescent="0.2">
      <c r="A364" s="1059">
        <v>181</v>
      </c>
      <c r="B364" s="1066" t="s">
        <v>2116</v>
      </c>
      <c r="C364" s="1066" t="s">
        <v>1681</v>
      </c>
      <c r="D364" s="1066" t="s">
        <v>2117</v>
      </c>
      <c r="E364" s="1066" t="s">
        <v>1305</v>
      </c>
      <c r="F364" s="1066" t="s">
        <v>2118</v>
      </c>
      <c r="G364" s="1068"/>
      <c r="H364" s="1066" t="s">
        <v>1732</v>
      </c>
      <c r="I364" s="1066" t="s">
        <v>1054</v>
      </c>
      <c r="J364" s="1066" t="s">
        <v>1055</v>
      </c>
      <c r="K364" s="1066" t="s">
        <v>1056</v>
      </c>
      <c r="L364" s="1068"/>
      <c r="M364" s="1068"/>
      <c r="N364" s="1068"/>
      <c r="O364" s="1066" t="s">
        <v>1057</v>
      </c>
      <c r="P364" s="1066" t="s">
        <v>1057</v>
      </c>
      <c r="Q364" s="1066" t="s">
        <v>1057</v>
      </c>
      <c r="R364" s="1066" t="s">
        <v>2119</v>
      </c>
      <c r="S364" s="1068"/>
    </row>
    <row r="365" spans="1:19" x14ac:dyDescent="0.2">
      <c r="A365" s="1059">
        <v>182</v>
      </c>
      <c r="B365" s="1066"/>
      <c r="C365" s="1066"/>
      <c r="D365" s="1066"/>
      <c r="E365" s="1066"/>
      <c r="F365" s="1066"/>
      <c r="G365" s="1066" t="s">
        <v>2118</v>
      </c>
      <c r="H365" s="1066"/>
      <c r="I365" s="1066"/>
      <c r="J365" s="1066"/>
      <c r="K365" s="1066" t="s">
        <v>2120</v>
      </c>
      <c r="L365" s="1066"/>
      <c r="M365" s="1066"/>
      <c r="N365" s="1066"/>
      <c r="O365" s="1066" t="s">
        <v>1187</v>
      </c>
      <c r="P365" s="1066" t="s">
        <v>1309</v>
      </c>
      <c r="Q365" s="1066" t="s">
        <v>2121</v>
      </c>
      <c r="R365" s="1066"/>
      <c r="S365" s="1066"/>
    </row>
    <row r="366" spans="1:19" x14ac:dyDescent="0.2">
      <c r="A366" s="1059">
        <v>183</v>
      </c>
      <c r="B366" s="1066" t="s">
        <v>2122</v>
      </c>
      <c r="C366" s="1066" t="s">
        <v>1718</v>
      </c>
      <c r="D366" s="1066" t="s">
        <v>2123</v>
      </c>
      <c r="E366" s="1066" t="s">
        <v>1165</v>
      </c>
      <c r="F366" s="1066" t="s">
        <v>2124</v>
      </c>
      <c r="G366" s="1068"/>
      <c r="H366" s="1066" t="s">
        <v>1732</v>
      </c>
      <c r="I366" s="1066" t="s">
        <v>1054</v>
      </c>
      <c r="J366" s="1066" t="s">
        <v>1055</v>
      </c>
      <c r="K366" s="1066" t="s">
        <v>1056</v>
      </c>
      <c r="L366" s="1068"/>
      <c r="M366" s="1068"/>
      <c r="N366" s="1068"/>
      <c r="O366" s="1066" t="s">
        <v>1057</v>
      </c>
      <c r="P366" s="1066" t="s">
        <v>1057</v>
      </c>
      <c r="Q366" s="1066" t="s">
        <v>1057</v>
      </c>
      <c r="R366" s="1066" t="s">
        <v>1850</v>
      </c>
      <c r="S366" s="1068"/>
    </row>
    <row r="367" spans="1:19" x14ac:dyDescent="0.2">
      <c r="A367" s="1059">
        <v>184</v>
      </c>
      <c r="B367" s="1066"/>
      <c r="C367" s="1066"/>
      <c r="D367" s="1066"/>
      <c r="E367" s="1066"/>
      <c r="F367" s="1066"/>
      <c r="G367" s="1066" t="s">
        <v>2124</v>
      </c>
      <c r="H367" s="1066"/>
      <c r="I367" s="1066"/>
      <c r="J367" s="1066"/>
      <c r="K367" s="1066" t="s">
        <v>1056</v>
      </c>
      <c r="L367" s="1066" t="s">
        <v>2125</v>
      </c>
      <c r="M367" s="1066" t="s">
        <v>1060</v>
      </c>
      <c r="N367" s="1066" t="s">
        <v>1061</v>
      </c>
      <c r="O367" s="1066" t="s">
        <v>1937</v>
      </c>
      <c r="P367" s="1066" t="s">
        <v>1063</v>
      </c>
      <c r="Q367" s="1066" t="s">
        <v>2126</v>
      </c>
      <c r="R367" s="1066"/>
      <c r="S367" s="1066"/>
    </row>
    <row r="368" spans="1:19" x14ac:dyDescent="0.2">
      <c r="A368" s="1059">
        <v>185</v>
      </c>
      <c r="B368" s="1066" t="s">
        <v>2127</v>
      </c>
      <c r="C368" s="1066" t="s">
        <v>2128</v>
      </c>
      <c r="D368" s="1066" t="s">
        <v>2129</v>
      </c>
      <c r="E368" s="1066" t="s">
        <v>1270</v>
      </c>
      <c r="F368" s="1066" t="s">
        <v>1364</v>
      </c>
      <c r="G368" s="1068"/>
      <c r="H368" s="1066" t="s">
        <v>1732</v>
      </c>
      <c r="I368" s="1066" t="s">
        <v>1054</v>
      </c>
      <c r="J368" s="1066" t="s">
        <v>1055</v>
      </c>
      <c r="K368" s="1066" t="s">
        <v>1056</v>
      </c>
      <c r="L368" s="1068"/>
      <c r="M368" s="1068"/>
      <c r="N368" s="1068"/>
      <c r="O368" s="1066" t="s">
        <v>1057</v>
      </c>
      <c r="P368" s="1066" t="s">
        <v>1057</v>
      </c>
      <c r="Q368" s="1066" t="s">
        <v>1057</v>
      </c>
      <c r="R368" s="1066" t="s">
        <v>2013</v>
      </c>
      <c r="S368" s="1068"/>
    </row>
    <row r="369" spans="1:19" x14ac:dyDescent="0.2">
      <c r="A369" s="1059">
        <v>186</v>
      </c>
      <c r="B369" s="1068"/>
      <c r="C369" s="1068"/>
      <c r="D369" s="1068"/>
      <c r="E369" s="1068"/>
      <c r="F369" s="1068"/>
      <c r="G369" s="1066" t="s">
        <v>1364</v>
      </c>
      <c r="H369" s="1068"/>
      <c r="I369" s="1068"/>
      <c r="J369" s="1068"/>
      <c r="K369" s="1066" t="s">
        <v>1056</v>
      </c>
      <c r="L369" s="1066" t="s">
        <v>1516</v>
      </c>
      <c r="M369" s="1066" t="s">
        <v>1060</v>
      </c>
      <c r="N369" s="1066" t="s">
        <v>1061</v>
      </c>
      <c r="O369" s="1066" t="s">
        <v>1111</v>
      </c>
      <c r="P369" s="1066" t="s">
        <v>1095</v>
      </c>
      <c r="Q369" s="1066" t="s">
        <v>2130</v>
      </c>
      <c r="R369" s="1068"/>
      <c r="S369" s="1068"/>
    </row>
    <row r="370" spans="1:19" x14ac:dyDescent="0.2">
      <c r="A370" s="1059">
        <v>187</v>
      </c>
      <c r="B370" s="1068"/>
      <c r="C370" s="1066" t="s">
        <v>2131</v>
      </c>
      <c r="D370" s="1066" t="s">
        <v>2132</v>
      </c>
      <c r="E370" s="1066" t="s">
        <v>1206</v>
      </c>
      <c r="F370" s="1066" t="s">
        <v>1142</v>
      </c>
      <c r="G370" s="1068"/>
      <c r="H370" s="1066" t="s">
        <v>1732</v>
      </c>
      <c r="I370" s="1066" t="s">
        <v>1054</v>
      </c>
      <c r="J370" s="1066" t="s">
        <v>1055</v>
      </c>
      <c r="K370" s="1066" t="s">
        <v>1056</v>
      </c>
      <c r="L370" s="1068"/>
      <c r="M370" s="1068"/>
      <c r="N370" s="1068"/>
      <c r="O370" s="1066" t="s">
        <v>1057</v>
      </c>
      <c r="P370" s="1066" t="s">
        <v>1057</v>
      </c>
      <c r="Q370" s="1066" t="s">
        <v>1057</v>
      </c>
      <c r="R370" s="1066" t="s">
        <v>2133</v>
      </c>
      <c r="S370" s="1066" t="s">
        <v>1144</v>
      </c>
    </row>
    <row r="371" spans="1:19" x14ac:dyDescent="0.2">
      <c r="A371" s="1059">
        <v>188</v>
      </c>
      <c r="B371" s="1066"/>
      <c r="C371" s="1066"/>
      <c r="D371" s="1066"/>
      <c r="E371" s="1066"/>
      <c r="F371" s="1066"/>
      <c r="G371" s="1066" t="s">
        <v>1142</v>
      </c>
      <c r="H371" s="1066"/>
      <c r="I371" s="1066"/>
      <c r="J371" s="1066"/>
      <c r="K371" s="1066" t="s">
        <v>2134</v>
      </c>
      <c r="L371" s="1066"/>
      <c r="M371" s="1066"/>
      <c r="N371" s="1066"/>
      <c r="O371" s="1066" t="s">
        <v>1223</v>
      </c>
      <c r="P371" s="1066" t="s">
        <v>1095</v>
      </c>
      <c r="Q371" s="1066" t="s">
        <v>1686</v>
      </c>
      <c r="R371" s="1066"/>
      <c r="S371" s="1066"/>
    </row>
    <row r="372" spans="1:19" x14ac:dyDescent="0.2">
      <c r="A372" s="1059">
        <v>189</v>
      </c>
      <c r="B372" s="1066" t="s">
        <v>2135</v>
      </c>
      <c r="C372" s="1066" t="s">
        <v>2136</v>
      </c>
      <c r="D372" s="1066" t="s">
        <v>2137</v>
      </c>
      <c r="E372" s="1066" t="s">
        <v>1502</v>
      </c>
      <c r="F372" s="1066" t="s">
        <v>1320</v>
      </c>
      <c r="G372" s="1068"/>
      <c r="H372" s="1066" t="s">
        <v>1732</v>
      </c>
      <c r="I372" s="1066" t="s">
        <v>1054</v>
      </c>
      <c r="J372" s="1066" t="s">
        <v>1055</v>
      </c>
      <c r="K372" s="1066" t="s">
        <v>1056</v>
      </c>
      <c r="L372" s="1068"/>
      <c r="M372" s="1068"/>
      <c r="N372" s="1068"/>
      <c r="O372" s="1066" t="s">
        <v>1057</v>
      </c>
      <c r="P372" s="1066" t="s">
        <v>1057</v>
      </c>
      <c r="Q372" s="1066" t="s">
        <v>1057</v>
      </c>
      <c r="R372" s="1066" t="s">
        <v>2138</v>
      </c>
      <c r="S372" s="1068"/>
    </row>
    <row r="373" spans="1:19" x14ac:dyDescent="0.2">
      <c r="A373" s="1059">
        <v>190</v>
      </c>
      <c r="B373" s="1066"/>
      <c r="C373" s="1066"/>
      <c r="D373" s="1066"/>
      <c r="E373" s="1066"/>
      <c r="F373" s="1066"/>
      <c r="G373" s="1066" t="s">
        <v>1320</v>
      </c>
      <c r="H373" s="1066"/>
      <c r="I373" s="1066"/>
      <c r="J373" s="1066"/>
      <c r="K373" s="1066" t="s">
        <v>2139</v>
      </c>
      <c r="L373" s="1066"/>
      <c r="M373" s="1066"/>
      <c r="N373" s="1066"/>
      <c r="O373" s="1066" t="s">
        <v>1409</v>
      </c>
      <c r="P373" s="1066" t="s">
        <v>1309</v>
      </c>
      <c r="Q373" s="1066" t="s">
        <v>2140</v>
      </c>
      <c r="R373" s="1066"/>
      <c r="S373" s="1066"/>
    </row>
    <row r="374" spans="1:19" x14ac:dyDescent="0.2">
      <c r="A374" s="1059">
        <v>191</v>
      </c>
      <c r="B374" s="1066" t="s">
        <v>2141</v>
      </c>
      <c r="C374" s="1066" t="s">
        <v>2142</v>
      </c>
      <c r="D374" s="1066" t="s">
        <v>2143</v>
      </c>
      <c r="E374" s="1066" t="s">
        <v>1502</v>
      </c>
      <c r="F374" s="1066" t="s">
        <v>2144</v>
      </c>
      <c r="G374" s="1068"/>
      <c r="H374" s="1066" t="s">
        <v>1732</v>
      </c>
      <c r="I374" s="1066" t="s">
        <v>1054</v>
      </c>
      <c r="J374" s="1066" t="s">
        <v>1055</v>
      </c>
      <c r="K374" s="1066" t="s">
        <v>1056</v>
      </c>
      <c r="L374" s="1068"/>
      <c r="M374" s="1068"/>
      <c r="N374" s="1068"/>
      <c r="O374" s="1066" t="s">
        <v>1057</v>
      </c>
      <c r="P374" s="1066" t="s">
        <v>1057</v>
      </c>
      <c r="Q374" s="1066" t="s">
        <v>1057</v>
      </c>
      <c r="R374" s="1066" t="s">
        <v>1574</v>
      </c>
      <c r="S374" s="1068"/>
    </row>
    <row r="375" spans="1:19" x14ac:dyDescent="0.2">
      <c r="A375" s="1059">
        <v>192</v>
      </c>
      <c r="B375" s="1066"/>
      <c r="C375" s="1066"/>
      <c r="D375" s="1066"/>
      <c r="E375" s="1066"/>
      <c r="F375" s="1066"/>
      <c r="G375" s="1066" t="s">
        <v>2144</v>
      </c>
      <c r="H375" s="1066"/>
      <c r="I375" s="1066"/>
      <c r="J375" s="1066"/>
      <c r="K375" s="1066" t="s">
        <v>2145</v>
      </c>
      <c r="L375" s="1066"/>
      <c r="M375" s="1066"/>
      <c r="N375" s="1066"/>
      <c r="O375" s="1066" t="s">
        <v>1489</v>
      </c>
      <c r="P375" s="1066" t="s">
        <v>1254</v>
      </c>
      <c r="Q375" s="1066" t="s">
        <v>2146</v>
      </c>
      <c r="R375" s="1066"/>
      <c r="S375" s="1066"/>
    </row>
    <row r="376" spans="1:19" x14ac:dyDescent="0.2">
      <c r="A376" s="1059">
        <v>193</v>
      </c>
      <c r="B376" s="1066" t="s">
        <v>2147</v>
      </c>
      <c r="C376" s="1066" t="s">
        <v>2148</v>
      </c>
      <c r="D376" s="1066" t="s">
        <v>2149</v>
      </c>
      <c r="E376" s="1066" t="s">
        <v>1174</v>
      </c>
      <c r="F376" s="1066" t="s">
        <v>2150</v>
      </c>
      <c r="G376" s="1068"/>
      <c r="H376" s="1066" t="s">
        <v>1732</v>
      </c>
      <c r="I376" s="1066" t="s">
        <v>1054</v>
      </c>
      <c r="J376" s="1066" t="s">
        <v>1055</v>
      </c>
      <c r="K376" s="1066" t="s">
        <v>1056</v>
      </c>
      <c r="L376" s="1068"/>
      <c r="M376" s="1068"/>
      <c r="N376" s="1068"/>
      <c r="O376" s="1066" t="s">
        <v>1057</v>
      </c>
      <c r="P376" s="1066" t="s">
        <v>1057</v>
      </c>
      <c r="Q376" s="1066" t="s">
        <v>1057</v>
      </c>
      <c r="R376" s="1066" t="s">
        <v>2151</v>
      </c>
      <c r="S376" s="1066" t="s">
        <v>1144</v>
      </c>
    </row>
    <row r="377" spans="1:19" x14ac:dyDescent="0.2">
      <c r="A377" s="1059">
        <v>194</v>
      </c>
      <c r="B377" s="1066"/>
      <c r="C377" s="1066"/>
      <c r="D377" s="1066"/>
      <c r="E377" s="1066"/>
      <c r="F377" s="1066"/>
      <c r="G377" s="1066" t="s">
        <v>2150</v>
      </c>
      <c r="H377" s="1066"/>
      <c r="I377" s="1066"/>
      <c r="J377" s="1066"/>
      <c r="K377" s="1066" t="s">
        <v>2152</v>
      </c>
      <c r="L377" s="1066"/>
      <c r="M377" s="1066"/>
      <c r="N377" s="1066"/>
      <c r="O377" s="1066" t="s">
        <v>1350</v>
      </c>
      <c r="P377" s="1066" t="s">
        <v>1063</v>
      </c>
      <c r="Q377" s="1066" t="s">
        <v>2126</v>
      </c>
      <c r="R377" s="1066"/>
      <c r="S377" s="1066"/>
    </row>
    <row r="378" spans="1:19" x14ac:dyDescent="0.2">
      <c r="A378" s="1059">
        <v>195</v>
      </c>
      <c r="B378" s="1066" t="s">
        <v>2153</v>
      </c>
      <c r="C378" s="1066" t="s">
        <v>2154</v>
      </c>
      <c r="D378" s="1066" t="s">
        <v>2155</v>
      </c>
      <c r="E378" s="1066" t="s">
        <v>1206</v>
      </c>
      <c r="F378" s="1066" t="s">
        <v>1281</v>
      </c>
      <c r="G378" s="1068"/>
      <c r="H378" s="1066" t="s">
        <v>1732</v>
      </c>
      <c r="I378" s="1066" t="s">
        <v>1054</v>
      </c>
      <c r="J378" s="1066" t="s">
        <v>1055</v>
      </c>
      <c r="K378" s="1066" t="s">
        <v>1056</v>
      </c>
      <c r="L378" s="1068"/>
      <c r="M378" s="1068"/>
      <c r="N378" s="1068"/>
      <c r="O378" s="1066" t="s">
        <v>1057</v>
      </c>
      <c r="P378" s="1066" t="s">
        <v>1057</v>
      </c>
      <c r="Q378" s="1066" t="s">
        <v>1057</v>
      </c>
      <c r="R378" s="1066" t="s">
        <v>2156</v>
      </c>
      <c r="S378" s="1066" t="s">
        <v>1144</v>
      </c>
    </row>
    <row r="379" spans="1:19" x14ac:dyDescent="0.2">
      <c r="A379" s="1059">
        <v>196</v>
      </c>
      <c r="B379" s="1066"/>
      <c r="C379" s="1066"/>
      <c r="D379" s="1066"/>
      <c r="E379" s="1066"/>
      <c r="F379" s="1066"/>
      <c r="G379" s="1066" t="s">
        <v>1281</v>
      </c>
      <c r="H379" s="1066"/>
      <c r="I379" s="1066"/>
      <c r="J379" s="1066"/>
      <c r="K379" s="1066" t="s">
        <v>2157</v>
      </c>
      <c r="L379" s="1066"/>
      <c r="M379" s="1066"/>
      <c r="N379" s="1066"/>
      <c r="O379" s="1066" t="s">
        <v>1103</v>
      </c>
      <c r="P379" s="1066" t="s">
        <v>1095</v>
      </c>
      <c r="Q379" s="1066" t="s">
        <v>2158</v>
      </c>
      <c r="R379" s="1066"/>
      <c r="S379" s="1066"/>
    </row>
    <row r="380" spans="1:19" x14ac:dyDescent="0.2">
      <c r="A380" s="1059">
        <v>197</v>
      </c>
      <c r="B380" s="1066" t="s">
        <v>2159</v>
      </c>
      <c r="C380" s="1066" t="s">
        <v>2160</v>
      </c>
      <c r="D380" s="1066" t="s">
        <v>2161</v>
      </c>
      <c r="E380" s="1066" t="s">
        <v>1443</v>
      </c>
      <c r="F380" s="1066" t="s">
        <v>2162</v>
      </c>
      <c r="G380" s="1068"/>
      <c r="H380" s="1066" t="s">
        <v>1732</v>
      </c>
      <c r="I380" s="1066" t="s">
        <v>1054</v>
      </c>
      <c r="J380" s="1066" t="s">
        <v>1055</v>
      </c>
      <c r="K380" s="1066" t="s">
        <v>1056</v>
      </c>
      <c r="L380" s="1068"/>
      <c r="M380" s="1068"/>
      <c r="N380" s="1068"/>
      <c r="O380" s="1066" t="s">
        <v>1057</v>
      </c>
      <c r="P380" s="1066" t="s">
        <v>1057</v>
      </c>
      <c r="Q380" s="1066" t="s">
        <v>1057</v>
      </c>
      <c r="R380" s="1066" t="s">
        <v>2163</v>
      </c>
      <c r="S380" s="1068"/>
    </row>
    <row r="381" spans="1:19" x14ac:dyDescent="0.2">
      <c r="A381" s="1059">
        <v>198</v>
      </c>
      <c r="B381" s="1066"/>
      <c r="C381" s="1066"/>
      <c r="D381" s="1066"/>
      <c r="E381" s="1066"/>
      <c r="F381" s="1066"/>
      <c r="G381" s="1066" t="s">
        <v>2162</v>
      </c>
      <c r="H381" s="1066"/>
      <c r="I381" s="1066"/>
      <c r="J381" s="1066"/>
      <c r="K381" s="1066" t="s">
        <v>1056</v>
      </c>
      <c r="L381" s="1066" t="s">
        <v>2164</v>
      </c>
      <c r="M381" s="1066" t="s">
        <v>1060</v>
      </c>
      <c r="N381" s="1066" t="s">
        <v>1061</v>
      </c>
      <c r="O381" s="1066" t="s">
        <v>1210</v>
      </c>
      <c r="P381" s="1066" t="s">
        <v>1095</v>
      </c>
      <c r="Q381" s="1066" t="s">
        <v>1413</v>
      </c>
      <c r="R381" s="1066"/>
      <c r="S381" s="1066"/>
    </row>
    <row r="382" spans="1:19" x14ac:dyDescent="0.2">
      <c r="A382" s="1059">
        <v>199</v>
      </c>
      <c r="B382" s="1066" t="s">
        <v>2165</v>
      </c>
      <c r="C382" s="1066" t="s">
        <v>2166</v>
      </c>
      <c r="D382" s="1066" t="s">
        <v>2167</v>
      </c>
      <c r="E382" s="1066" t="s">
        <v>1305</v>
      </c>
      <c r="F382" s="1066" t="s">
        <v>1364</v>
      </c>
      <c r="G382" s="1068"/>
      <c r="H382" s="1066" t="s">
        <v>1732</v>
      </c>
      <c r="I382" s="1066" t="s">
        <v>1054</v>
      </c>
      <c r="J382" s="1066" t="s">
        <v>1055</v>
      </c>
      <c r="K382" s="1066" t="s">
        <v>1056</v>
      </c>
      <c r="L382" s="1068"/>
      <c r="M382" s="1068"/>
      <c r="N382" s="1068"/>
      <c r="O382" s="1066" t="s">
        <v>1057</v>
      </c>
      <c r="P382" s="1066" t="s">
        <v>1057</v>
      </c>
      <c r="Q382" s="1066" t="s">
        <v>1057</v>
      </c>
      <c r="R382" s="1066" t="s">
        <v>2168</v>
      </c>
      <c r="S382" s="1068"/>
    </row>
    <row r="383" spans="1:19" x14ac:dyDescent="0.2">
      <c r="A383" s="1059">
        <v>200</v>
      </c>
      <c r="B383" s="1066"/>
      <c r="C383" s="1066"/>
      <c r="D383" s="1066"/>
      <c r="E383" s="1066"/>
      <c r="F383" s="1066"/>
      <c r="G383" s="1066" t="s">
        <v>1364</v>
      </c>
      <c r="H383" s="1066"/>
      <c r="I383" s="1066"/>
      <c r="J383" s="1066"/>
      <c r="K383" s="1066" t="s">
        <v>1056</v>
      </c>
      <c r="L383" s="1066" t="s">
        <v>2169</v>
      </c>
      <c r="M383" s="1066" t="s">
        <v>1060</v>
      </c>
      <c r="N383" s="1066" t="s">
        <v>1252</v>
      </c>
      <c r="O383" s="1066" t="s">
        <v>1525</v>
      </c>
      <c r="P383" s="1066" t="s">
        <v>1244</v>
      </c>
      <c r="Q383" s="1066" t="s">
        <v>1317</v>
      </c>
      <c r="R383" s="1066"/>
      <c r="S383" s="1066"/>
    </row>
    <row r="384" spans="1:19" x14ac:dyDescent="0.2">
      <c r="A384" s="1059">
        <v>201</v>
      </c>
      <c r="B384" s="1066" t="s">
        <v>2170</v>
      </c>
      <c r="C384" s="1066" t="s">
        <v>2171</v>
      </c>
      <c r="D384" s="1066" t="s">
        <v>2172</v>
      </c>
      <c r="E384" s="1066" t="s">
        <v>1183</v>
      </c>
      <c r="F384" s="1066" t="s">
        <v>2173</v>
      </c>
      <c r="G384" s="1068"/>
      <c r="H384" s="1066" t="s">
        <v>1732</v>
      </c>
      <c r="I384" s="1066" t="s">
        <v>1054</v>
      </c>
      <c r="J384" s="1066" t="s">
        <v>1055</v>
      </c>
      <c r="K384" s="1066" t="s">
        <v>1056</v>
      </c>
      <c r="L384" s="1068"/>
      <c r="M384" s="1068"/>
      <c r="N384" s="1068"/>
      <c r="O384" s="1066" t="s">
        <v>1057</v>
      </c>
      <c r="P384" s="1066" t="s">
        <v>1057</v>
      </c>
      <c r="Q384" s="1066" t="s">
        <v>1057</v>
      </c>
      <c r="R384" s="1066" t="s">
        <v>2174</v>
      </c>
      <c r="S384" s="1068"/>
    </row>
    <row r="385" spans="1:19" x14ac:dyDescent="0.2">
      <c r="A385" s="1059">
        <v>202</v>
      </c>
      <c r="B385" s="1068"/>
      <c r="C385" s="1068"/>
      <c r="D385" s="1068"/>
      <c r="E385" s="1068"/>
      <c r="F385" s="1068"/>
      <c r="G385" s="1066" t="s">
        <v>2173</v>
      </c>
      <c r="H385" s="1068"/>
      <c r="I385" s="1068"/>
      <c r="J385" s="1068"/>
      <c r="K385" s="1066" t="s">
        <v>2175</v>
      </c>
      <c r="L385" s="1066"/>
      <c r="M385" s="1066"/>
      <c r="N385" s="1066"/>
      <c r="O385" s="1066" t="s">
        <v>1863</v>
      </c>
      <c r="P385" s="1066" t="s">
        <v>1254</v>
      </c>
      <c r="Q385" s="1066" t="s">
        <v>2176</v>
      </c>
      <c r="R385" s="1066"/>
      <c r="S385" s="1068"/>
    </row>
    <row r="386" spans="1:19" x14ac:dyDescent="0.2">
      <c r="A386" s="1059">
        <v>203</v>
      </c>
      <c r="B386" s="1068"/>
      <c r="C386" s="1066" t="s">
        <v>2177</v>
      </c>
      <c r="D386" s="1066" t="s">
        <v>2178</v>
      </c>
      <c r="E386" s="1066" t="s">
        <v>1174</v>
      </c>
      <c r="F386" s="1066" t="s">
        <v>1463</v>
      </c>
      <c r="G386" s="1068"/>
      <c r="H386" s="1066" t="s">
        <v>1732</v>
      </c>
      <c r="I386" s="1066" t="s">
        <v>2179</v>
      </c>
      <c r="J386" s="1066" t="s">
        <v>1055</v>
      </c>
      <c r="K386" s="1066" t="s">
        <v>2175</v>
      </c>
      <c r="L386" s="1068"/>
      <c r="M386" s="1068"/>
      <c r="N386" s="1068"/>
      <c r="O386" s="1066" t="s">
        <v>1453</v>
      </c>
      <c r="P386" s="1066" t="s">
        <v>1309</v>
      </c>
      <c r="Q386" s="1066" t="s">
        <v>2180</v>
      </c>
      <c r="R386" s="1066" t="s">
        <v>2181</v>
      </c>
      <c r="S386" s="1068"/>
    </row>
    <row r="387" spans="1:19" x14ac:dyDescent="0.2">
      <c r="A387" s="1059">
        <v>204</v>
      </c>
      <c r="B387" s="1068"/>
      <c r="C387" s="1068"/>
      <c r="D387" s="1068"/>
      <c r="E387" s="1068"/>
      <c r="F387" s="1068"/>
      <c r="G387" s="1066" t="s">
        <v>2182</v>
      </c>
      <c r="H387" s="1068"/>
      <c r="I387" s="1068"/>
      <c r="J387" s="1068"/>
      <c r="K387" s="1066" t="s">
        <v>1102</v>
      </c>
      <c r="L387" s="1066" t="s">
        <v>2183</v>
      </c>
      <c r="M387" s="1066" t="s">
        <v>1113</v>
      </c>
      <c r="N387" s="1066" t="s">
        <v>1061</v>
      </c>
      <c r="O387" s="1066" t="s">
        <v>1703</v>
      </c>
      <c r="P387" s="1066" t="s">
        <v>1995</v>
      </c>
      <c r="Q387" s="1066" t="s">
        <v>2184</v>
      </c>
      <c r="R387" s="1068"/>
      <c r="S387" s="1068"/>
    </row>
    <row r="388" spans="1:19" x14ac:dyDescent="0.2">
      <c r="A388" s="1059">
        <v>205</v>
      </c>
      <c r="B388" s="1068"/>
      <c r="C388" s="1066" t="s">
        <v>2185</v>
      </c>
      <c r="D388" s="1066" t="s">
        <v>2186</v>
      </c>
      <c r="E388" s="1066" t="s">
        <v>1910</v>
      </c>
      <c r="F388" s="1066" t="s">
        <v>2187</v>
      </c>
      <c r="G388" s="1068"/>
      <c r="H388" s="1066" t="s">
        <v>1732</v>
      </c>
      <c r="I388" s="1066" t="s">
        <v>2188</v>
      </c>
      <c r="J388" s="1066" t="s">
        <v>1055</v>
      </c>
      <c r="K388" s="1066" t="s">
        <v>1102</v>
      </c>
      <c r="L388" s="1068"/>
      <c r="M388" s="1068"/>
      <c r="N388" s="1068"/>
      <c r="O388" s="1066" t="s">
        <v>1409</v>
      </c>
      <c r="P388" s="1066" t="s">
        <v>1095</v>
      </c>
      <c r="Q388" s="1066" t="s">
        <v>2189</v>
      </c>
      <c r="R388" s="1066" t="s">
        <v>1941</v>
      </c>
      <c r="S388" s="1068"/>
    </row>
    <row r="389" spans="1:19" x14ac:dyDescent="0.2">
      <c r="A389" s="1059">
        <v>206</v>
      </c>
      <c r="B389" s="1066"/>
      <c r="C389" s="1066"/>
      <c r="D389" s="1066"/>
      <c r="E389" s="1066"/>
      <c r="F389" s="1066"/>
      <c r="G389" s="1066" t="s">
        <v>2190</v>
      </c>
      <c r="H389" s="1066"/>
      <c r="I389" s="1066"/>
      <c r="J389" s="1066"/>
      <c r="K389" s="1066" t="s">
        <v>1056</v>
      </c>
      <c r="L389" s="1066" t="s">
        <v>2191</v>
      </c>
      <c r="M389" s="1066" t="s">
        <v>1105</v>
      </c>
      <c r="N389" s="1066" t="s">
        <v>1252</v>
      </c>
      <c r="O389" s="1066" t="s">
        <v>1350</v>
      </c>
      <c r="P389" s="1066" t="s">
        <v>1254</v>
      </c>
      <c r="Q389" s="1066" t="s">
        <v>2192</v>
      </c>
      <c r="R389" s="1066"/>
      <c r="S389" s="1066"/>
    </row>
    <row r="390" spans="1:19" x14ac:dyDescent="0.2">
      <c r="A390" s="1059">
        <v>207</v>
      </c>
      <c r="B390" s="1066" t="s">
        <v>2193</v>
      </c>
      <c r="C390" s="1066" t="s">
        <v>2194</v>
      </c>
      <c r="D390" s="1066" t="s">
        <v>2195</v>
      </c>
      <c r="E390" s="1066" t="s">
        <v>1842</v>
      </c>
      <c r="F390" s="1066" t="s">
        <v>2196</v>
      </c>
      <c r="G390" s="1068"/>
      <c r="H390" s="1066" t="s">
        <v>1732</v>
      </c>
      <c r="I390" s="1066" t="s">
        <v>1054</v>
      </c>
      <c r="J390" s="1066" t="s">
        <v>1055</v>
      </c>
      <c r="K390" s="1066" t="s">
        <v>1056</v>
      </c>
      <c r="L390" s="1068"/>
      <c r="M390" s="1068"/>
      <c r="N390" s="1068"/>
      <c r="O390" s="1066" t="s">
        <v>1057</v>
      </c>
      <c r="P390" s="1066" t="s">
        <v>1057</v>
      </c>
      <c r="Q390" s="1066" t="s">
        <v>1057</v>
      </c>
      <c r="R390" s="1066" t="s">
        <v>2197</v>
      </c>
      <c r="S390" s="1066" t="s">
        <v>1144</v>
      </c>
    </row>
    <row r="391" spans="1:19" x14ac:dyDescent="0.2">
      <c r="A391" s="1059">
        <v>208</v>
      </c>
      <c r="B391" s="1066"/>
      <c r="C391" s="1066"/>
      <c r="D391" s="1066"/>
      <c r="E391" s="1066"/>
      <c r="F391" s="1066"/>
      <c r="G391" s="1066" t="s">
        <v>2196</v>
      </c>
      <c r="H391" s="1066"/>
      <c r="I391" s="1066"/>
      <c r="J391" s="1066"/>
      <c r="K391" s="1066" t="s">
        <v>2198</v>
      </c>
      <c r="L391" s="1066"/>
      <c r="M391" s="1066"/>
      <c r="N391" s="1066"/>
      <c r="O391" s="1066" t="s">
        <v>2199</v>
      </c>
      <c r="P391" s="1066" t="s">
        <v>1063</v>
      </c>
      <c r="Q391" s="1066" t="s">
        <v>1470</v>
      </c>
      <c r="R391" s="1066"/>
      <c r="S391" s="1066"/>
    </row>
    <row r="392" spans="1:19" x14ac:dyDescent="0.2">
      <c r="A392" s="1059">
        <v>209</v>
      </c>
      <c r="B392" s="1066" t="s">
        <v>2200</v>
      </c>
      <c r="C392" s="1066" t="s">
        <v>2201</v>
      </c>
      <c r="D392" s="1066" t="s">
        <v>2202</v>
      </c>
      <c r="E392" s="1066" t="s">
        <v>1174</v>
      </c>
      <c r="F392" s="1066" t="s">
        <v>1883</v>
      </c>
      <c r="G392" s="1068"/>
      <c r="H392" s="1066" t="s">
        <v>1732</v>
      </c>
      <c r="I392" s="1066" t="s">
        <v>1054</v>
      </c>
      <c r="J392" s="1066" t="s">
        <v>1055</v>
      </c>
      <c r="K392" s="1066" t="s">
        <v>1056</v>
      </c>
      <c r="L392" s="1068"/>
      <c r="M392" s="1068"/>
      <c r="N392" s="1068"/>
      <c r="O392" s="1066" t="s">
        <v>1057</v>
      </c>
      <c r="P392" s="1066" t="s">
        <v>1057</v>
      </c>
      <c r="Q392" s="1066" t="s">
        <v>1057</v>
      </c>
      <c r="R392" s="1066" t="s">
        <v>1324</v>
      </c>
      <c r="S392" s="1068"/>
    </row>
    <row r="393" spans="1:19" x14ac:dyDescent="0.2">
      <c r="A393" s="1059">
        <v>210</v>
      </c>
      <c r="B393" s="1066"/>
      <c r="C393" s="1066"/>
      <c r="D393" s="1066"/>
      <c r="E393" s="1066"/>
      <c r="F393" s="1066"/>
      <c r="G393" s="1066" t="s">
        <v>1883</v>
      </c>
      <c r="H393" s="1066"/>
      <c r="I393" s="1066"/>
      <c r="J393" s="1066"/>
      <c r="K393" s="1066" t="s">
        <v>1056</v>
      </c>
      <c r="L393" s="1066" t="s">
        <v>2203</v>
      </c>
      <c r="M393" s="1066" t="s">
        <v>1060</v>
      </c>
      <c r="N393" s="1066" t="s">
        <v>1061</v>
      </c>
      <c r="O393" s="1066" t="s">
        <v>1278</v>
      </c>
      <c r="P393" s="1066" t="s">
        <v>1095</v>
      </c>
      <c r="Q393" s="1066" t="s">
        <v>1526</v>
      </c>
      <c r="R393" s="1066"/>
      <c r="S393" s="1066"/>
    </row>
    <row r="394" spans="1:19" x14ac:dyDescent="0.2">
      <c r="A394" s="1059">
        <v>211</v>
      </c>
      <c r="B394" s="1066" t="s">
        <v>2204</v>
      </c>
      <c r="C394" s="1066" t="s">
        <v>2205</v>
      </c>
      <c r="D394" s="1066" t="s">
        <v>2206</v>
      </c>
      <c r="E394" s="1066" t="s">
        <v>1502</v>
      </c>
      <c r="F394" s="1066" t="s">
        <v>2207</v>
      </c>
      <c r="G394" s="1068"/>
      <c r="H394" s="1066" t="s">
        <v>1732</v>
      </c>
      <c r="I394" s="1066" t="s">
        <v>1054</v>
      </c>
      <c r="J394" s="1066" t="s">
        <v>1055</v>
      </c>
      <c r="K394" s="1066" t="s">
        <v>1056</v>
      </c>
      <c r="L394" s="1068"/>
      <c r="M394" s="1068"/>
      <c r="N394" s="1068"/>
      <c r="O394" s="1066" t="s">
        <v>1057</v>
      </c>
      <c r="P394" s="1066" t="s">
        <v>1057</v>
      </c>
      <c r="Q394" s="1066" t="s">
        <v>1057</v>
      </c>
      <c r="R394" s="1066" t="s">
        <v>2208</v>
      </c>
      <c r="S394" s="1068"/>
    </row>
    <row r="395" spans="1:19" x14ac:dyDescent="0.2">
      <c r="A395" s="1059">
        <v>212</v>
      </c>
      <c r="B395" s="1066"/>
      <c r="C395" s="1066"/>
      <c r="D395" s="1066"/>
      <c r="E395" s="1066"/>
      <c r="F395" s="1066"/>
      <c r="G395" s="1066" t="s">
        <v>2207</v>
      </c>
      <c r="H395" s="1066"/>
      <c r="I395" s="1066"/>
      <c r="J395" s="1066"/>
      <c r="K395" s="1066" t="s">
        <v>1056</v>
      </c>
      <c r="L395" s="1066" t="s">
        <v>2209</v>
      </c>
      <c r="M395" s="1066" t="s">
        <v>1060</v>
      </c>
      <c r="N395" s="1066" t="s">
        <v>1252</v>
      </c>
      <c r="O395" s="1066" t="s">
        <v>1322</v>
      </c>
      <c r="P395" s="1066" t="s">
        <v>1244</v>
      </c>
      <c r="Q395" s="1066" t="s">
        <v>1716</v>
      </c>
      <c r="R395" s="1066"/>
      <c r="S395" s="1066"/>
    </row>
    <row r="396" spans="1:19" x14ac:dyDescent="0.2">
      <c r="A396" s="1059">
        <v>213</v>
      </c>
      <c r="B396" s="1066" t="s">
        <v>2210</v>
      </c>
      <c r="C396" s="1066" t="s">
        <v>2211</v>
      </c>
      <c r="D396" s="1066" t="s">
        <v>2212</v>
      </c>
      <c r="E396" s="1066" t="s">
        <v>1522</v>
      </c>
      <c r="F396" s="1066" t="s">
        <v>2213</v>
      </c>
      <c r="G396" s="1068"/>
      <c r="H396" s="1066" t="s">
        <v>1732</v>
      </c>
      <c r="I396" s="1066" t="s">
        <v>1054</v>
      </c>
      <c r="J396" s="1066" t="s">
        <v>1055</v>
      </c>
      <c r="K396" s="1066" t="s">
        <v>1056</v>
      </c>
      <c r="L396" s="1068"/>
      <c r="M396" s="1068"/>
      <c r="N396" s="1068"/>
      <c r="O396" s="1066" t="s">
        <v>1057</v>
      </c>
      <c r="P396" s="1066" t="s">
        <v>1057</v>
      </c>
      <c r="Q396" s="1066" t="s">
        <v>1057</v>
      </c>
      <c r="R396" s="1066" t="s">
        <v>2214</v>
      </c>
      <c r="S396" s="1068"/>
    </row>
    <row r="397" spans="1:19" x14ac:dyDescent="0.2">
      <c r="A397" s="1059">
        <v>214</v>
      </c>
      <c r="B397" s="1066"/>
      <c r="C397" s="1066"/>
      <c r="D397" s="1066"/>
      <c r="E397" s="1066"/>
      <c r="F397" s="1066"/>
      <c r="G397" s="1066" t="s">
        <v>2213</v>
      </c>
      <c r="H397" s="1066"/>
      <c r="I397" s="1066"/>
      <c r="J397" s="1066"/>
      <c r="K397" s="1066" t="s">
        <v>1056</v>
      </c>
      <c r="L397" s="1066" t="s">
        <v>2215</v>
      </c>
      <c r="M397" s="1066" t="s">
        <v>1048</v>
      </c>
      <c r="N397" s="1066" t="s">
        <v>1252</v>
      </c>
      <c r="O397" s="1066" t="s">
        <v>1489</v>
      </c>
      <c r="P397" s="1066" t="s">
        <v>1063</v>
      </c>
      <c r="Q397" s="1066" t="s">
        <v>1729</v>
      </c>
      <c r="R397" s="1066"/>
      <c r="S397" s="1066"/>
    </row>
    <row r="398" spans="1:19" x14ac:dyDescent="0.2">
      <c r="A398" s="1059">
        <v>215</v>
      </c>
      <c r="B398" s="1066" t="s">
        <v>2216</v>
      </c>
      <c r="C398" s="1066" t="s">
        <v>2217</v>
      </c>
      <c r="D398" s="1066" t="s">
        <v>2218</v>
      </c>
      <c r="E398" s="1066" t="s">
        <v>1305</v>
      </c>
      <c r="F398" s="1066" t="s">
        <v>1670</v>
      </c>
      <c r="G398" s="1068"/>
      <c r="H398" s="1066" t="s">
        <v>1732</v>
      </c>
      <c r="I398" s="1066" t="s">
        <v>1054</v>
      </c>
      <c r="J398" s="1066" t="s">
        <v>1055</v>
      </c>
      <c r="K398" s="1066" t="s">
        <v>1056</v>
      </c>
      <c r="L398" s="1068"/>
      <c r="M398" s="1068"/>
      <c r="N398" s="1068"/>
      <c r="O398" s="1066" t="s">
        <v>1057</v>
      </c>
      <c r="P398" s="1066" t="s">
        <v>1057</v>
      </c>
      <c r="Q398" s="1066" t="s">
        <v>1057</v>
      </c>
      <c r="R398" s="1066" t="s">
        <v>1971</v>
      </c>
      <c r="S398" s="1068"/>
    </row>
    <row r="399" spans="1:19" x14ac:dyDescent="0.2">
      <c r="A399" s="1059">
        <v>216</v>
      </c>
      <c r="B399" s="1068"/>
      <c r="C399" s="1068"/>
      <c r="D399" s="1068"/>
      <c r="E399" s="1068"/>
      <c r="F399" s="1068"/>
      <c r="G399" s="1066" t="s">
        <v>1670</v>
      </c>
      <c r="H399" s="1068"/>
      <c r="I399" s="1068"/>
      <c r="J399" s="1068"/>
      <c r="K399" s="1066" t="s">
        <v>1056</v>
      </c>
      <c r="L399" s="1066" t="s">
        <v>2219</v>
      </c>
      <c r="M399" s="1066" t="s">
        <v>1048</v>
      </c>
      <c r="N399" s="1066" t="s">
        <v>1252</v>
      </c>
      <c r="O399" s="1066" t="s">
        <v>2220</v>
      </c>
      <c r="P399" s="1066" t="s">
        <v>1063</v>
      </c>
      <c r="Q399" s="1066" t="s">
        <v>2221</v>
      </c>
      <c r="R399" s="1068"/>
      <c r="S399" s="1068"/>
    </row>
    <row r="400" spans="1:19" x14ac:dyDescent="0.2">
      <c r="A400" s="1059">
        <v>217</v>
      </c>
      <c r="B400" s="1068"/>
      <c r="C400" s="1066" t="s">
        <v>1218</v>
      </c>
      <c r="D400" s="1066" t="s">
        <v>2222</v>
      </c>
      <c r="E400" s="1066" t="s">
        <v>1820</v>
      </c>
      <c r="F400" s="1066" t="s">
        <v>2223</v>
      </c>
      <c r="G400" s="1068"/>
      <c r="H400" s="1066" t="s">
        <v>1732</v>
      </c>
      <c r="I400" s="1066" t="s">
        <v>1054</v>
      </c>
      <c r="J400" s="1066" t="s">
        <v>1055</v>
      </c>
      <c r="K400" s="1066" t="s">
        <v>1056</v>
      </c>
      <c r="L400" s="1068"/>
      <c r="M400" s="1068"/>
      <c r="N400" s="1068"/>
      <c r="O400" s="1066" t="s">
        <v>1057</v>
      </c>
      <c r="P400" s="1066" t="s">
        <v>1057</v>
      </c>
      <c r="Q400" s="1066" t="s">
        <v>1057</v>
      </c>
      <c r="R400" s="1066" t="s">
        <v>1822</v>
      </c>
      <c r="S400" s="1068"/>
    </row>
    <row r="401" spans="1:19" x14ac:dyDescent="0.2">
      <c r="A401" s="1059">
        <v>218</v>
      </c>
      <c r="B401" s="1066"/>
      <c r="C401" s="1066"/>
      <c r="D401" s="1066"/>
      <c r="E401" s="1066"/>
      <c r="F401" s="1066"/>
      <c r="G401" s="1066" t="s">
        <v>2223</v>
      </c>
      <c r="H401" s="1066"/>
      <c r="I401" s="1066"/>
      <c r="J401" s="1066"/>
      <c r="K401" s="1066" t="s">
        <v>1056</v>
      </c>
      <c r="L401" s="1066" t="s">
        <v>2224</v>
      </c>
      <c r="M401" s="1066" t="s">
        <v>1060</v>
      </c>
      <c r="N401" s="1066" t="s">
        <v>1061</v>
      </c>
      <c r="O401" s="1066" t="s">
        <v>2225</v>
      </c>
      <c r="P401" s="1066" t="s">
        <v>1063</v>
      </c>
      <c r="Q401" s="1066" t="s">
        <v>1976</v>
      </c>
      <c r="R401" s="1066"/>
      <c r="S401" s="1066"/>
    </row>
    <row r="402" spans="1:19" x14ac:dyDescent="0.2">
      <c r="A402" s="1059">
        <v>219</v>
      </c>
      <c r="B402" s="1066" t="s">
        <v>2226</v>
      </c>
      <c r="C402" s="1066" t="s">
        <v>2227</v>
      </c>
      <c r="D402" s="1066" t="s">
        <v>2228</v>
      </c>
      <c r="E402" s="1066" t="s">
        <v>1632</v>
      </c>
      <c r="F402" s="1066" t="s">
        <v>2229</v>
      </c>
      <c r="G402" s="1068"/>
      <c r="H402" s="1066" t="s">
        <v>1732</v>
      </c>
      <c r="I402" s="1066" t="s">
        <v>1054</v>
      </c>
      <c r="J402" s="1066" t="s">
        <v>1055</v>
      </c>
      <c r="K402" s="1066" t="s">
        <v>1056</v>
      </c>
      <c r="L402" s="1068"/>
      <c r="M402" s="1068"/>
      <c r="N402" s="1068"/>
      <c r="O402" s="1066" t="s">
        <v>1057</v>
      </c>
      <c r="P402" s="1066" t="s">
        <v>1057</v>
      </c>
      <c r="Q402" s="1066" t="s">
        <v>1057</v>
      </c>
      <c r="R402" s="1066" t="s">
        <v>2230</v>
      </c>
      <c r="S402" s="1066" t="s">
        <v>1144</v>
      </c>
    </row>
    <row r="403" spans="1:19" x14ac:dyDescent="0.2">
      <c r="A403" s="1059">
        <v>220</v>
      </c>
      <c r="B403" s="1068"/>
      <c r="C403" s="1068"/>
      <c r="D403" s="1068"/>
      <c r="E403" s="1068"/>
      <c r="F403" s="1068"/>
      <c r="G403" s="1066" t="s">
        <v>2229</v>
      </c>
      <c r="H403" s="1068"/>
      <c r="I403" s="1068"/>
      <c r="J403" s="1068"/>
      <c r="K403" s="1066" t="s">
        <v>2231</v>
      </c>
      <c r="L403" s="1066"/>
      <c r="M403" s="1066"/>
      <c r="N403" s="1066"/>
      <c r="O403" s="1066" t="s">
        <v>1087</v>
      </c>
      <c r="P403" s="1066" t="s">
        <v>1063</v>
      </c>
      <c r="Q403" s="1066" t="s">
        <v>2232</v>
      </c>
      <c r="R403" s="1068"/>
      <c r="S403" s="1068"/>
    </row>
    <row r="404" spans="1:19" x14ac:dyDescent="0.2">
      <c r="A404" s="1059">
        <v>221</v>
      </c>
      <c r="B404" s="1068"/>
      <c r="C404" s="1066" t="s">
        <v>2233</v>
      </c>
      <c r="D404" s="1066" t="s">
        <v>2234</v>
      </c>
      <c r="E404" s="1066" t="s">
        <v>1305</v>
      </c>
      <c r="F404" s="1066" t="s">
        <v>1762</v>
      </c>
      <c r="G404" s="1068"/>
      <c r="H404" s="1066" t="s">
        <v>1732</v>
      </c>
      <c r="I404" s="1066" t="s">
        <v>2235</v>
      </c>
      <c r="J404" s="1066" t="s">
        <v>1055</v>
      </c>
      <c r="K404" s="1066" t="s">
        <v>2231</v>
      </c>
      <c r="L404" s="1068"/>
      <c r="M404" s="1068"/>
      <c r="N404" s="1068"/>
      <c r="O404" s="1066" t="s">
        <v>1161</v>
      </c>
      <c r="P404" s="1066" t="s">
        <v>1244</v>
      </c>
      <c r="Q404" s="1066" t="s">
        <v>1930</v>
      </c>
      <c r="R404" s="1066" t="s">
        <v>2236</v>
      </c>
      <c r="S404" s="1068"/>
    </row>
    <row r="405" spans="1:19" x14ac:dyDescent="0.2">
      <c r="A405" s="1059">
        <v>222</v>
      </c>
      <c r="B405" s="1068"/>
      <c r="C405" s="1068"/>
      <c r="D405" s="1068"/>
      <c r="E405" s="1068"/>
      <c r="F405" s="1068"/>
      <c r="G405" s="1066" t="s">
        <v>2237</v>
      </c>
      <c r="H405" s="1068"/>
      <c r="I405" s="1068"/>
      <c r="J405" s="1068"/>
      <c r="K405" s="1066" t="s">
        <v>1056</v>
      </c>
      <c r="L405" s="1066" t="s">
        <v>2238</v>
      </c>
      <c r="M405" s="1066" t="s">
        <v>1060</v>
      </c>
      <c r="N405" s="1066" t="s">
        <v>1252</v>
      </c>
      <c r="O405" s="1066" t="s">
        <v>1178</v>
      </c>
      <c r="P405" s="1066" t="s">
        <v>1309</v>
      </c>
      <c r="Q405" s="1066" t="s">
        <v>2239</v>
      </c>
      <c r="R405" s="1068"/>
      <c r="S405" s="1068"/>
    </row>
    <row r="406" spans="1:19" x14ac:dyDescent="0.2">
      <c r="A406" s="1059">
        <v>223</v>
      </c>
      <c r="B406" s="1068"/>
      <c r="C406" s="1066" t="s">
        <v>2240</v>
      </c>
      <c r="D406" s="1066" t="s">
        <v>2241</v>
      </c>
      <c r="E406" s="1066" t="s">
        <v>1502</v>
      </c>
      <c r="F406" s="1066" t="s">
        <v>1084</v>
      </c>
      <c r="G406" s="1068"/>
      <c r="H406" s="1066" t="s">
        <v>1732</v>
      </c>
      <c r="I406" s="1066" t="s">
        <v>2235</v>
      </c>
      <c r="J406" s="1066" t="s">
        <v>1055</v>
      </c>
      <c r="K406" s="1066" t="s">
        <v>1056</v>
      </c>
      <c r="L406" s="1068"/>
      <c r="M406" s="1068"/>
      <c r="N406" s="1068"/>
      <c r="O406" s="1066" t="s">
        <v>1057</v>
      </c>
      <c r="P406" s="1066" t="s">
        <v>1057</v>
      </c>
      <c r="Q406" s="1066" t="s">
        <v>1057</v>
      </c>
      <c r="R406" s="1066" t="s">
        <v>2242</v>
      </c>
      <c r="S406" s="1068"/>
    </row>
    <row r="407" spans="1:19" x14ac:dyDescent="0.2">
      <c r="A407" s="1059">
        <v>224</v>
      </c>
      <c r="B407" s="1066"/>
      <c r="C407" s="1066"/>
      <c r="D407" s="1066"/>
      <c r="E407" s="1066"/>
      <c r="F407" s="1066"/>
      <c r="G407" s="1066" t="s">
        <v>1084</v>
      </c>
      <c r="H407" s="1066"/>
      <c r="I407" s="1066"/>
      <c r="J407" s="1066"/>
      <c r="K407" s="1066" t="s">
        <v>1056</v>
      </c>
      <c r="L407" s="1066" t="s">
        <v>1476</v>
      </c>
      <c r="M407" s="1066" t="s">
        <v>1060</v>
      </c>
      <c r="N407" s="1066" t="s">
        <v>1252</v>
      </c>
      <c r="O407" s="1066" t="s">
        <v>2220</v>
      </c>
      <c r="P407" s="1066" t="s">
        <v>1244</v>
      </c>
      <c r="Q407" s="1066" t="s">
        <v>1644</v>
      </c>
      <c r="R407" s="1066"/>
      <c r="S407" s="1066"/>
    </row>
    <row r="408" spans="1:19" x14ac:dyDescent="0.2">
      <c r="A408" s="1059">
        <v>225</v>
      </c>
      <c r="B408" s="1066" t="s">
        <v>2243</v>
      </c>
      <c r="C408" s="1066" t="s">
        <v>2244</v>
      </c>
      <c r="D408" s="1066" t="s">
        <v>2245</v>
      </c>
      <c r="E408" s="1066" t="s">
        <v>1473</v>
      </c>
      <c r="F408" s="1066" t="s">
        <v>1258</v>
      </c>
      <c r="G408" s="1068"/>
      <c r="H408" s="1066" t="s">
        <v>1732</v>
      </c>
      <c r="I408" s="1066" t="s">
        <v>1054</v>
      </c>
      <c r="J408" s="1066" t="s">
        <v>1055</v>
      </c>
      <c r="K408" s="1066" t="s">
        <v>1056</v>
      </c>
      <c r="L408" s="1068"/>
      <c r="M408" s="1068"/>
      <c r="N408" s="1068"/>
      <c r="O408" s="1066" t="s">
        <v>1057</v>
      </c>
      <c r="P408" s="1066" t="s">
        <v>1057</v>
      </c>
      <c r="Q408" s="1066" t="s">
        <v>1057</v>
      </c>
      <c r="R408" s="1066" t="s">
        <v>2246</v>
      </c>
      <c r="S408" s="1066" t="s">
        <v>1144</v>
      </c>
    </row>
    <row r="409" spans="1:19" x14ac:dyDescent="0.2">
      <c r="A409" s="1059">
        <v>226</v>
      </c>
      <c r="B409" s="1068"/>
      <c r="C409" s="1068"/>
      <c r="D409" s="1068"/>
      <c r="E409" s="1068"/>
      <c r="F409" s="1068"/>
      <c r="G409" s="1066" t="s">
        <v>1258</v>
      </c>
      <c r="H409" s="1068"/>
      <c r="I409" s="1068"/>
      <c r="J409" s="1068"/>
      <c r="K409" s="1066" t="s">
        <v>2247</v>
      </c>
      <c r="L409" s="1066"/>
      <c r="M409" s="1066"/>
      <c r="N409" s="1066"/>
      <c r="O409" s="1066" t="s">
        <v>2248</v>
      </c>
      <c r="P409" s="1066" t="s">
        <v>1095</v>
      </c>
      <c r="Q409" s="1066" t="s">
        <v>1609</v>
      </c>
      <c r="R409" s="1068"/>
      <c r="S409" s="1068"/>
    </row>
    <row r="410" spans="1:19" x14ac:dyDescent="0.2">
      <c r="A410" s="1059">
        <v>227</v>
      </c>
      <c r="B410" s="1068"/>
      <c r="C410" s="1066" t="s">
        <v>1164</v>
      </c>
      <c r="D410" s="1066" t="s">
        <v>2249</v>
      </c>
      <c r="E410" s="1066" t="s">
        <v>1416</v>
      </c>
      <c r="F410" s="1066" t="s">
        <v>1306</v>
      </c>
      <c r="G410" s="1068"/>
      <c r="H410" s="1066" t="s">
        <v>1732</v>
      </c>
      <c r="I410" s="1066" t="s">
        <v>2250</v>
      </c>
      <c r="J410" s="1066" t="s">
        <v>1055</v>
      </c>
      <c r="K410" s="1066" t="s">
        <v>2247</v>
      </c>
      <c r="L410" s="1068"/>
      <c r="M410" s="1068"/>
      <c r="N410" s="1068"/>
      <c r="O410" s="1066" t="s">
        <v>2251</v>
      </c>
      <c r="P410" s="1066" t="s">
        <v>1095</v>
      </c>
      <c r="Q410" s="1066" t="s">
        <v>1852</v>
      </c>
      <c r="R410" s="1066" t="s">
        <v>2252</v>
      </c>
      <c r="S410" s="1068"/>
    </row>
    <row r="411" spans="1:19" x14ac:dyDescent="0.2">
      <c r="A411" s="1059">
        <v>228</v>
      </c>
      <c r="B411" s="1066"/>
      <c r="C411" s="1066"/>
      <c r="D411" s="1066"/>
      <c r="E411" s="1066"/>
      <c r="F411" s="1066"/>
      <c r="G411" s="1066" t="s">
        <v>2253</v>
      </c>
      <c r="H411" s="1066"/>
      <c r="I411" s="1066"/>
      <c r="J411" s="1066"/>
      <c r="K411" s="1066" t="s">
        <v>2254</v>
      </c>
      <c r="L411" s="1066"/>
      <c r="M411" s="1066"/>
      <c r="N411" s="1066"/>
      <c r="O411" s="1066" t="s">
        <v>2255</v>
      </c>
      <c r="P411" s="1066" t="s">
        <v>1254</v>
      </c>
      <c r="Q411" s="1066" t="s">
        <v>2256</v>
      </c>
      <c r="R411" s="1066"/>
      <c r="S411" s="1066"/>
    </row>
    <row r="412" spans="1:19" x14ac:dyDescent="0.2">
      <c r="A412" s="1059">
        <v>229</v>
      </c>
      <c r="B412" s="1066" t="s">
        <v>2257</v>
      </c>
      <c r="C412" s="1066" t="s">
        <v>2258</v>
      </c>
      <c r="D412" s="1066" t="s">
        <v>2259</v>
      </c>
      <c r="E412" s="1066" t="s">
        <v>2260</v>
      </c>
      <c r="F412" s="1066" t="s">
        <v>1199</v>
      </c>
      <c r="G412" s="1068"/>
      <c r="H412" s="1066" t="s">
        <v>1732</v>
      </c>
      <c r="I412" s="1066" t="s">
        <v>1054</v>
      </c>
      <c r="J412" s="1066" t="s">
        <v>1055</v>
      </c>
      <c r="K412" s="1066" t="s">
        <v>1056</v>
      </c>
      <c r="L412" s="1068"/>
      <c r="M412" s="1068"/>
      <c r="N412" s="1068"/>
      <c r="O412" s="1066" t="s">
        <v>1057</v>
      </c>
      <c r="P412" s="1066" t="s">
        <v>1057</v>
      </c>
      <c r="Q412" s="1066" t="s">
        <v>1057</v>
      </c>
      <c r="R412" s="1066" t="s">
        <v>2261</v>
      </c>
      <c r="S412" s="1066" t="s">
        <v>1144</v>
      </c>
    </row>
    <row r="413" spans="1:19" x14ac:dyDescent="0.2">
      <c r="A413" s="1059">
        <v>230</v>
      </c>
      <c r="B413" s="1066"/>
      <c r="C413" s="1066"/>
      <c r="D413" s="1066"/>
      <c r="E413" s="1066"/>
      <c r="F413" s="1066"/>
      <c r="G413" s="1066" t="s">
        <v>1199</v>
      </c>
      <c r="H413" s="1066"/>
      <c r="I413" s="1066"/>
      <c r="J413" s="1066"/>
      <c r="K413" s="1066" t="s">
        <v>2262</v>
      </c>
      <c r="L413" s="1066"/>
      <c r="M413" s="1066"/>
      <c r="N413" s="1066"/>
      <c r="O413" s="1066" t="s">
        <v>1412</v>
      </c>
      <c r="P413" s="1066" t="s">
        <v>1063</v>
      </c>
      <c r="Q413" s="1066" t="s">
        <v>2263</v>
      </c>
      <c r="R413" s="1066"/>
      <c r="S413" s="1066"/>
    </row>
  </sheetData>
  <mergeCells count="3">
    <mergeCell ref="B1:S1"/>
    <mergeCell ref="B2:S2"/>
    <mergeCell ref="B183:S183"/>
  </mergeCells>
  <printOptions horizontalCentered="1"/>
  <pageMargins left="0.59055118110236227" right="0.59055118110236227" top="1.7716535433070868" bottom="0.78740157480314965" header="0" footer="0"/>
  <pageSetup paperSize="9" scale="60" firstPageNumber="25" orientation="landscape" r:id="rId1"/>
  <headerFooter scaleWithDoc="0">
    <oddHeader>&amp;L&amp;G</oddHeader>
    <oddFooter>&amp;C&amp;"-,Negrito"&amp;12DIONI CAETANEO DE OLIVEIRA
&amp;"-,Regular"ENGENHEIRO CIVIL - CREA /MT 40957
DEPARTAMENTO DE ENGENHARIA</oddFooter>
  </headerFooter>
  <rowBreaks count="5" manualBreakCount="5">
    <brk id="221" min="1" max="18" man="1"/>
    <brk id="259" min="1" max="18" man="1"/>
    <brk id="297" min="1" max="18" man="1"/>
    <brk id="335" min="1" max="18" man="1"/>
    <brk id="373" min="1" max="18" man="1"/>
  </rowBreaks>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3FA7E-E223-4F79-8627-322C2A393CEE}">
  <sheetPr codeName="Plan34">
    <tabColor rgb="FF7030A0"/>
  </sheetPr>
  <dimension ref="A1:AE68"/>
  <sheetViews>
    <sheetView showGridLines="0" view="pageLayout" topLeftCell="A34" zoomScaleNormal="115" zoomScaleSheetLayoutView="90" workbookViewId="0">
      <selection activeCell="Q34" activeCellId="1" sqref="P49 Q34"/>
    </sheetView>
  </sheetViews>
  <sheetFormatPr defaultColWidth="9.140625" defaultRowHeight="14.25" x14ac:dyDescent="0.2"/>
  <cols>
    <col min="1" max="1" width="8" style="593" customWidth="1"/>
    <col min="2" max="2" width="13" style="593" customWidth="1"/>
    <col min="3" max="3" width="10.42578125" style="593" bestFit="1" customWidth="1"/>
    <col min="4" max="4" width="9.42578125" style="593" customWidth="1"/>
    <col min="5" max="5" width="11.42578125" style="593" customWidth="1"/>
    <col min="6" max="6" width="7.85546875" style="593" bestFit="1" customWidth="1"/>
    <col min="7" max="7" width="9" style="593" customWidth="1"/>
    <col min="8" max="8" width="9.28515625" style="593" bestFit="1" customWidth="1"/>
    <col min="9" max="9" width="12.7109375" style="593" customWidth="1"/>
    <col min="10" max="10" width="11.5703125" style="593" customWidth="1"/>
    <col min="11" max="11" width="11.7109375" style="593" customWidth="1"/>
    <col min="12" max="12" width="11.28515625" style="593" customWidth="1"/>
    <col min="13" max="13" width="12.5703125" style="593" customWidth="1"/>
    <col min="14" max="14" width="12.28515625" style="593" customWidth="1"/>
    <col min="15" max="15" width="10.5703125" style="593" customWidth="1"/>
    <col min="16" max="16" width="11.28515625" style="593" customWidth="1"/>
    <col min="17" max="17" width="12.28515625" style="593" customWidth="1"/>
    <col min="18" max="18" width="10.140625" style="593" customWidth="1"/>
    <col min="19" max="19" width="8.28515625" style="593" customWidth="1"/>
    <col min="20" max="24" width="9.140625" style="593"/>
    <col min="25" max="25" width="13.7109375" style="593" customWidth="1"/>
    <col min="26" max="26" width="13.28515625" style="593" customWidth="1"/>
    <col min="27" max="16384" width="9.140625" style="593"/>
  </cols>
  <sheetData>
    <row r="1" spans="1:31" ht="24.95" customHeight="1" x14ac:dyDescent="0.25">
      <c r="A1" s="1652" t="s">
        <v>1026</v>
      </c>
      <c r="B1" s="1652"/>
      <c r="C1" s="1652"/>
      <c r="D1" s="1652"/>
      <c r="E1" s="1652"/>
      <c r="F1" s="1652"/>
      <c r="G1" s="1652"/>
      <c r="H1" s="1652"/>
      <c r="I1" s="1652"/>
      <c r="J1" s="1652"/>
      <c r="K1" s="1652"/>
      <c r="L1" s="1652"/>
      <c r="M1" s="1652"/>
      <c r="N1" s="1652"/>
      <c r="O1" s="1652"/>
      <c r="P1" s="1652"/>
      <c r="Q1" s="1652"/>
      <c r="R1" s="1652"/>
      <c r="S1" s="1070"/>
      <c r="T1" s="1071"/>
      <c r="U1" s="1071"/>
      <c r="V1" s="1071"/>
      <c r="W1" s="1071"/>
      <c r="X1" s="1071"/>
      <c r="Y1" s="1071"/>
      <c r="Z1" s="1071"/>
      <c r="AA1" s="1071"/>
      <c r="AB1" s="1071"/>
      <c r="AC1" s="1071"/>
      <c r="AD1" s="1071"/>
      <c r="AE1" s="1071"/>
    </row>
    <row r="2" spans="1:31" ht="24.95" customHeight="1" x14ac:dyDescent="0.25">
      <c r="A2" s="1652" t="s">
        <v>2264</v>
      </c>
      <c r="B2" s="1652"/>
      <c r="C2" s="1652"/>
      <c r="D2" s="1652"/>
      <c r="E2" s="1652"/>
      <c r="F2" s="1652"/>
      <c r="G2" s="1652"/>
      <c r="H2" s="1652"/>
      <c r="I2" s="1652"/>
      <c r="J2" s="1652"/>
      <c r="K2" s="1652"/>
      <c r="L2" s="1652"/>
      <c r="M2" s="1652"/>
      <c r="N2" s="1652"/>
      <c r="O2" s="1652"/>
      <c r="P2" s="1652"/>
      <c r="Q2" s="1652"/>
      <c r="R2" s="1652"/>
      <c r="S2" s="1070"/>
      <c r="T2" s="1071"/>
      <c r="U2" s="1071"/>
      <c r="V2" s="1071"/>
      <c r="W2" s="1071"/>
      <c r="X2" s="1071"/>
      <c r="Y2" s="1071"/>
      <c r="Z2" s="1071"/>
      <c r="AA2" s="1071"/>
      <c r="AB2" s="1071"/>
      <c r="AC2" s="1071"/>
      <c r="AD2" s="1071"/>
      <c r="AE2" s="1071"/>
    </row>
    <row r="3" spans="1:31" ht="47.25" customHeight="1" x14ac:dyDescent="0.2">
      <c r="A3" s="1072" t="s">
        <v>1028</v>
      </c>
      <c r="B3" s="1072" t="s">
        <v>2265</v>
      </c>
      <c r="C3" s="1072" t="s">
        <v>2266</v>
      </c>
      <c r="D3" s="1072" t="s">
        <v>2267</v>
      </c>
      <c r="E3" s="1072" t="s">
        <v>2268</v>
      </c>
      <c r="F3" s="1072" t="s">
        <v>1033</v>
      </c>
      <c r="G3" s="1072" t="s">
        <v>2269</v>
      </c>
      <c r="H3" s="1072" t="s">
        <v>2270</v>
      </c>
      <c r="I3" s="1072" t="s">
        <v>2271</v>
      </c>
      <c r="J3" s="1072" t="s">
        <v>2272</v>
      </c>
      <c r="K3" s="1072" t="s">
        <v>2273</v>
      </c>
      <c r="L3" s="1072" t="s">
        <v>2274</v>
      </c>
      <c r="M3" s="1072" t="s">
        <v>2275</v>
      </c>
      <c r="N3" s="1072" t="s">
        <v>2276</v>
      </c>
      <c r="O3" s="1072" t="s">
        <v>2277</v>
      </c>
      <c r="P3" s="1072" t="s">
        <v>2278</v>
      </c>
      <c r="Q3" s="1072" t="s">
        <v>2279</v>
      </c>
      <c r="R3" s="1072" t="s">
        <v>2280</v>
      </c>
      <c r="S3" s="1073"/>
    </row>
    <row r="4" spans="1:31" ht="18.75" customHeight="1" x14ac:dyDescent="0.2">
      <c r="A4" s="1545" t="s">
        <v>538</v>
      </c>
      <c r="B4" s="1546"/>
      <c r="C4" s="1546"/>
      <c r="D4" s="1546"/>
      <c r="E4" s="1546"/>
      <c r="F4" s="1546"/>
      <c r="G4" s="1546"/>
      <c r="H4" s="1546"/>
      <c r="I4" s="1546"/>
      <c r="J4" s="1546"/>
      <c r="K4" s="1546"/>
      <c r="L4" s="1546"/>
      <c r="M4" s="1546"/>
      <c r="N4" s="1546"/>
      <c r="O4" s="1546"/>
      <c r="P4" s="1546"/>
      <c r="Q4" s="1546"/>
      <c r="R4" s="1547"/>
      <c r="S4" s="1073"/>
    </row>
    <row r="5" spans="1:31" ht="18.75" customHeight="1" x14ac:dyDescent="0.2">
      <c r="A5" s="1074" t="s">
        <v>2281</v>
      </c>
      <c r="B5" s="1074" t="s">
        <v>2282</v>
      </c>
      <c r="C5" s="1075">
        <v>75</v>
      </c>
      <c r="D5" s="1076" t="s">
        <v>1493</v>
      </c>
      <c r="E5" s="1075">
        <v>0.6</v>
      </c>
      <c r="F5" s="1076" t="s">
        <v>2283</v>
      </c>
      <c r="G5" s="1076" t="s">
        <v>2284</v>
      </c>
      <c r="H5" s="1076" t="s">
        <v>2285</v>
      </c>
      <c r="I5" s="1076" t="s">
        <v>2286</v>
      </c>
      <c r="J5" s="1076" t="s">
        <v>2287</v>
      </c>
      <c r="K5" s="1076" t="s">
        <v>2288</v>
      </c>
      <c r="L5" s="1076" t="s">
        <v>2289</v>
      </c>
      <c r="M5" s="1076" t="s">
        <v>2290</v>
      </c>
      <c r="N5" s="1076" t="s">
        <v>2291</v>
      </c>
      <c r="O5" s="1076" t="s">
        <v>2292</v>
      </c>
      <c r="P5" s="1076" t="s">
        <v>2292</v>
      </c>
      <c r="Q5" s="1076" t="s">
        <v>2293</v>
      </c>
      <c r="R5" s="1076">
        <v>1.2</v>
      </c>
      <c r="S5" s="1073"/>
    </row>
    <row r="6" spans="1:31" ht="18.75" customHeight="1" x14ac:dyDescent="0.2">
      <c r="A6" s="1077"/>
      <c r="B6" s="1074" t="s">
        <v>2294</v>
      </c>
      <c r="C6" s="1075">
        <v>74</v>
      </c>
      <c r="D6" s="1076" t="s">
        <v>1377</v>
      </c>
      <c r="E6" s="1075">
        <v>0.6</v>
      </c>
      <c r="F6" s="1076" t="s">
        <v>2295</v>
      </c>
      <c r="G6" s="1076" t="s">
        <v>2296</v>
      </c>
      <c r="H6" s="1076" t="s">
        <v>2297</v>
      </c>
      <c r="I6" s="1076" t="s">
        <v>2298</v>
      </c>
      <c r="J6" s="1076" t="s">
        <v>2299</v>
      </c>
      <c r="K6" s="1076" t="s">
        <v>2289</v>
      </c>
      <c r="L6" s="1076" t="s">
        <v>2300</v>
      </c>
      <c r="M6" s="1076" t="s">
        <v>2291</v>
      </c>
      <c r="N6" s="1076" t="s">
        <v>2301</v>
      </c>
      <c r="O6" s="1076" t="s">
        <v>2292</v>
      </c>
      <c r="P6" s="1076" t="s">
        <v>2292</v>
      </c>
      <c r="Q6" s="1076" t="s">
        <v>2293</v>
      </c>
      <c r="R6" s="1076">
        <v>1.2</v>
      </c>
      <c r="S6" s="1073"/>
    </row>
    <row r="7" spans="1:31" ht="18.75" customHeight="1" x14ac:dyDescent="0.2">
      <c r="A7" s="1077"/>
      <c r="B7" s="1074" t="s">
        <v>2302</v>
      </c>
      <c r="C7" s="1075">
        <v>74</v>
      </c>
      <c r="D7" s="1076" t="s">
        <v>2303</v>
      </c>
      <c r="E7" s="1075">
        <v>0.6</v>
      </c>
      <c r="F7" s="1076" t="s">
        <v>2304</v>
      </c>
      <c r="G7" s="1076" t="s">
        <v>2305</v>
      </c>
      <c r="H7" s="1076" t="s">
        <v>2306</v>
      </c>
      <c r="I7" s="1076" t="s">
        <v>2307</v>
      </c>
      <c r="J7" s="1076" t="s">
        <v>2308</v>
      </c>
      <c r="K7" s="1076" t="s">
        <v>2300</v>
      </c>
      <c r="L7" s="1076" t="s">
        <v>2309</v>
      </c>
      <c r="M7" s="1076" t="s">
        <v>2301</v>
      </c>
      <c r="N7" s="1076" t="s">
        <v>2310</v>
      </c>
      <c r="O7" s="1076" t="s">
        <v>2292</v>
      </c>
      <c r="P7" s="1076" t="s">
        <v>2292</v>
      </c>
      <c r="Q7" s="1076" t="s">
        <v>2293</v>
      </c>
      <c r="R7" s="1076">
        <v>1.2</v>
      </c>
      <c r="S7" s="1073"/>
    </row>
    <row r="8" spans="1:31" ht="18.75" customHeight="1" x14ac:dyDescent="0.2">
      <c r="A8" s="1074"/>
      <c r="B8" s="1074" t="s">
        <v>2311</v>
      </c>
      <c r="C8" s="1075">
        <v>86</v>
      </c>
      <c r="D8" s="1076" t="s">
        <v>2312</v>
      </c>
      <c r="E8" s="1075">
        <v>0.8</v>
      </c>
      <c r="F8" s="1076" t="s">
        <v>2313</v>
      </c>
      <c r="G8" s="1076" t="s">
        <v>2314</v>
      </c>
      <c r="H8" s="1076" t="s">
        <v>2315</v>
      </c>
      <c r="I8" s="1076" t="s">
        <v>2316</v>
      </c>
      <c r="J8" s="1076" t="s">
        <v>2317</v>
      </c>
      <c r="K8" s="1076" t="s">
        <v>2309</v>
      </c>
      <c r="L8" s="1076" t="s">
        <v>2318</v>
      </c>
      <c r="M8" s="1076" t="s">
        <v>2319</v>
      </c>
      <c r="N8" s="1076" t="s">
        <v>2320</v>
      </c>
      <c r="O8" s="1076" t="s">
        <v>2321</v>
      </c>
      <c r="P8" s="1076" t="s">
        <v>2321</v>
      </c>
      <c r="Q8" s="1076" t="s">
        <v>2293</v>
      </c>
      <c r="R8" s="1076">
        <v>1.4</v>
      </c>
      <c r="S8" s="1073"/>
    </row>
    <row r="9" spans="1:31" ht="18.75" customHeight="1" x14ac:dyDescent="0.2">
      <c r="A9" s="1074" t="s">
        <v>2322</v>
      </c>
      <c r="B9" s="1074" t="s">
        <v>2323</v>
      </c>
      <c r="C9" s="1075">
        <v>93</v>
      </c>
      <c r="D9" s="1076" t="s">
        <v>1265</v>
      </c>
      <c r="E9" s="1075">
        <v>0.6</v>
      </c>
      <c r="F9" s="1076" t="s">
        <v>2324</v>
      </c>
      <c r="G9" s="1076" t="s">
        <v>2325</v>
      </c>
      <c r="H9" s="1076" t="s">
        <v>2326</v>
      </c>
      <c r="I9" s="1076" t="s">
        <v>2327</v>
      </c>
      <c r="J9" s="1076" t="s">
        <v>2328</v>
      </c>
      <c r="K9" s="1076" t="s">
        <v>2329</v>
      </c>
      <c r="L9" s="1076" t="s">
        <v>2330</v>
      </c>
      <c r="M9" s="1076" t="s">
        <v>2331</v>
      </c>
      <c r="N9" s="1076" t="s">
        <v>2332</v>
      </c>
      <c r="O9" s="1076" t="s">
        <v>2292</v>
      </c>
      <c r="P9" s="1076" t="s">
        <v>2292</v>
      </c>
      <c r="Q9" s="1076" t="s">
        <v>2293</v>
      </c>
      <c r="R9" s="1076">
        <v>1.2</v>
      </c>
      <c r="S9" s="1073"/>
    </row>
    <row r="10" spans="1:31" ht="18.75" customHeight="1" x14ac:dyDescent="0.2">
      <c r="A10" s="1077"/>
      <c r="B10" s="1074" t="s">
        <v>2333</v>
      </c>
      <c r="C10" s="1075">
        <v>83</v>
      </c>
      <c r="D10" s="1076" t="s">
        <v>1931</v>
      </c>
      <c r="E10" s="1075">
        <v>0.6</v>
      </c>
      <c r="F10" s="1076" t="s">
        <v>2334</v>
      </c>
      <c r="G10" s="1076" t="s">
        <v>2335</v>
      </c>
      <c r="H10" s="1076" t="s">
        <v>2336</v>
      </c>
      <c r="I10" s="1076" t="s">
        <v>2337</v>
      </c>
      <c r="J10" s="1076" t="s">
        <v>2338</v>
      </c>
      <c r="K10" s="1076" t="s">
        <v>2330</v>
      </c>
      <c r="L10" s="1076" t="s">
        <v>2339</v>
      </c>
      <c r="M10" s="1076" t="s">
        <v>2332</v>
      </c>
      <c r="N10" s="1076" t="s">
        <v>2340</v>
      </c>
      <c r="O10" s="1076" t="s">
        <v>2292</v>
      </c>
      <c r="P10" s="1076" t="s">
        <v>2292</v>
      </c>
      <c r="Q10" s="1076" t="s">
        <v>2293</v>
      </c>
      <c r="R10" s="1076">
        <v>1.2</v>
      </c>
      <c r="S10" s="1073"/>
    </row>
    <row r="11" spans="1:31" ht="18.75" customHeight="1" x14ac:dyDescent="0.2">
      <c r="A11" s="1077"/>
      <c r="B11" s="1074" t="s">
        <v>2341</v>
      </c>
      <c r="C11" s="1075">
        <v>75</v>
      </c>
      <c r="D11" s="1076" t="s">
        <v>2342</v>
      </c>
      <c r="E11" s="1075">
        <v>0.6</v>
      </c>
      <c r="F11" s="1076" t="s">
        <v>2343</v>
      </c>
      <c r="G11" s="1076" t="s">
        <v>2344</v>
      </c>
      <c r="H11" s="1076" t="s">
        <v>2345</v>
      </c>
      <c r="I11" s="1076" t="s">
        <v>2346</v>
      </c>
      <c r="J11" s="1076" t="s">
        <v>2347</v>
      </c>
      <c r="K11" s="1076" t="s">
        <v>2339</v>
      </c>
      <c r="L11" s="1076" t="s">
        <v>2348</v>
      </c>
      <c r="M11" s="1076" t="s">
        <v>2340</v>
      </c>
      <c r="N11" s="1076" t="s">
        <v>2349</v>
      </c>
      <c r="O11" s="1076" t="s">
        <v>2292</v>
      </c>
      <c r="P11" s="1076" t="s">
        <v>2292</v>
      </c>
      <c r="Q11" s="1076" t="s">
        <v>2293</v>
      </c>
      <c r="R11" s="1076">
        <v>1.2</v>
      </c>
      <c r="S11" s="1073"/>
    </row>
    <row r="12" spans="1:31" ht="18.75" customHeight="1" x14ac:dyDescent="0.2">
      <c r="A12" s="1077"/>
      <c r="B12" s="1074" t="s">
        <v>2350</v>
      </c>
      <c r="C12" s="1075">
        <v>75</v>
      </c>
      <c r="D12" s="1076" t="s">
        <v>2351</v>
      </c>
      <c r="E12" s="1075">
        <v>0.8</v>
      </c>
      <c r="F12" s="1076" t="s">
        <v>2352</v>
      </c>
      <c r="G12" s="1076" t="s">
        <v>2353</v>
      </c>
      <c r="H12" s="1076" t="s">
        <v>2354</v>
      </c>
      <c r="I12" s="1076" t="s">
        <v>2355</v>
      </c>
      <c r="J12" s="1076" t="s">
        <v>2356</v>
      </c>
      <c r="K12" s="1076" t="s">
        <v>2348</v>
      </c>
      <c r="L12" s="1076" t="s">
        <v>2357</v>
      </c>
      <c r="M12" s="1076" t="s">
        <v>2358</v>
      </c>
      <c r="N12" s="1076" t="s">
        <v>2359</v>
      </c>
      <c r="O12" s="1076" t="s">
        <v>2321</v>
      </c>
      <c r="P12" s="1076" t="s">
        <v>2321</v>
      </c>
      <c r="Q12" s="1076" t="s">
        <v>2293</v>
      </c>
      <c r="R12" s="1076">
        <v>1.4</v>
      </c>
      <c r="S12" s="1073"/>
    </row>
    <row r="13" spans="1:31" ht="18.75" customHeight="1" x14ac:dyDescent="0.2">
      <c r="A13" s="1077"/>
      <c r="B13" s="1074" t="s">
        <v>2360</v>
      </c>
      <c r="C13" s="1075">
        <v>72</v>
      </c>
      <c r="D13" s="1076" t="s">
        <v>2361</v>
      </c>
      <c r="E13" s="1075">
        <v>0.8</v>
      </c>
      <c r="F13" s="1076" t="s">
        <v>2362</v>
      </c>
      <c r="G13" s="1076" t="s">
        <v>2363</v>
      </c>
      <c r="H13" s="1076" t="s">
        <v>2364</v>
      </c>
      <c r="I13" s="1076" t="s">
        <v>2365</v>
      </c>
      <c r="J13" s="1076" t="s">
        <v>2366</v>
      </c>
      <c r="K13" s="1076" t="s">
        <v>2357</v>
      </c>
      <c r="L13" s="1076" t="s">
        <v>2367</v>
      </c>
      <c r="M13" s="1076" t="s">
        <v>2359</v>
      </c>
      <c r="N13" s="1076" t="s">
        <v>2368</v>
      </c>
      <c r="O13" s="1076" t="s">
        <v>2321</v>
      </c>
      <c r="P13" s="1076" t="s">
        <v>2321</v>
      </c>
      <c r="Q13" s="1076" t="s">
        <v>2293</v>
      </c>
      <c r="R13" s="1076">
        <v>1.4</v>
      </c>
      <c r="S13" s="1073"/>
    </row>
    <row r="14" spans="1:31" ht="18.75" customHeight="1" x14ac:dyDescent="0.2">
      <c r="A14" s="1077"/>
      <c r="B14" s="1074" t="s">
        <v>2369</v>
      </c>
      <c r="C14" s="1075">
        <v>88</v>
      </c>
      <c r="D14" s="1076" t="s">
        <v>2370</v>
      </c>
      <c r="E14" s="1075">
        <v>1</v>
      </c>
      <c r="F14" s="1076" t="s">
        <v>2371</v>
      </c>
      <c r="G14" s="1076" t="s">
        <v>2372</v>
      </c>
      <c r="H14" s="1076" t="s">
        <v>2373</v>
      </c>
      <c r="I14" s="1076" t="s">
        <v>2374</v>
      </c>
      <c r="J14" s="1076" t="s">
        <v>2375</v>
      </c>
      <c r="K14" s="1076" t="s">
        <v>2367</v>
      </c>
      <c r="L14" s="1076" t="s">
        <v>2376</v>
      </c>
      <c r="M14" s="1076" t="s">
        <v>2377</v>
      </c>
      <c r="N14" s="1076" t="s">
        <v>2378</v>
      </c>
      <c r="O14" s="1076" t="s">
        <v>2379</v>
      </c>
      <c r="P14" s="1076" t="s">
        <v>2379</v>
      </c>
      <c r="Q14" s="1076" t="s">
        <v>2293</v>
      </c>
      <c r="R14" s="1076">
        <v>1.6</v>
      </c>
      <c r="S14" s="1073"/>
    </row>
    <row r="15" spans="1:31" ht="18.75" customHeight="1" x14ac:dyDescent="0.2">
      <c r="A15" s="1077"/>
      <c r="B15" s="1074" t="s">
        <v>2380</v>
      </c>
      <c r="C15" s="1075">
        <v>58</v>
      </c>
      <c r="D15" s="1076" t="s">
        <v>2381</v>
      </c>
      <c r="E15" s="1075">
        <v>1</v>
      </c>
      <c r="F15" s="1076" t="s">
        <v>2382</v>
      </c>
      <c r="G15" s="1076" t="s">
        <v>2383</v>
      </c>
      <c r="H15" s="1076" t="s">
        <v>2384</v>
      </c>
      <c r="I15" s="1076" t="s">
        <v>2385</v>
      </c>
      <c r="J15" s="1076" t="s">
        <v>2386</v>
      </c>
      <c r="K15" s="1076" t="s">
        <v>2376</v>
      </c>
      <c r="L15" s="1076" t="s">
        <v>2387</v>
      </c>
      <c r="M15" s="1076" t="s">
        <v>2378</v>
      </c>
      <c r="N15" s="1076" t="s">
        <v>2388</v>
      </c>
      <c r="O15" s="1076" t="s">
        <v>2379</v>
      </c>
      <c r="P15" s="1076" t="s">
        <v>2389</v>
      </c>
      <c r="Q15" s="1076" t="s">
        <v>2293</v>
      </c>
      <c r="R15" s="1076">
        <v>1.6</v>
      </c>
      <c r="S15" s="1073"/>
    </row>
    <row r="16" spans="1:31" ht="18.75" customHeight="1" x14ac:dyDescent="0.2">
      <c r="A16" s="1077"/>
      <c r="B16" s="1074" t="s">
        <v>2390</v>
      </c>
      <c r="C16" s="1075">
        <v>111</v>
      </c>
      <c r="D16" s="1076" t="s">
        <v>2381</v>
      </c>
      <c r="E16" s="1075">
        <v>1</v>
      </c>
      <c r="F16" s="1076" t="s">
        <v>2391</v>
      </c>
      <c r="G16" s="1076" t="s">
        <v>2392</v>
      </c>
      <c r="H16" s="1076" t="s">
        <v>2393</v>
      </c>
      <c r="I16" s="1076" t="s">
        <v>2394</v>
      </c>
      <c r="J16" s="1076" t="s">
        <v>2395</v>
      </c>
      <c r="K16" s="1076" t="s">
        <v>2387</v>
      </c>
      <c r="L16" s="1076" t="s">
        <v>2396</v>
      </c>
      <c r="M16" s="1076" t="s">
        <v>2388</v>
      </c>
      <c r="N16" s="1076" t="s">
        <v>2397</v>
      </c>
      <c r="O16" s="1076" t="s">
        <v>2389</v>
      </c>
      <c r="P16" s="1076" t="s">
        <v>2379</v>
      </c>
      <c r="Q16" s="1076" t="s">
        <v>2293</v>
      </c>
      <c r="R16" s="1076">
        <v>1.6</v>
      </c>
      <c r="S16" s="1073"/>
    </row>
    <row r="17" spans="1:19" ht="18.75" customHeight="1" x14ac:dyDescent="0.2">
      <c r="A17" s="1077"/>
      <c r="B17" s="1074" t="s">
        <v>2398</v>
      </c>
      <c r="C17" s="1075">
        <v>77</v>
      </c>
      <c r="D17" s="1076" t="s">
        <v>2381</v>
      </c>
      <c r="E17" s="1075">
        <v>1</v>
      </c>
      <c r="F17" s="1076" t="s">
        <v>2399</v>
      </c>
      <c r="G17" s="1076" t="s">
        <v>2400</v>
      </c>
      <c r="H17" s="1076" t="s">
        <v>2401</v>
      </c>
      <c r="I17" s="1076" t="s">
        <v>2402</v>
      </c>
      <c r="J17" s="1076" t="s">
        <v>2403</v>
      </c>
      <c r="K17" s="1076" t="s">
        <v>2396</v>
      </c>
      <c r="L17" s="1076" t="s">
        <v>2404</v>
      </c>
      <c r="M17" s="1076" t="s">
        <v>2397</v>
      </c>
      <c r="N17" s="1076" t="s">
        <v>2405</v>
      </c>
      <c r="O17" s="1076" t="s">
        <v>2379</v>
      </c>
      <c r="P17" s="1076" t="s">
        <v>2379</v>
      </c>
      <c r="Q17" s="1076" t="s">
        <v>2293</v>
      </c>
      <c r="R17" s="1076">
        <v>1.6</v>
      </c>
      <c r="S17" s="1073"/>
    </row>
    <row r="18" spans="1:19" ht="18.75" customHeight="1" x14ac:dyDescent="0.2">
      <c r="A18" s="1077"/>
      <c r="B18" s="1074" t="s">
        <v>2406</v>
      </c>
      <c r="C18" s="1075">
        <v>75</v>
      </c>
      <c r="D18" s="1076" t="s">
        <v>2381</v>
      </c>
      <c r="E18" s="1075">
        <v>1</v>
      </c>
      <c r="F18" s="1076" t="s">
        <v>2407</v>
      </c>
      <c r="G18" s="1076" t="s">
        <v>2408</v>
      </c>
      <c r="H18" s="1076" t="s">
        <v>2354</v>
      </c>
      <c r="I18" s="1076" t="s">
        <v>2409</v>
      </c>
      <c r="J18" s="1076" t="s">
        <v>2410</v>
      </c>
      <c r="K18" s="1076" t="s">
        <v>2404</v>
      </c>
      <c r="L18" s="1076" t="s">
        <v>2411</v>
      </c>
      <c r="M18" s="1076" t="s">
        <v>2405</v>
      </c>
      <c r="N18" s="1076" t="s">
        <v>2412</v>
      </c>
      <c r="O18" s="1076" t="s">
        <v>2379</v>
      </c>
      <c r="P18" s="1076" t="s">
        <v>2379</v>
      </c>
      <c r="Q18" s="1076" t="s">
        <v>2293</v>
      </c>
      <c r="R18" s="1076">
        <v>1.6</v>
      </c>
      <c r="S18" s="1073"/>
    </row>
    <row r="19" spans="1:19" ht="18.75" customHeight="1" x14ac:dyDescent="0.2">
      <c r="A19" s="1077"/>
      <c r="B19" s="1074" t="s">
        <v>2413</v>
      </c>
      <c r="C19" s="1075">
        <v>70</v>
      </c>
      <c r="D19" s="1076" t="s">
        <v>2381</v>
      </c>
      <c r="E19" s="1075">
        <v>1</v>
      </c>
      <c r="F19" s="1076" t="s">
        <v>2414</v>
      </c>
      <c r="G19" s="1076" t="s">
        <v>2415</v>
      </c>
      <c r="H19" s="1076" t="s">
        <v>2416</v>
      </c>
      <c r="I19" s="1076" t="s">
        <v>2417</v>
      </c>
      <c r="J19" s="1076" t="s">
        <v>2418</v>
      </c>
      <c r="K19" s="1076" t="s">
        <v>2411</v>
      </c>
      <c r="L19" s="1076" t="s">
        <v>2419</v>
      </c>
      <c r="M19" s="1076" t="s">
        <v>2412</v>
      </c>
      <c r="N19" s="1076" t="s">
        <v>2420</v>
      </c>
      <c r="O19" s="1076" t="s">
        <v>2379</v>
      </c>
      <c r="P19" s="1076" t="s">
        <v>2379</v>
      </c>
      <c r="Q19" s="1076" t="s">
        <v>2293</v>
      </c>
      <c r="R19" s="1076">
        <v>1.6</v>
      </c>
      <c r="S19" s="1073"/>
    </row>
    <row r="20" spans="1:19" ht="18.75" customHeight="1" x14ac:dyDescent="0.2">
      <c r="A20" s="1077"/>
      <c r="B20" s="1074" t="s">
        <v>2421</v>
      </c>
      <c r="C20" s="1075">
        <v>61</v>
      </c>
      <c r="D20" s="1076" t="s">
        <v>2381</v>
      </c>
      <c r="E20" s="1075">
        <v>1</v>
      </c>
      <c r="F20" s="1076" t="s">
        <v>2422</v>
      </c>
      <c r="G20" s="1076" t="s">
        <v>2423</v>
      </c>
      <c r="H20" s="1076" t="s">
        <v>2424</v>
      </c>
      <c r="I20" s="1076" t="s">
        <v>2425</v>
      </c>
      <c r="J20" s="1076" t="s">
        <v>2426</v>
      </c>
      <c r="K20" s="1076" t="s">
        <v>2419</v>
      </c>
      <c r="L20" s="1076" t="s">
        <v>2427</v>
      </c>
      <c r="M20" s="1076" t="s">
        <v>2420</v>
      </c>
      <c r="N20" s="1076" t="s">
        <v>2428</v>
      </c>
      <c r="O20" s="1076" t="s">
        <v>2379</v>
      </c>
      <c r="P20" s="1076" t="s">
        <v>2379</v>
      </c>
      <c r="Q20" s="1076" t="s">
        <v>2293</v>
      </c>
      <c r="R20" s="1076">
        <v>1.6</v>
      </c>
      <c r="S20" s="1073"/>
    </row>
    <row r="21" spans="1:19" ht="18.75" customHeight="1" x14ac:dyDescent="0.2">
      <c r="A21" s="1077"/>
      <c r="B21" s="1074" t="s">
        <v>2429</v>
      </c>
      <c r="C21" s="1075">
        <v>97</v>
      </c>
      <c r="D21" s="1076" t="s">
        <v>2381</v>
      </c>
      <c r="E21" s="1075">
        <v>1.2</v>
      </c>
      <c r="F21" s="1076" t="s">
        <v>2430</v>
      </c>
      <c r="G21" s="1076" t="s">
        <v>2431</v>
      </c>
      <c r="H21" s="1076" t="s">
        <v>2432</v>
      </c>
      <c r="I21" s="1076" t="s">
        <v>2433</v>
      </c>
      <c r="J21" s="1076" t="s">
        <v>2434</v>
      </c>
      <c r="K21" s="1076" t="s">
        <v>2427</v>
      </c>
      <c r="L21" s="1076" t="s">
        <v>2435</v>
      </c>
      <c r="M21" s="1076" t="s">
        <v>2436</v>
      </c>
      <c r="N21" s="1076" t="s">
        <v>2437</v>
      </c>
      <c r="O21" s="1076" t="s">
        <v>2438</v>
      </c>
      <c r="P21" s="1076" t="s">
        <v>2438</v>
      </c>
      <c r="Q21" s="1076" t="s">
        <v>2293</v>
      </c>
      <c r="R21" s="1076">
        <v>1.7999999999999998</v>
      </c>
      <c r="S21" s="1073"/>
    </row>
    <row r="22" spans="1:19" ht="18.75" customHeight="1" x14ac:dyDescent="0.2">
      <c r="A22" s="1077"/>
      <c r="B22" s="1074" t="s">
        <v>2439</v>
      </c>
      <c r="C22" s="1075">
        <v>99</v>
      </c>
      <c r="D22" s="1076" t="s">
        <v>2381</v>
      </c>
      <c r="E22" s="1075">
        <v>1.2</v>
      </c>
      <c r="F22" s="1076" t="s">
        <v>2440</v>
      </c>
      <c r="G22" s="1076" t="s">
        <v>2441</v>
      </c>
      <c r="H22" s="1076" t="s">
        <v>2442</v>
      </c>
      <c r="I22" s="1076" t="s">
        <v>2443</v>
      </c>
      <c r="J22" s="1076" t="s">
        <v>2444</v>
      </c>
      <c r="K22" s="1076" t="s">
        <v>2435</v>
      </c>
      <c r="L22" s="1076" t="s">
        <v>2445</v>
      </c>
      <c r="M22" s="1076" t="s">
        <v>2437</v>
      </c>
      <c r="N22" s="1076" t="s">
        <v>2446</v>
      </c>
      <c r="O22" s="1076" t="s">
        <v>2438</v>
      </c>
      <c r="P22" s="1076" t="s">
        <v>2438</v>
      </c>
      <c r="Q22" s="1076" t="s">
        <v>2293</v>
      </c>
      <c r="R22" s="1076">
        <v>1.7999999999999998</v>
      </c>
      <c r="S22" s="1073"/>
    </row>
    <row r="23" spans="1:19" ht="18.75" customHeight="1" x14ac:dyDescent="0.2">
      <c r="A23" s="1077"/>
      <c r="B23" s="1074" t="s">
        <v>2447</v>
      </c>
      <c r="C23" s="1075">
        <v>98</v>
      </c>
      <c r="D23" s="1076" t="s">
        <v>2381</v>
      </c>
      <c r="E23" s="1075">
        <v>1.2</v>
      </c>
      <c r="F23" s="1076" t="s">
        <v>2448</v>
      </c>
      <c r="G23" s="1076" t="s">
        <v>2449</v>
      </c>
      <c r="H23" s="1076" t="s">
        <v>2450</v>
      </c>
      <c r="I23" s="1076" t="s">
        <v>2451</v>
      </c>
      <c r="J23" s="1076" t="s">
        <v>2452</v>
      </c>
      <c r="K23" s="1076" t="s">
        <v>2445</v>
      </c>
      <c r="L23" s="1076" t="s">
        <v>2453</v>
      </c>
      <c r="M23" s="1076" t="s">
        <v>2446</v>
      </c>
      <c r="N23" s="1076" t="s">
        <v>2454</v>
      </c>
      <c r="O23" s="1076" t="s">
        <v>2438</v>
      </c>
      <c r="P23" s="1076" t="s">
        <v>2438</v>
      </c>
      <c r="Q23" s="1076" t="s">
        <v>2293</v>
      </c>
      <c r="R23" s="1076">
        <v>1.7999999999999998</v>
      </c>
      <c r="S23" s="1073"/>
    </row>
    <row r="24" spans="1:19" ht="18.75" customHeight="1" x14ac:dyDescent="0.2">
      <c r="A24" s="1077"/>
      <c r="B24" s="1074" t="s">
        <v>2455</v>
      </c>
      <c r="C24" s="1075">
        <v>99</v>
      </c>
      <c r="D24" s="1076" t="s">
        <v>2381</v>
      </c>
      <c r="E24" s="1075">
        <v>1.2</v>
      </c>
      <c r="F24" s="1076" t="s">
        <v>2456</v>
      </c>
      <c r="G24" s="1076" t="s">
        <v>2457</v>
      </c>
      <c r="H24" s="1076" t="s">
        <v>2458</v>
      </c>
      <c r="I24" s="1076" t="s">
        <v>2459</v>
      </c>
      <c r="J24" s="1076" t="s">
        <v>2460</v>
      </c>
      <c r="K24" s="1076" t="s">
        <v>2453</v>
      </c>
      <c r="L24" s="1076" t="s">
        <v>2437</v>
      </c>
      <c r="M24" s="1076" t="s">
        <v>2454</v>
      </c>
      <c r="N24" s="1076" t="s">
        <v>2461</v>
      </c>
      <c r="O24" s="1076" t="s">
        <v>2438</v>
      </c>
      <c r="P24" s="1076" t="s">
        <v>2462</v>
      </c>
      <c r="Q24" s="1076" t="s">
        <v>2293</v>
      </c>
      <c r="R24" s="1076">
        <v>1.7999999999999998</v>
      </c>
      <c r="S24" s="1073"/>
    </row>
    <row r="25" spans="1:19" ht="18.75" customHeight="1" x14ac:dyDescent="0.2">
      <c r="A25" s="1074"/>
      <c r="B25" s="1074" t="s">
        <v>2463</v>
      </c>
      <c r="C25" s="1075">
        <v>54</v>
      </c>
      <c r="D25" s="1076" t="s">
        <v>2381</v>
      </c>
      <c r="E25" s="1075">
        <v>1.2</v>
      </c>
      <c r="F25" s="1076" t="s">
        <v>2464</v>
      </c>
      <c r="G25" s="1076" t="s">
        <v>2465</v>
      </c>
      <c r="H25" s="1076" t="s">
        <v>2466</v>
      </c>
      <c r="I25" s="1076" t="s">
        <v>2467</v>
      </c>
      <c r="J25" s="1076" t="s">
        <v>2468</v>
      </c>
      <c r="K25" s="1076" t="s">
        <v>2437</v>
      </c>
      <c r="L25" s="1076" t="s">
        <v>2469</v>
      </c>
      <c r="M25" s="1076" t="s">
        <v>2461</v>
      </c>
      <c r="N25" s="1076" t="s">
        <v>2470</v>
      </c>
      <c r="O25" s="1076" t="s">
        <v>2462</v>
      </c>
      <c r="P25" s="1076" t="s">
        <v>2438</v>
      </c>
      <c r="Q25" s="1076" t="s">
        <v>2293</v>
      </c>
      <c r="R25" s="1076">
        <v>1.7999999999999998</v>
      </c>
      <c r="S25" s="1073"/>
    </row>
    <row r="26" spans="1:19" ht="18.75" customHeight="1" x14ac:dyDescent="0.2">
      <c r="A26" s="1074" t="s">
        <v>2471</v>
      </c>
      <c r="B26" s="1074" t="s">
        <v>2472</v>
      </c>
      <c r="C26" s="1075">
        <v>87</v>
      </c>
      <c r="D26" s="1076" t="s">
        <v>2473</v>
      </c>
      <c r="E26" s="1075">
        <v>0.6</v>
      </c>
      <c r="F26" s="1076" t="s">
        <v>2474</v>
      </c>
      <c r="G26" s="1076" t="s">
        <v>2475</v>
      </c>
      <c r="H26" s="1076" t="s">
        <v>2476</v>
      </c>
      <c r="I26" s="1076" t="s">
        <v>2477</v>
      </c>
      <c r="J26" s="1076" t="s">
        <v>2478</v>
      </c>
      <c r="K26" s="1076" t="s">
        <v>2479</v>
      </c>
      <c r="L26" s="1076" t="s">
        <v>2480</v>
      </c>
      <c r="M26" s="1076" t="s">
        <v>2481</v>
      </c>
      <c r="N26" s="1076" t="s">
        <v>2482</v>
      </c>
      <c r="O26" s="1076" t="s">
        <v>2292</v>
      </c>
      <c r="P26" s="1076" t="s">
        <v>2292</v>
      </c>
      <c r="Q26" s="1076" t="s">
        <v>2293</v>
      </c>
      <c r="R26" s="1076">
        <v>1.2</v>
      </c>
      <c r="S26" s="1073"/>
    </row>
    <row r="27" spans="1:19" ht="18.75" customHeight="1" x14ac:dyDescent="0.2">
      <c r="A27" s="1077"/>
      <c r="B27" s="1074" t="s">
        <v>2483</v>
      </c>
      <c r="C27" s="1075">
        <v>79</v>
      </c>
      <c r="D27" s="1076" t="s">
        <v>2484</v>
      </c>
      <c r="E27" s="1075">
        <v>0.6</v>
      </c>
      <c r="F27" s="1076" t="s">
        <v>2485</v>
      </c>
      <c r="G27" s="1076" t="s">
        <v>2486</v>
      </c>
      <c r="H27" s="1076" t="s">
        <v>2487</v>
      </c>
      <c r="I27" s="1076" t="s">
        <v>2488</v>
      </c>
      <c r="J27" s="1076" t="s">
        <v>2489</v>
      </c>
      <c r="K27" s="1076" t="s">
        <v>2480</v>
      </c>
      <c r="L27" s="1076" t="s">
        <v>2490</v>
      </c>
      <c r="M27" s="1076" t="s">
        <v>2482</v>
      </c>
      <c r="N27" s="1076" t="s">
        <v>2358</v>
      </c>
      <c r="O27" s="1076" t="s">
        <v>2292</v>
      </c>
      <c r="P27" s="1076" t="s">
        <v>2292</v>
      </c>
      <c r="Q27" s="1076" t="s">
        <v>2293</v>
      </c>
      <c r="R27" s="1076">
        <v>1.2</v>
      </c>
      <c r="S27" s="1073"/>
    </row>
    <row r="28" spans="1:19" ht="18.75" customHeight="1" x14ac:dyDescent="0.2">
      <c r="A28" s="1074"/>
      <c r="B28" s="1074" t="s">
        <v>2491</v>
      </c>
      <c r="C28" s="1075">
        <v>3</v>
      </c>
      <c r="D28" s="1076" t="s">
        <v>2484</v>
      </c>
      <c r="E28" s="1075">
        <v>0.6</v>
      </c>
      <c r="F28" s="1076" t="s">
        <v>2492</v>
      </c>
      <c r="G28" s="1076" t="s">
        <v>2493</v>
      </c>
      <c r="H28" s="1076" t="s">
        <v>2494</v>
      </c>
      <c r="I28" s="1076" t="s">
        <v>2495</v>
      </c>
      <c r="J28" s="1076" t="s">
        <v>2496</v>
      </c>
      <c r="K28" s="1076" t="s">
        <v>2490</v>
      </c>
      <c r="L28" s="1076" t="s">
        <v>2348</v>
      </c>
      <c r="M28" s="1076" t="s">
        <v>2358</v>
      </c>
      <c r="N28" s="1076" t="s">
        <v>2497</v>
      </c>
      <c r="O28" s="1076" t="s">
        <v>2292</v>
      </c>
      <c r="P28" s="1076" t="s">
        <v>2498</v>
      </c>
      <c r="Q28" s="1076" t="s">
        <v>2293</v>
      </c>
      <c r="R28" s="1076">
        <v>1.2</v>
      </c>
      <c r="S28" s="1073"/>
    </row>
    <row r="29" spans="1:19" ht="18.75" customHeight="1" x14ac:dyDescent="0.2">
      <c r="A29" s="1074" t="s">
        <v>2499</v>
      </c>
      <c r="B29" s="1074" t="s">
        <v>2500</v>
      </c>
      <c r="C29" s="1075">
        <v>82</v>
      </c>
      <c r="D29" s="1076" t="s">
        <v>2501</v>
      </c>
      <c r="E29" s="1075">
        <v>0.6</v>
      </c>
      <c r="F29" s="1076" t="s">
        <v>2502</v>
      </c>
      <c r="G29" s="1076" t="s">
        <v>2503</v>
      </c>
      <c r="H29" s="1076" t="s">
        <v>2504</v>
      </c>
      <c r="I29" s="1076" t="s">
        <v>2505</v>
      </c>
      <c r="J29" s="1076" t="s">
        <v>2506</v>
      </c>
      <c r="K29" s="1076" t="s">
        <v>2507</v>
      </c>
      <c r="L29" s="1076" t="s">
        <v>2508</v>
      </c>
      <c r="M29" s="1076" t="s">
        <v>2509</v>
      </c>
      <c r="N29" s="1076" t="s">
        <v>2510</v>
      </c>
      <c r="O29" s="1076" t="s">
        <v>2292</v>
      </c>
      <c r="P29" s="1076" t="s">
        <v>2292</v>
      </c>
      <c r="Q29" s="1076" t="s">
        <v>2293</v>
      </c>
      <c r="R29" s="1076">
        <v>1.2</v>
      </c>
      <c r="S29" s="1073"/>
    </row>
    <row r="30" spans="1:19" ht="18.75" customHeight="1" x14ac:dyDescent="0.2">
      <c r="A30" s="1077"/>
      <c r="B30" s="1074" t="s">
        <v>2511</v>
      </c>
      <c r="C30" s="1075">
        <v>78</v>
      </c>
      <c r="D30" s="1076" t="s">
        <v>2512</v>
      </c>
      <c r="E30" s="1075">
        <v>0.6</v>
      </c>
      <c r="F30" s="1076" t="s">
        <v>2513</v>
      </c>
      <c r="G30" s="1076" t="s">
        <v>2514</v>
      </c>
      <c r="H30" s="1076" t="s">
        <v>2515</v>
      </c>
      <c r="I30" s="1076" t="s">
        <v>2516</v>
      </c>
      <c r="J30" s="1076" t="s">
        <v>2517</v>
      </c>
      <c r="K30" s="1076" t="s">
        <v>2508</v>
      </c>
      <c r="L30" s="1076" t="s">
        <v>2510</v>
      </c>
      <c r="M30" s="1076" t="s">
        <v>2510</v>
      </c>
      <c r="N30" s="1076" t="s">
        <v>2518</v>
      </c>
      <c r="O30" s="1076" t="s">
        <v>2292</v>
      </c>
      <c r="P30" s="1076" t="s">
        <v>2292</v>
      </c>
      <c r="Q30" s="1076" t="s">
        <v>2293</v>
      </c>
      <c r="R30" s="1076">
        <v>1.2</v>
      </c>
      <c r="S30" s="1073"/>
    </row>
    <row r="31" spans="1:19" ht="18.75" customHeight="1" x14ac:dyDescent="0.2">
      <c r="A31" s="1074"/>
      <c r="B31" s="1074" t="s">
        <v>2519</v>
      </c>
      <c r="C31" s="1075">
        <v>3</v>
      </c>
      <c r="D31" s="1076" t="s">
        <v>2512</v>
      </c>
      <c r="E31" s="1075">
        <v>0.6</v>
      </c>
      <c r="F31" s="1076" t="s">
        <v>2520</v>
      </c>
      <c r="G31" s="1076" t="s">
        <v>2521</v>
      </c>
      <c r="H31" s="1076" t="s">
        <v>2522</v>
      </c>
      <c r="I31" s="1076" t="s">
        <v>2523</v>
      </c>
      <c r="J31" s="1076" t="s">
        <v>2524</v>
      </c>
      <c r="K31" s="1076" t="s">
        <v>2510</v>
      </c>
      <c r="L31" s="1076" t="s">
        <v>2357</v>
      </c>
      <c r="M31" s="1076" t="s">
        <v>2518</v>
      </c>
      <c r="N31" s="1076" t="s">
        <v>2525</v>
      </c>
      <c r="O31" s="1076" t="s">
        <v>2292</v>
      </c>
      <c r="P31" s="1076" t="s">
        <v>2526</v>
      </c>
      <c r="Q31" s="1076" t="s">
        <v>2293</v>
      </c>
      <c r="R31" s="1076">
        <v>1.2</v>
      </c>
      <c r="S31" s="1073"/>
    </row>
    <row r="32" spans="1:19" ht="18.75" customHeight="1" x14ac:dyDescent="0.2">
      <c r="A32" s="1074" t="s">
        <v>2527</v>
      </c>
      <c r="B32" s="1074" t="s">
        <v>2528</v>
      </c>
      <c r="C32" s="1075">
        <v>72</v>
      </c>
      <c r="D32" s="1076" t="s">
        <v>1250</v>
      </c>
      <c r="E32" s="1075">
        <v>0.6</v>
      </c>
      <c r="F32" s="1076" t="s">
        <v>2529</v>
      </c>
      <c r="G32" s="1076" t="s">
        <v>2530</v>
      </c>
      <c r="H32" s="1076" t="s">
        <v>2531</v>
      </c>
      <c r="I32" s="1076" t="s">
        <v>2532</v>
      </c>
      <c r="J32" s="1076" t="s">
        <v>2533</v>
      </c>
      <c r="K32" s="1076" t="s">
        <v>2534</v>
      </c>
      <c r="L32" s="1076" t="s">
        <v>2535</v>
      </c>
      <c r="M32" s="1076" t="s">
        <v>2536</v>
      </c>
      <c r="N32" s="1076" t="s">
        <v>2537</v>
      </c>
      <c r="O32" s="1076" t="s">
        <v>2292</v>
      </c>
      <c r="P32" s="1076" t="s">
        <v>2292</v>
      </c>
      <c r="Q32" s="1076" t="s">
        <v>2293</v>
      </c>
      <c r="R32" s="1076">
        <v>1.2</v>
      </c>
      <c r="S32" s="1073"/>
    </row>
    <row r="33" spans="1:19" ht="18.75" customHeight="1" x14ac:dyDescent="0.2">
      <c r="A33" s="1077"/>
      <c r="B33" s="1074" t="s">
        <v>2538</v>
      </c>
      <c r="C33" s="1075">
        <v>81</v>
      </c>
      <c r="D33" s="1076" t="s">
        <v>2539</v>
      </c>
      <c r="E33" s="1075">
        <v>0.6</v>
      </c>
      <c r="F33" s="1076" t="s">
        <v>2540</v>
      </c>
      <c r="G33" s="1076" t="s">
        <v>2503</v>
      </c>
      <c r="H33" s="1076" t="s">
        <v>2541</v>
      </c>
      <c r="I33" s="1076" t="s">
        <v>2542</v>
      </c>
      <c r="J33" s="1076" t="s">
        <v>2543</v>
      </c>
      <c r="K33" s="1076" t="s">
        <v>2535</v>
      </c>
      <c r="L33" s="1076" t="s">
        <v>2544</v>
      </c>
      <c r="M33" s="1076" t="s">
        <v>2537</v>
      </c>
      <c r="N33" s="1076" t="s">
        <v>2545</v>
      </c>
      <c r="O33" s="1076" t="s">
        <v>2292</v>
      </c>
      <c r="P33" s="1076" t="s">
        <v>2292</v>
      </c>
      <c r="Q33" s="1076" t="s">
        <v>2293</v>
      </c>
      <c r="R33" s="1076">
        <v>1.2</v>
      </c>
      <c r="S33" s="1073"/>
    </row>
    <row r="34" spans="1:19" ht="19.5" customHeight="1" x14ac:dyDescent="0.2">
      <c r="A34" s="1074"/>
      <c r="B34" s="1074" t="s">
        <v>2546</v>
      </c>
      <c r="C34" s="1075">
        <v>3</v>
      </c>
      <c r="D34" s="1076" t="s">
        <v>2539</v>
      </c>
      <c r="E34" s="1075">
        <v>0.6</v>
      </c>
      <c r="F34" s="1076" t="s">
        <v>2547</v>
      </c>
      <c r="G34" s="1076" t="s">
        <v>2548</v>
      </c>
      <c r="H34" s="1076" t="s">
        <v>2549</v>
      </c>
      <c r="I34" s="1076" t="s">
        <v>2550</v>
      </c>
      <c r="J34" s="1076" t="s">
        <v>2551</v>
      </c>
      <c r="K34" s="1076" t="s">
        <v>2544</v>
      </c>
      <c r="L34" s="1076" t="s">
        <v>2367</v>
      </c>
      <c r="M34" s="1076" t="s">
        <v>2545</v>
      </c>
      <c r="N34" s="1076" t="s">
        <v>2552</v>
      </c>
      <c r="O34" s="1076" t="s">
        <v>2292</v>
      </c>
      <c r="P34" s="1076" t="s">
        <v>2553</v>
      </c>
      <c r="Q34" s="1076" t="s">
        <v>2293</v>
      </c>
      <c r="R34" s="1076">
        <v>1.2</v>
      </c>
      <c r="S34" s="1073"/>
    </row>
    <row r="35" spans="1:19" ht="19.5" customHeight="1" x14ac:dyDescent="0.2">
      <c r="A35" s="1545" t="s">
        <v>555</v>
      </c>
      <c r="B35" s="1546"/>
      <c r="C35" s="1546"/>
      <c r="D35" s="1546"/>
      <c r="E35" s="1546"/>
      <c r="F35" s="1546"/>
      <c r="G35" s="1546"/>
      <c r="H35" s="1546"/>
      <c r="I35" s="1546"/>
      <c r="J35" s="1546"/>
      <c r="K35" s="1546"/>
      <c r="L35" s="1546"/>
      <c r="M35" s="1546"/>
      <c r="N35" s="1546"/>
      <c r="O35" s="1546"/>
      <c r="P35" s="1546"/>
      <c r="Q35" s="1546"/>
      <c r="R35" s="1547"/>
      <c r="S35" s="1073"/>
    </row>
    <row r="36" spans="1:19" x14ac:dyDescent="0.2">
      <c r="A36" s="1065" t="s">
        <v>2281</v>
      </c>
      <c r="B36" s="1066" t="s">
        <v>2554</v>
      </c>
      <c r="C36" s="1078">
        <v>92</v>
      </c>
      <c r="D36" s="1066" t="s">
        <v>1775</v>
      </c>
      <c r="E36" s="1078">
        <v>0.6</v>
      </c>
      <c r="F36" s="1066" t="s">
        <v>2555</v>
      </c>
      <c r="G36" s="1066" t="s">
        <v>2556</v>
      </c>
      <c r="H36" s="1066" t="s">
        <v>2557</v>
      </c>
      <c r="I36" s="1066" t="s">
        <v>2558</v>
      </c>
      <c r="J36" s="1066" t="s">
        <v>2559</v>
      </c>
      <c r="K36" s="1066" t="s">
        <v>2560</v>
      </c>
      <c r="L36" s="1066" t="s">
        <v>2561</v>
      </c>
      <c r="M36" s="1066" t="s">
        <v>2562</v>
      </c>
      <c r="N36" s="1066" t="s">
        <v>2563</v>
      </c>
      <c r="O36" s="1066" t="s">
        <v>2292</v>
      </c>
      <c r="P36" s="1066" t="s">
        <v>2292</v>
      </c>
      <c r="Q36" s="1066" t="s">
        <v>2293</v>
      </c>
      <c r="R36" s="1066">
        <f>E36+0.6</f>
        <v>1.2</v>
      </c>
      <c r="S36" s="611"/>
    </row>
    <row r="37" spans="1:19" x14ac:dyDescent="0.2">
      <c r="A37" s="1079"/>
      <c r="B37" s="1066" t="s">
        <v>2333</v>
      </c>
      <c r="C37" s="1078">
        <v>59</v>
      </c>
      <c r="D37" s="1080" t="s">
        <v>2564</v>
      </c>
      <c r="E37" s="1080">
        <v>0.8</v>
      </c>
      <c r="F37" s="1080" t="s">
        <v>2565</v>
      </c>
      <c r="G37" s="1080" t="s">
        <v>2566</v>
      </c>
      <c r="H37" s="1080" t="s">
        <v>2567</v>
      </c>
      <c r="I37" s="1080" t="s">
        <v>2568</v>
      </c>
      <c r="J37" s="1080" t="s">
        <v>2569</v>
      </c>
      <c r="K37" s="1080" t="s">
        <v>2561</v>
      </c>
      <c r="L37" s="1080" t="s">
        <v>2427</v>
      </c>
      <c r="M37" s="1080" t="s">
        <v>2570</v>
      </c>
      <c r="N37" s="1080" t="s">
        <v>2571</v>
      </c>
      <c r="O37" s="1080" t="s">
        <v>2321</v>
      </c>
      <c r="P37" s="1080" t="s">
        <v>2572</v>
      </c>
      <c r="Q37" s="1080" t="s">
        <v>2293</v>
      </c>
      <c r="R37" s="1066">
        <f t="shared" ref="R37:R68" si="0">E37+0.6</f>
        <v>1.4</v>
      </c>
      <c r="S37" s="611"/>
    </row>
    <row r="38" spans="1:19" x14ac:dyDescent="0.2">
      <c r="A38" s="1065" t="s">
        <v>2322</v>
      </c>
      <c r="B38" s="1066" t="s">
        <v>2573</v>
      </c>
      <c r="C38" s="1078">
        <v>67</v>
      </c>
      <c r="D38" s="1066" t="s">
        <v>2574</v>
      </c>
      <c r="E38" s="1078">
        <v>0.6</v>
      </c>
      <c r="F38" s="1066" t="s">
        <v>2575</v>
      </c>
      <c r="G38" s="1066" t="s">
        <v>2576</v>
      </c>
      <c r="H38" s="1066" t="s">
        <v>2577</v>
      </c>
      <c r="I38" s="1066" t="s">
        <v>2578</v>
      </c>
      <c r="J38" s="1066" t="s">
        <v>2579</v>
      </c>
      <c r="K38" s="1066" t="s">
        <v>2580</v>
      </c>
      <c r="L38" s="1066" t="s">
        <v>2581</v>
      </c>
      <c r="M38" s="1066" t="s">
        <v>2397</v>
      </c>
      <c r="N38" s="1066" t="s">
        <v>2582</v>
      </c>
      <c r="O38" s="1066" t="s">
        <v>2292</v>
      </c>
      <c r="P38" s="1066" t="s">
        <v>2292</v>
      </c>
      <c r="Q38" s="1066" t="s">
        <v>2293</v>
      </c>
      <c r="R38" s="1066">
        <f t="shared" si="0"/>
        <v>1.2</v>
      </c>
    </row>
    <row r="39" spans="1:19" x14ac:dyDescent="0.2">
      <c r="A39" s="1079"/>
      <c r="B39" s="1066" t="s">
        <v>2583</v>
      </c>
      <c r="C39" s="1078">
        <v>73</v>
      </c>
      <c r="D39" s="1066" t="s">
        <v>2064</v>
      </c>
      <c r="E39" s="1078">
        <v>0.6</v>
      </c>
      <c r="F39" s="1066" t="s">
        <v>2584</v>
      </c>
      <c r="G39" s="1066" t="s">
        <v>2026</v>
      </c>
      <c r="H39" s="1066" t="s">
        <v>2585</v>
      </c>
      <c r="I39" s="1066" t="s">
        <v>2586</v>
      </c>
      <c r="J39" s="1066" t="s">
        <v>2587</v>
      </c>
      <c r="K39" s="1066" t="s">
        <v>2581</v>
      </c>
      <c r="L39" s="1066" t="s">
        <v>2588</v>
      </c>
      <c r="M39" s="1066" t="s">
        <v>2582</v>
      </c>
      <c r="N39" s="1066" t="s">
        <v>2589</v>
      </c>
      <c r="O39" s="1066" t="s">
        <v>2292</v>
      </c>
      <c r="P39" s="1066" t="s">
        <v>2292</v>
      </c>
      <c r="Q39" s="1066" t="s">
        <v>2293</v>
      </c>
      <c r="R39" s="1066">
        <f t="shared" si="0"/>
        <v>1.2</v>
      </c>
      <c r="S39" s="611"/>
    </row>
    <row r="40" spans="1:19" x14ac:dyDescent="0.2">
      <c r="A40" s="1065"/>
      <c r="B40" s="1066" t="s">
        <v>2590</v>
      </c>
      <c r="C40" s="1078">
        <v>6</v>
      </c>
      <c r="D40" s="1066" t="s">
        <v>2064</v>
      </c>
      <c r="E40" s="1078">
        <v>0.6</v>
      </c>
      <c r="F40" s="1066" t="s">
        <v>2591</v>
      </c>
      <c r="G40" s="1066" t="s">
        <v>2592</v>
      </c>
      <c r="H40" s="1066" t="s">
        <v>2593</v>
      </c>
      <c r="I40" s="1066" t="s">
        <v>2594</v>
      </c>
      <c r="J40" s="1066" t="s">
        <v>2595</v>
      </c>
      <c r="K40" s="1066" t="s">
        <v>2588</v>
      </c>
      <c r="L40" s="1066" t="s">
        <v>2404</v>
      </c>
      <c r="M40" s="1066" t="s">
        <v>2596</v>
      </c>
      <c r="N40" s="1066" t="s">
        <v>2597</v>
      </c>
      <c r="O40" s="1066" t="s">
        <v>2598</v>
      </c>
      <c r="P40" s="1066" t="s">
        <v>2292</v>
      </c>
      <c r="Q40" s="1066" t="s">
        <v>2293</v>
      </c>
      <c r="R40" s="1066">
        <f t="shared" si="0"/>
        <v>1.2</v>
      </c>
      <c r="S40" s="611"/>
    </row>
    <row r="41" spans="1:19" x14ac:dyDescent="0.2">
      <c r="A41" s="1065" t="s">
        <v>2471</v>
      </c>
      <c r="B41" s="1066" t="s">
        <v>2599</v>
      </c>
      <c r="C41" s="1078">
        <v>74</v>
      </c>
      <c r="D41" s="1066" t="s">
        <v>2118</v>
      </c>
      <c r="E41" s="1078">
        <v>0.6</v>
      </c>
      <c r="F41" s="1066" t="s">
        <v>2600</v>
      </c>
      <c r="G41" s="1066" t="s">
        <v>2601</v>
      </c>
      <c r="H41" s="1066" t="s">
        <v>2602</v>
      </c>
      <c r="I41" s="1066" t="s">
        <v>2603</v>
      </c>
      <c r="J41" s="1066" t="s">
        <v>2604</v>
      </c>
      <c r="K41" s="1066" t="s">
        <v>2605</v>
      </c>
      <c r="L41" s="1066" t="s">
        <v>2606</v>
      </c>
      <c r="M41" s="1066" t="s">
        <v>2607</v>
      </c>
      <c r="N41" s="1066" t="s">
        <v>2608</v>
      </c>
      <c r="O41" s="1066" t="s">
        <v>2292</v>
      </c>
      <c r="P41" s="1066" t="s">
        <v>2292</v>
      </c>
      <c r="Q41" s="1066" t="s">
        <v>2293</v>
      </c>
      <c r="R41" s="1066">
        <f t="shared" si="0"/>
        <v>1.2</v>
      </c>
      <c r="S41" s="611"/>
    </row>
    <row r="42" spans="1:19" x14ac:dyDescent="0.2">
      <c r="A42" s="1079"/>
      <c r="B42" s="1066" t="s">
        <v>2609</v>
      </c>
      <c r="C42" s="1078">
        <v>68</v>
      </c>
      <c r="D42" s="1066" t="s">
        <v>2610</v>
      </c>
      <c r="E42" s="1078">
        <v>0.6</v>
      </c>
      <c r="F42" s="1066" t="s">
        <v>2611</v>
      </c>
      <c r="G42" s="1066" t="s">
        <v>2612</v>
      </c>
      <c r="H42" s="1066" t="s">
        <v>2613</v>
      </c>
      <c r="I42" s="1066" t="s">
        <v>2614</v>
      </c>
      <c r="J42" s="1066" t="s">
        <v>2615</v>
      </c>
      <c r="K42" s="1066" t="s">
        <v>2606</v>
      </c>
      <c r="L42" s="1066" t="s">
        <v>2616</v>
      </c>
      <c r="M42" s="1066" t="s">
        <v>2608</v>
      </c>
      <c r="N42" s="1066" t="s">
        <v>2617</v>
      </c>
      <c r="O42" s="1066" t="s">
        <v>2292</v>
      </c>
      <c r="P42" s="1066" t="s">
        <v>2292</v>
      </c>
      <c r="Q42" s="1066" t="s">
        <v>2293</v>
      </c>
      <c r="R42" s="1066">
        <f t="shared" si="0"/>
        <v>1.2</v>
      </c>
      <c r="S42" s="611"/>
    </row>
    <row r="43" spans="1:19" x14ac:dyDescent="0.2">
      <c r="A43" s="1065"/>
      <c r="B43" s="1066" t="s">
        <v>2618</v>
      </c>
      <c r="C43" s="1078">
        <v>2</v>
      </c>
      <c r="D43" s="1066" t="s">
        <v>2610</v>
      </c>
      <c r="E43" s="1078">
        <v>1</v>
      </c>
      <c r="F43" s="1066" t="s">
        <v>2362</v>
      </c>
      <c r="G43" s="1066" t="s">
        <v>1287</v>
      </c>
      <c r="H43" s="1066" t="s">
        <v>2549</v>
      </c>
      <c r="I43" s="1066" t="s">
        <v>2619</v>
      </c>
      <c r="J43" s="1066" t="s">
        <v>2620</v>
      </c>
      <c r="K43" s="1066" t="s">
        <v>2616</v>
      </c>
      <c r="L43" s="1066" t="s">
        <v>2396</v>
      </c>
      <c r="M43" s="1066" t="s">
        <v>2621</v>
      </c>
      <c r="N43" s="1066" t="s">
        <v>2397</v>
      </c>
      <c r="O43" s="1066" t="s">
        <v>2379</v>
      </c>
      <c r="P43" s="1066" t="s">
        <v>2379</v>
      </c>
      <c r="Q43" s="1066" t="s">
        <v>2293</v>
      </c>
      <c r="R43" s="1066">
        <f t="shared" si="0"/>
        <v>1.6</v>
      </c>
    </row>
    <row r="44" spans="1:19" x14ac:dyDescent="0.2">
      <c r="A44" s="1065" t="s">
        <v>2499</v>
      </c>
      <c r="B44" s="1066" t="s">
        <v>2323</v>
      </c>
      <c r="C44" s="1078">
        <v>75</v>
      </c>
      <c r="D44" s="1066" t="s">
        <v>2622</v>
      </c>
      <c r="E44" s="1078">
        <v>0.6</v>
      </c>
      <c r="F44" s="1066" t="s">
        <v>2611</v>
      </c>
      <c r="G44" s="1066" t="s">
        <v>2484</v>
      </c>
      <c r="H44" s="1066" t="s">
        <v>2585</v>
      </c>
      <c r="I44" s="1066" t="s">
        <v>2623</v>
      </c>
      <c r="J44" s="1066" t="s">
        <v>2624</v>
      </c>
      <c r="K44" s="1066" t="s">
        <v>2625</v>
      </c>
      <c r="L44" s="1066" t="s">
        <v>2626</v>
      </c>
      <c r="M44" s="1066" t="s">
        <v>2627</v>
      </c>
      <c r="N44" s="1066" t="s">
        <v>2628</v>
      </c>
      <c r="O44" s="1066" t="s">
        <v>2292</v>
      </c>
      <c r="P44" s="1066" t="s">
        <v>2292</v>
      </c>
      <c r="Q44" s="1066" t="s">
        <v>2293</v>
      </c>
      <c r="R44" s="1066">
        <f t="shared" si="0"/>
        <v>1.2</v>
      </c>
      <c r="S44" s="611"/>
    </row>
    <row r="45" spans="1:19" x14ac:dyDescent="0.2">
      <c r="A45" s="1079"/>
      <c r="B45" s="1066" t="s">
        <v>2333</v>
      </c>
      <c r="C45" s="1078">
        <v>49</v>
      </c>
      <c r="D45" s="1066" t="s">
        <v>2629</v>
      </c>
      <c r="E45" s="1078">
        <v>0.6</v>
      </c>
      <c r="F45" s="1066" t="s">
        <v>2630</v>
      </c>
      <c r="G45" s="1066" t="s">
        <v>2631</v>
      </c>
      <c r="H45" s="1066" t="s">
        <v>2632</v>
      </c>
      <c r="I45" s="1066" t="s">
        <v>2633</v>
      </c>
      <c r="J45" s="1066" t="s">
        <v>2634</v>
      </c>
      <c r="K45" s="1066" t="s">
        <v>2626</v>
      </c>
      <c r="L45" s="1066" t="s">
        <v>2635</v>
      </c>
      <c r="M45" s="1066" t="s">
        <v>2628</v>
      </c>
      <c r="N45" s="1066" t="s">
        <v>2368</v>
      </c>
      <c r="O45" s="1066" t="s">
        <v>2292</v>
      </c>
      <c r="P45" s="1066" t="s">
        <v>2292</v>
      </c>
      <c r="Q45" s="1066" t="s">
        <v>2293</v>
      </c>
      <c r="R45" s="1066">
        <f t="shared" si="0"/>
        <v>1.2</v>
      </c>
      <c r="S45" s="611"/>
    </row>
    <row r="46" spans="1:19" x14ac:dyDescent="0.2">
      <c r="A46" s="1079"/>
      <c r="B46" s="1066" t="s">
        <v>2341</v>
      </c>
      <c r="C46" s="1078">
        <v>76</v>
      </c>
      <c r="D46" s="1066" t="s">
        <v>2636</v>
      </c>
      <c r="E46" s="1078">
        <v>0.8</v>
      </c>
      <c r="F46" s="1066" t="s">
        <v>2637</v>
      </c>
      <c r="G46" s="1066" t="s">
        <v>2638</v>
      </c>
      <c r="H46" s="1066" t="s">
        <v>2639</v>
      </c>
      <c r="I46" s="1066" t="s">
        <v>2640</v>
      </c>
      <c r="J46" s="1066" t="s">
        <v>2641</v>
      </c>
      <c r="K46" s="1066" t="s">
        <v>2635</v>
      </c>
      <c r="L46" s="1066" t="s">
        <v>2642</v>
      </c>
      <c r="M46" s="1066" t="s">
        <v>2377</v>
      </c>
      <c r="N46" s="1066" t="s">
        <v>2643</v>
      </c>
      <c r="O46" s="1066" t="s">
        <v>2321</v>
      </c>
      <c r="P46" s="1066" t="s">
        <v>2321</v>
      </c>
      <c r="Q46" s="1066" t="s">
        <v>2293</v>
      </c>
      <c r="R46" s="1066">
        <f t="shared" si="0"/>
        <v>1.4</v>
      </c>
    </row>
    <row r="47" spans="1:19" x14ac:dyDescent="0.2">
      <c r="A47" s="1079"/>
      <c r="B47" s="1066" t="s">
        <v>2350</v>
      </c>
      <c r="C47" s="1078">
        <v>78</v>
      </c>
      <c r="D47" s="1066" t="s">
        <v>2636</v>
      </c>
      <c r="E47" s="1078">
        <v>0.8</v>
      </c>
      <c r="F47" s="1066" t="s">
        <v>2485</v>
      </c>
      <c r="G47" s="1066" t="s">
        <v>2644</v>
      </c>
      <c r="H47" s="1066" t="s">
        <v>2645</v>
      </c>
      <c r="I47" s="1066" t="s">
        <v>2646</v>
      </c>
      <c r="J47" s="1066" t="s">
        <v>2647</v>
      </c>
      <c r="K47" s="1066" t="s">
        <v>2642</v>
      </c>
      <c r="L47" s="1066" t="s">
        <v>2648</v>
      </c>
      <c r="M47" s="1066" t="s">
        <v>2643</v>
      </c>
      <c r="N47" s="1066" t="s">
        <v>2649</v>
      </c>
      <c r="O47" s="1066" t="s">
        <v>2321</v>
      </c>
      <c r="P47" s="1066" t="s">
        <v>2321</v>
      </c>
      <c r="Q47" s="1066" t="s">
        <v>2293</v>
      </c>
      <c r="R47" s="1066">
        <f t="shared" si="0"/>
        <v>1.4</v>
      </c>
      <c r="S47" s="611"/>
    </row>
    <row r="48" spans="1:19" x14ac:dyDescent="0.2">
      <c r="A48" s="1079"/>
      <c r="B48" s="1066" t="s">
        <v>2360</v>
      </c>
      <c r="C48" s="1078">
        <v>128</v>
      </c>
      <c r="D48" s="1066" t="s">
        <v>2650</v>
      </c>
      <c r="E48" s="1078">
        <v>0.8</v>
      </c>
      <c r="F48" s="1066" t="s">
        <v>2651</v>
      </c>
      <c r="G48" s="1066" t="s">
        <v>2652</v>
      </c>
      <c r="H48" s="1066" t="s">
        <v>2653</v>
      </c>
      <c r="I48" s="1066" t="s">
        <v>2654</v>
      </c>
      <c r="J48" s="1066" t="s">
        <v>2655</v>
      </c>
      <c r="K48" s="1066" t="s">
        <v>2648</v>
      </c>
      <c r="L48" s="1066" t="s">
        <v>2656</v>
      </c>
      <c r="M48" s="1066" t="s">
        <v>2649</v>
      </c>
      <c r="N48" s="1066" t="s">
        <v>2657</v>
      </c>
      <c r="O48" s="1066" t="s">
        <v>2321</v>
      </c>
      <c r="P48" s="1066" t="s">
        <v>2321</v>
      </c>
      <c r="Q48" s="1066" t="s">
        <v>2293</v>
      </c>
      <c r="R48" s="1066">
        <f t="shared" si="0"/>
        <v>1.4</v>
      </c>
      <c r="S48" s="611"/>
    </row>
    <row r="49" spans="1:19" x14ac:dyDescent="0.2">
      <c r="A49" s="1079"/>
      <c r="B49" s="1066" t="s">
        <v>2369</v>
      </c>
      <c r="C49" s="1078">
        <v>100</v>
      </c>
      <c r="D49" s="1066" t="s">
        <v>2650</v>
      </c>
      <c r="E49" s="1078">
        <v>0.8</v>
      </c>
      <c r="F49" s="1066" t="s">
        <v>2658</v>
      </c>
      <c r="G49" s="1066" t="s">
        <v>2372</v>
      </c>
      <c r="H49" s="1066" t="s">
        <v>2659</v>
      </c>
      <c r="I49" s="1066" t="s">
        <v>2660</v>
      </c>
      <c r="J49" s="1066" t="s">
        <v>2661</v>
      </c>
      <c r="K49" s="1066" t="s">
        <v>2656</v>
      </c>
      <c r="L49" s="1066" t="s">
        <v>2662</v>
      </c>
      <c r="M49" s="1066" t="s">
        <v>2657</v>
      </c>
      <c r="N49" s="1066" t="s">
        <v>2663</v>
      </c>
      <c r="O49" s="1066" t="s">
        <v>2321</v>
      </c>
      <c r="P49" s="1066" t="s">
        <v>2321</v>
      </c>
      <c r="Q49" s="1066" t="s">
        <v>2293</v>
      </c>
      <c r="R49" s="1066">
        <f t="shared" si="0"/>
        <v>1.4</v>
      </c>
    </row>
    <row r="50" spans="1:19" x14ac:dyDescent="0.2">
      <c r="A50" s="1079"/>
      <c r="B50" s="1066" t="s">
        <v>2380</v>
      </c>
      <c r="C50" s="1078">
        <v>100</v>
      </c>
      <c r="D50" s="1066" t="s">
        <v>2650</v>
      </c>
      <c r="E50" s="1078">
        <v>0.8</v>
      </c>
      <c r="F50" s="1066" t="s">
        <v>2637</v>
      </c>
      <c r="G50" s="1066" t="s">
        <v>2664</v>
      </c>
      <c r="H50" s="1066" t="s">
        <v>2665</v>
      </c>
      <c r="I50" s="1066" t="s">
        <v>2666</v>
      </c>
      <c r="J50" s="1066" t="s">
        <v>2667</v>
      </c>
      <c r="K50" s="1066" t="s">
        <v>2662</v>
      </c>
      <c r="L50" s="1066" t="s">
        <v>2668</v>
      </c>
      <c r="M50" s="1066" t="s">
        <v>2663</v>
      </c>
      <c r="N50" s="1066" t="s">
        <v>2669</v>
      </c>
      <c r="O50" s="1066" t="s">
        <v>2321</v>
      </c>
      <c r="P50" s="1066" t="s">
        <v>2321</v>
      </c>
      <c r="Q50" s="1066" t="s">
        <v>2293</v>
      </c>
      <c r="R50" s="1066">
        <f t="shared" si="0"/>
        <v>1.4</v>
      </c>
      <c r="S50" s="611"/>
    </row>
    <row r="51" spans="1:19" x14ac:dyDescent="0.2">
      <c r="A51" s="1079"/>
      <c r="B51" s="1066" t="s">
        <v>2390</v>
      </c>
      <c r="C51" s="1078">
        <v>100</v>
      </c>
      <c r="D51" s="1066" t="s">
        <v>2650</v>
      </c>
      <c r="E51" s="1078">
        <v>1</v>
      </c>
      <c r="F51" s="1066" t="s">
        <v>2670</v>
      </c>
      <c r="G51" s="1066" t="s">
        <v>2671</v>
      </c>
      <c r="H51" s="1066" t="s">
        <v>2665</v>
      </c>
      <c r="I51" s="1066" t="s">
        <v>2672</v>
      </c>
      <c r="J51" s="1066" t="s">
        <v>2673</v>
      </c>
      <c r="K51" s="1066" t="s">
        <v>2668</v>
      </c>
      <c r="L51" s="1066" t="s">
        <v>2674</v>
      </c>
      <c r="M51" s="1066" t="s">
        <v>2675</v>
      </c>
      <c r="N51" s="1066" t="s">
        <v>2676</v>
      </c>
      <c r="O51" s="1066" t="s">
        <v>2379</v>
      </c>
      <c r="P51" s="1066" t="s">
        <v>2379</v>
      </c>
      <c r="Q51" s="1066" t="s">
        <v>2293</v>
      </c>
      <c r="R51" s="1066">
        <f t="shared" si="0"/>
        <v>1.6</v>
      </c>
      <c r="S51" s="611"/>
    </row>
    <row r="52" spans="1:19" x14ac:dyDescent="0.2">
      <c r="A52" s="1079"/>
      <c r="B52" s="1066" t="s">
        <v>2398</v>
      </c>
      <c r="C52" s="1078">
        <v>100</v>
      </c>
      <c r="D52" s="1066" t="s">
        <v>2650</v>
      </c>
      <c r="E52" s="1078">
        <v>1</v>
      </c>
      <c r="F52" s="1066" t="s">
        <v>2677</v>
      </c>
      <c r="G52" s="1066" t="s">
        <v>2335</v>
      </c>
      <c r="H52" s="1066" t="s">
        <v>2678</v>
      </c>
      <c r="I52" s="1066" t="s">
        <v>2679</v>
      </c>
      <c r="J52" s="1066" t="s">
        <v>2680</v>
      </c>
      <c r="K52" s="1066" t="s">
        <v>2674</v>
      </c>
      <c r="L52" s="1066" t="s">
        <v>2681</v>
      </c>
      <c r="M52" s="1066" t="s">
        <v>2676</v>
      </c>
      <c r="N52" s="1066" t="s">
        <v>2682</v>
      </c>
      <c r="O52" s="1066" t="s">
        <v>2379</v>
      </c>
      <c r="P52" s="1066" t="s">
        <v>2379</v>
      </c>
      <c r="Q52" s="1066" t="s">
        <v>2293</v>
      </c>
      <c r="R52" s="1066">
        <f t="shared" si="0"/>
        <v>1.6</v>
      </c>
      <c r="S52" s="611"/>
    </row>
    <row r="53" spans="1:19" x14ac:dyDescent="0.2">
      <c r="A53" s="1079"/>
      <c r="B53" s="1066" t="s">
        <v>2406</v>
      </c>
      <c r="C53" s="1078">
        <v>93</v>
      </c>
      <c r="D53" s="1066" t="s">
        <v>2650</v>
      </c>
      <c r="E53" s="1078">
        <v>1</v>
      </c>
      <c r="F53" s="1066" t="s">
        <v>2683</v>
      </c>
      <c r="G53" s="1066" t="s">
        <v>2514</v>
      </c>
      <c r="H53" s="1066" t="s">
        <v>2684</v>
      </c>
      <c r="I53" s="1066" t="s">
        <v>2685</v>
      </c>
      <c r="J53" s="1066" t="s">
        <v>2686</v>
      </c>
      <c r="K53" s="1066" t="s">
        <v>2681</v>
      </c>
      <c r="L53" s="1066" t="s">
        <v>2687</v>
      </c>
      <c r="M53" s="1066" t="s">
        <v>2682</v>
      </c>
      <c r="N53" s="1066" t="s">
        <v>2688</v>
      </c>
      <c r="O53" s="1066" t="s">
        <v>2379</v>
      </c>
      <c r="P53" s="1066" t="s">
        <v>2379</v>
      </c>
      <c r="Q53" s="1066" t="s">
        <v>2293</v>
      </c>
      <c r="R53" s="1066">
        <f t="shared" si="0"/>
        <v>1.6</v>
      </c>
      <c r="S53" s="611"/>
    </row>
    <row r="54" spans="1:19" x14ac:dyDescent="0.2">
      <c r="A54" s="1079"/>
      <c r="B54" s="1066" t="s">
        <v>2413</v>
      </c>
      <c r="C54" s="1078">
        <v>100</v>
      </c>
      <c r="D54" s="1066" t="s">
        <v>2650</v>
      </c>
      <c r="E54" s="1078">
        <v>1</v>
      </c>
      <c r="F54" s="1066" t="s">
        <v>2689</v>
      </c>
      <c r="G54" s="1066" t="s">
        <v>2690</v>
      </c>
      <c r="H54" s="1066" t="s">
        <v>2632</v>
      </c>
      <c r="I54" s="1066" t="s">
        <v>2691</v>
      </c>
      <c r="J54" s="1066" t="s">
        <v>2587</v>
      </c>
      <c r="K54" s="1066" t="s">
        <v>2687</v>
      </c>
      <c r="L54" s="1066" t="s">
        <v>2560</v>
      </c>
      <c r="M54" s="1066" t="s">
        <v>2688</v>
      </c>
      <c r="N54" s="1066" t="s">
        <v>2692</v>
      </c>
      <c r="O54" s="1066" t="s">
        <v>2379</v>
      </c>
      <c r="P54" s="1066" t="s">
        <v>2379</v>
      </c>
      <c r="Q54" s="1066" t="s">
        <v>2293</v>
      </c>
      <c r="R54" s="1066">
        <f t="shared" si="0"/>
        <v>1.6</v>
      </c>
    </row>
    <row r="55" spans="1:19" x14ac:dyDescent="0.2">
      <c r="A55" s="1079"/>
      <c r="B55" s="1066" t="s">
        <v>2421</v>
      </c>
      <c r="C55" s="1078">
        <v>100</v>
      </c>
      <c r="D55" s="1066" t="s">
        <v>2650</v>
      </c>
      <c r="E55" s="1078">
        <v>1</v>
      </c>
      <c r="F55" s="1066" t="s">
        <v>2677</v>
      </c>
      <c r="G55" s="1066" t="s">
        <v>2335</v>
      </c>
      <c r="H55" s="1066" t="s">
        <v>2678</v>
      </c>
      <c r="I55" s="1066" t="s">
        <v>2693</v>
      </c>
      <c r="J55" s="1066" t="s">
        <v>2680</v>
      </c>
      <c r="K55" s="1066" t="s">
        <v>2560</v>
      </c>
      <c r="L55" s="1066" t="s">
        <v>2694</v>
      </c>
      <c r="M55" s="1066" t="s">
        <v>2692</v>
      </c>
      <c r="N55" s="1066" t="s">
        <v>2695</v>
      </c>
      <c r="O55" s="1066" t="s">
        <v>2379</v>
      </c>
      <c r="P55" s="1066" t="s">
        <v>2379</v>
      </c>
      <c r="Q55" s="1066" t="s">
        <v>2293</v>
      </c>
      <c r="R55" s="1066">
        <f t="shared" si="0"/>
        <v>1.6</v>
      </c>
      <c r="S55" s="611"/>
    </row>
    <row r="56" spans="1:19" x14ac:dyDescent="0.2">
      <c r="A56" s="1079"/>
      <c r="B56" s="1066" t="s">
        <v>2429</v>
      </c>
      <c r="C56" s="1078">
        <v>97</v>
      </c>
      <c r="D56" s="1066" t="s">
        <v>2650</v>
      </c>
      <c r="E56" s="1078">
        <v>1</v>
      </c>
      <c r="F56" s="1066" t="s">
        <v>2696</v>
      </c>
      <c r="G56" s="1066" t="s">
        <v>2697</v>
      </c>
      <c r="H56" s="1066" t="s">
        <v>2698</v>
      </c>
      <c r="I56" s="1066" t="s">
        <v>2699</v>
      </c>
      <c r="J56" s="1066" t="s">
        <v>2700</v>
      </c>
      <c r="K56" s="1066" t="s">
        <v>2694</v>
      </c>
      <c r="L56" s="1066" t="s">
        <v>2701</v>
      </c>
      <c r="M56" s="1066" t="s">
        <v>2695</v>
      </c>
      <c r="N56" s="1066" t="s">
        <v>2702</v>
      </c>
      <c r="O56" s="1066" t="s">
        <v>2379</v>
      </c>
      <c r="P56" s="1066" t="s">
        <v>2379</v>
      </c>
      <c r="Q56" s="1066" t="s">
        <v>2293</v>
      </c>
      <c r="R56" s="1066">
        <f t="shared" si="0"/>
        <v>1.6</v>
      </c>
      <c r="S56" s="611"/>
    </row>
    <row r="57" spans="1:19" x14ac:dyDescent="0.2">
      <c r="A57" s="1079"/>
      <c r="B57" s="1066" t="s">
        <v>2439</v>
      </c>
      <c r="C57" s="1078">
        <v>48</v>
      </c>
      <c r="D57" s="1066" t="s">
        <v>2650</v>
      </c>
      <c r="E57" s="1078">
        <v>1</v>
      </c>
      <c r="F57" s="1066" t="s">
        <v>2703</v>
      </c>
      <c r="G57" s="1066" t="s">
        <v>2704</v>
      </c>
      <c r="H57" s="1066" t="s">
        <v>2705</v>
      </c>
      <c r="I57" s="1066" t="s">
        <v>2706</v>
      </c>
      <c r="J57" s="1066" t="s">
        <v>2707</v>
      </c>
      <c r="K57" s="1066" t="s">
        <v>2701</v>
      </c>
      <c r="L57" s="1066" t="s">
        <v>2708</v>
      </c>
      <c r="M57" s="1066" t="s">
        <v>2702</v>
      </c>
      <c r="N57" s="1066" t="s">
        <v>2709</v>
      </c>
      <c r="O57" s="1066" t="s">
        <v>2379</v>
      </c>
      <c r="P57" s="1066" t="s">
        <v>2379</v>
      </c>
      <c r="Q57" s="1066" t="s">
        <v>2293</v>
      </c>
      <c r="R57" s="1066">
        <f t="shared" si="0"/>
        <v>1.6</v>
      </c>
      <c r="S57" s="611"/>
    </row>
    <row r="58" spans="1:19" x14ac:dyDescent="0.2">
      <c r="A58" s="1065"/>
      <c r="B58" s="1066" t="s">
        <v>2447</v>
      </c>
      <c r="C58" s="1078">
        <v>97</v>
      </c>
      <c r="D58" s="1066" t="s">
        <v>2650</v>
      </c>
      <c r="E58" s="1078">
        <v>1</v>
      </c>
      <c r="F58" s="1066" t="s">
        <v>2710</v>
      </c>
      <c r="G58" s="1066" t="s">
        <v>2711</v>
      </c>
      <c r="H58" s="1066" t="s">
        <v>2602</v>
      </c>
      <c r="I58" s="1066" t="s">
        <v>2712</v>
      </c>
      <c r="J58" s="1066" t="s">
        <v>2713</v>
      </c>
      <c r="K58" s="1066" t="s">
        <v>2708</v>
      </c>
      <c r="L58" s="1066" t="s">
        <v>2714</v>
      </c>
      <c r="M58" s="1066" t="s">
        <v>2709</v>
      </c>
      <c r="N58" s="1066" t="s">
        <v>2714</v>
      </c>
      <c r="O58" s="1066" t="s">
        <v>2379</v>
      </c>
      <c r="P58" s="1066" t="s">
        <v>2715</v>
      </c>
      <c r="Q58" s="1066" t="s">
        <v>2293</v>
      </c>
      <c r="R58" s="1066">
        <f t="shared" si="0"/>
        <v>1.6</v>
      </c>
      <c r="S58" s="611"/>
    </row>
    <row r="59" spans="1:19" x14ac:dyDescent="0.2">
      <c r="A59" s="1065" t="s">
        <v>2527</v>
      </c>
      <c r="B59" s="1066" t="s">
        <v>2716</v>
      </c>
      <c r="C59" s="1078">
        <v>115</v>
      </c>
      <c r="D59" s="1066" t="s">
        <v>2312</v>
      </c>
      <c r="E59" s="1078">
        <v>0.6</v>
      </c>
      <c r="F59" s="1080" t="s">
        <v>2717</v>
      </c>
      <c r="G59" s="1080" t="s">
        <v>2633</v>
      </c>
      <c r="H59" s="1080" t="s">
        <v>2718</v>
      </c>
      <c r="I59" s="1080" t="s">
        <v>2719</v>
      </c>
      <c r="J59" s="1080" t="s">
        <v>2720</v>
      </c>
      <c r="K59" s="1080" t="s">
        <v>2318</v>
      </c>
      <c r="L59" s="1080" t="s">
        <v>2635</v>
      </c>
      <c r="M59" s="1080" t="s">
        <v>2721</v>
      </c>
      <c r="N59" s="1080" t="s">
        <v>2368</v>
      </c>
      <c r="O59" s="1066" t="s">
        <v>2292</v>
      </c>
      <c r="P59" s="1066" t="s">
        <v>2292</v>
      </c>
      <c r="Q59" s="1066" t="s">
        <v>2293</v>
      </c>
      <c r="R59" s="1066">
        <f t="shared" si="0"/>
        <v>1.2</v>
      </c>
    </row>
    <row r="60" spans="1:19" x14ac:dyDescent="0.2">
      <c r="A60" s="1065" t="s">
        <v>2722</v>
      </c>
      <c r="B60" s="1066" t="s">
        <v>2511</v>
      </c>
      <c r="C60" s="1078">
        <v>62</v>
      </c>
      <c r="D60" s="1066" t="s">
        <v>1394</v>
      </c>
      <c r="E60" s="1078">
        <v>0.6</v>
      </c>
      <c r="F60" s="1081" t="s">
        <v>2723</v>
      </c>
      <c r="G60" s="1081" t="s">
        <v>2724</v>
      </c>
      <c r="H60" s="1081" t="s">
        <v>2725</v>
      </c>
      <c r="I60" s="1081" t="s">
        <v>2726</v>
      </c>
      <c r="J60" s="1081" t="s">
        <v>2727</v>
      </c>
      <c r="K60" s="1081" t="s">
        <v>2728</v>
      </c>
      <c r="L60" s="1081" t="s">
        <v>2648</v>
      </c>
      <c r="M60" s="1081" t="s">
        <v>2729</v>
      </c>
      <c r="N60" s="1081" t="s">
        <v>2730</v>
      </c>
      <c r="O60" s="1066" t="s">
        <v>2292</v>
      </c>
      <c r="P60" s="1066" t="s">
        <v>2292</v>
      </c>
      <c r="Q60" s="1066" t="s">
        <v>2293</v>
      </c>
      <c r="R60" s="1066">
        <f t="shared" si="0"/>
        <v>1.2</v>
      </c>
      <c r="S60" s="611"/>
    </row>
    <row r="61" spans="1:19" x14ac:dyDescent="0.2">
      <c r="A61" s="1065" t="s">
        <v>2731</v>
      </c>
      <c r="B61" s="1066" t="s">
        <v>2732</v>
      </c>
      <c r="C61" s="1078">
        <v>81</v>
      </c>
      <c r="D61" s="1066" t="s">
        <v>2733</v>
      </c>
      <c r="E61" s="1078">
        <v>0.6</v>
      </c>
      <c r="F61" s="1066" t="s">
        <v>2734</v>
      </c>
      <c r="G61" s="1066" t="s">
        <v>2735</v>
      </c>
      <c r="H61" s="1066" t="s">
        <v>2736</v>
      </c>
      <c r="I61" s="1066" t="s">
        <v>2737</v>
      </c>
      <c r="J61" s="1066" t="s">
        <v>2738</v>
      </c>
      <c r="K61" s="1066" t="s">
        <v>2739</v>
      </c>
      <c r="L61" s="1066" t="s">
        <v>2740</v>
      </c>
      <c r="M61" s="1066" t="s">
        <v>2741</v>
      </c>
      <c r="N61" s="1066" t="s">
        <v>2742</v>
      </c>
      <c r="O61" s="1066" t="s">
        <v>2292</v>
      </c>
      <c r="P61" s="1066" t="s">
        <v>2292</v>
      </c>
      <c r="Q61" s="1066" t="s">
        <v>2293</v>
      </c>
      <c r="R61" s="1066">
        <f t="shared" si="0"/>
        <v>1.2</v>
      </c>
      <c r="S61" s="611"/>
    </row>
    <row r="62" spans="1:19" x14ac:dyDescent="0.2">
      <c r="A62" s="1079"/>
      <c r="B62" s="1066" t="s">
        <v>2743</v>
      </c>
      <c r="C62" s="1078">
        <v>74</v>
      </c>
      <c r="D62" s="1066" t="s">
        <v>2733</v>
      </c>
      <c r="E62" s="1078">
        <v>0.6</v>
      </c>
      <c r="F62" s="1066" t="s">
        <v>2744</v>
      </c>
      <c r="G62" s="1066" t="s">
        <v>1377</v>
      </c>
      <c r="H62" s="1066" t="s">
        <v>2745</v>
      </c>
      <c r="I62" s="1066" t="s">
        <v>2746</v>
      </c>
      <c r="J62" s="1066" t="s">
        <v>2747</v>
      </c>
      <c r="K62" s="1066" t="s">
        <v>2740</v>
      </c>
      <c r="L62" s="1066" t="s">
        <v>2730</v>
      </c>
      <c r="M62" s="1066" t="s">
        <v>2742</v>
      </c>
      <c r="N62" s="1066" t="s">
        <v>2748</v>
      </c>
      <c r="O62" s="1066" t="s">
        <v>2292</v>
      </c>
      <c r="P62" s="1066" t="s">
        <v>2292</v>
      </c>
      <c r="Q62" s="1066" t="s">
        <v>2293</v>
      </c>
      <c r="R62" s="1066">
        <f t="shared" si="0"/>
        <v>1.2</v>
      </c>
      <c r="S62" s="611"/>
    </row>
    <row r="63" spans="1:19" x14ac:dyDescent="0.2">
      <c r="A63" s="1079"/>
      <c r="B63" s="1066" t="s">
        <v>2749</v>
      </c>
      <c r="C63" s="1078">
        <v>77</v>
      </c>
      <c r="D63" s="1066" t="s">
        <v>2750</v>
      </c>
      <c r="E63" s="1078">
        <v>0.6</v>
      </c>
      <c r="F63" s="1066" t="s">
        <v>2751</v>
      </c>
      <c r="G63" s="1066" t="s">
        <v>2752</v>
      </c>
      <c r="H63" s="1066" t="s">
        <v>2753</v>
      </c>
      <c r="I63" s="1066" t="s">
        <v>2754</v>
      </c>
      <c r="J63" s="1066" t="s">
        <v>2755</v>
      </c>
      <c r="K63" s="1066" t="s">
        <v>2730</v>
      </c>
      <c r="L63" s="1066" t="s">
        <v>2756</v>
      </c>
      <c r="M63" s="1066" t="s">
        <v>2748</v>
      </c>
      <c r="N63" s="1066" t="s">
        <v>2757</v>
      </c>
      <c r="O63" s="1066" t="s">
        <v>2292</v>
      </c>
      <c r="P63" s="1066" t="s">
        <v>2292</v>
      </c>
      <c r="Q63" s="1066" t="s">
        <v>2293</v>
      </c>
      <c r="R63" s="1066">
        <f t="shared" si="0"/>
        <v>1.2</v>
      </c>
      <c r="S63" s="611"/>
    </row>
    <row r="64" spans="1:19" x14ac:dyDescent="0.2">
      <c r="A64" s="1079"/>
      <c r="B64" s="1066" t="s">
        <v>2758</v>
      </c>
      <c r="C64" s="1078">
        <v>71</v>
      </c>
      <c r="D64" s="1066" t="s">
        <v>2750</v>
      </c>
      <c r="E64" s="1078">
        <v>0.6</v>
      </c>
      <c r="F64" s="1066" t="s">
        <v>2703</v>
      </c>
      <c r="G64" s="1066" t="s">
        <v>2759</v>
      </c>
      <c r="H64" s="1066" t="s">
        <v>2684</v>
      </c>
      <c r="I64" s="1066" t="s">
        <v>2760</v>
      </c>
      <c r="J64" s="1066" t="s">
        <v>2761</v>
      </c>
      <c r="K64" s="1066" t="s">
        <v>2756</v>
      </c>
      <c r="L64" s="1066" t="s">
        <v>2762</v>
      </c>
      <c r="M64" s="1066" t="s">
        <v>2757</v>
      </c>
      <c r="N64" s="1066" t="s">
        <v>2676</v>
      </c>
      <c r="O64" s="1066" t="s">
        <v>2292</v>
      </c>
      <c r="P64" s="1066" t="s">
        <v>2292</v>
      </c>
      <c r="Q64" s="1066" t="s">
        <v>2293</v>
      </c>
      <c r="R64" s="1066">
        <f t="shared" si="0"/>
        <v>1.2</v>
      </c>
    </row>
    <row r="65" spans="1:19" x14ac:dyDescent="0.2">
      <c r="A65" s="1079"/>
      <c r="B65" s="1066" t="s">
        <v>2763</v>
      </c>
      <c r="C65" s="1078">
        <v>66</v>
      </c>
      <c r="D65" s="1066" t="s">
        <v>2764</v>
      </c>
      <c r="E65" s="1078">
        <v>0.6</v>
      </c>
      <c r="F65" s="1066" t="s">
        <v>2658</v>
      </c>
      <c r="G65" s="1066" t="s">
        <v>2765</v>
      </c>
      <c r="H65" s="1066" t="s">
        <v>2766</v>
      </c>
      <c r="I65" s="1066" t="s">
        <v>2767</v>
      </c>
      <c r="J65" s="1066" t="s">
        <v>2768</v>
      </c>
      <c r="K65" s="1066" t="s">
        <v>2762</v>
      </c>
      <c r="L65" s="1066" t="s">
        <v>2769</v>
      </c>
      <c r="M65" s="1066" t="s">
        <v>2676</v>
      </c>
      <c r="N65" s="1066" t="s">
        <v>2770</v>
      </c>
      <c r="O65" s="1066" t="s">
        <v>2292</v>
      </c>
      <c r="P65" s="1066" t="s">
        <v>2292</v>
      </c>
      <c r="Q65" s="1066" t="s">
        <v>2293</v>
      </c>
      <c r="R65" s="1066">
        <f t="shared" si="0"/>
        <v>1.2</v>
      </c>
      <c r="S65" s="611"/>
    </row>
    <row r="66" spans="1:19" x14ac:dyDescent="0.2">
      <c r="A66" s="1079"/>
      <c r="B66" s="1066" t="s">
        <v>2771</v>
      </c>
      <c r="C66" s="1078">
        <v>63</v>
      </c>
      <c r="D66" s="1066" t="s">
        <v>2764</v>
      </c>
      <c r="E66" s="1078">
        <v>0.6</v>
      </c>
      <c r="F66" s="1066" t="s">
        <v>2772</v>
      </c>
      <c r="G66" s="1066" t="s">
        <v>2773</v>
      </c>
      <c r="H66" s="1066" t="s">
        <v>2774</v>
      </c>
      <c r="I66" s="1066" t="s">
        <v>2775</v>
      </c>
      <c r="J66" s="1066" t="s">
        <v>2776</v>
      </c>
      <c r="K66" s="1066" t="s">
        <v>2769</v>
      </c>
      <c r="L66" s="1066" t="s">
        <v>2777</v>
      </c>
      <c r="M66" s="1066" t="s">
        <v>2770</v>
      </c>
      <c r="N66" s="1066" t="s">
        <v>2778</v>
      </c>
      <c r="O66" s="1066" t="s">
        <v>2292</v>
      </c>
      <c r="P66" s="1066" t="s">
        <v>2292</v>
      </c>
      <c r="Q66" s="1066" t="s">
        <v>2293</v>
      </c>
      <c r="R66" s="1066">
        <f t="shared" si="0"/>
        <v>1.2</v>
      </c>
      <c r="S66" s="611"/>
    </row>
    <row r="67" spans="1:19" x14ac:dyDescent="0.2">
      <c r="A67" s="1065"/>
      <c r="B67" s="1066" t="s">
        <v>2779</v>
      </c>
      <c r="C67" s="1078">
        <v>58</v>
      </c>
      <c r="D67" s="1066" t="s">
        <v>2764</v>
      </c>
      <c r="E67" s="1078">
        <v>0.8</v>
      </c>
      <c r="F67" s="1066" t="s">
        <v>2780</v>
      </c>
      <c r="G67" s="1066" t="s">
        <v>2610</v>
      </c>
      <c r="H67" s="1066" t="s">
        <v>2781</v>
      </c>
      <c r="I67" s="1066" t="s">
        <v>2782</v>
      </c>
      <c r="J67" s="1066" t="s">
        <v>2783</v>
      </c>
      <c r="K67" s="1066" t="s">
        <v>2777</v>
      </c>
      <c r="L67" s="1066" t="s">
        <v>2427</v>
      </c>
      <c r="M67" s="1066" t="s">
        <v>2562</v>
      </c>
      <c r="N67" s="1066" t="s">
        <v>2692</v>
      </c>
      <c r="O67" s="1066" t="s">
        <v>2321</v>
      </c>
      <c r="P67" s="1066" t="s">
        <v>2321</v>
      </c>
      <c r="Q67" s="1066" t="s">
        <v>2293</v>
      </c>
      <c r="R67" s="1066">
        <f t="shared" si="0"/>
        <v>1.4</v>
      </c>
    </row>
    <row r="68" spans="1:19" x14ac:dyDescent="0.2">
      <c r="A68" s="1065" t="s">
        <v>2784</v>
      </c>
      <c r="B68" s="1066" t="s">
        <v>2785</v>
      </c>
      <c r="C68" s="1078">
        <v>75</v>
      </c>
      <c r="D68" s="1066" t="s">
        <v>2786</v>
      </c>
      <c r="E68" s="1078">
        <v>0.6</v>
      </c>
      <c r="F68" s="1066" t="s">
        <v>2787</v>
      </c>
      <c r="G68" s="1066" t="s">
        <v>2788</v>
      </c>
      <c r="H68" s="1066" t="s">
        <v>2789</v>
      </c>
      <c r="I68" s="1066" t="s">
        <v>2790</v>
      </c>
      <c r="J68" s="1066" t="s">
        <v>2791</v>
      </c>
      <c r="K68" s="1066" t="s">
        <v>2792</v>
      </c>
      <c r="L68" s="1066" t="s">
        <v>2762</v>
      </c>
      <c r="M68" s="1066" t="s">
        <v>2793</v>
      </c>
      <c r="N68" s="1066" t="s">
        <v>2676</v>
      </c>
      <c r="O68" s="1066" t="s">
        <v>2292</v>
      </c>
      <c r="P68" s="1066" t="s">
        <v>2292</v>
      </c>
      <c r="Q68" s="1066" t="s">
        <v>2293</v>
      </c>
      <c r="R68" s="1066">
        <f t="shared" si="0"/>
        <v>1.2</v>
      </c>
      <c r="S68" s="611"/>
    </row>
  </sheetData>
  <mergeCells count="4">
    <mergeCell ref="A1:R1"/>
    <mergeCell ref="A2:R2"/>
    <mergeCell ref="A4:R4"/>
    <mergeCell ref="A35:R35"/>
  </mergeCells>
  <printOptions horizontalCentered="1"/>
  <pageMargins left="0.59055118110236227" right="0.59055118110236227" top="1.5748031496062993" bottom="0.78740157480314965" header="0" footer="0"/>
  <pageSetup paperSize="9" scale="65" firstPageNumber="25" orientation="landscape" r:id="rId1"/>
  <headerFooter scaleWithDoc="0">
    <oddHeader>&amp;L&amp;G</oddHeader>
    <oddFooter>&amp;C&amp;"-,Negrito"&amp;12DIONI CAETANEO DE OLIVEIRA
&amp;"-,Regular"ENGENHEIRO CIVIL - CREA /MT 40957
DEPARTAMENTO DE ENGENHARIA</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B2CCD-272C-4975-96F8-EE09A5FC4A20}">
  <sheetPr codeName="Plan36">
    <tabColor rgb="FF7030A0"/>
  </sheetPr>
  <dimension ref="A2:X198"/>
  <sheetViews>
    <sheetView showGridLines="0" view="pageLayout" topLeftCell="A184" zoomScaleNormal="115" zoomScaleSheetLayoutView="115" workbookViewId="0">
      <selection activeCell="B208" sqref="B208"/>
    </sheetView>
  </sheetViews>
  <sheetFormatPr defaultRowHeight="14.25" x14ac:dyDescent="0.2"/>
  <cols>
    <col min="1" max="1" width="9.140625" style="472"/>
    <col min="2" max="2" width="16" style="472" customWidth="1"/>
    <col min="3" max="3" width="21.5703125" style="472" customWidth="1"/>
    <col min="4" max="4" width="16.28515625" style="472" bestFit="1" customWidth="1"/>
    <col min="5" max="6" width="19.140625" style="472" customWidth="1"/>
    <col min="7" max="7" width="13.7109375" style="472" customWidth="1"/>
    <col min="8" max="8" width="13.85546875" style="472" customWidth="1"/>
    <col min="9" max="9" width="14.42578125" style="472" bestFit="1" customWidth="1"/>
    <col min="10" max="10" width="15.140625" style="472" customWidth="1"/>
    <col min="11" max="11" width="20.85546875" style="472" customWidth="1"/>
    <col min="12" max="12" width="6.7109375" style="472" customWidth="1"/>
    <col min="13" max="13" width="12.140625" style="472" customWidth="1"/>
    <col min="14" max="15" width="25.28515625" style="472" customWidth="1"/>
    <col min="16" max="16" width="10.5703125" style="472" customWidth="1"/>
    <col min="17" max="17" width="9.140625" style="472"/>
    <col min="18" max="18" width="13.7109375" style="472" customWidth="1"/>
    <col min="19" max="19" width="10.140625" style="472" customWidth="1"/>
    <col min="20" max="20" width="8.28515625" style="472" customWidth="1"/>
    <col min="21" max="16384" width="9.140625" style="472"/>
  </cols>
  <sheetData>
    <row r="2" spans="1:24" ht="22.5" customHeight="1" x14ac:dyDescent="0.25">
      <c r="A2" s="625"/>
      <c r="B2" s="1661" t="s">
        <v>1026</v>
      </c>
      <c r="C2" s="1661"/>
      <c r="D2" s="1661"/>
      <c r="E2" s="1661"/>
      <c r="F2" s="1661"/>
      <c r="G2" s="1661"/>
      <c r="H2" s="1661"/>
      <c r="I2" s="1661"/>
      <c r="J2" s="1661"/>
      <c r="K2" s="1661"/>
      <c r="L2" s="625"/>
      <c r="M2" s="1082"/>
      <c r="N2" s="1082"/>
      <c r="O2" s="1082"/>
      <c r="P2" s="1082"/>
      <c r="Q2" s="1082"/>
      <c r="R2" s="1082"/>
      <c r="S2" s="1082"/>
      <c r="T2" s="1082"/>
      <c r="U2" s="1082"/>
      <c r="V2" s="1082"/>
      <c r="W2" s="1082"/>
      <c r="X2" s="1082"/>
    </row>
    <row r="3" spans="1:24" ht="22.5" customHeight="1" x14ac:dyDescent="0.25">
      <c r="A3" s="625"/>
      <c r="B3" s="1661" t="s">
        <v>2794</v>
      </c>
      <c r="C3" s="1661"/>
      <c r="D3" s="1661"/>
      <c r="E3" s="1661"/>
      <c r="F3" s="1661"/>
      <c r="G3" s="1661"/>
      <c r="H3" s="1661"/>
      <c r="I3" s="1661"/>
      <c r="J3" s="1661"/>
      <c r="K3" s="1661"/>
      <c r="L3" s="625"/>
      <c r="M3" s="1082"/>
      <c r="N3" s="1082"/>
      <c r="O3" s="1082"/>
      <c r="P3" s="1082"/>
      <c r="Q3" s="1082"/>
      <c r="R3" s="1082"/>
      <c r="S3" s="1082"/>
      <c r="T3" s="1082"/>
      <c r="U3" s="1082"/>
      <c r="V3" s="1082"/>
      <c r="W3" s="1082"/>
      <c r="X3" s="1082"/>
    </row>
    <row r="4" spans="1:24" ht="63.75" customHeight="1" x14ac:dyDescent="0.2">
      <c r="A4" s="361"/>
      <c r="B4" s="1060" t="s">
        <v>1028</v>
      </c>
      <c r="C4" s="1060" t="s">
        <v>2795</v>
      </c>
      <c r="D4" s="1060" t="s">
        <v>2796</v>
      </c>
      <c r="E4" s="1061" t="s">
        <v>2797</v>
      </c>
      <c r="F4" s="1062" t="s">
        <v>2798</v>
      </c>
      <c r="G4" s="1063" t="s">
        <v>2799</v>
      </c>
      <c r="H4" s="1063" t="s">
        <v>2800</v>
      </c>
      <c r="I4" s="1063" t="s">
        <v>2801</v>
      </c>
      <c r="J4" s="1062" t="s">
        <v>2802</v>
      </c>
      <c r="K4" s="1061" t="s">
        <v>2803</v>
      </c>
      <c r="L4" s="1083"/>
    </row>
    <row r="5" spans="1:24" ht="12.75" customHeight="1" x14ac:dyDescent="0.2">
      <c r="A5" s="361"/>
      <c r="B5" s="1653" t="s">
        <v>538</v>
      </c>
      <c r="C5" s="1654"/>
      <c r="D5" s="1654"/>
      <c r="E5" s="1654"/>
      <c r="F5" s="1654"/>
      <c r="G5" s="1654"/>
      <c r="H5" s="1654"/>
      <c r="I5" s="1654"/>
      <c r="J5" s="1654"/>
      <c r="K5" s="1655"/>
      <c r="L5" s="1083"/>
    </row>
    <row r="6" spans="1:24" ht="12.75" customHeight="1" x14ac:dyDescent="0.2">
      <c r="A6" s="361"/>
      <c r="B6" s="1084" t="str">
        <f>'DREN. REDE'!B5</f>
        <v>T1</v>
      </c>
      <c r="C6" s="1085">
        <f>'DREN. REDE'!E5</f>
        <v>0.6</v>
      </c>
      <c r="D6" s="1085" t="str">
        <f>'DREN. REDE'!O5</f>
        <v xml:space="preserve">1,600 </v>
      </c>
      <c r="E6" s="1085" t="str">
        <f>'DREN. REDE'!P5</f>
        <v xml:space="preserve">1,600 </v>
      </c>
      <c r="F6" s="1086">
        <f>'DREN. REDE'!C5</f>
        <v>75</v>
      </c>
      <c r="G6" s="1087">
        <f>'DREN. REDE'!R5</f>
        <v>1.2</v>
      </c>
      <c r="H6" s="1087">
        <f>TRUNC(F6*G6*0.1,2)</f>
        <v>9</v>
      </c>
      <c r="I6" s="1087">
        <f>TRUNC(((D6+E6)*F6)/2*G6,2)</f>
        <v>144</v>
      </c>
      <c r="J6" s="1087">
        <f>TRUNC(((D6+E6)*F6),2)</f>
        <v>240</v>
      </c>
      <c r="K6" s="1085">
        <f>TRUNC(I6-(F6*O6^2*PI())-(0.1*G6*F6),2)</f>
        <v>104.46</v>
      </c>
      <c r="L6" s="1083"/>
      <c r="N6" s="1088">
        <v>0</v>
      </c>
      <c r="O6" s="1089">
        <f>IF(C6=0.4,0.245,IF(AND(C6=0.6),0.36,IF(AND(C6=0.8),0.48,IF(AND(C6=1),0.6,IF(AND(C6=1.2),0.72)))))</f>
        <v>0.36</v>
      </c>
    </row>
    <row r="7" spans="1:24" ht="12.75" customHeight="1" x14ac:dyDescent="0.2">
      <c r="A7" s="361"/>
      <c r="B7" s="1084" t="str">
        <f>'DREN. REDE'!B6</f>
        <v>T2</v>
      </c>
      <c r="C7" s="1085">
        <f>'DREN. REDE'!E6</f>
        <v>0.6</v>
      </c>
      <c r="D7" s="1085" t="str">
        <f>'DREN. REDE'!O6</f>
        <v xml:space="preserve">1,600 </v>
      </c>
      <c r="E7" s="1085" t="str">
        <f>'DREN. REDE'!P6</f>
        <v xml:space="preserve">1,600 </v>
      </c>
      <c r="F7" s="1086">
        <f>'DREN. REDE'!C6</f>
        <v>74</v>
      </c>
      <c r="G7" s="1087">
        <f>'DREN. REDE'!R6</f>
        <v>1.2</v>
      </c>
      <c r="H7" s="1087">
        <f t="shared" ref="H7:H35" si="0">TRUNC(F7*G7*0.1,2)</f>
        <v>8.8800000000000008</v>
      </c>
      <c r="I7" s="1087">
        <f t="shared" ref="I7:I35" si="1">TRUNC(((D7+E7)*F7)/2*G7,2)</f>
        <v>142.08000000000001</v>
      </c>
      <c r="J7" s="1087">
        <f t="shared" ref="J7:J35" si="2">TRUNC(((D7+E7)*F7),2)</f>
        <v>236.8</v>
      </c>
      <c r="K7" s="1085">
        <f t="shared" ref="K7:K35" si="3">TRUNC(I7-(F7*O7^2*PI())-(0.1*G7*F7),2)</f>
        <v>103.07</v>
      </c>
      <c r="L7" s="1083"/>
      <c r="N7" s="1088">
        <v>0</v>
      </c>
      <c r="O7" s="1089">
        <f t="shared" ref="O7:O35" si="4">IF(C7=0.4,0.245,IF(AND(C7=0.6),0.36,IF(AND(C7=0.8),0.48,IF(AND(C7=1),0.6,IF(AND(C7=1.2),0.72)))))</f>
        <v>0.36</v>
      </c>
    </row>
    <row r="8" spans="1:24" ht="12.75" customHeight="1" x14ac:dyDescent="0.2">
      <c r="A8" s="361"/>
      <c r="B8" s="1084" t="str">
        <f>'DREN. REDE'!B7</f>
        <v>T3</v>
      </c>
      <c r="C8" s="1085">
        <f>'DREN. REDE'!E7</f>
        <v>0.6</v>
      </c>
      <c r="D8" s="1085" t="str">
        <f>'DREN. REDE'!O7</f>
        <v xml:space="preserve">1,600 </v>
      </c>
      <c r="E8" s="1085" t="str">
        <f>'DREN. REDE'!P7</f>
        <v xml:space="preserve">1,600 </v>
      </c>
      <c r="F8" s="1086">
        <f>'DREN. REDE'!C7</f>
        <v>74</v>
      </c>
      <c r="G8" s="1087">
        <f>'DREN. REDE'!R7</f>
        <v>1.2</v>
      </c>
      <c r="H8" s="1087">
        <f t="shared" si="0"/>
        <v>8.8800000000000008</v>
      </c>
      <c r="I8" s="1087">
        <f t="shared" si="1"/>
        <v>142.08000000000001</v>
      </c>
      <c r="J8" s="1087">
        <f t="shared" si="2"/>
        <v>236.8</v>
      </c>
      <c r="K8" s="1085">
        <f t="shared" si="3"/>
        <v>103.07</v>
      </c>
      <c r="L8" s="1083"/>
      <c r="N8" s="1088">
        <v>0</v>
      </c>
      <c r="O8" s="1089">
        <f t="shared" si="4"/>
        <v>0.36</v>
      </c>
    </row>
    <row r="9" spans="1:24" ht="12.75" customHeight="1" x14ac:dyDescent="0.2">
      <c r="A9" s="361"/>
      <c r="B9" s="1084" t="str">
        <f>'DREN. REDE'!B8</f>
        <v>T4</v>
      </c>
      <c r="C9" s="1085">
        <f>'DREN. REDE'!E8</f>
        <v>0.8</v>
      </c>
      <c r="D9" s="1085" t="str">
        <f>'DREN. REDE'!O8</f>
        <v xml:space="preserve">1,800 </v>
      </c>
      <c r="E9" s="1085" t="str">
        <f>'DREN. REDE'!P8</f>
        <v xml:space="preserve">1,800 </v>
      </c>
      <c r="F9" s="1086">
        <f>'DREN. REDE'!C8</f>
        <v>86</v>
      </c>
      <c r="G9" s="1087">
        <f>'DREN. REDE'!R8</f>
        <v>1.4</v>
      </c>
      <c r="H9" s="1087">
        <f t="shared" si="0"/>
        <v>12.04</v>
      </c>
      <c r="I9" s="1087">
        <f t="shared" si="1"/>
        <v>216.72</v>
      </c>
      <c r="J9" s="1087">
        <f t="shared" si="2"/>
        <v>309.60000000000002</v>
      </c>
      <c r="K9" s="1085">
        <f t="shared" si="3"/>
        <v>142.43</v>
      </c>
      <c r="L9" s="1083"/>
      <c r="N9" s="1088">
        <v>0</v>
      </c>
      <c r="O9" s="1089">
        <f t="shared" si="4"/>
        <v>0.48</v>
      </c>
    </row>
    <row r="10" spans="1:24" ht="12.75" customHeight="1" x14ac:dyDescent="0.2">
      <c r="A10" s="361"/>
      <c r="B10" s="1084" t="str">
        <f>'DREN. REDE'!B9</f>
        <v>T6.2</v>
      </c>
      <c r="C10" s="1085">
        <f>'DREN. REDE'!E9</f>
        <v>0.6</v>
      </c>
      <c r="D10" s="1085" t="str">
        <f>'DREN. REDE'!O9</f>
        <v xml:space="preserve">1,600 </v>
      </c>
      <c r="E10" s="1085" t="str">
        <f>'DREN. REDE'!P9</f>
        <v xml:space="preserve">1,600 </v>
      </c>
      <c r="F10" s="1086">
        <f>'DREN. REDE'!C9</f>
        <v>93</v>
      </c>
      <c r="G10" s="1087">
        <f>'DREN. REDE'!R9</f>
        <v>1.2</v>
      </c>
      <c r="H10" s="1087">
        <f t="shared" si="0"/>
        <v>11.16</v>
      </c>
      <c r="I10" s="1087">
        <f t="shared" si="1"/>
        <v>178.56</v>
      </c>
      <c r="J10" s="1087">
        <f t="shared" si="2"/>
        <v>297.60000000000002</v>
      </c>
      <c r="K10" s="1085">
        <f t="shared" si="3"/>
        <v>129.53</v>
      </c>
      <c r="L10" s="1083"/>
      <c r="N10" s="1088">
        <v>0</v>
      </c>
      <c r="O10" s="1089">
        <f t="shared" si="4"/>
        <v>0.36</v>
      </c>
    </row>
    <row r="11" spans="1:24" ht="12.75" customHeight="1" x14ac:dyDescent="0.2">
      <c r="A11" s="361"/>
      <c r="B11" s="1084" t="str">
        <f>'DREN. REDE'!B10</f>
        <v>T6.1</v>
      </c>
      <c r="C11" s="1085">
        <f>'DREN. REDE'!E10</f>
        <v>0.6</v>
      </c>
      <c r="D11" s="1085" t="str">
        <f>'DREN. REDE'!O10</f>
        <v xml:space="preserve">1,600 </v>
      </c>
      <c r="E11" s="1085" t="str">
        <f>'DREN. REDE'!P10</f>
        <v xml:space="preserve">1,600 </v>
      </c>
      <c r="F11" s="1086">
        <f>'DREN. REDE'!C10</f>
        <v>83</v>
      </c>
      <c r="G11" s="1087">
        <f>'DREN. REDE'!R10</f>
        <v>1.2</v>
      </c>
      <c r="H11" s="1087">
        <f t="shared" si="0"/>
        <v>9.9600000000000009</v>
      </c>
      <c r="I11" s="1087">
        <f t="shared" si="1"/>
        <v>159.36000000000001</v>
      </c>
      <c r="J11" s="1087">
        <f t="shared" si="2"/>
        <v>265.60000000000002</v>
      </c>
      <c r="K11" s="1085">
        <f t="shared" si="3"/>
        <v>115.6</v>
      </c>
      <c r="L11" s="1083"/>
      <c r="N11" s="1088">
        <v>0</v>
      </c>
      <c r="O11" s="1089">
        <f t="shared" si="4"/>
        <v>0.36</v>
      </c>
    </row>
    <row r="12" spans="1:24" ht="12.75" customHeight="1" x14ac:dyDescent="0.2">
      <c r="A12" s="361"/>
      <c r="B12" s="1084" t="str">
        <f>'DREN. REDE'!B11</f>
        <v>T6</v>
      </c>
      <c r="C12" s="1085">
        <f>'DREN. REDE'!E11</f>
        <v>0.6</v>
      </c>
      <c r="D12" s="1085" t="str">
        <f>'DREN. REDE'!O11</f>
        <v xml:space="preserve">1,600 </v>
      </c>
      <c r="E12" s="1085" t="str">
        <f>'DREN. REDE'!P11</f>
        <v xml:space="preserve">1,600 </v>
      </c>
      <c r="F12" s="1086">
        <f>'DREN. REDE'!C11</f>
        <v>75</v>
      </c>
      <c r="G12" s="1087">
        <f>'DREN. REDE'!R11</f>
        <v>1.2</v>
      </c>
      <c r="H12" s="1087">
        <f t="shared" si="0"/>
        <v>9</v>
      </c>
      <c r="I12" s="1087">
        <f t="shared" si="1"/>
        <v>144</v>
      </c>
      <c r="J12" s="1087">
        <f t="shared" si="2"/>
        <v>240</v>
      </c>
      <c r="K12" s="1085">
        <f t="shared" si="3"/>
        <v>104.46</v>
      </c>
      <c r="L12" s="1083"/>
      <c r="N12" s="1088">
        <v>0</v>
      </c>
      <c r="O12" s="1089">
        <f t="shared" si="4"/>
        <v>0.36</v>
      </c>
    </row>
    <row r="13" spans="1:24" ht="12.75" customHeight="1" x14ac:dyDescent="0.2">
      <c r="A13" s="361"/>
      <c r="B13" s="1084" t="str">
        <f>'DREN. REDE'!B12</f>
        <v>T7</v>
      </c>
      <c r="C13" s="1085">
        <f>'DREN. REDE'!E12</f>
        <v>0.8</v>
      </c>
      <c r="D13" s="1085" t="str">
        <f>'DREN. REDE'!O12</f>
        <v xml:space="preserve">1,800 </v>
      </c>
      <c r="E13" s="1085" t="str">
        <f>'DREN. REDE'!P12</f>
        <v xml:space="preserve">1,800 </v>
      </c>
      <c r="F13" s="1086">
        <f>'DREN. REDE'!C12</f>
        <v>75</v>
      </c>
      <c r="G13" s="1087">
        <f>'DREN. REDE'!R12</f>
        <v>1.4</v>
      </c>
      <c r="H13" s="1087">
        <f t="shared" si="0"/>
        <v>10.5</v>
      </c>
      <c r="I13" s="1087">
        <f t="shared" si="1"/>
        <v>189</v>
      </c>
      <c r="J13" s="1087">
        <f t="shared" si="2"/>
        <v>270</v>
      </c>
      <c r="K13" s="1085">
        <f t="shared" si="3"/>
        <v>124.21</v>
      </c>
      <c r="L13" s="1083"/>
      <c r="N13" s="1088">
        <v>0</v>
      </c>
      <c r="O13" s="1089">
        <f t="shared" si="4"/>
        <v>0.48</v>
      </c>
    </row>
    <row r="14" spans="1:24" ht="12.75" customHeight="1" x14ac:dyDescent="0.2">
      <c r="A14" s="361"/>
      <c r="B14" s="1084" t="str">
        <f>'DREN. REDE'!B13</f>
        <v>T8</v>
      </c>
      <c r="C14" s="1085">
        <f>'DREN. REDE'!E13</f>
        <v>0.8</v>
      </c>
      <c r="D14" s="1085" t="str">
        <f>'DREN. REDE'!O13</f>
        <v xml:space="preserve">1,800 </v>
      </c>
      <c r="E14" s="1085" t="str">
        <f>'DREN. REDE'!P13</f>
        <v xml:space="preserve">1,800 </v>
      </c>
      <c r="F14" s="1086">
        <f>'DREN. REDE'!C13</f>
        <v>72</v>
      </c>
      <c r="G14" s="1087">
        <f>'DREN. REDE'!R13</f>
        <v>1.4</v>
      </c>
      <c r="H14" s="1087">
        <f t="shared" si="0"/>
        <v>10.08</v>
      </c>
      <c r="I14" s="1087">
        <f t="shared" si="1"/>
        <v>181.44</v>
      </c>
      <c r="J14" s="1087">
        <f t="shared" si="2"/>
        <v>259.2</v>
      </c>
      <c r="K14" s="1085">
        <f t="shared" si="3"/>
        <v>119.24</v>
      </c>
      <c r="L14" s="1083"/>
      <c r="N14" s="1088">
        <v>0</v>
      </c>
      <c r="O14" s="1089">
        <f t="shared" si="4"/>
        <v>0.48</v>
      </c>
    </row>
    <row r="15" spans="1:24" ht="12.75" customHeight="1" x14ac:dyDescent="0.2">
      <c r="A15" s="361"/>
      <c r="B15" s="1084" t="str">
        <f>'DREN. REDE'!B14</f>
        <v>T9</v>
      </c>
      <c r="C15" s="1085">
        <f>'DREN. REDE'!E14</f>
        <v>1</v>
      </c>
      <c r="D15" s="1085" t="str">
        <f>'DREN. REDE'!O14</f>
        <v xml:space="preserve">2,000 </v>
      </c>
      <c r="E15" s="1085" t="str">
        <f>'DREN. REDE'!P14</f>
        <v xml:space="preserve">2,000 </v>
      </c>
      <c r="F15" s="1086">
        <f>'DREN. REDE'!C14</f>
        <v>88</v>
      </c>
      <c r="G15" s="1087">
        <f>'DREN. REDE'!R14</f>
        <v>1.6</v>
      </c>
      <c r="H15" s="1087">
        <f t="shared" si="0"/>
        <v>14.08</v>
      </c>
      <c r="I15" s="1087">
        <f t="shared" si="1"/>
        <v>281.60000000000002</v>
      </c>
      <c r="J15" s="1087">
        <f t="shared" si="2"/>
        <v>352</v>
      </c>
      <c r="K15" s="1085">
        <f t="shared" si="3"/>
        <v>167.99</v>
      </c>
      <c r="L15" s="1083"/>
      <c r="N15" s="1088">
        <v>0</v>
      </c>
      <c r="O15" s="1089">
        <f t="shared" si="4"/>
        <v>0.6</v>
      </c>
    </row>
    <row r="16" spans="1:24" ht="12.75" customHeight="1" x14ac:dyDescent="0.2">
      <c r="A16" s="361"/>
      <c r="B16" s="1084" t="str">
        <f>'DREN. REDE'!B15</f>
        <v>T10</v>
      </c>
      <c r="C16" s="1085">
        <f>'DREN. REDE'!E15</f>
        <v>1</v>
      </c>
      <c r="D16" s="1085" t="str">
        <f>'DREN. REDE'!O15</f>
        <v xml:space="preserve">2,000 </v>
      </c>
      <c r="E16" s="1085" t="str">
        <f>'DREN. REDE'!P15</f>
        <v xml:space="preserve">2,700 </v>
      </c>
      <c r="F16" s="1086">
        <f>'DREN. REDE'!C15</f>
        <v>58</v>
      </c>
      <c r="G16" s="1087">
        <f>'DREN. REDE'!R15</f>
        <v>1.6</v>
      </c>
      <c r="H16" s="1087">
        <f t="shared" si="0"/>
        <v>9.2799999999999994</v>
      </c>
      <c r="I16" s="1087">
        <f t="shared" si="1"/>
        <v>218.08</v>
      </c>
      <c r="J16" s="1087">
        <f t="shared" si="2"/>
        <v>272.60000000000002</v>
      </c>
      <c r="K16" s="1085">
        <f t="shared" si="3"/>
        <v>143.19999999999999</v>
      </c>
      <c r="L16" s="1083"/>
      <c r="N16" s="1088">
        <v>0</v>
      </c>
      <c r="O16" s="1089">
        <f t="shared" si="4"/>
        <v>0.6</v>
      </c>
    </row>
    <row r="17" spans="1:15" ht="12.75" customHeight="1" x14ac:dyDescent="0.2">
      <c r="A17" s="361"/>
      <c r="B17" s="1084" t="str">
        <f>'DREN. REDE'!B16</f>
        <v>T11</v>
      </c>
      <c r="C17" s="1085">
        <f>'DREN. REDE'!E16</f>
        <v>1</v>
      </c>
      <c r="D17" s="1085" t="str">
        <f>'DREN. REDE'!O16</f>
        <v xml:space="preserve">2,700 </v>
      </c>
      <c r="E17" s="1085" t="str">
        <f>'DREN. REDE'!P16</f>
        <v xml:space="preserve">2,000 </v>
      </c>
      <c r="F17" s="1086">
        <f>'DREN. REDE'!C16</f>
        <v>111</v>
      </c>
      <c r="G17" s="1087">
        <f>'DREN. REDE'!R16</f>
        <v>1.6</v>
      </c>
      <c r="H17" s="1087">
        <f t="shared" si="0"/>
        <v>17.760000000000002</v>
      </c>
      <c r="I17" s="1087">
        <f t="shared" si="1"/>
        <v>417.36</v>
      </c>
      <c r="J17" s="1087">
        <f t="shared" si="2"/>
        <v>521.70000000000005</v>
      </c>
      <c r="K17" s="1085">
        <f t="shared" si="3"/>
        <v>274.06</v>
      </c>
      <c r="L17" s="1083"/>
      <c r="N17" s="1088">
        <v>0</v>
      </c>
      <c r="O17" s="1089">
        <f t="shared" si="4"/>
        <v>0.6</v>
      </c>
    </row>
    <row r="18" spans="1:15" ht="12.75" customHeight="1" x14ac:dyDescent="0.2">
      <c r="A18" s="361"/>
      <c r="B18" s="1084" t="str">
        <f>'DREN. REDE'!B17</f>
        <v>T12</v>
      </c>
      <c r="C18" s="1085">
        <f>'DREN. REDE'!E17</f>
        <v>1</v>
      </c>
      <c r="D18" s="1085" t="str">
        <f>'DREN. REDE'!O17</f>
        <v xml:space="preserve">2,000 </v>
      </c>
      <c r="E18" s="1085" t="str">
        <f>'DREN. REDE'!P17</f>
        <v xml:space="preserve">2,000 </v>
      </c>
      <c r="F18" s="1086">
        <f>'DREN. REDE'!C17</f>
        <v>77</v>
      </c>
      <c r="G18" s="1087">
        <f>'DREN. REDE'!R17</f>
        <v>1.6</v>
      </c>
      <c r="H18" s="1087">
        <f t="shared" si="0"/>
        <v>12.32</v>
      </c>
      <c r="I18" s="1087">
        <f t="shared" si="1"/>
        <v>246.4</v>
      </c>
      <c r="J18" s="1087">
        <f t="shared" si="2"/>
        <v>308</v>
      </c>
      <c r="K18" s="1085">
        <f t="shared" si="3"/>
        <v>146.99</v>
      </c>
      <c r="L18" s="1083"/>
      <c r="N18" s="1088">
        <v>0</v>
      </c>
      <c r="O18" s="1089">
        <f t="shared" si="4"/>
        <v>0.6</v>
      </c>
    </row>
    <row r="19" spans="1:15" ht="12.75" customHeight="1" x14ac:dyDescent="0.2">
      <c r="A19" s="361"/>
      <c r="B19" s="1084" t="str">
        <f>'DREN. REDE'!B18</f>
        <v>T13</v>
      </c>
      <c r="C19" s="1085">
        <f>'DREN. REDE'!E18</f>
        <v>1</v>
      </c>
      <c r="D19" s="1085" t="str">
        <f>'DREN. REDE'!O18</f>
        <v xml:space="preserve">2,000 </v>
      </c>
      <c r="E19" s="1085" t="str">
        <f>'DREN. REDE'!P18</f>
        <v xml:space="preserve">2,000 </v>
      </c>
      <c r="F19" s="1086">
        <f>'DREN. REDE'!C18</f>
        <v>75</v>
      </c>
      <c r="G19" s="1087">
        <f>'DREN. REDE'!R18</f>
        <v>1.6</v>
      </c>
      <c r="H19" s="1087">
        <f t="shared" si="0"/>
        <v>12</v>
      </c>
      <c r="I19" s="1087">
        <f t="shared" si="1"/>
        <v>240</v>
      </c>
      <c r="J19" s="1087">
        <f t="shared" si="2"/>
        <v>300</v>
      </c>
      <c r="K19" s="1085">
        <f t="shared" si="3"/>
        <v>143.16999999999999</v>
      </c>
      <c r="L19" s="1083"/>
      <c r="N19" s="1088">
        <v>0</v>
      </c>
      <c r="O19" s="1089">
        <f t="shared" si="4"/>
        <v>0.6</v>
      </c>
    </row>
    <row r="20" spans="1:15" ht="12.75" customHeight="1" x14ac:dyDescent="0.2">
      <c r="A20" s="361"/>
      <c r="B20" s="1084" t="str">
        <f>'DREN. REDE'!B19</f>
        <v>T14</v>
      </c>
      <c r="C20" s="1085">
        <f>'DREN. REDE'!E19</f>
        <v>1</v>
      </c>
      <c r="D20" s="1085" t="str">
        <f>'DREN. REDE'!O19</f>
        <v xml:space="preserve">2,000 </v>
      </c>
      <c r="E20" s="1085" t="str">
        <f>'DREN. REDE'!P19</f>
        <v xml:space="preserve">2,000 </v>
      </c>
      <c r="F20" s="1086">
        <f>'DREN. REDE'!C19</f>
        <v>70</v>
      </c>
      <c r="G20" s="1087">
        <f>'DREN. REDE'!R19</f>
        <v>1.6</v>
      </c>
      <c r="H20" s="1087">
        <f t="shared" si="0"/>
        <v>11.2</v>
      </c>
      <c r="I20" s="1087">
        <f t="shared" si="1"/>
        <v>224</v>
      </c>
      <c r="J20" s="1087">
        <f t="shared" si="2"/>
        <v>280</v>
      </c>
      <c r="K20" s="1085">
        <f t="shared" si="3"/>
        <v>133.63</v>
      </c>
      <c r="L20" s="1083"/>
      <c r="N20" s="1088">
        <v>0</v>
      </c>
      <c r="O20" s="1089">
        <f t="shared" si="4"/>
        <v>0.6</v>
      </c>
    </row>
    <row r="21" spans="1:15" ht="12.75" customHeight="1" x14ac:dyDescent="0.2">
      <c r="A21" s="361"/>
      <c r="B21" s="1084" t="str">
        <f>'DREN. REDE'!B20</f>
        <v>T15</v>
      </c>
      <c r="C21" s="1085">
        <f>'DREN. REDE'!E20</f>
        <v>1</v>
      </c>
      <c r="D21" s="1085" t="str">
        <f>'DREN. REDE'!O20</f>
        <v xml:space="preserve">2,000 </v>
      </c>
      <c r="E21" s="1085" t="str">
        <f>'DREN. REDE'!P20</f>
        <v xml:space="preserve">2,000 </v>
      </c>
      <c r="F21" s="1086">
        <f>'DREN. REDE'!C20</f>
        <v>61</v>
      </c>
      <c r="G21" s="1087">
        <f>'DREN. REDE'!R20</f>
        <v>1.6</v>
      </c>
      <c r="H21" s="1087">
        <f t="shared" si="0"/>
        <v>9.76</v>
      </c>
      <c r="I21" s="1087">
        <f t="shared" si="1"/>
        <v>195.2</v>
      </c>
      <c r="J21" s="1087">
        <f t="shared" si="2"/>
        <v>244</v>
      </c>
      <c r="K21" s="1085">
        <f t="shared" si="3"/>
        <v>116.45</v>
      </c>
      <c r="L21" s="1083"/>
      <c r="N21" s="1088">
        <v>0</v>
      </c>
      <c r="O21" s="1089">
        <f t="shared" si="4"/>
        <v>0.6</v>
      </c>
    </row>
    <row r="22" spans="1:15" ht="12.75" customHeight="1" x14ac:dyDescent="0.2">
      <c r="A22" s="361"/>
      <c r="B22" s="1084" t="str">
        <f>'DREN. REDE'!B21</f>
        <v>T16</v>
      </c>
      <c r="C22" s="1085">
        <f>'DREN. REDE'!E21</f>
        <v>1.2</v>
      </c>
      <c r="D22" s="1085" t="str">
        <f>'DREN. REDE'!O21</f>
        <v xml:space="preserve">2,200 </v>
      </c>
      <c r="E22" s="1085" t="str">
        <f>'DREN. REDE'!P21</f>
        <v xml:space="preserve">2,200 </v>
      </c>
      <c r="F22" s="1086">
        <f>'DREN. REDE'!C21</f>
        <v>97</v>
      </c>
      <c r="G22" s="1087">
        <f>'DREN. REDE'!R21</f>
        <v>1.7999999999999998</v>
      </c>
      <c r="H22" s="1087">
        <f t="shared" si="0"/>
        <v>17.46</v>
      </c>
      <c r="I22" s="1087">
        <f t="shared" si="1"/>
        <v>384.12</v>
      </c>
      <c r="J22" s="1087">
        <f t="shared" si="2"/>
        <v>426.8</v>
      </c>
      <c r="K22" s="1085">
        <f t="shared" si="3"/>
        <v>208.68</v>
      </c>
      <c r="L22" s="1083"/>
      <c r="N22" s="1088">
        <v>0</v>
      </c>
      <c r="O22" s="1089">
        <f t="shared" si="4"/>
        <v>0.72</v>
      </c>
    </row>
    <row r="23" spans="1:15" ht="12.75" customHeight="1" x14ac:dyDescent="0.2">
      <c r="A23" s="361"/>
      <c r="B23" s="1084" t="str">
        <f>'DREN. REDE'!B22</f>
        <v>T17</v>
      </c>
      <c r="C23" s="1085">
        <f>'DREN. REDE'!E22</f>
        <v>1.2</v>
      </c>
      <c r="D23" s="1085" t="str">
        <f>'DREN. REDE'!O22</f>
        <v xml:space="preserve">2,200 </v>
      </c>
      <c r="E23" s="1085" t="str">
        <f>'DREN. REDE'!P22</f>
        <v xml:space="preserve">2,200 </v>
      </c>
      <c r="F23" s="1086">
        <f>'DREN. REDE'!C22</f>
        <v>99</v>
      </c>
      <c r="G23" s="1087">
        <f>'DREN. REDE'!R22</f>
        <v>1.7999999999999998</v>
      </c>
      <c r="H23" s="1087">
        <f t="shared" si="0"/>
        <v>17.82</v>
      </c>
      <c r="I23" s="1087">
        <f t="shared" si="1"/>
        <v>392.04</v>
      </c>
      <c r="J23" s="1087">
        <f t="shared" si="2"/>
        <v>435.6</v>
      </c>
      <c r="K23" s="1085">
        <f t="shared" si="3"/>
        <v>212.98</v>
      </c>
      <c r="L23" s="1083"/>
      <c r="N23" s="1088">
        <v>0</v>
      </c>
      <c r="O23" s="1089">
        <f t="shared" si="4"/>
        <v>0.72</v>
      </c>
    </row>
    <row r="24" spans="1:15" ht="12.75" customHeight="1" x14ac:dyDescent="0.2">
      <c r="A24" s="361"/>
      <c r="B24" s="1084" t="str">
        <f>'DREN. REDE'!B23</f>
        <v>T18</v>
      </c>
      <c r="C24" s="1085">
        <f>'DREN. REDE'!E23</f>
        <v>1.2</v>
      </c>
      <c r="D24" s="1085" t="str">
        <f>'DREN. REDE'!O23</f>
        <v xml:space="preserve">2,200 </v>
      </c>
      <c r="E24" s="1085" t="str">
        <f>'DREN. REDE'!P23</f>
        <v xml:space="preserve">2,200 </v>
      </c>
      <c r="F24" s="1086">
        <f>'DREN. REDE'!C23</f>
        <v>98</v>
      </c>
      <c r="G24" s="1087">
        <f>'DREN. REDE'!R23</f>
        <v>1.7999999999999998</v>
      </c>
      <c r="H24" s="1087">
        <f t="shared" si="0"/>
        <v>17.64</v>
      </c>
      <c r="I24" s="1087">
        <f t="shared" si="1"/>
        <v>388.08</v>
      </c>
      <c r="J24" s="1087">
        <f t="shared" si="2"/>
        <v>431.2</v>
      </c>
      <c r="K24" s="1085">
        <f t="shared" si="3"/>
        <v>210.83</v>
      </c>
      <c r="L24" s="1083"/>
      <c r="N24" s="1088">
        <v>0</v>
      </c>
      <c r="O24" s="1089">
        <f t="shared" si="4"/>
        <v>0.72</v>
      </c>
    </row>
    <row r="25" spans="1:15" ht="12.75" customHeight="1" x14ac:dyDescent="0.2">
      <c r="A25" s="361"/>
      <c r="B25" s="1084" t="str">
        <f>'DREN. REDE'!B24</f>
        <v>T19</v>
      </c>
      <c r="C25" s="1085">
        <f>'DREN. REDE'!E24</f>
        <v>1.2</v>
      </c>
      <c r="D25" s="1085" t="str">
        <f>'DREN. REDE'!O24</f>
        <v xml:space="preserve">2,200 </v>
      </c>
      <c r="E25" s="1085" t="str">
        <f>'DREN. REDE'!P24</f>
        <v xml:space="preserve">2,300 </v>
      </c>
      <c r="F25" s="1086">
        <f>'DREN. REDE'!C24</f>
        <v>99</v>
      </c>
      <c r="G25" s="1087">
        <f>'DREN. REDE'!R24</f>
        <v>1.7999999999999998</v>
      </c>
      <c r="H25" s="1087">
        <f t="shared" si="0"/>
        <v>17.82</v>
      </c>
      <c r="I25" s="1087">
        <f t="shared" si="1"/>
        <v>400.95</v>
      </c>
      <c r="J25" s="1087">
        <f t="shared" si="2"/>
        <v>445.5</v>
      </c>
      <c r="K25" s="1085">
        <f t="shared" si="3"/>
        <v>221.89</v>
      </c>
      <c r="L25" s="1083"/>
      <c r="N25" s="1088">
        <v>0</v>
      </c>
      <c r="O25" s="1089">
        <f t="shared" si="4"/>
        <v>0.72</v>
      </c>
    </row>
    <row r="26" spans="1:15" ht="12.75" customHeight="1" x14ac:dyDescent="0.2">
      <c r="A26" s="361"/>
      <c r="B26" s="1084" t="str">
        <f>'DREN. REDE'!B25</f>
        <v>T20</v>
      </c>
      <c r="C26" s="1085">
        <f>'DREN. REDE'!E25</f>
        <v>1.2</v>
      </c>
      <c r="D26" s="1085" t="str">
        <f>'DREN. REDE'!O25</f>
        <v xml:space="preserve">2,300 </v>
      </c>
      <c r="E26" s="1085" t="str">
        <f>'DREN. REDE'!P25</f>
        <v xml:space="preserve">2,200 </v>
      </c>
      <c r="F26" s="1086">
        <f>'DREN. REDE'!C25</f>
        <v>54</v>
      </c>
      <c r="G26" s="1087">
        <f>'DREN. REDE'!R25</f>
        <v>1.7999999999999998</v>
      </c>
      <c r="H26" s="1087">
        <f t="shared" si="0"/>
        <v>9.7200000000000006</v>
      </c>
      <c r="I26" s="1087">
        <f t="shared" si="1"/>
        <v>218.7</v>
      </c>
      <c r="J26" s="1087">
        <f t="shared" si="2"/>
        <v>243</v>
      </c>
      <c r="K26" s="1085">
        <f t="shared" si="3"/>
        <v>121.03</v>
      </c>
      <c r="L26" s="1083"/>
      <c r="N26" s="1088">
        <v>0</v>
      </c>
      <c r="O26" s="1089">
        <f t="shared" si="4"/>
        <v>0.72</v>
      </c>
    </row>
    <row r="27" spans="1:15" ht="12.75" customHeight="1" x14ac:dyDescent="0.2">
      <c r="A27" s="361"/>
      <c r="B27" s="1084" t="str">
        <f>'DREN. REDE'!B26</f>
        <v>T7.2</v>
      </c>
      <c r="C27" s="1085">
        <f>'DREN. REDE'!E26</f>
        <v>0.6</v>
      </c>
      <c r="D27" s="1085" t="str">
        <f>'DREN. REDE'!O26</f>
        <v xml:space="preserve">1,600 </v>
      </c>
      <c r="E27" s="1085" t="str">
        <f>'DREN. REDE'!P26</f>
        <v xml:space="preserve">1,600 </v>
      </c>
      <c r="F27" s="1086">
        <f>'DREN. REDE'!C26</f>
        <v>87</v>
      </c>
      <c r="G27" s="1087">
        <f>'DREN. REDE'!R26</f>
        <v>1.2</v>
      </c>
      <c r="H27" s="1087">
        <f t="shared" si="0"/>
        <v>10.44</v>
      </c>
      <c r="I27" s="1087">
        <f t="shared" si="1"/>
        <v>167.04</v>
      </c>
      <c r="J27" s="1087">
        <f t="shared" si="2"/>
        <v>278.39999999999998</v>
      </c>
      <c r="K27" s="1085">
        <f t="shared" si="3"/>
        <v>121.17</v>
      </c>
      <c r="L27" s="1083"/>
      <c r="N27" s="1088">
        <v>0</v>
      </c>
      <c r="O27" s="1089">
        <f t="shared" si="4"/>
        <v>0.36</v>
      </c>
    </row>
    <row r="28" spans="1:15" ht="12.75" customHeight="1" x14ac:dyDescent="0.2">
      <c r="A28" s="361"/>
      <c r="B28" s="1084" t="str">
        <f>'DREN. REDE'!B27</f>
        <v>T7.1</v>
      </c>
      <c r="C28" s="1085">
        <f>'DREN. REDE'!E27</f>
        <v>0.6</v>
      </c>
      <c r="D28" s="1085" t="str">
        <f>'DREN. REDE'!O27</f>
        <v xml:space="preserve">1,600 </v>
      </c>
      <c r="E28" s="1085" t="str">
        <f>'DREN. REDE'!P27</f>
        <v xml:space="preserve">1,600 </v>
      </c>
      <c r="F28" s="1086">
        <f>'DREN. REDE'!C27</f>
        <v>79</v>
      </c>
      <c r="G28" s="1087">
        <f>'DREN. REDE'!R27</f>
        <v>1.2</v>
      </c>
      <c r="H28" s="1087">
        <f t="shared" si="0"/>
        <v>9.48</v>
      </c>
      <c r="I28" s="1087">
        <f t="shared" si="1"/>
        <v>151.68</v>
      </c>
      <c r="J28" s="1087">
        <f t="shared" si="2"/>
        <v>252.8</v>
      </c>
      <c r="K28" s="1085">
        <f t="shared" si="3"/>
        <v>110.03</v>
      </c>
      <c r="L28" s="1083"/>
      <c r="N28" s="1088">
        <v>0</v>
      </c>
      <c r="O28" s="1089">
        <f t="shared" si="4"/>
        <v>0.36</v>
      </c>
    </row>
    <row r="29" spans="1:15" ht="12.75" customHeight="1" x14ac:dyDescent="0.2">
      <c r="A29" s="361"/>
      <c r="B29" s="1084" t="str">
        <f>'DREN. REDE'!B28</f>
        <v>T7.1.1</v>
      </c>
      <c r="C29" s="1085">
        <f>'DREN. REDE'!E28</f>
        <v>0.6</v>
      </c>
      <c r="D29" s="1085" t="str">
        <f>'DREN. REDE'!O28</f>
        <v xml:space="preserve">1,600 </v>
      </c>
      <c r="E29" s="1085" t="str">
        <f>'DREN. REDE'!P28</f>
        <v xml:space="preserve">1,980 </v>
      </c>
      <c r="F29" s="1086">
        <f>'DREN. REDE'!C28</f>
        <v>3</v>
      </c>
      <c r="G29" s="1087">
        <f>'DREN. REDE'!R28</f>
        <v>1.2</v>
      </c>
      <c r="H29" s="1087">
        <f t="shared" si="0"/>
        <v>0.36</v>
      </c>
      <c r="I29" s="1087">
        <f t="shared" si="1"/>
        <v>6.44</v>
      </c>
      <c r="J29" s="1087">
        <f t="shared" si="2"/>
        <v>10.74</v>
      </c>
      <c r="K29" s="1085">
        <f t="shared" si="3"/>
        <v>4.8499999999999996</v>
      </c>
      <c r="L29" s="1083"/>
      <c r="N29" s="1088">
        <v>0</v>
      </c>
      <c r="O29" s="1089">
        <f t="shared" si="4"/>
        <v>0.36</v>
      </c>
    </row>
    <row r="30" spans="1:15" ht="12.75" customHeight="1" x14ac:dyDescent="0.2">
      <c r="A30" s="361"/>
      <c r="B30" s="1084" t="str">
        <f>'DREN. REDE'!B29</f>
        <v>T8.2</v>
      </c>
      <c r="C30" s="1085">
        <f>'DREN. REDE'!E29</f>
        <v>0.6</v>
      </c>
      <c r="D30" s="1085" t="str">
        <f>'DREN. REDE'!O29</f>
        <v xml:space="preserve">1,600 </v>
      </c>
      <c r="E30" s="1085" t="str">
        <f>'DREN. REDE'!P29</f>
        <v xml:space="preserve">1,600 </v>
      </c>
      <c r="F30" s="1086">
        <f>'DREN. REDE'!C29</f>
        <v>82</v>
      </c>
      <c r="G30" s="1087">
        <f>'DREN. REDE'!R29</f>
        <v>1.2</v>
      </c>
      <c r="H30" s="1087">
        <f t="shared" si="0"/>
        <v>9.84</v>
      </c>
      <c r="I30" s="1087">
        <f t="shared" si="1"/>
        <v>157.44</v>
      </c>
      <c r="J30" s="1087">
        <f t="shared" si="2"/>
        <v>262.39999999999998</v>
      </c>
      <c r="K30" s="1085">
        <f t="shared" si="3"/>
        <v>114.21</v>
      </c>
      <c r="L30" s="1083"/>
      <c r="N30" s="1088">
        <v>0</v>
      </c>
      <c r="O30" s="1089">
        <f t="shared" si="4"/>
        <v>0.36</v>
      </c>
    </row>
    <row r="31" spans="1:15" ht="12.75" customHeight="1" x14ac:dyDescent="0.2">
      <c r="A31" s="361"/>
      <c r="B31" s="1084" t="str">
        <f>'DREN. REDE'!B30</f>
        <v>T8.1</v>
      </c>
      <c r="C31" s="1085">
        <f>'DREN. REDE'!E30</f>
        <v>0.6</v>
      </c>
      <c r="D31" s="1085" t="str">
        <f>'DREN. REDE'!O30</f>
        <v xml:space="preserve">1,600 </v>
      </c>
      <c r="E31" s="1085" t="str">
        <f>'DREN. REDE'!P30</f>
        <v xml:space="preserve">1,600 </v>
      </c>
      <c r="F31" s="1086">
        <f>'DREN. REDE'!C30</f>
        <v>78</v>
      </c>
      <c r="G31" s="1087">
        <f>'DREN. REDE'!R30</f>
        <v>1.2</v>
      </c>
      <c r="H31" s="1087">
        <f t="shared" si="0"/>
        <v>9.36</v>
      </c>
      <c r="I31" s="1087">
        <f t="shared" si="1"/>
        <v>149.76</v>
      </c>
      <c r="J31" s="1087">
        <f t="shared" si="2"/>
        <v>249.6</v>
      </c>
      <c r="K31" s="1085">
        <f t="shared" si="3"/>
        <v>108.64</v>
      </c>
      <c r="L31" s="1083"/>
      <c r="N31" s="1088">
        <v>0</v>
      </c>
      <c r="O31" s="1089">
        <f t="shared" si="4"/>
        <v>0.36</v>
      </c>
    </row>
    <row r="32" spans="1:15" ht="12.75" customHeight="1" x14ac:dyDescent="0.2">
      <c r="A32" s="361"/>
      <c r="B32" s="1084" t="str">
        <f>'DREN. REDE'!B31</f>
        <v>T8.1.1</v>
      </c>
      <c r="C32" s="1085">
        <f>'DREN. REDE'!E31</f>
        <v>0.6</v>
      </c>
      <c r="D32" s="1085" t="str">
        <f>'DREN. REDE'!O31</f>
        <v xml:space="preserve">1,600 </v>
      </c>
      <c r="E32" s="1085" t="str">
        <f>'DREN. REDE'!P31</f>
        <v xml:space="preserve">1,960 </v>
      </c>
      <c r="F32" s="1086">
        <f>'DREN. REDE'!C31</f>
        <v>3</v>
      </c>
      <c r="G32" s="1087">
        <f>'DREN. REDE'!R31</f>
        <v>1.2</v>
      </c>
      <c r="H32" s="1087">
        <f t="shared" si="0"/>
        <v>0.36</v>
      </c>
      <c r="I32" s="1087">
        <f t="shared" si="1"/>
        <v>6.4</v>
      </c>
      <c r="J32" s="1087">
        <f t="shared" si="2"/>
        <v>10.68</v>
      </c>
      <c r="K32" s="1085">
        <f t="shared" si="3"/>
        <v>4.8099999999999996</v>
      </c>
      <c r="L32" s="1083"/>
      <c r="N32" s="1088">
        <v>0</v>
      </c>
      <c r="O32" s="1089">
        <f t="shared" si="4"/>
        <v>0.36</v>
      </c>
    </row>
    <row r="33" spans="1:15" ht="12.75" customHeight="1" x14ac:dyDescent="0.2">
      <c r="A33" s="361"/>
      <c r="B33" s="1084" t="str">
        <f>'DREN. REDE'!B32</f>
        <v>T9.2</v>
      </c>
      <c r="C33" s="1085">
        <f>'DREN. REDE'!E32</f>
        <v>0.6</v>
      </c>
      <c r="D33" s="1085" t="str">
        <f>'DREN. REDE'!O32</f>
        <v xml:space="preserve">1,600 </v>
      </c>
      <c r="E33" s="1085" t="str">
        <f>'DREN. REDE'!P32</f>
        <v xml:space="preserve">1,600 </v>
      </c>
      <c r="F33" s="1086">
        <f>'DREN. REDE'!C32</f>
        <v>72</v>
      </c>
      <c r="G33" s="1087">
        <f>'DREN. REDE'!R32</f>
        <v>1.2</v>
      </c>
      <c r="H33" s="1087">
        <f t="shared" si="0"/>
        <v>8.64</v>
      </c>
      <c r="I33" s="1087">
        <f t="shared" si="1"/>
        <v>138.24</v>
      </c>
      <c r="J33" s="1087">
        <f t="shared" si="2"/>
        <v>230.4</v>
      </c>
      <c r="K33" s="1085">
        <f t="shared" si="3"/>
        <v>100.28</v>
      </c>
      <c r="L33" s="1083"/>
      <c r="N33" s="1088">
        <v>0</v>
      </c>
      <c r="O33" s="1089">
        <f t="shared" si="4"/>
        <v>0.36</v>
      </c>
    </row>
    <row r="34" spans="1:15" ht="12.75" customHeight="1" x14ac:dyDescent="0.2">
      <c r="A34" s="361"/>
      <c r="B34" s="1084" t="str">
        <f>'DREN. REDE'!B33</f>
        <v>T9.1</v>
      </c>
      <c r="C34" s="1085">
        <f>'DREN. REDE'!E33</f>
        <v>0.6</v>
      </c>
      <c r="D34" s="1085" t="str">
        <f>'DREN. REDE'!O33</f>
        <v xml:space="preserve">1,600 </v>
      </c>
      <c r="E34" s="1085" t="str">
        <f>'DREN. REDE'!P33</f>
        <v xml:space="preserve">1,600 </v>
      </c>
      <c r="F34" s="1086">
        <f>'DREN. REDE'!C33</f>
        <v>81</v>
      </c>
      <c r="G34" s="1087">
        <f>'DREN. REDE'!R33</f>
        <v>1.2</v>
      </c>
      <c r="H34" s="1087">
        <f t="shared" si="0"/>
        <v>9.7200000000000006</v>
      </c>
      <c r="I34" s="1087">
        <f t="shared" si="1"/>
        <v>155.52000000000001</v>
      </c>
      <c r="J34" s="1087">
        <f t="shared" si="2"/>
        <v>259.2</v>
      </c>
      <c r="K34" s="1085">
        <f t="shared" si="3"/>
        <v>112.82</v>
      </c>
      <c r="L34" s="1083"/>
      <c r="N34" s="1088">
        <v>0</v>
      </c>
      <c r="O34" s="1089">
        <f t="shared" si="4"/>
        <v>0.36</v>
      </c>
    </row>
    <row r="35" spans="1:15" ht="12.75" customHeight="1" x14ac:dyDescent="0.2">
      <c r="A35" s="361"/>
      <c r="B35" s="1084" t="str">
        <f>'DREN. REDE'!B34</f>
        <v>T9.1.1</v>
      </c>
      <c r="C35" s="1085">
        <f>'DREN. REDE'!E34</f>
        <v>0.6</v>
      </c>
      <c r="D35" s="1085" t="str">
        <f>'DREN. REDE'!O34</f>
        <v xml:space="preserve">1,600 </v>
      </c>
      <c r="E35" s="1085" t="str">
        <f>'DREN. REDE'!P34</f>
        <v xml:space="preserve">1,830 </v>
      </c>
      <c r="F35" s="1086">
        <f>'DREN. REDE'!C34</f>
        <v>3</v>
      </c>
      <c r="G35" s="1087">
        <f>'DREN. REDE'!R34</f>
        <v>1.2</v>
      </c>
      <c r="H35" s="1087">
        <f t="shared" si="0"/>
        <v>0.36</v>
      </c>
      <c r="I35" s="1087">
        <f t="shared" si="1"/>
        <v>6.17</v>
      </c>
      <c r="J35" s="1087">
        <f t="shared" si="2"/>
        <v>10.29</v>
      </c>
      <c r="K35" s="1085">
        <f t="shared" si="3"/>
        <v>4.58</v>
      </c>
      <c r="L35" s="1083"/>
      <c r="N35" s="1088">
        <v>0</v>
      </c>
      <c r="O35" s="1089">
        <f t="shared" si="4"/>
        <v>0.36</v>
      </c>
    </row>
    <row r="36" spans="1:15" ht="12.75" customHeight="1" x14ac:dyDescent="0.2">
      <c r="A36" s="361"/>
      <c r="B36" s="1658" t="s">
        <v>2804</v>
      </c>
      <c r="C36" s="1658"/>
      <c r="D36" s="1658"/>
      <c r="E36" s="1658"/>
      <c r="F36" s="1658"/>
      <c r="G36" s="1658"/>
      <c r="H36" s="1090">
        <f>TRUNC((SUM(H6:H35)),2)</f>
        <v>314.92</v>
      </c>
      <c r="I36" s="1090">
        <f>TRUNC((SUM(I6:I35)),2)</f>
        <v>6042.46</v>
      </c>
      <c r="J36" s="1090">
        <f>TRUNC((SUM(J6:J35)),2)</f>
        <v>8180.51</v>
      </c>
      <c r="K36" s="1090">
        <f>TRUNC((SUM(K6:K35)),2)</f>
        <v>3828.36</v>
      </c>
      <c r="L36" s="1083"/>
    </row>
    <row r="37" spans="1:15" ht="21.75" customHeight="1" x14ac:dyDescent="0.2">
      <c r="A37" s="361"/>
      <c r="B37" s="1653" t="s">
        <v>555</v>
      </c>
      <c r="C37" s="1654"/>
      <c r="D37" s="1654"/>
      <c r="E37" s="1654"/>
      <c r="F37" s="1654"/>
      <c r="G37" s="1654"/>
      <c r="H37" s="1654"/>
      <c r="I37" s="1654"/>
      <c r="J37" s="1654"/>
      <c r="K37" s="1655"/>
      <c r="L37" s="1083"/>
    </row>
    <row r="38" spans="1:15" x14ac:dyDescent="0.2">
      <c r="B38" s="1084" t="str">
        <f>'DREN. REDE'!B36</f>
        <v>T16.2</v>
      </c>
      <c r="C38" s="1085">
        <f>'DREN. REDE'!E36</f>
        <v>0.6</v>
      </c>
      <c r="D38" s="1085" t="str">
        <f>'DREN. REDE'!O36</f>
        <v xml:space="preserve">1,600 </v>
      </c>
      <c r="E38" s="1085" t="str">
        <f>'DREN. REDE'!P36</f>
        <v xml:space="preserve">1,600 </v>
      </c>
      <c r="F38" s="1086">
        <f>'DREN. REDE'!C36</f>
        <v>92</v>
      </c>
      <c r="G38" s="1087">
        <f>'DREN. REDE'!R36</f>
        <v>1.2</v>
      </c>
      <c r="H38" s="1087">
        <f>TRUNC(F38*G38*0.1,2)</f>
        <v>11.04</v>
      </c>
      <c r="I38" s="1087">
        <f>TRUNC(((D38+E38)*F38)/2*G38,2)</f>
        <v>176.64</v>
      </c>
      <c r="J38" s="1087">
        <f>TRUNC(((D38+E38)*F38),2)</f>
        <v>294.39999999999998</v>
      </c>
      <c r="K38" s="1085">
        <f t="shared" ref="K38:K70" si="5">TRUNC(I38-(F38*O38^2*PI())-(0.1*G38*F38),2)</f>
        <v>128.13999999999999</v>
      </c>
      <c r="L38" s="478"/>
      <c r="N38" s="1088">
        <v>0</v>
      </c>
      <c r="O38" s="1089">
        <f>IF(C38=0.4,0.245,IF(AND(C38=0.6),0.36,IF(AND(C38=0.8),0.48,IF(AND(C38=1),0.6,IF(AND(C38=1.2),0.72)))))</f>
        <v>0.36</v>
      </c>
    </row>
    <row r="39" spans="1:15" x14ac:dyDescent="0.2">
      <c r="B39" s="1084" t="str">
        <f>'DREN. REDE'!B37</f>
        <v>T6.1</v>
      </c>
      <c r="C39" s="1085">
        <f>'DREN. REDE'!E37</f>
        <v>0.8</v>
      </c>
      <c r="D39" s="1085" t="str">
        <f>'DREN. REDE'!O37</f>
        <v xml:space="preserve">1,800 </v>
      </c>
      <c r="E39" s="1085" t="str">
        <f>'DREN. REDE'!P37</f>
        <v xml:space="preserve">2,600 </v>
      </c>
      <c r="F39" s="1086">
        <f>'DREN. REDE'!C37</f>
        <v>59</v>
      </c>
      <c r="G39" s="1087">
        <f>'DREN. REDE'!R37</f>
        <v>1.4</v>
      </c>
      <c r="H39" s="1087">
        <f t="shared" ref="H39:H70" si="6">TRUNC(F39*G39*0.1,2)</f>
        <v>8.26</v>
      </c>
      <c r="I39" s="1087">
        <f t="shared" ref="I39:I70" si="7">TRUNC(((D39+E39)*F39)/2*G39,2)</f>
        <v>181.72</v>
      </c>
      <c r="J39" s="1087">
        <f t="shared" ref="J39:J70" si="8">TRUNC(((D39+E39)*F39),2)</f>
        <v>259.60000000000002</v>
      </c>
      <c r="K39" s="1085">
        <f t="shared" si="5"/>
        <v>130.75</v>
      </c>
      <c r="L39" s="478"/>
      <c r="N39" s="1088">
        <v>0</v>
      </c>
      <c r="O39" s="1089">
        <f t="shared" ref="O39:O70" si="9">IF(C39=0.4,0.245,IF(AND(C39=0.6),0.36,IF(AND(C39=0.8),0.48,IF(AND(C39=1),0.6,IF(AND(C39=1.2),0.72)))))</f>
        <v>0.48</v>
      </c>
    </row>
    <row r="40" spans="1:15" x14ac:dyDescent="0.2">
      <c r="B40" s="1084" t="str">
        <f>'DREN. REDE'!B38</f>
        <v>T13.3</v>
      </c>
      <c r="C40" s="1085">
        <f>'DREN. REDE'!E38</f>
        <v>0.6</v>
      </c>
      <c r="D40" s="1085" t="str">
        <f>'DREN. REDE'!O38</f>
        <v xml:space="preserve">1,600 </v>
      </c>
      <c r="E40" s="1085" t="str">
        <f>'DREN. REDE'!P38</f>
        <v xml:space="preserve">1,600 </v>
      </c>
      <c r="F40" s="1086">
        <f>'DREN. REDE'!C38</f>
        <v>67</v>
      </c>
      <c r="G40" s="1087">
        <f>'DREN. REDE'!R38</f>
        <v>1.2</v>
      </c>
      <c r="H40" s="1087">
        <f t="shared" si="6"/>
        <v>8.0399999999999991</v>
      </c>
      <c r="I40" s="1087">
        <f t="shared" si="7"/>
        <v>128.63999999999999</v>
      </c>
      <c r="J40" s="1087">
        <f t="shared" si="8"/>
        <v>214.4</v>
      </c>
      <c r="K40" s="1085">
        <f t="shared" si="5"/>
        <v>93.32</v>
      </c>
      <c r="L40" s="478"/>
      <c r="N40" s="1088">
        <v>0</v>
      </c>
      <c r="O40" s="1089">
        <f t="shared" si="9"/>
        <v>0.36</v>
      </c>
    </row>
    <row r="41" spans="1:15" x14ac:dyDescent="0.2">
      <c r="B41" s="1084" t="str">
        <f>'DREN. REDE'!B39</f>
        <v>T13.2</v>
      </c>
      <c r="C41" s="1085">
        <f>'DREN. REDE'!E39</f>
        <v>0.6</v>
      </c>
      <c r="D41" s="1085" t="str">
        <f>'DREN. REDE'!O39</f>
        <v xml:space="preserve">1,600 </v>
      </c>
      <c r="E41" s="1085" t="str">
        <f>'DREN. REDE'!P39</f>
        <v xml:space="preserve">1,600 </v>
      </c>
      <c r="F41" s="1086">
        <f>'DREN. REDE'!C39</f>
        <v>73</v>
      </c>
      <c r="G41" s="1087">
        <f>'DREN. REDE'!R39</f>
        <v>1.2</v>
      </c>
      <c r="H41" s="1087">
        <f t="shared" si="6"/>
        <v>8.76</v>
      </c>
      <c r="I41" s="1087">
        <f t="shared" si="7"/>
        <v>140.16</v>
      </c>
      <c r="J41" s="1087">
        <f t="shared" si="8"/>
        <v>233.6</v>
      </c>
      <c r="K41" s="1085">
        <f t="shared" si="5"/>
        <v>101.67</v>
      </c>
      <c r="L41" s="478"/>
      <c r="N41" s="1088">
        <v>0</v>
      </c>
      <c r="O41" s="1089">
        <f t="shared" si="9"/>
        <v>0.36</v>
      </c>
    </row>
    <row r="42" spans="1:15" x14ac:dyDescent="0.2">
      <c r="B42" s="1084" t="str">
        <f>'DREN. REDE'!B40</f>
        <v>T13.1</v>
      </c>
      <c r="C42" s="1085">
        <f>'DREN. REDE'!E40</f>
        <v>0.6</v>
      </c>
      <c r="D42" s="1085" t="str">
        <f>'DREN. REDE'!O40</f>
        <v xml:space="preserve">1,500 </v>
      </c>
      <c r="E42" s="1085" t="str">
        <f>'DREN. REDE'!P40</f>
        <v xml:space="preserve">1,600 </v>
      </c>
      <c r="F42" s="1086">
        <f>'DREN. REDE'!C40</f>
        <v>6</v>
      </c>
      <c r="G42" s="1087">
        <f>'DREN. REDE'!R40</f>
        <v>1.2</v>
      </c>
      <c r="H42" s="1087">
        <f t="shared" si="6"/>
        <v>0.72</v>
      </c>
      <c r="I42" s="1087">
        <f t="shared" si="7"/>
        <v>11.16</v>
      </c>
      <c r="J42" s="1087">
        <f t="shared" si="8"/>
        <v>18.600000000000001</v>
      </c>
      <c r="K42" s="1085">
        <f t="shared" si="5"/>
        <v>7.99</v>
      </c>
      <c r="L42" s="478"/>
      <c r="N42" s="1088">
        <v>0</v>
      </c>
      <c r="O42" s="1089">
        <f t="shared" si="9"/>
        <v>0.36</v>
      </c>
    </row>
    <row r="43" spans="1:15" x14ac:dyDescent="0.2">
      <c r="B43" s="1084" t="str">
        <f>'DREN. REDE'!B41</f>
        <v>T12.3</v>
      </c>
      <c r="C43" s="1085">
        <f>'DREN. REDE'!E41</f>
        <v>0.6</v>
      </c>
      <c r="D43" s="1085" t="str">
        <f>'DREN. REDE'!O41</f>
        <v xml:space="preserve">1,600 </v>
      </c>
      <c r="E43" s="1085" t="str">
        <f>'DREN. REDE'!P41</f>
        <v xml:space="preserve">1,600 </v>
      </c>
      <c r="F43" s="1086">
        <f>'DREN. REDE'!C41</f>
        <v>74</v>
      </c>
      <c r="G43" s="1087">
        <f>'DREN. REDE'!R41</f>
        <v>1.2</v>
      </c>
      <c r="H43" s="1087">
        <f t="shared" si="6"/>
        <v>8.8800000000000008</v>
      </c>
      <c r="I43" s="1087">
        <f t="shared" si="7"/>
        <v>142.08000000000001</v>
      </c>
      <c r="J43" s="1087">
        <f t="shared" si="8"/>
        <v>236.8</v>
      </c>
      <c r="K43" s="1085">
        <f t="shared" si="5"/>
        <v>103.07</v>
      </c>
      <c r="L43" s="478"/>
      <c r="N43" s="1088">
        <v>0</v>
      </c>
      <c r="O43" s="1089">
        <f t="shared" si="9"/>
        <v>0.36</v>
      </c>
    </row>
    <row r="44" spans="1:15" x14ac:dyDescent="0.2">
      <c r="B44" s="1084" t="str">
        <f>'DREN. REDE'!B42</f>
        <v>T12.2</v>
      </c>
      <c r="C44" s="1085">
        <f>'DREN. REDE'!E42</f>
        <v>0.6</v>
      </c>
      <c r="D44" s="1085" t="str">
        <f>'DREN. REDE'!O42</f>
        <v xml:space="preserve">1,600 </v>
      </c>
      <c r="E44" s="1085" t="str">
        <f>'DREN. REDE'!P42</f>
        <v xml:space="preserve">1,600 </v>
      </c>
      <c r="F44" s="1086">
        <f>'DREN. REDE'!C42</f>
        <v>68</v>
      </c>
      <c r="G44" s="1087">
        <f>'DREN. REDE'!R42</f>
        <v>1.2</v>
      </c>
      <c r="H44" s="1087">
        <f t="shared" si="6"/>
        <v>8.16</v>
      </c>
      <c r="I44" s="1087">
        <f t="shared" si="7"/>
        <v>130.56</v>
      </c>
      <c r="J44" s="1087">
        <f t="shared" si="8"/>
        <v>217.6</v>
      </c>
      <c r="K44" s="1085">
        <f t="shared" si="5"/>
        <v>94.71</v>
      </c>
      <c r="L44" s="478"/>
      <c r="N44" s="1088">
        <v>0</v>
      </c>
      <c r="O44" s="1089">
        <f t="shared" si="9"/>
        <v>0.36</v>
      </c>
    </row>
    <row r="45" spans="1:15" x14ac:dyDescent="0.2">
      <c r="B45" s="1084" t="str">
        <f>'DREN. REDE'!B43</f>
        <v>T12.1</v>
      </c>
      <c r="C45" s="1085">
        <f>'DREN. REDE'!E43</f>
        <v>1</v>
      </c>
      <c r="D45" s="1085" t="str">
        <f>'DREN. REDE'!O43</f>
        <v xml:space="preserve">2,000 </v>
      </c>
      <c r="E45" s="1085" t="str">
        <f>'DREN. REDE'!P43</f>
        <v xml:space="preserve">2,000 </v>
      </c>
      <c r="F45" s="1086">
        <f>'DREN. REDE'!C43</f>
        <v>2</v>
      </c>
      <c r="G45" s="1087">
        <f>'DREN. REDE'!R43</f>
        <v>1.6</v>
      </c>
      <c r="H45" s="1087">
        <f t="shared" si="6"/>
        <v>0.32</v>
      </c>
      <c r="I45" s="1087">
        <f t="shared" si="7"/>
        <v>6.4</v>
      </c>
      <c r="J45" s="1087">
        <f t="shared" si="8"/>
        <v>8</v>
      </c>
      <c r="K45" s="1085">
        <f t="shared" si="5"/>
        <v>3.81</v>
      </c>
      <c r="L45" s="478"/>
      <c r="N45" s="1088">
        <v>0</v>
      </c>
      <c r="O45" s="1089">
        <f t="shared" si="9"/>
        <v>0.6</v>
      </c>
    </row>
    <row r="46" spans="1:15" x14ac:dyDescent="0.2">
      <c r="B46" s="1084" t="str">
        <f>'DREN. REDE'!B44</f>
        <v>T6.2</v>
      </c>
      <c r="C46" s="1085">
        <f>'DREN. REDE'!E44</f>
        <v>0.6</v>
      </c>
      <c r="D46" s="1085" t="str">
        <f>'DREN. REDE'!O44</f>
        <v xml:space="preserve">1,600 </v>
      </c>
      <c r="E46" s="1085" t="str">
        <f>'DREN. REDE'!P44</f>
        <v xml:space="preserve">1,600 </v>
      </c>
      <c r="F46" s="1086">
        <f>'DREN. REDE'!C44</f>
        <v>75</v>
      </c>
      <c r="G46" s="1087">
        <f>'DREN. REDE'!R44</f>
        <v>1.2</v>
      </c>
      <c r="H46" s="1087">
        <f t="shared" si="6"/>
        <v>9</v>
      </c>
      <c r="I46" s="1087">
        <f t="shared" si="7"/>
        <v>144</v>
      </c>
      <c r="J46" s="1087">
        <f t="shared" si="8"/>
        <v>240</v>
      </c>
      <c r="K46" s="1085">
        <f t="shared" si="5"/>
        <v>104.46</v>
      </c>
      <c r="L46" s="478"/>
      <c r="N46" s="1088">
        <v>0</v>
      </c>
      <c r="O46" s="1089">
        <f t="shared" si="9"/>
        <v>0.36</v>
      </c>
    </row>
    <row r="47" spans="1:15" x14ac:dyDescent="0.2">
      <c r="B47" s="1084" t="str">
        <f>'DREN. REDE'!B45</f>
        <v>T6.1</v>
      </c>
      <c r="C47" s="1085">
        <f>'DREN. REDE'!E45</f>
        <v>0.6</v>
      </c>
      <c r="D47" s="1085" t="str">
        <f>'DREN. REDE'!O45</f>
        <v xml:space="preserve">1,600 </v>
      </c>
      <c r="E47" s="1085" t="str">
        <f>'DREN. REDE'!P45</f>
        <v xml:space="preserve">1,600 </v>
      </c>
      <c r="F47" s="1086">
        <f>'DREN. REDE'!C45</f>
        <v>49</v>
      </c>
      <c r="G47" s="1087">
        <f>'DREN. REDE'!R45</f>
        <v>1.2</v>
      </c>
      <c r="H47" s="1087">
        <f t="shared" si="6"/>
        <v>5.88</v>
      </c>
      <c r="I47" s="1087">
        <f t="shared" si="7"/>
        <v>94.08</v>
      </c>
      <c r="J47" s="1087">
        <f t="shared" si="8"/>
        <v>156.80000000000001</v>
      </c>
      <c r="K47" s="1085">
        <f t="shared" si="5"/>
        <v>68.239999999999995</v>
      </c>
      <c r="L47" s="478"/>
      <c r="N47" s="1088">
        <v>0</v>
      </c>
      <c r="O47" s="1089">
        <f t="shared" si="9"/>
        <v>0.36</v>
      </c>
    </row>
    <row r="48" spans="1:15" x14ac:dyDescent="0.2">
      <c r="B48" s="1084" t="str">
        <f>'DREN. REDE'!B46</f>
        <v>T6</v>
      </c>
      <c r="C48" s="1085">
        <f>'DREN. REDE'!E46</f>
        <v>0.8</v>
      </c>
      <c r="D48" s="1085" t="str">
        <f>'DREN. REDE'!O46</f>
        <v xml:space="preserve">1,800 </v>
      </c>
      <c r="E48" s="1085" t="str">
        <f>'DREN. REDE'!P46</f>
        <v xml:space="preserve">1,800 </v>
      </c>
      <c r="F48" s="1086">
        <f>'DREN. REDE'!C46</f>
        <v>76</v>
      </c>
      <c r="G48" s="1087">
        <f>'DREN. REDE'!R46</f>
        <v>1.4</v>
      </c>
      <c r="H48" s="1087">
        <f t="shared" si="6"/>
        <v>10.64</v>
      </c>
      <c r="I48" s="1087">
        <f t="shared" si="7"/>
        <v>191.52</v>
      </c>
      <c r="J48" s="1087">
        <f t="shared" si="8"/>
        <v>273.60000000000002</v>
      </c>
      <c r="K48" s="1085">
        <f t="shared" si="5"/>
        <v>125.86</v>
      </c>
      <c r="L48" s="478"/>
      <c r="N48" s="1088">
        <v>0</v>
      </c>
      <c r="O48" s="1089">
        <f t="shared" si="9"/>
        <v>0.48</v>
      </c>
    </row>
    <row r="49" spans="2:15" x14ac:dyDescent="0.2">
      <c r="B49" s="1084" t="str">
        <f>'DREN. REDE'!B47</f>
        <v>T7</v>
      </c>
      <c r="C49" s="1085">
        <f>'DREN. REDE'!E47</f>
        <v>0.8</v>
      </c>
      <c r="D49" s="1085" t="str">
        <f>'DREN. REDE'!O47</f>
        <v xml:space="preserve">1,800 </v>
      </c>
      <c r="E49" s="1085" t="str">
        <f>'DREN. REDE'!P47</f>
        <v xml:space="preserve">1,800 </v>
      </c>
      <c r="F49" s="1086">
        <f>'DREN. REDE'!C47</f>
        <v>78</v>
      </c>
      <c r="G49" s="1087">
        <f>'DREN. REDE'!R47</f>
        <v>1.4</v>
      </c>
      <c r="H49" s="1087">
        <f t="shared" si="6"/>
        <v>10.92</v>
      </c>
      <c r="I49" s="1087">
        <f t="shared" si="7"/>
        <v>196.56</v>
      </c>
      <c r="J49" s="1087">
        <f t="shared" si="8"/>
        <v>280.8</v>
      </c>
      <c r="K49" s="1085">
        <f t="shared" si="5"/>
        <v>129.18</v>
      </c>
      <c r="L49" s="478"/>
      <c r="N49" s="1088">
        <v>0</v>
      </c>
      <c r="O49" s="1089">
        <f t="shared" si="9"/>
        <v>0.48</v>
      </c>
    </row>
    <row r="50" spans="2:15" x14ac:dyDescent="0.2">
      <c r="B50" s="1084" t="str">
        <f>'DREN. REDE'!B48</f>
        <v>T8</v>
      </c>
      <c r="C50" s="1085">
        <f>'DREN. REDE'!E48</f>
        <v>0.8</v>
      </c>
      <c r="D50" s="1085" t="str">
        <f>'DREN. REDE'!O48</f>
        <v xml:space="preserve">1,800 </v>
      </c>
      <c r="E50" s="1085" t="str">
        <f>'DREN. REDE'!P48</f>
        <v xml:space="preserve">1,800 </v>
      </c>
      <c r="F50" s="1086">
        <f>'DREN. REDE'!C48</f>
        <v>128</v>
      </c>
      <c r="G50" s="1087">
        <f>'DREN. REDE'!R48</f>
        <v>1.4</v>
      </c>
      <c r="H50" s="1087">
        <f t="shared" si="6"/>
        <v>17.920000000000002</v>
      </c>
      <c r="I50" s="1087">
        <f t="shared" si="7"/>
        <v>322.56</v>
      </c>
      <c r="J50" s="1087">
        <f t="shared" si="8"/>
        <v>460.8</v>
      </c>
      <c r="K50" s="1085">
        <f t="shared" si="5"/>
        <v>211.99</v>
      </c>
      <c r="L50" s="478"/>
      <c r="N50" s="1088">
        <v>0</v>
      </c>
      <c r="O50" s="1089">
        <f t="shared" si="9"/>
        <v>0.48</v>
      </c>
    </row>
    <row r="51" spans="2:15" x14ac:dyDescent="0.2">
      <c r="B51" s="1084" t="str">
        <f>'DREN. REDE'!B49</f>
        <v>T9</v>
      </c>
      <c r="C51" s="1085">
        <f>'DREN. REDE'!E49</f>
        <v>0.8</v>
      </c>
      <c r="D51" s="1085" t="str">
        <f>'DREN. REDE'!O49</f>
        <v xml:space="preserve">1,800 </v>
      </c>
      <c r="E51" s="1085" t="str">
        <f>'DREN. REDE'!P49</f>
        <v xml:space="preserve">1,800 </v>
      </c>
      <c r="F51" s="1086">
        <f>'DREN. REDE'!C49</f>
        <v>100</v>
      </c>
      <c r="G51" s="1087">
        <f>'DREN. REDE'!R49</f>
        <v>1.4</v>
      </c>
      <c r="H51" s="1087">
        <f t="shared" si="6"/>
        <v>14</v>
      </c>
      <c r="I51" s="1087">
        <f t="shared" si="7"/>
        <v>252</v>
      </c>
      <c r="J51" s="1087">
        <f t="shared" si="8"/>
        <v>360</v>
      </c>
      <c r="K51" s="1085">
        <f t="shared" si="5"/>
        <v>165.61</v>
      </c>
      <c r="L51" s="478"/>
      <c r="N51" s="1088">
        <v>0</v>
      </c>
      <c r="O51" s="1089">
        <f t="shared" si="9"/>
        <v>0.48</v>
      </c>
    </row>
    <row r="52" spans="2:15" x14ac:dyDescent="0.2">
      <c r="B52" s="1084" t="str">
        <f>'DREN. REDE'!B50</f>
        <v>T10</v>
      </c>
      <c r="C52" s="1085">
        <f>'DREN. REDE'!E50</f>
        <v>0.8</v>
      </c>
      <c r="D52" s="1085" t="str">
        <f>'DREN. REDE'!O50</f>
        <v xml:space="preserve">1,800 </v>
      </c>
      <c r="E52" s="1085" t="str">
        <f>'DREN. REDE'!P50</f>
        <v xml:space="preserve">1,800 </v>
      </c>
      <c r="F52" s="1086">
        <f>'DREN. REDE'!C50</f>
        <v>100</v>
      </c>
      <c r="G52" s="1087">
        <f>'DREN. REDE'!R50</f>
        <v>1.4</v>
      </c>
      <c r="H52" s="1087">
        <f t="shared" si="6"/>
        <v>14</v>
      </c>
      <c r="I52" s="1087">
        <f t="shared" si="7"/>
        <v>252</v>
      </c>
      <c r="J52" s="1087">
        <f t="shared" si="8"/>
        <v>360</v>
      </c>
      <c r="K52" s="1085">
        <f t="shared" si="5"/>
        <v>165.61</v>
      </c>
      <c r="L52" s="478"/>
      <c r="N52" s="1088">
        <v>0</v>
      </c>
      <c r="O52" s="1089">
        <f t="shared" si="9"/>
        <v>0.48</v>
      </c>
    </row>
    <row r="53" spans="2:15" x14ac:dyDescent="0.2">
      <c r="B53" s="1084" t="str">
        <f>'DREN. REDE'!B51</f>
        <v>T11</v>
      </c>
      <c r="C53" s="1085">
        <f>'DREN. REDE'!E51</f>
        <v>1</v>
      </c>
      <c r="D53" s="1085" t="str">
        <f>'DREN. REDE'!O51</f>
        <v xml:space="preserve">2,000 </v>
      </c>
      <c r="E53" s="1085" t="str">
        <f>'DREN. REDE'!P51</f>
        <v xml:space="preserve">2,000 </v>
      </c>
      <c r="F53" s="1086">
        <f>'DREN. REDE'!C51</f>
        <v>100</v>
      </c>
      <c r="G53" s="1087">
        <f>'DREN. REDE'!R51</f>
        <v>1.6</v>
      </c>
      <c r="H53" s="1087">
        <f t="shared" si="6"/>
        <v>16</v>
      </c>
      <c r="I53" s="1087">
        <f t="shared" si="7"/>
        <v>320</v>
      </c>
      <c r="J53" s="1087">
        <f t="shared" si="8"/>
        <v>400</v>
      </c>
      <c r="K53" s="1085">
        <f t="shared" si="5"/>
        <v>190.9</v>
      </c>
      <c r="L53" s="478"/>
      <c r="N53" s="1088">
        <v>0</v>
      </c>
      <c r="O53" s="1089">
        <f t="shared" si="9"/>
        <v>0.6</v>
      </c>
    </row>
    <row r="54" spans="2:15" x14ac:dyDescent="0.2">
      <c r="B54" s="1084" t="str">
        <f>'DREN. REDE'!B52</f>
        <v>T12</v>
      </c>
      <c r="C54" s="1085">
        <f>'DREN. REDE'!E52</f>
        <v>1</v>
      </c>
      <c r="D54" s="1085" t="str">
        <f>'DREN. REDE'!O52</f>
        <v xml:space="preserve">2,000 </v>
      </c>
      <c r="E54" s="1085" t="str">
        <f>'DREN. REDE'!P52</f>
        <v xml:space="preserve">2,000 </v>
      </c>
      <c r="F54" s="1086">
        <f>'DREN. REDE'!C52</f>
        <v>100</v>
      </c>
      <c r="G54" s="1087">
        <f>'DREN. REDE'!R52</f>
        <v>1.6</v>
      </c>
      <c r="H54" s="1087">
        <f t="shared" si="6"/>
        <v>16</v>
      </c>
      <c r="I54" s="1087">
        <f t="shared" si="7"/>
        <v>320</v>
      </c>
      <c r="J54" s="1087">
        <f t="shared" si="8"/>
        <v>400</v>
      </c>
      <c r="K54" s="1085">
        <f t="shared" si="5"/>
        <v>190.9</v>
      </c>
      <c r="L54" s="478"/>
      <c r="N54" s="1088">
        <v>0</v>
      </c>
      <c r="O54" s="1089">
        <f t="shared" si="9"/>
        <v>0.6</v>
      </c>
    </row>
    <row r="55" spans="2:15" x14ac:dyDescent="0.2">
      <c r="B55" s="1084" t="str">
        <f>'DREN. REDE'!B53</f>
        <v>T13</v>
      </c>
      <c r="C55" s="1085">
        <f>'DREN. REDE'!E53</f>
        <v>1</v>
      </c>
      <c r="D55" s="1085" t="str">
        <f>'DREN. REDE'!O53</f>
        <v xml:space="preserve">2,000 </v>
      </c>
      <c r="E55" s="1085" t="str">
        <f>'DREN. REDE'!P53</f>
        <v xml:space="preserve">2,000 </v>
      </c>
      <c r="F55" s="1086">
        <f>'DREN. REDE'!C53</f>
        <v>93</v>
      </c>
      <c r="G55" s="1087">
        <f>'DREN. REDE'!R53</f>
        <v>1.6</v>
      </c>
      <c r="H55" s="1087">
        <f t="shared" si="6"/>
        <v>14.88</v>
      </c>
      <c r="I55" s="1087">
        <f t="shared" si="7"/>
        <v>297.60000000000002</v>
      </c>
      <c r="J55" s="1087">
        <f t="shared" si="8"/>
        <v>372</v>
      </c>
      <c r="K55" s="1085">
        <f t="shared" si="5"/>
        <v>177.53</v>
      </c>
      <c r="L55" s="478"/>
      <c r="N55" s="1088">
        <v>0</v>
      </c>
      <c r="O55" s="1089">
        <f t="shared" si="9"/>
        <v>0.6</v>
      </c>
    </row>
    <row r="56" spans="2:15" x14ac:dyDescent="0.2">
      <c r="B56" s="1084" t="str">
        <f>'DREN. REDE'!B54</f>
        <v>T14</v>
      </c>
      <c r="C56" s="1085">
        <f>'DREN. REDE'!E54</f>
        <v>1</v>
      </c>
      <c r="D56" s="1085" t="str">
        <f>'DREN. REDE'!O54</f>
        <v xml:space="preserve">2,000 </v>
      </c>
      <c r="E56" s="1085" t="str">
        <f>'DREN. REDE'!P54</f>
        <v xml:space="preserve">2,000 </v>
      </c>
      <c r="F56" s="1086">
        <f>'DREN. REDE'!C54</f>
        <v>100</v>
      </c>
      <c r="G56" s="1087">
        <f>'DREN. REDE'!R54</f>
        <v>1.6</v>
      </c>
      <c r="H56" s="1087">
        <f t="shared" si="6"/>
        <v>16</v>
      </c>
      <c r="I56" s="1087">
        <f t="shared" si="7"/>
        <v>320</v>
      </c>
      <c r="J56" s="1087">
        <f t="shared" si="8"/>
        <v>400</v>
      </c>
      <c r="K56" s="1085">
        <f t="shared" si="5"/>
        <v>190.9</v>
      </c>
      <c r="L56" s="478"/>
      <c r="N56" s="1088">
        <v>0</v>
      </c>
      <c r="O56" s="1089">
        <f t="shared" si="9"/>
        <v>0.6</v>
      </c>
    </row>
    <row r="57" spans="2:15" x14ac:dyDescent="0.2">
      <c r="B57" s="1084" t="str">
        <f>'DREN. REDE'!B55</f>
        <v>T15</v>
      </c>
      <c r="C57" s="1085">
        <f>'DREN. REDE'!E55</f>
        <v>1</v>
      </c>
      <c r="D57" s="1085" t="str">
        <f>'DREN. REDE'!O55</f>
        <v xml:space="preserve">2,000 </v>
      </c>
      <c r="E57" s="1085" t="str">
        <f>'DREN. REDE'!P55</f>
        <v xml:space="preserve">2,000 </v>
      </c>
      <c r="F57" s="1086">
        <f>'DREN. REDE'!C55</f>
        <v>100</v>
      </c>
      <c r="G57" s="1087">
        <f>'DREN. REDE'!R55</f>
        <v>1.6</v>
      </c>
      <c r="H57" s="1087">
        <f t="shared" si="6"/>
        <v>16</v>
      </c>
      <c r="I57" s="1087">
        <f t="shared" si="7"/>
        <v>320</v>
      </c>
      <c r="J57" s="1087">
        <f t="shared" si="8"/>
        <v>400</v>
      </c>
      <c r="K57" s="1085">
        <f t="shared" si="5"/>
        <v>190.9</v>
      </c>
      <c r="L57" s="478"/>
      <c r="N57" s="1088">
        <v>0</v>
      </c>
      <c r="O57" s="1089">
        <f t="shared" si="9"/>
        <v>0.6</v>
      </c>
    </row>
    <row r="58" spans="2:15" x14ac:dyDescent="0.2">
      <c r="B58" s="1084" t="str">
        <f>'DREN. REDE'!B56</f>
        <v>T16</v>
      </c>
      <c r="C58" s="1085">
        <f>'DREN. REDE'!E56</f>
        <v>1</v>
      </c>
      <c r="D58" s="1085" t="str">
        <f>'DREN. REDE'!O56</f>
        <v xml:space="preserve">2,000 </v>
      </c>
      <c r="E58" s="1085" t="str">
        <f>'DREN. REDE'!P56</f>
        <v xml:space="preserve">2,000 </v>
      </c>
      <c r="F58" s="1086">
        <f>'DREN. REDE'!C56</f>
        <v>97</v>
      </c>
      <c r="G58" s="1087">
        <f>'DREN. REDE'!R56</f>
        <v>1.6</v>
      </c>
      <c r="H58" s="1087">
        <f t="shared" si="6"/>
        <v>15.52</v>
      </c>
      <c r="I58" s="1087">
        <f t="shared" si="7"/>
        <v>310.39999999999998</v>
      </c>
      <c r="J58" s="1087">
        <f t="shared" si="8"/>
        <v>388</v>
      </c>
      <c r="K58" s="1085">
        <f t="shared" si="5"/>
        <v>185.17</v>
      </c>
      <c r="L58" s="478"/>
      <c r="N58" s="1088">
        <v>0</v>
      </c>
      <c r="O58" s="1089">
        <f t="shared" si="9"/>
        <v>0.6</v>
      </c>
    </row>
    <row r="59" spans="2:15" x14ac:dyDescent="0.2">
      <c r="B59" s="1084" t="str">
        <f>'DREN. REDE'!B57</f>
        <v>T17</v>
      </c>
      <c r="C59" s="1085">
        <f>'DREN. REDE'!E57</f>
        <v>1</v>
      </c>
      <c r="D59" s="1085" t="str">
        <f>'DREN. REDE'!O57</f>
        <v xml:space="preserve">2,000 </v>
      </c>
      <c r="E59" s="1085" t="str">
        <f>'DREN. REDE'!P57</f>
        <v xml:space="preserve">2,000 </v>
      </c>
      <c r="F59" s="1086">
        <f>'DREN. REDE'!C57</f>
        <v>48</v>
      </c>
      <c r="G59" s="1087">
        <f>'DREN. REDE'!R57</f>
        <v>1.6</v>
      </c>
      <c r="H59" s="1087">
        <f t="shared" si="6"/>
        <v>7.68</v>
      </c>
      <c r="I59" s="1087">
        <f t="shared" si="7"/>
        <v>153.6</v>
      </c>
      <c r="J59" s="1087">
        <f t="shared" si="8"/>
        <v>192</v>
      </c>
      <c r="K59" s="1085">
        <f t="shared" si="5"/>
        <v>91.63</v>
      </c>
      <c r="L59" s="478"/>
      <c r="N59" s="1088">
        <v>0</v>
      </c>
      <c r="O59" s="1089">
        <f t="shared" si="9"/>
        <v>0.6</v>
      </c>
    </row>
    <row r="60" spans="2:15" x14ac:dyDescent="0.2">
      <c r="B60" s="1084" t="str">
        <f>'DREN. REDE'!B58</f>
        <v>T18</v>
      </c>
      <c r="C60" s="1085">
        <f>'DREN. REDE'!E58</f>
        <v>1</v>
      </c>
      <c r="D60" s="1085" t="str">
        <f>'DREN. REDE'!O58</f>
        <v xml:space="preserve">2,000 </v>
      </c>
      <c r="E60" s="1085" t="str">
        <f>'DREN. REDE'!P58</f>
        <v xml:space="preserve">0,000 </v>
      </c>
      <c r="F60" s="1086">
        <f>'DREN. REDE'!C58</f>
        <v>97</v>
      </c>
      <c r="G60" s="1087">
        <f>'DREN. REDE'!R58</f>
        <v>1.6</v>
      </c>
      <c r="H60" s="1087">
        <f t="shared" si="6"/>
        <v>15.52</v>
      </c>
      <c r="I60" s="1087">
        <f t="shared" si="7"/>
        <v>155.19999999999999</v>
      </c>
      <c r="J60" s="1087">
        <f t="shared" si="8"/>
        <v>194</v>
      </c>
      <c r="K60" s="1085">
        <f t="shared" si="5"/>
        <v>29.97</v>
      </c>
      <c r="L60" s="478"/>
      <c r="N60" s="1088">
        <v>0</v>
      </c>
      <c r="O60" s="1089">
        <f t="shared" si="9"/>
        <v>0.6</v>
      </c>
    </row>
    <row r="61" spans="2:15" x14ac:dyDescent="0.2">
      <c r="B61" s="1084" t="str">
        <f>'DREN. REDE'!B59</f>
        <v>T5</v>
      </c>
      <c r="C61" s="1085">
        <f>'DREN. REDE'!E59</f>
        <v>0.6</v>
      </c>
      <c r="D61" s="1085" t="str">
        <f>'DREN. REDE'!O59</f>
        <v xml:space="preserve">1,600 </v>
      </c>
      <c r="E61" s="1085" t="str">
        <f>'DREN. REDE'!P59</f>
        <v xml:space="preserve">1,600 </v>
      </c>
      <c r="F61" s="1086">
        <f>'DREN. REDE'!C59</f>
        <v>115</v>
      </c>
      <c r="G61" s="1087">
        <f>'DREN. REDE'!R59</f>
        <v>1.2</v>
      </c>
      <c r="H61" s="1087">
        <f t="shared" si="6"/>
        <v>13.8</v>
      </c>
      <c r="I61" s="1087">
        <f t="shared" si="7"/>
        <v>220.8</v>
      </c>
      <c r="J61" s="1087">
        <f t="shared" si="8"/>
        <v>368</v>
      </c>
      <c r="K61" s="1085">
        <f t="shared" si="5"/>
        <v>160.16999999999999</v>
      </c>
      <c r="L61" s="478"/>
      <c r="N61" s="1088">
        <v>0</v>
      </c>
      <c r="O61" s="1089">
        <f t="shared" si="9"/>
        <v>0.36</v>
      </c>
    </row>
    <row r="62" spans="2:15" x14ac:dyDescent="0.2">
      <c r="B62" s="1084" t="str">
        <f>'DREN. REDE'!B60</f>
        <v>T8.1</v>
      </c>
      <c r="C62" s="1085">
        <f>'DREN. REDE'!E60</f>
        <v>0.6</v>
      </c>
      <c r="D62" s="1085" t="str">
        <f>'DREN. REDE'!O60</f>
        <v xml:space="preserve">1,600 </v>
      </c>
      <c r="E62" s="1085" t="str">
        <f>'DREN. REDE'!P60</f>
        <v xml:space="preserve">1,600 </v>
      </c>
      <c r="F62" s="1086">
        <f>'DREN. REDE'!C60</f>
        <v>62</v>
      </c>
      <c r="G62" s="1087">
        <f>'DREN. REDE'!R60</f>
        <v>1.2</v>
      </c>
      <c r="H62" s="1087">
        <f t="shared" si="6"/>
        <v>7.44</v>
      </c>
      <c r="I62" s="1087">
        <f t="shared" si="7"/>
        <v>119.04</v>
      </c>
      <c r="J62" s="1087">
        <f t="shared" si="8"/>
        <v>198.4</v>
      </c>
      <c r="K62" s="1085">
        <f t="shared" si="5"/>
        <v>86.35</v>
      </c>
      <c r="L62" s="478"/>
      <c r="N62" s="1088">
        <v>0</v>
      </c>
      <c r="O62" s="1089">
        <f t="shared" si="9"/>
        <v>0.36</v>
      </c>
    </row>
    <row r="63" spans="2:15" x14ac:dyDescent="0.2">
      <c r="B63" s="1084" t="str">
        <f>'DREN. REDE'!B61</f>
        <v>T16b4</v>
      </c>
      <c r="C63" s="1085">
        <f>'DREN. REDE'!E61</f>
        <v>0.6</v>
      </c>
      <c r="D63" s="1085" t="str">
        <f>'DREN. REDE'!O61</f>
        <v xml:space="preserve">1,600 </v>
      </c>
      <c r="E63" s="1085" t="str">
        <f>'DREN. REDE'!P61</f>
        <v xml:space="preserve">1,600 </v>
      </c>
      <c r="F63" s="1086">
        <f>'DREN. REDE'!C61</f>
        <v>81</v>
      </c>
      <c r="G63" s="1087">
        <f>'DREN. REDE'!R61</f>
        <v>1.2</v>
      </c>
      <c r="H63" s="1087">
        <f t="shared" si="6"/>
        <v>9.7200000000000006</v>
      </c>
      <c r="I63" s="1087">
        <f t="shared" si="7"/>
        <v>155.52000000000001</v>
      </c>
      <c r="J63" s="1087">
        <f t="shared" si="8"/>
        <v>259.2</v>
      </c>
      <c r="K63" s="1085">
        <f t="shared" si="5"/>
        <v>112.82</v>
      </c>
      <c r="L63" s="478"/>
      <c r="N63" s="1088">
        <v>0</v>
      </c>
      <c r="O63" s="1089">
        <f t="shared" si="9"/>
        <v>0.36</v>
      </c>
    </row>
    <row r="64" spans="2:15" x14ac:dyDescent="0.2">
      <c r="B64" s="1084" t="str">
        <f>'DREN. REDE'!B62</f>
        <v>T16b3</v>
      </c>
      <c r="C64" s="1085">
        <f>'DREN. REDE'!E62</f>
        <v>0.6</v>
      </c>
      <c r="D64" s="1085" t="str">
        <f>'DREN. REDE'!O62</f>
        <v xml:space="preserve">1,600 </v>
      </c>
      <c r="E64" s="1085" t="str">
        <f>'DREN. REDE'!P62</f>
        <v xml:space="preserve">1,600 </v>
      </c>
      <c r="F64" s="1086">
        <f>'DREN. REDE'!C62</f>
        <v>74</v>
      </c>
      <c r="G64" s="1087">
        <f>'DREN. REDE'!R62</f>
        <v>1.2</v>
      </c>
      <c r="H64" s="1087">
        <f t="shared" si="6"/>
        <v>8.8800000000000008</v>
      </c>
      <c r="I64" s="1087">
        <f t="shared" si="7"/>
        <v>142.08000000000001</v>
      </c>
      <c r="J64" s="1087">
        <f t="shared" si="8"/>
        <v>236.8</v>
      </c>
      <c r="K64" s="1085">
        <f t="shared" si="5"/>
        <v>103.07</v>
      </c>
      <c r="L64" s="478"/>
      <c r="N64" s="1088">
        <v>0</v>
      </c>
      <c r="O64" s="1089">
        <f t="shared" si="9"/>
        <v>0.36</v>
      </c>
    </row>
    <row r="65" spans="2:15" x14ac:dyDescent="0.2">
      <c r="B65" s="1084" t="str">
        <f>'DREN. REDE'!B63</f>
        <v>T16b2</v>
      </c>
      <c r="C65" s="1085">
        <f>'DREN. REDE'!E63</f>
        <v>0.6</v>
      </c>
      <c r="D65" s="1085" t="str">
        <f>'DREN. REDE'!O63</f>
        <v xml:space="preserve">1,600 </v>
      </c>
      <c r="E65" s="1085" t="str">
        <f>'DREN. REDE'!P63</f>
        <v xml:space="preserve">1,600 </v>
      </c>
      <c r="F65" s="1086">
        <f>'DREN. REDE'!C63</f>
        <v>77</v>
      </c>
      <c r="G65" s="1087">
        <f>'DREN. REDE'!R63</f>
        <v>1.2</v>
      </c>
      <c r="H65" s="1087">
        <f t="shared" si="6"/>
        <v>9.24</v>
      </c>
      <c r="I65" s="1087">
        <f t="shared" si="7"/>
        <v>147.84</v>
      </c>
      <c r="J65" s="1087">
        <f t="shared" si="8"/>
        <v>246.4</v>
      </c>
      <c r="K65" s="1085">
        <f t="shared" si="5"/>
        <v>107.24</v>
      </c>
      <c r="L65" s="478"/>
      <c r="N65" s="1088">
        <v>0</v>
      </c>
      <c r="O65" s="1089">
        <f t="shared" si="9"/>
        <v>0.36</v>
      </c>
    </row>
    <row r="66" spans="2:15" x14ac:dyDescent="0.2">
      <c r="B66" s="1084" t="str">
        <f>'DREN. REDE'!B64</f>
        <v>T16b1</v>
      </c>
      <c r="C66" s="1085">
        <f>'DREN. REDE'!E64</f>
        <v>0.6</v>
      </c>
      <c r="D66" s="1085" t="str">
        <f>'DREN. REDE'!O64</f>
        <v xml:space="preserve">1,600 </v>
      </c>
      <c r="E66" s="1085" t="str">
        <f>'DREN. REDE'!P64</f>
        <v xml:space="preserve">1,600 </v>
      </c>
      <c r="F66" s="1086">
        <f>'DREN. REDE'!C64</f>
        <v>71</v>
      </c>
      <c r="G66" s="1087">
        <f>'DREN. REDE'!R64</f>
        <v>1.2</v>
      </c>
      <c r="H66" s="1087">
        <f t="shared" si="6"/>
        <v>8.52</v>
      </c>
      <c r="I66" s="1087">
        <f t="shared" si="7"/>
        <v>136.32</v>
      </c>
      <c r="J66" s="1087">
        <f t="shared" si="8"/>
        <v>227.2</v>
      </c>
      <c r="K66" s="1085">
        <f t="shared" si="5"/>
        <v>98.89</v>
      </c>
      <c r="L66" s="478"/>
      <c r="N66" s="1088">
        <v>0</v>
      </c>
      <c r="O66" s="1089">
        <f t="shared" si="9"/>
        <v>0.36</v>
      </c>
    </row>
    <row r="67" spans="2:15" x14ac:dyDescent="0.2">
      <c r="B67" s="1084" t="str">
        <f>'DREN. REDE'!B65</f>
        <v>T16b</v>
      </c>
      <c r="C67" s="1085">
        <f>'DREN. REDE'!E65</f>
        <v>0.6</v>
      </c>
      <c r="D67" s="1085" t="str">
        <f>'DREN. REDE'!O65</f>
        <v xml:space="preserve">1,600 </v>
      </c>
      <c r="E67" s="1085" t="str">
        <f>'DREN. REDE'!P65</f>
        <v xml:space="preserve">1,600 </v>
      </c>
      <c r="F67" s="1086">
        <f>'DREN. REDE'!C65</f>
        <v>66</v>
      </c>
      <c r="G67" s="1087">
        <f>'DREN. REDE'!R65</f>
        <v>1.2</v>
      </c>
      <c r="H67" s="1087">
        <f t="shared" si="6"/>
        <v>7.92</v>
      </c>
      <c r="I67" s="1087">
        <f t="shared" si="7"/>
        <v>126.72</v>
      </c>
      <c r="J67" s="1087">
        <f t="shared" si="8"/>
        <v>211.2</v>
      </c>
      <c r="K67" s="1085">
        <f t="shared" si="5"/>
        <v>91.92</v>
      </c>
      <c r="L67" s="478"/>
      <c r="N67" s="1088">
        <v>0</v>
      </c>
      <c r="O67" s="1089">
        <f t="shared" si="9"/>
        <v>0.36</v>
      </c>
    </row>
    <row r="68" spans="2:15" x14ac:dyDescent="0.2">
      <c r="B68" s="1084" t="str">
        <f>'DREN. REDE'!B66</f>
        <v>T16c</v>
      </c>
      <c r="C68" s="1085">
        <f>'DREN. REDE'!E66</f>
        <v>0.6</v>
      </c>
      <c r="D68" s="1085" t="str">
        <f>'DREN. REDE'!O66</f>
        <v xml:space="preserve">1,600 </v>
      </c>
      <c r="E68" s="1085" t="str">
        <f>'DREN. REDE'!P66</f>
        <v xml:space="preserve">1,600 </v>
      </c>
      <c r="F68" s="1086">
        <f>'DREN. REDE'!C66</f>
        <v>63</v>
      </c>
      <c r="G68" s="1087">
        <f>'DREN. REDE'!R66</f>
        <v>1.2</v>
      </c>
      <c r="H68" s="1087">
        <f t="shared" si="6"/>
        <v>7.56</v>
      </c>
      <c r="I68" s="1087">
        <f t="shared" si="7"/>
        <v>120.96</v>
      </c>
      <c r="J68" s="1087">
        <f t="shared" si="8"/>
        <v>201.6</v>
      </c>
      <c r="K68" s="1085">
        <f t="shared" si="5"/>
        <v>87.74</v>
      </c>
      <c r="L68" s="478"/>
      <c r="N68" s="1088">
        <v>0</v>
      </c>
      <c r="O68" s="1089">
        <f t="shared" si="9"/>
        <v>0.36</v>
      </c>
    </row>
    <row r="69" spans="2:15" x14ac:dyDescent="0.2">
      <c r="B69" s="1084" t="str">
        <f>'DREN. REDE'!B67</f>
        <v>T16d</v>
      </c>
      <c r="C69" s="1085">
        <f>'DREN. REDE'!E67</f>
        <v>0.8</v>
      </c>
      <c r="D69" s="1085" t="str">
        <f>'DREN. REDE'!O67</f>
        <v xml:space="preserve">1,800 </v>
      </c>
      <c r="E69" s="1085" t="str">
        <f>'DREN. REDE'!P67</f>
        <v xml:space="preserve">1,800 </v>
      </c>
      <c r="F69" s="1086">
        <f>'DREN. REDE'!C67</f>
        <v>58</v>
      </c>
      <c r="G69" s="1087">
        <f>'DREN. REDE'!R67</f>
        <v>1.4</v>
      </c>
      <c r="H69" s="1087">
        <f t="shared" si="6"/>
        <v>8.1199999999999992</v>
      </c>
      <c r="I69" s="1087">
        <f t="shared" si="7"/>
        <v>146.16</v>
      </c>
      <c r="J69" s="1087">
        <f t="shared" si="8"/>
        <v>208.8</v>
      </c>
      <c r="K69" s="1085">
        <f t="shared" si="5"/>
        <v>96.05</v>
      </c>
      <c r="L69" s="478"/>
      <c r="N69" s="1088">
        <v>0</v>
      </c>
      <c r="O69" s="1089">
        <f t="shared" si="9"/>
        <v>0.48</v>
      </c>
    </row>
    <row r="70" spans="2:15" x14ac:dyDescent="0.2">
      <c r="B70" s="1084" t="str">
        <f>'DREN. REDE'!B68</f>
        <v>T16a</v>
      </c>
      <c r="C70" s="1085">
        <f>'DREN. REDE'!E68</f>
        <v>0.6</v>
      </c>
      <c r="D70" s="1085" t="str">
        <f>'DREN. REDE'!O68</f>
        <v xml:space="preserve">1,600 </v>
      </c>
      <c r="E70" s="1085" t="str">
        <f>'DREN. REDE'!P68</f>
        <v xml:space="preserve">1,600 </v>
      </c>
      <c r="F70" s="1086">
        <f>'DREN. REDE'!C68</f>
        <v>75</v>
      </c>
      <c r="G70" s="1087">
        <f>'DREN. REDE'!R68</f>
        <v>1.2</v>
      </c>
      <c r="H70" s="1087">
        <f t="shared" si="6"/>
        <v>9</v>
      </c>
      <c r="I70" s="1087">
        <f t="shared" si="7"/>
        <v>144</v>
      </c>
      <c r="J70" s="1087">
        <f t="shared" si="8"/>
        <v>240</v>
      </c>
      <c r="K70" s="1085">
        <f t="shared" si="5"/>
        <v>104.46</v>
      </c>
      <c r="L70" s="478"/>
      <c r="N70" s="1088">
        <v>0</v>
      </c>
      <c r="O70" s="1089">
        <f t="shared" si="9"/>
        <v>0.36</v>
      </c>
    </row>
    <row r="71" spans="2:15" ht="15" x14ac:dyDescent="0.2">
      <c r="B71" s="1658" t="s">
        <v>2804</v>
      </c>
      <c r="C71" s="1658"/>
      <c r="D71" s="1658"/>
      <c r="E71" s="1658"/>
      <c r="F71" s="1658"/>
      <c r="G71" s="1658"/>
      <c r="H71" s="1090">
        <f>TRUNC((SUM(H38:H70)),2)</f>
        <v>344.34</v>
      </c>
      <c r="I71" s="1090">
        <f>TRUNC((SUM(I38:I70)),2)</f>
        <v>6026.32</v>
      </c>
      <c r="J71" s="1090">
        <f>TRUNC((SUM(J38:J70)),2)</f>
        <v>8758.6</v>
      </c>
      <c r="K71" s="1090">
        <f>TRUNC((SUM(K38:K70)),2)</f>
        <v>3931.02</v>
      </c>
      <c r="L71" s="478"/>
      <c r="N71" s="1091"/>
    </row>
    <row r="72" spans="2:15" s="478" customFormat="1" ht="17.25" customHeight="1" x14ac:dyDescent="0.2">
      <c r="B72" s="1659" t="s">
        <v>708</v>
      </c>
      <c r="C72" s="1659"/>
      <c r="D72" s="1659"/>
      <c r="E72" s="1659"/>
      <c r="F72" s="1659"/>
      <c r="G72" s="1659"/>
      <c r="H72" s="1092">
        <f>TRUNC((H71+H36),2)</f>
        <v>659.26</v>
      </c>
      <c r="I72" s="1092">
        <f>TRUNC((I71+I36),2)</f>
        <v>12068.78</v>
      </c>
      <c r="J72" s="1092">
        <f>TRUNC((J71+J36),2)</f>
        <v>16939.11</v>
      </c>
      <c r="K72" s="1092">
        <f>TRUNC((K71+K36),2)</f>
        <v>7759.38</v>
      </c>
    </row>
    <row r="73" spans="2:15" s="478" customFormat="1" ht="17.25" customHeight="1" x14ac:dyDescent="0.2">
      <c r="B73" s="1660" t="s">
        <v>2805</v>
      </c>
      <c r="C73" s="1660"/>
      <c r="D73" s="1660"/>
      <c r="E73" s="1660"/>
      <c r="F73" s="1660"/>
      <c r="G73" s="1660"/>
      <c r="H73" s="1660"/>
      <c r="I73" s="1660"/>
      <c r="J73" s="1660"/>
      <c r="K73" s="1660"/>
    </row>
    <row r="74" spans="2:15" s="478" customFormat="1" ht="29.25" customHeight="1" x14ac:dyDescent="0.2">
      <c r="B74" s="1093"/>
      <c r="C74" s="1090" t="s">
        <v>2806</v>
      </c>
      <c r="D74" s="1090" t="s">
        <v>2807</v>
      </c>
      <c r="E74" s="1090" t="s">
        <v>2808</v>
      </c>
      <c r="F74" s="1090" t="s">
        <v>2809</v>
      </c>
      <c r="G74" s="1090" t="s">
        <v>2807</v>
      </c>
      <c r="H74" s="1090" t="s">
        <v>2808</v>
      </c>
      <c r="I74" s="1090" t="s">
        <v>2810</v>
      </c>
      <c r="J74" s="1090" t="s">
        <v>2807</v>
      </c>
      <c r="K74" s="1090" t="s">
        <v>2808</v>
      </c>
    </row>
    <row r="75" spans="2:15" s="478" customFormat="1" ht="17.25" customHeight="1" x14ac:dyDescent="0.2">
      <c r="B75" s="1094"/>
      <c r="C75" s="1095" t="s">
        <v>708</v>
      </c>
      <c r="D75" s="1092">
        <f>J72</f>
        <v>16939.11</v>
      </c>
      <c r="E75" s="1092"/>
      <c r="F75" s="1095" t="s">
        <v>2811</v>
      </c>
      <c r="G75" s="1092">
        <f>I72</f>
        <v>12068.78</v>
      </c>
      <c r="H75" s="1092"/>
      <c r="I75" s="1095" t="s">
        <v>2811</v>
      </c>
      <c r="J75" s="1092">
        <f>K72</f>
        <v>7759.38</v>
      </c>
      <c r="K75" s="1092"/>
    </row>
    <row r="84" spans="2:11" ht="36.75" customHeight="1" x14ac:dyDescent="0.2"/>
    <row r="85" spans="2:11" ht="36.75" customHeight="1" x14ac:dyDescent="0.2"/>
    <row r="86" spans="2:11" ht="15" x14ac:dyDescent="0.2">
      <c r="B86" s="1657" t="s">
        <v>2812</v>
      </c>
      <c r="C86" s="1657"/>
      <c r="D86" s="1657"/>
      <c r="E86" s="1657"/>
      <c r="F86" s="1657"/>
      <c r="G86" s="1657"/>
      <c r="H86" s="1657"/>
      <c r="I86" s="1657"/>
      <c r="J86" s="1657"/>
      <c r="K86" s="1657"/>
    </row>
    <row r="87" spans="2:11" ht="60" x14ac:dyDescent="0.2">
      <c r="B87" s="1060" t="s">
        <v>2813</v>
      </c>
      <c r="C87" s="1060" t="s">
        <v>2814</v>
      </c>
      <c r="D87" s="1060" t="s">
        <v>2815</v>
      </c>
      <c r="E87" s="1061" t="s">
        <v>2816</v>
      </c>
      <c r="F87" s="1062" t="s">
        <v>2817</v>
      </c>
      <c r="G87" s="1063" t="s">
        <v>2818</v>
      </c>
      <c r="H87" s="1063" t="s">
        <v>2819</v>
      </c>
      <c r="I87" s="1063" t="s">
        <v>2820</v>
      </c>
      <c r="J87" s="1062" t="s">
        <v>2821</v>
      </c>
      <c r="K87" s="1061" t="s">
        <v>2822</v>
      </c>
    </row>
    <row r="88" spans="2:11" ht="15" x14ac:dyDescent="0.2">
      <c r="B88" s="1653" t="s">
        <v>555</v>
      </c>
      <c r="C88" s="1654"/>
      <c r="D88" s="1654"/>
      <c r="E88" s="1654"/>
      <c r="F88" s="1654"/>
      <c r="G88" s="1654"/>
      <c r="H88" s="1654"/>
      <c r="I88" s="1654"/>
      <c r="J88" s="1654"/>
      <c r="K88" s="1655"/>
    </row>
    <row r="89" spans="2:11" x14ac:dyDescent="0.2">
      <c r="B89" s="1086" t="s">
        <v>1046</v>
      </c>
      <c r="C89" s="1086">
        <v>1.5</v>
      </c>
      <c r="D89" s="1096">
        <v>1.35</v>
      </c>
      <c r="E89" s="1086">
        <v>0.92</v>
      </c>
      <c r="F89" s="1086">
        <v>1.4</v>
      </c>
      <c r="G89" s="1086">
        <v>2.4</v>
      </c>
      <c r="H89" s="1086">
        <v>2.4</v>
      </c>
      <c r="I89" s="1087">
        <v>5</v>
      </c>
      <c r="J89" s="1086">
        <f>TRUNC((I89*(F89*G89*H89)),2)</f>
        <v>40.32</v>
      </c>
      <c r="K89" s="1096">
        <f>TRUNC((I89*(G89*H89)),2)</f>
        <v>28.8</v>
      </c>
    </row>
    <row r="90" spans="2:11" ht="15" x14ac:dyDescent="0.2">
      <c r="B90" s="1656" t="s">
        <v>708</v>
      </c>
      <c r="C90" s="1656"/>
      <c r="D90" s="1656"/>
      <c r="E90" s="1656"/>
      <c r="F90" s="1656"/>
      <c r="G90" s="1656"/>
      <c r="H90" s="1656"/>
      <c r="I90" s="1097">
        <f>I89</f>
        <v>5</v>
      </c>
      <c r="J90" s="1092">
        <f>J89</f>
        <v>40.32</v>
      </c>
      <c r="K90" s="1092">
        <f>K89</f>
        <v>28.8</v>
      </c>
    </row>
    <row r="91" spans="2:11" ht="13.5" customHeight="1" x14ac:dyDescent="0.2"/>
    <row r="92" spans="2:11" ht="15" x14ac:dyDescent="0.2">
      <c r="B92" s="1657" t="s">
        <v>2823</v>
      </c>
      <c r="C92" s="1657"/>
      <c r="D92" s="1657"/>
      <c r="E92" s="1657"/>
      <c r="F92" s="1657"/>
      <c r="G92" s="1657"/>
      <c r="H92" s="1657"/>
      <c r="I92" s="1657"/>
      <c r="J92" s="1657"/>
      <c r="K92" s="1657"/>
    </row>
    <row r="93" spans="2:11" ht="60" x14ac:dyDescent="0.2">
      <c r="B93" s="1060" t="s">
        <v>2813</v>
      </c>
      <c r="C93" s="1060" t="s">
        <v>2814</v>
      </c>
      <c r="D93" s="1060" t="s">
        <v>2815</v>
      </c>
      <c r="E93" s="1061" t="s">
        <v>2816</v>
      </c>
      <c r="F93" s="1062" t="s">
        <v>2817</v>
      </c>
      <c r="G93" s="1063" t="s">
        <v>2818</v>
      </c>
      <c r="H93" s="1063" t="s">
        <v>2819</v>
      </c>
      <c r="I93" s="1063" t="s">
        <v>2820</v>
      </c>
      <c r="J93" s="1062" t="s">
        <v>2824</v>
      </c>
      <c r="K93" s="1061" t="s">
        <v>2822</v>
      </c>
    </row>
    <row r="94" spans="2:11" ht="15" x14ac:dyDescent="0.2">
      <c r="B94" s="1653" t="s">
        <v>538</v>
      </c>
      <c r="C94" s="1654"/>
      <c r="D94" s="1654"/>
      <c r="E94" s="1654"/>
      <c r="F94" s="1654"/>
      <c r="G94" s="1654"/>
      <c r="H94" s="1654"/>
      <c r="I94" s="1654"/>
      <c r="J94" s="1654"/>
      <c r="K94" s="1655"/>
    </row>
    <row r="95" spans="2:11" x14ac:dyDescent="0.2">
      <c r="B95" s="1086" t="s">
        <v>1047</v>
      </c>
      <c r="C95" s="1086">
        <v>1.5</v>
      </c>
      <c r="D95" s="1096">
        <v>2.54</v>
      </c>
      <c r="E95" s="1086">
        <v>0.92</v>
      </c>
      <c r="F95" s="1086">
        <v>1.4</v>
      </c>
      <c r="G95" s="1086">
        <v>2.4</v>
      </c>
      <c r="H95" s="1086">
        <v>3.8</v>
      </c>
      <c r="I95" s="1087">
        <v>49</v>
      </c>
      <c r="J95" s="1086">
        <f>TRUNC((I95*(F95*G95*H95)),2)</f>
        <v>625.63</v>
      </c>
      <c r="K95" s="1096">
        <f>TRUNC((I95*(G95*H95)),2)</f>
        <v>446.88</v>
      </c>
    </row>
    <row r="96" spans="2:11" ht="15" x14ac:dyDescent="0.2">
      <c r="B96" s="1653" t="s">
        <v>555</v>
      </c>
      <c r="C96" s="1654"/>
      <c r="D96" s="1654"/>
      <c r="E96" s="1654"/>
      <c r="F96" s="1654"/>
      <c r="G96" s="1654"/>
      <c r="H96" s="1654"/>
      <c r="I96" s="1654"/>
      <c r="J96" s="1654"/>
      <c r="K96" s="1655"/>
    </row>
    <row r="97" spans="2:12" x14ac:dyDescent="0.2">
      <c r="B97" s="1086" t="s">
        <v>1047</v>
      </c>
      <c r="C97" s="1086">
        <v>1.5</v>
      </c>
      <c r="D97" s="1096">
        <v>2.54</v>
      </c>
      <c r="E97" s="1086">
        <v>0.92</v>
      </c>
      <c r="F97" s="1086">
        <v>1.4</v>
      </c>
      <c r="G97" s="1086">
        <v>2.4</v>
      </c>
      <c r="H97" s="1086">
        <v>3.8</v>
      </c>
      <c r="I97" s="1087">
        <v>43</v>
      </c>
      <c r="J97" s="1086">
        <f>TRUNC((I97*(F97*G97*H97)),2)</f>
        <v>549.02</v>
      </c>
      <c r="K97" s="1096">
        <f>TRUNC((I97*(G97*H97)),2)</f>
        <v>392.16</v>
      </c>
    </row>
    <row r="98" spans="2:12" ht="15" x14ac:dyDescent="0.2">
      <c r="B98" s="1656" t="s">
        <v>708</v>
      </c>
      <c r="C98" s="1656"/>
      <c r="D98" s="1656"/>
      <c r="E98" s="1656"/>
      <c r="F98" s="1656"/>
      <c r="G98" s="1656"/>
      <c r="H98" s="1656"/>
      <c r="I98" s="1092">
        <f>I97+I95</f>
        <v>92</v>
      </c>
      <c r="J98" s="1092">
        <f>TRUNC((J97+J95),2)</f>
        <v>1174.6500000000001</v>
      </c>
      <c r="K98" s="1092">
        <f>TRUNC((K97+K95),2)</f>
        <v>839.04</v>
      </c>
    </row>
    <row r="99" spans="2:12" ht="15" customHeight="1" x14ac:dyDescent="0.2"/>
    <row r="100" spans="2:12" ht="15" x14ac:dyDescent="0.2">
      <c r="B100" s="1657" t="s">
        <v>2825</v>
      </c>
      <c r="C100" s="1657"/>
      <c r="D100" s="1657"/>
      <c r="E100" s="1657"/>
      <c r="F100" s="1657"/>
      <c r="G100" s="1657"/>
      <c r="H100" s="1657"/>
      <c r="I100" s="1657"/>
      <c r="J100" s="1657"/>
      <c r="K100" s="1657"/>
    </row>
    <row r="101" spans="2:12" ht="60" x14ac:dyDescent="0.2">
      <c r="B101" s="1060" t="s">
        <v>2813</v>
      </c>
      <c r="C101" s="1060" t="s">
        <v>2814</v>
      </c>
      <c r="D101" s="1060" t="s">
        <v>2268</v>
      </c>
      <c r="E101" s="1061" t="s">
        <v>2815</v>
      </c>
      <c r="F101" s="1062" t="s">
        <v>2816</v>
      </c>
      <c r="G101" s="1063" t="s">
        <v>2817</v>
      </c>
      <c r="H101" s="1063" t="s">
        <v>2818</v>
      </c>
      <c r="I101" s="1063" t="s">
        <v>2819</v>
      </c>
      <c r="J101" s="1062" t="s">
        <v>2820</v>
      </c>
      <c r="K101" s="1061" t="s">
        <v>2821</v>
      </c>
    </row>
    <row r="102" spans="2:12" ht="15" x14ac:dyDescent="0.2">
      <c r="B102" s="1653" t="s">
        <v>2826</v>
      </c>
      <c r="C102" s="1654"/>
      <c r="D102" s="1654"/>
      <c r="E102" s="1654"/>
      <c r="F102" s="1654"/>
      <c r="G102" s="1654"/>
      <c r="H102" s="1654"/>
      <c r="I102" s="1654"/>
      <c r="J102" s="1654"/>
      <c r="K102" s="1655"/>
    </row>
    <row r="103" spans="2:12" x14ac:dyDescent="0.2">
      <c r="B103" s="1086" t="s">
        <v>2827</v>
      </c>
      <c r="C103" s="1086">
        <v>0.8</v>
      </c>
      <c r="D103" s="1086">
        <v>0.6</v>
      </c>
      <c r="E103" s="1096">
        <f>D103+(2*0.2)</f>
        <v>1</v>
      </c>
      <c r="F103" s="1086">
        <v>1.9</v>
      </c>
      <c r="G103" s="1086">
        <v>1.5</v>
      </c>
      <c r="H103" s="1086">
        <f>E103+1</f>
        <v>2</v>
      </c>
      <c r="I103" s="1086">
        <f>F103+1</f>
        <v>2.9</v>
      </c>
      <c r="J103" s="1087">
        <v>12</v>
      </c>
      <c r="K103" s="1086">
        <f>J103*(G103*H103*I103)</f>
        <v>104.39999999999999</v>
      </c>
    </row>
    <row r="104" spans="2:12" ht="15" x14ac:dyDescent="0.2">
      <c r="B104" s="1653" t="s">
        <v>2828</v>
      </c>
      <c r="C104" s="1654"/>
      <c r="D104" s="1654"/>
      <c r="E104" s="1654"/>
      <c r="F104" s="1654"/>
      <c r="G104" s="1654"/>
      <c r="H104" s="1654"/>
      <c r="I104" s="1654"/>
      <c r="J104" s="1654"/>
      <c r="K104" s="1655"/>
    </row>
    <row r="105" spans="2:12" x14ac:dyDescent="0.2">
      <c r="B105" s="1086" t="s">
        <v>2827</v>
      </c>
      <c r="C105" s="1086">
        <v>0.8</v>
      </c>
      <c r="D105" s="1086">
        <v>0.4</v>
      </c>
      <c r="E105" s="1096">
        <f>D105+(2*0.2)</f>
        <v>0.8</v>
      </c>
      <c r="F105" s="1086">
        <v>1.9</v>
      </c>
      <c r="G105" s="1086">
        <v>1.5</v>
      </c>
      <c r="H105" s="1086">
        <f>E105+1</f>
        <v>1.8</v>
      </c>
      <c r="I105" s="1086">
        <f>F105+1</f>
        <v>2.9</v>
      </c>
      <c r="J105" s="1087">
        <v>7</v>
      </c>
      <c r="K105" s="1086">
        <f>J105*(G105*H105*I105)</f>
        <v>54.81</v>
      </c>
    </row>
    <row r="106" spans="2:12" ht="15" x14ac:dyDescent="0.2">
      <c r="B106" s="1656" t="s">
        <v>708</v>
      </c>
      <c r="C106" s="1656"/>
      <c r="D106" s="1656"/>
      <c r="E106" s="1656"/>
      <c r="F106" s="1656"/>
      <c r="G106" s="1656"/>
      <c r="H106" s="1656"/>
      <c r="I106" s="1656"/>
      <c r="J106" s="1092">
        <f>TRUNC((SUM(J103:J105)),2)</f>
        <v>19</v>
      </c>
      <c r="K106" s="1092">
        <f>TRUNC((SUM(K103:K105)),2)</f>
        <v>159.21</v>
      </c>
    </row>
    <row r="107" spans="2:12" ht="16.5" customHeight="1" x14ac:dyDescent="0.2"/>
    <row r="108" spans="2:12" ht="20.100000000000001" customHeight="1" x14ac:dyDescent="0.2">
      <c r="B108" s="1657" t="s">
        <v>2829</v>
      </c>
      <c r="C108" s="1657"/>
      <c r="D108" s="1657"/>
      <c r="E108" s="1657"/>
      <c r="F108" s="1657"/>
      <c r="G108" s="1657"/>
      <c r="H108" s="1657"/>
      <c r="I108" s="1657"/>
      <c r="J108" s="1657"/>
      <c r="K108" s="1657"/>
    </row>
    <row r="109" spans="2:12" ht="63" customHeight="1" x14ac:dyDescent="0.2">
      <c r="B109" s="1060" t="s">
        <v>2830</v>
      </c>
      <c r="C109" s="1060" t="s">
        <v>2831</v>
      </c>
      <c r="D109" s="1060" t="s">
        <v>2832</v>
      </c>
      <c r="E109" s="1061" t="s">
        <v>2815</v>
      </c>
      <c r="F109" s="1062" t="s">
        <v>2833</v>
      </c>
      <c r="G109" s="1063" t="s">
        <v>2834</v>
      </c>
      <c r="H109" s="1063" t="s">
        <v>2820</v>
      </c>
      <c r="I109" s="1063" t="s">
        <v>2801</v>
      </c>
      <c r="J109" s="1062" t="s">
        <v>2835</v>
      </c>
      <c r="K109" s="1061" t="s">
        <v>2836</v>
      </c>
    </row>
    <row r="110" spans="2:12" ht="15.75" customHeight="1" x14ac:dyDescent="0.2">
      <c r="B110" s="1653" t="s">
        <v>538</v>
      </c>
      <c r="C110" s="1654"/>
      <c r="D110" s="1654"/>
      <c r="E110" s="1654"/>
      <c r="F110" s="1654"/>
      <c r="G110" s="1654"/>
      <c r="H110" s="1654"/>
      <c r="I110" s="1654"/>
      <c r="J110" s="1654"/>
      <c r="K110" s="1655"/>
    </row>
    <row r="111" spans="2:12" ht="13.5" customHeight="1" x14ac:dyDescent="0.2">
      <c r="B111" s="1084" t="str">
        <f>B6</f>
        <v>T1</v>
      </c>
      <c r="C111" s="1085">
        <f>C6</f>
        <v>0.6</v>
      </c>
      <c r="D111" s="1085">
        <v>1.45</v>
      </c>
      <c r="E111" s="1087">
        <v>1.5</v>
      </c>
      <c r="F111" s="1087">
        <f>E111+1</f>
        <v>2.5</v>
      </c>
      <c r="G111" s="1087">
        <f>D6+0.1</f>
        <v>1.7000000000000002</v>
      </c>
      <c r="H111" s="1087">
        <v>1</v>
      </c>
      <c r="I111" s="1085">
        <f>E111*F111*G111</f>
        <v>6.3750000000000009</v>
      </c>
      <c r="J111" s="1087">
        <f>F111*G111</f>
        <v>4.25</v>
      </c>
      <c r="K111" s="1085">
        <f>G111-D111</f>
        <v>0.25000000000000022</v>
      </c>
      <c r="L111" s="472">
        <v>1</v>
      </c>
    </row>
    <row r="112" spans="2:12" ht="13.5" customHeight="1" x14ac:dyDescent="0.2">
      <c r="B112" s="1084" t="str">
        <f t="shared" ref="B112:C127" si="10">B7</f>
        <v>T2</v>
      </c>
      <c r="C112" s="1085">
        <f t="shared" si="10"/>
        <v>0.6</v>
      </c>
      <c r="D112" s="1085">
        <v>1.45</v>
      </c>
      <c r="E112" s="1087">
        <v>1.5</v>
      </c>
      <c r="F112" s="1087">
        <f t="shared" ref="F112:F140" si="11">E112+1</f>
        <v>2.5</v>
      </c>
      <c r="G112" s="1087">
        <f t="shared" ref="G112:G140" si="12">D7+0.1</f>
        <v>1.7000000000000002</v>
      </c>
      <c r="H112" s="1087">
        <f>H111</f>
        <v>1</v>
      </c>
      <c r="I112" s="1085">
        <f t="shared" ref="I112:I140" si="13">E112*F112*G112</f>
        <v>6.3750000000000009</v>
      </c>
      <c r="J112" s="1087">
        <f t="shared" ref="J112:J140" si="14">F112*G112</f>
        <v>4.25</v>
      </c>
      <c r="K112" s="1085">
        <f t="shared" ref="K112:K140" si="15">G112-D112</f>
        <v>0.25000000000000022</v>
      </c>
      <c r="L112" s="472">
        <v>2</v>
      </c>
    </row>
    <row r="113" spans="2:12" ht="13.5" customHeight="1" x14ac:dyDescent="0.2">
      <c r="B113" s="1084" t="str">
        <f t="shared" si="10"/>
        <v>T3</v>
      </c>
      <c r="C113" s="1085">
        <f t="shared" si="10"/>
        <v>0.6</v>
      </c>
      <c r="D113" s="1085">
        <v>1.45</v>
      </c>
      <c r="E113" s="1087">
        <v>1.5</v>
      </c>
      <c r="F113" s="1087">
        <f t="shared" si="11"/>
        <v>2.5</v>
      </c>
      <c r="G113" s="1087">
        <f t="shared" si="12"/>
        <v>1.7000000000000002</v>
      </c>
      <c r="H113" s="1087">
        <f t="shared" ref="H113:H140" si="16">H112</f>
        <v>1</v>
      </c>
      <c r="I113" s="1085">
        <f t="shared" si="13"/>
        <v>6.3750000000000009</v>
      </c>
      <c r="J113" s="1087">
        <f t="shared" si="14"/>
        <v>4.25</v>
      </c>
      <c r="K113" s="1085">
        <f t="shared" si="15"/>
        <v>0.25000000000000022</v>
      </c>
      <c r="L113" s="472">
        <v>3</v>
      </c>
    </row>
    <row r="114" spans="2:12" ht="13.5" customHeight="1" x14ac:dyDescent="0.2">
      <c r="B114" s="1084" t="str">
        <f t="shared" si="10"/>
        <v>T4</v>
      </c>
      <c r="C114" s="1085">
        <f t="shared" si="10"/>
        <v>0.8</v>
      </c>
      <c r="D114" s="1085">
        <v>1.45</v>
      </c>
      <c r="E114" s="1087">
        <v>1.5</v>
      </c>
      <c r="F114" s="1087">
        <f t="shared" si="11"/>
        <v>2.5</v>
      </c>
      <c r="G114" s="1087">
        <f t="shared" si="12"/>
        <v>1.9000000000000001</v>
      </c>
      <c r="H114" s="1087">
        <f t="shared" si="16"/>
        <v>1</v>
      </c>
      <c r="I114" s="1085">
        <f t="shared" si="13"/>
        <v>7.1250000000000009</v>
      </c>
      <c r="J114" s="1087">
        <f t="shared" si="14"/>
        <v>4.75</v>
      </c>
      <c r="K114" s="1085">
        <f t="shared" si="15"/>
        <v>0.45000000000000018</v>
      </c>
      <c r="L114" s="472">
        <v>4</v>
      </c>
    </row>
    <row r="115" spans="2:12" ht="13.5" customHeight="1" x14ac:dyDescent="0.2">
      <c r="B115" s="1084" t="str">
        <f t="shared" si="10"/>
        <v>T6.2</v>
      </c>
      <c r="C115" s="1085">
        <f t="shared" si="10"/>
        <v>0.6</v>
      </c>
      <c r="D115" s="1085">
        <v>1.45</v>
      </c>
      <c r="E115" s="1087">
        <v>1.5</v>
      </c>
      <c r="F115" s="1087">
        <f t="shared" si="11"/>
        <v>2.5</v>
      </c>
      <c r="G115" s="1087">
        <f t="shared" si="12"/>
        <v>1.7000000000000002</v>
      </c>
      <c r="H115" s="1087">
        <f t="shared" si="16"/>
        <v>1</v>
      </c>
      <c r="I115" s="1085">
        <f t="shared" si="13"/>
        <v>6.3750000000000009</v>
      </c>
      <c r="J115" s="1087">
        <f t="shared" si="14"/>
        <v>4.25</v>
      </c>
      <c r="K115" s="1085">
        <f t="shared" si="15"/>
        <v>0.25000000000000022</v>
      </c>
      <c r="L115" s="472">
        <v>5</v>
      </c>
    </row>
    <row r="116" spans="2:12" ht="13.5" customHeight="1" x14ac:dyDescent="0.2">
      <c r="B116" s="1084" t="str">
        <f t="shared" si="10"/>
        <v>T6.1</v>
      </c>
      <c r="C116" s="1085">
        <f t="shared" si="10"/>
        <v>0.6</v>
      </c>
      <c r="D116" s="1085">
        <v>1.45</v>
      </c>
      <c r="E116" s="1087">
        <v>1.5</v>
      </c>
      <c r="F116" s="1087">
        <f t="shared" si="11"/>
        <v>2.5</v>
      </c>
      <c r="G116" s="1087">
        <f t="shared" si="12"/>
        <v>1.7000000000000002</v>
      </c>
      <c r="H116" s="1087">
        <f t="shared" si="16"/>
        <v>1</v>
      </c>
      <c r="I116" s="1085">
        <f t="shared" si="13"/>
        <v>6.3750000000000009</v>
      </c>
      <c r="J116" s="1087">
        <f t="shared" si="14"/>
        <v>4.25</v>
      </c>
      <c r="K116" s="1085">
        <f t="shared" si="15"/>
        <v>0.25000000000000022</v>
      </c>
      <c r="L116" s="472">
        <v>6</v>
      </c>
    </row>
    <row r="117" spans="2:12" ht="13.5" customHeight="1" x14ac:dyDescent="0.2">
      <c r="B117" s="1084" t="str">
        <f t="shared" si="10"/>
        <v>T6</v>
      </c>
      <c r="C117" s="1085">
        <f t="shared" si="10"/>
        <v>0.6</v>
      </c>
      <c r="D117" s="1085">
        <v>1.45</v>
      </c>
      <c r="E117" s="1087">
        <v>1.5</v>
      </c>
      <c r="F117" s="1087">
        <f t="shared" si="11"/>
        <v>2.5</v>
      </c>
      <c r="G117" s="1087">
        <f t="shared" si="12"/>
        <v>1.7000000000000002</v>
      </c>
      <c r="H117" s="1087">
        <f t="shared" si="16"/>
        <v>1</v>
      </c>
      <c r="I117" s="1085">
        <f t="shared" si="13"/>
        <v>6.3750000000000009</v>
      </c>
      <c r="J117" s="1087">
        <f t="shared" si="14"/>
        <v>4.25</v>
      </c>
      <c r="K117" s="1085">
        <f t="shared" si="15"/>
        <v>0.25000000000000022</v>
      </c>
      <c r="L117" s="472">
        <v>7</v>
      </c>
    </row>
    <row r="118" spans="2:12" ht="13.5" customHeight="1" x14ac:dyDescent="0.2">
      <c r="B118" s="1084" t="str">
        <f t="shared" si="10"/>
        <v>T7</v>
      </c>
      <c r="C118" s="1085">
        <f t="shared" si="10"/>
        <v>0.8</v>
      </c>
      <c r="D118" s="1085">
        <v>1.45</v>
      </c>
      <c r="E118" s="1087">
        <v>1.5</v>
      </c>
      <c r="F118" s="1087">
        <f t="shared" si="11"/>
        <v>2.5</v>
      </c>
      <c r="G118" s="1087">
        <f t="shared" si="12"/>
        <v>1.9000000000000001</v>
      </c>
      <c r="H118" s="1087">
        <f t="shared" si="16"/>
        <v>1</v>
      </c>
      <c r="I118" s="1085">
        <f t="shared" si="13"/>
        <v>7.1250000000000009</v>
      </c>
      <c r="J118" s="1087">
        <f t="shared" si="14"/>
        <v>4.75</v>
      </c>
      <c r="K118" s="1085">
        <f t="shared" si="15"/>
        <v>0.45000000000000018</v>
      </c>
      <c r="L118" s="472">
        <v>8</v>
      </c>
    </row>
    <row r="119" spans="2:12" ht="13.5" customHeight="1" x14ac:dyDescent="0.2">
      <c r="B119" s="1084" t="str">
        <f t="shared" si="10"/>
        <v>T8</v>
      </c>
      <c r="C119" s="1085">
        <f t="shared" si="10"/>
        <v>0.8</v>
      </c>
      <c r="D119" s="1085">
        <v>1.45</v>
      </c>
      <c r="E119" s="1087">
        <v>1.5</v>
      </c>
      <c r="F119" s="1087">
        <f t="shared" si="11"/>
        <v>2.5</v>
      </c>
      <c r="G119" s="1087">
        <f t="shared" si="12"/>
        <v>1.9000000000000001</v>
      </c>
      <c r="H119" s="1087">
        <f t="shared" si="16"/>
        <v>1</v>
      </c>
      <c r="I119" s="1085">
        <f t="shared" si="13"/>
        <v>7.1250000000000009</v>
      </c>
      <c r="J119" s="1087">
        <f t="shared" si="14"/>
        <v>4.75</v>
      </c>
      <c r="K119" s="1085">
        <f t="shared" si="15"/>
        <v>0.45000000000000018</v>
      </c>
      <c r="L119" s="472">
        <v>9</v>
      </c>
    </row>
    <row r="120" spans="2:12" ht="13.5" customHeight="1" x14ac:dyDescent="0.2">
      <c r="B120" s="1084" t="str">
        <f t="shared" si="10"/>
        <v>T9</v>
      </c>
      <c r="C120" s="1085">
        <f t="shared" si="10"/>
        <v>1</v>
      </c>
      <c r="D120" s="1085">
        <v>1.45</v>
      </c>
      <c r="E120" s="1087">
        <v>1.5</v>
      </c>
      <c r="F120" s="1087">
        <f t="shared" si="11"/>
        <v>2.5</v>
      </c>
      <c r="G120" s="1087">
        <f t="shared" si="12"/>
        <v>2.1</v>
      </c>
      <c r="H120" s="1087">
        <f t="shared" si="16"/>
        <v>1</v>
      </c>
      <c r="I120" s="1085">
        <f t="shared" si="13"/>
        <v>7.875</v>
      </c>
      <c r="J120" s="1087">
        <f t="shared" si="14"/>
        <v>5.25</v>
      </c>
      <c r="K120" s="1085">
        <f t="shared" si="15"/>
        <v>0.65000000000000013</v>
      </c>
      <c r="L120" s="472">
        <v>10</v>
      </c>
    </row>
    <row r="121" spans="2:12" ht="13.5" customHeight="1" x14ac:dyDescent="0.2">
      <c r="B121" s="1084" t="str">
        <f t="shared" si="10"/>
        <v>T10</v>
      </c>
      <c r="C121" s="1085">
        <f t="shared" si="10"/>
        <v>1</v>
      </c>
      <c r="D121" s="1085">
        <v>1.45</v>
      </c>
      <c r="E121" s="1087">
        <v>1.5</v>
      </c>
      <c r="F121" s="1087">
        <f t="shared" si="11"/>
        <v>2.5</v>
      </c>
      <c r="G121" s="1087">
        <f t="shared" si="12"/>
        <v>2.1</v>
      </c>
      <c r="H121" s="1087">
        <f t="shared" si="16"/>
        <v>1</v>
      </c>
      <c r="I121" s="1085">
        <f t="shared" si="13"/>
        <v>7.875</v>
      </c>
      <c r="J121" s="1087">
        <f t="shared" si="14"/>
        <v>5.25</v>
      </c>
      <c r="K121" s="1085">
        <f t="shared" si="15"/>
        <v>0.65000000000000013</v>
      </c>
      <c r="L121" s="472">
        <v>11</v>
      </c>
    </row>
    <row r="122" spans="2:12" ht="13.5" customHeight="1" x14ac:dyDescent="0.2">
      <c r="B122" s="1084" t="str">
        <f t="shared" si="10"/>
        <v>T11</v>
      </c>
      <c r="C122" s="1085">
        <f t="shared" si="10"/>
        <v>1</v>
      </c>
      <c r="D122" s="1085">
        <v>1.45</v>
      </c>
      <c r="E122" s="1087">
        <v>1.5</v>
      </c>
      <c r="F122" s="1087">
        <f t="shared" si="11"/>
        <v>2.5</v>
      </c>
      <c r="G122" s="1087">
        <f t="shared" si="12"/>
        <v>2.8000000000000003</v>
      </c>
      <c r="H122" s="1087">
        <f t="shared" si="16"/>
        <v>1</v>
      </c>
      <c r="I122" s="1085">
        <f t="shared" si="13"/>
        <v>10.500000000000002</v>
      </c>
      <c r="J122" s="1087">
        <f t="shared" si="14"/>
        <v>7.0000000000000009</v>
      </c>
      <c r="K122" s="1085">
        <f t="shared" si="15"/>
        <v>1.3500000000000003</v>
      </c>
      <c r="L122" s="472">
        <v>12</v>
      </c>
    </row>
    <row r="123" spans="2:12" ht="13.5" customHeight="1" x14ac:dyDescent="0.2">
      <c r="B123" s="1084" t="str">
        <f t="shared" si="10"/>
        <v>T12</v>
      </c>
      <c r="C123" s="1085">
        <f t="shared" si="10"/>
        <v>1</v>
      </c>
      <c r="D123" s="1085">
        <v>1.45</v>
      </c>
      <c r="E123" s="1087">
        <v>1.5</v>
      </c>
      <c r="F123" s="1087">
        <f t="shared" si="11"/>
        <v>2.5</v>
      </c>
      <c r="G123" s="1087">
        <f t="shared" si="12"/>
        <v>2.1</v>
      </c>
      <c r="H123" s="1087">
        <f t="shared" si="16"/>
        <v>1</v>
      </c>
      <c r="I123" s="1085">
        <f t="shared" si="13"/>
        <v>7.875</v>
      </c>
      <c r="J123" s="1087">
        <f t="shared" si="14"/>
        <v>5.25</v>
      </c>
      <c r="K123" s="1085">
        <f t="shared" si="15"/>
        <v>0.65000000000000013</v>
      </c>
      <c r="L123" s="472">
        <v>13</v>
      </c>
    </row>
    <row r="124" spans="2:12" ht="13.5" customHeight="1" x14ac:dyDescent="0.2">
      <c r="B124" s="1084" t="str">
        <f t="shared" si="10"/>
        <v>T13</v>
      </c>
      <c r="C124" s="1085">
        <f t="shared" si="10"/>
        <v>1</v>
      </c>
      <c r="D124" s="1085">
        <v>1.45</v>
      </c>
      <c r="E124" s="1087">
        <v>1.5</v>
      </c>
      <c r="F124" s="1087">
        <f t="shared" si="11"/>
        <v>2.5</v>
      </c>
      <c r="G124" s="1087">
        <f t="shared" si="12"/>
        <v>2.1</v>
      </c>
      <c r="H124" s="1087">
        <f t="shared" si="16"/>
        <v>1</v>
      </c>
      <c r="I124" s="1085">
        <f t="shared" si="13"/>
        <v>7.875</v>
      </c>
      <c r="J124" s="1087">
        <f t="shared" si="14"/>
        <v>5.25</v>
      </c>
      <c r="K124" s="1085">
        <f t="shared" si="15"/>
        <v>0.65000000000000013</v>
      </c>
      <c r="L124" s="472">
        <v>14</v>
      </c>
    </row>
    <row r="125" spans="2:12" ht="13.5" customHeight="1" x14ac:dyDescent="0.2">
      <c r="B125" s="1084" t="str">
        <f t="shared" si="10"/>
        <v>T14</v>
      </c>
      <c r="C125" s="1085">
        <f t="shared" si="10"/>
        <v>1</v>
      </c>
      <c r="D125" s="1085">
        <v>1.45</v>
      </c>
      <c r="E125" s="1087">
        <v>1.5</v>
      </c>
      <c r="F125" s="1087">
        <f t="shared" si="11"/>
        <v>2.5</v>
      </c>
      <c r="G125" s="1087">
        <f t="shared" si="12"/>
        <v>2.1</v>
      </c>
      <c r="H125" s="1087">
        <f t="shared" si="16"/>
        <v>1</v>
      </c>
      <c r="I125" s="1085">
        <f t="shared" si="13"/>
        <v>7.875</v>
      </c>
      <c r="J125" s="1087">
        <f t="shared" si="14"/>
        <v>5.25</v>
      </c>
      <c r="K125" s="1085">
        <f t="shared" si="15"/>
        <v>0.65000000000000013</v>
      </c>
      <c r="L125" s="472">
        <v>15</v>
      </c>
    </row>
    <row r="126" spans="2:12" ht="13.5" customHeight="1" x14ac:dyDescent="0.2">
      <c r="B126" s="1084" t="str">
        <f t="shared" si="10"/>
        <v>T15</v>
      </c>
      <c r="C126" s="1085">
        <f t="shared" si="10"/>
        <v>1</v>
      </c>
      <c r="D126" s="1085">
        <v>1.45</v>
      </c>
      <c r="E126" s="1087">
        <v>1.5</v>
      </c>
      <c r="F126" s="1087">
        <f t="shared" si="11"/>
        <v>2.5</v>
      </c>
      <c r="G126" s="1087">
        <f t="shared" si="12"/>
        <v>2.1</v>
      </c>
      <c r="H126" s="1087">
        <f t="shared" si="16"/>
        <v>1</v>
      </c>
      <c r="I126" s="1085">
        <f t="shared" si="13"/>
        <v>7.875</v>
      </c>
      <c r="J126" s="1087">
        <f t="shared" si="14"/>
        <v>5.25</v>
      </c>
      <c r="K126" s="1085">
        <f t="shared" si="15"/>
        <v>0.65000000000000013</v>
      </c>
      <c r="L126" s="472">
        <v>16</v>
      </c>
    </row>
    <row r="127" spans="2:12" ht="13.5" customHeight="1" x14ac:dyDescent="0.2">
      <c r="B127" s="1084" t="str">
        <f t="shared" si="10"/>
        <v>T16</v>
      </c>
      <c r="C127" s="1085">
        <f t="shared" si="10"/>
        <v>1.2</v>
      </c>
      <c r="D127" s="1085">
        <v>1.45</v>
      </c>
      <c r="E127" s="1087">
        <v>1.5</v>
      </c>
      <c r="F127" s="1087">
        <f t="shared" si="11"/>
        <v>2.5</v>
      </c>
      <c r="G127" s="1087">
        <f t="shared" si="12"/>
        <v>2.3000000000000003</v>
      </c>
      <c r="H127" s="1087">
        <f t="shared" si="16"/>
        <v>1</v>
      </c>
      <c r="I127" s="1085">
        <f t="shared" si="13"/>
        <v>8.6250000000000018</v>
      </c>
      <c r="J127" s="1087">
        <f t="shared" si="14"/>
        <v>5.7500000000000009</v>
      </c>
      <c r="K127" s="1085">
        <f t="shared" si="15"/>
        <v>0.85000000000000031</v>
      </c>
      <c r="L127" s="472">
        <v>17</v>
      </c>
    </row>
    <row r="128" spans="2:12" ht="13.5" customHeight="1" x14ac:dyDescent="0.2">
      <c r="B128" s="1084" t="str">
        <f t="shared" ref="B128:C140" si="17">B23</f>
        <v>T17</v>
      </c>
      <c r="C128" s="1085">
        <f t="shared" si="17"/>
        <v>1.2</v>
      </c>
      <c r="D128" s="1085">
        <v>1.45</v>
      </c>
      <c r="E128" s="1087">
        <v>1.5</v>
      </c>
      <c r="F128" s="1087">
        <f t="shared" si="11"/>
        <v>2.5</v>
      </c>
      <c r="G128" s="1087">
        <f t="shared" si="12"/>
        <v>2.3000000000000003</v>
      </c>
      <c r="H128" s="1087">
        <f t="shared" si="16"/>
        <v>1</v>
      </c>
      <c r="I128" s="1085">
        <f t="shared" si="13"/>
        <v>8.6250000000000018</v>
      </c>
      <c r="J128" s="1087">
        <f t="shared" si="14"/>
        <v>5.7500000000000009</v>
      </c>
      <c r="K128" s="1085">
        <f t="shared" si="15"/>
        <v>0.85000000000000031</v>
      </c>
      <c r="L128" s="472">
        <v>18</v>
      </c>
    </row>
    <row r="129" spans="2:16" ht="13.5" customHeight="1" x14ac:dyDescent="0.2">
      <c r="B129" s="1084" t="str">
        <f t="shared" si="17"/>
        <v>T18</v>
      </c>
      <c r="C129" s="1085">
        <f t="shared" si="17"/>
        <v>1.2</v>
      </c>
      <c r="D129" s="1085">
        <v>1.45</v>
      </c>
      <c r="E129" s="1087">
        <v>1.5</v>
      </c>
      <c r="F129" s="1087">
        <f t="shared" si="11"/>
        <v>2.5</v>
      </c>
      <c r="G129" s="1087">
        <f t="shared" si="12"/>
        <v>2.3000000000000003</v>
      </c>
      <c r="H129" s="1087">
        <f t="shared" si="16"/>
        <v>1</v>
      </c>
      <c r="I129" s="1085">
        <f t="shared" si="13"/>
        <v>8.6250000000000018</v>
      </c>
      <c r="J129" s="1087">
        <f t="shared" si="14"/>
        <v>5.7500000000000009</v>
      </c>
      <c r="K129" s="1085">
        <f t="shared" si="15"/>
        <v>0.85000000000000031</v>
      </c>
      <c r="L129" s="472">
        <v>19</v>
      </c>
    </row>
    <row r="130" spans="2:16" ht="13.5" customHeight="1" x14ac:dyDescent="0.2">
      <c r="B130" s="1084" t="str">
        <f t="shared" si="17"/>
        <v>T19</v>
      </c>
      <c r="C130" s="1085">
        <f t="shared" si="17"/>
        <v>1.2</v>
      </c>
      <c r="D130" s="1085">
        <v>1.45</v>
      </c>
      <c r="E130" s="1087">
        <v>1.5</v>
      </c>
      <c r="F130" s="1087">
        <f t="shared" si="11"/>
        <v>2.5</v>
      </c>
      <c r="G130" s="1087">
        <f t="shared" si="12"/>
        <v>2.3000000000000003</v>
      </c>
      <c r="H130" s="1087">
        <f t="shared" si="16"/>
        <v>1</v>
      </c>
      <c r="I130" s="1085">
        <f t="shared" si="13"/>
        <v>8.6250000000000018</v>
      </c>
      <c r="J130" s="1087">
        <f t="shared" si="14"/>
        <v>5.7500000000000009</v>
      </c>
      <c r="K130" s="1085">
        <f t="shared" si="15"/>
        <v>0.85000000000000031</v>
      </c>
      <c r="L130" s="472">
        <v>20</v>
      </c>
    </row>
    <row r="131" spans="2:16" ht="13.5" customHeight="1" x14ac:dyDescent="0.2">
      <c r="B131" s="1084" t="str">
        <f t="shared" si="17"/>
        <v>T20</v>
      </c>
      <c r="C131" s="1085">
        <f t="shared" si="17"/>
        <v>1.2</v>
      </c>
      <c r="D131" s="1085">
        <v>1.45</v>
      </c>
      <c r="E131" s="1087">
        <v>1.5</v>
      </c>
      <c r="F131" s="1087">
        <f t="shared" si="11"/>
        <v>2.5</v>
      </c>
      <c r="G131" s="1087">
        <f t="shared" si="12"/>
        <v>2.4</v>
      </c>
      <c r="H131" s="1087">
        <f t="shared" si="16"/>
        <v>1</v>
      </c>
      <c r="I131" s="1085">
        <f t="shared" si="13"/>
        <v>9</v>
      </c>
      <c r="J131" s="1087">
        <f t="shared" si="14"/>
        <v>6</v>
      </c>
      <c r="K131" s="1085">
        <f t="shared" si="15"/>
        <v>0.95</v>
      </c>
      <c r="L131" s="472">
        <v>21</v>
      </c>
    </row>
    <row r="132" spans="2:16" ht="13.5" customHeight="1" x14ac:dyDescent="0.2">
      <c r="B132" s="1084" t="str">
        <f t="shared" si="17"/>
        <v>T7.2</v>
      </c>
      <c r="C132" s="1085">
        <f t="shared" si="17"/>
        <v>0.6</v>
      </c>
      <c r="D132" s="1085">
        <v>1.45</v>
      </c>
      <c r="E132" s="1087">
        <v>1.5</v>
      </c>
      <c r="F132" s="1087">
        <f t="shared" si="11"/>
        <v>2.5</v>
      </c>
      <c r="G132" s="1087">
        <f t="shared" si="12"/>
        <v>1.7000000000000002</v>
      </c>
      <c r="H132" s="1087">
        <f t="shared" si="16"/>
        <v>1</v>
      </c>
      <c r="I132" s="1085">
        <f>E132*F132*G132</f>
        <v>6.3750000000000009</v>
      </c>
      <c r="J132" s="1087">
        <f t="shared" si="14"/>
        <v>4.25</v>
      </c>
      <c r="K132" s="1085">
        <f t="shared" si="15"/>
        <v>0.25000000000000022</v>
      </c>
      <c r="L132" s="472">
        <v>22</v>
      </c>
    </row>
    <row r="133" spans="2:16" ht="13.5" customHeight="1" x14ac:dyDescent="0.2">
      <c r="B133" s="1084" t="str">
        <f t="shared" si="17"/>
        <v>T7.1</v>
      </c>
      <c r="C133" s="1085">
        <f t="shared" si="17"/>
        <v>0.6</v>
      </c>
      <c r="D133" s="1085">
        <v>1.45</v>
      </c>
      <c r="E133" s="1087">
        <v>1.5</v>
      </c>
      <c r="F133" s="1087">
        <f t="shared" si="11"/>
        <v>2.5</v>
      </c>
      <c r="G133" s="1087">
        <f t="shared" si="12"/>
        <v>1.7000000000000002</v>
      </c>
      <c r="H133" s="1087">
        <f t="shared" si="16"/>
        <v>1</v>
      </c>
      <c r="I133" s="1085">
        <f t="shared" si="13"/>
        <v>6.3750000000000009</v>
      </c>
      <c r="J133" s="1087">
        <f t="shared" si="14"/>
        <v>4.25</v>
      </c>
      <c r="K133" s="1085">
        <f t="shared" si="15"/>
        <v>0.25000000000000022</v>
      </c>
      <c r="L133" s="472">
        <v>23</v>
      </c>
    </row>
    <row r="134" spans="2:16" ht="13.5" customHeight="1" x14ac:dyDescent="0.2">
      <c r="B134" s="1084" t="str">
        <f t="shared" si="17"/>
        <v>T7.1.1</v>
      </c>
      <c r="C134" s="1085">
        <f t="shared" si="17"/>
        <v>0.6</v>
      </c>
      <c r="D134" s="1085">
        <v>1.45</v>
      </c>
      <c r="E134" s="1087">
        <v>1.5</v>
      </c>
      <c r="F134" s="1087">
        <f t="shared" si="11"/>
        <v>2.5</v>
      </c>
      <c r="G134" s="1087">
        <f t="shared" si="12"/>
        <v>1.7000000000000002</v>
      </c>
      <c r="H134" s="1087">
        <f t="shared" si="16"/>
        <v>1</v>
      </c>
      <c r="I134" s="1085">
        <f t="shared" si="13"/>
        <v>6.3750000000000009</v>
      </c>
      <c r="J134" s="1087">
        <f t="shared" si="14"/>
        <v>4.25</v>
      </c>
      <c r="K134" s="1085">
        <f t="shared" si="15"/>
        <v>0.25000000000000022</v>
      </c>
      <c r="L134" s="472">
        <v>24</v>
      </c>
    </row>
    <row r="135" spans="2:16" ht="13.5" customHeight="1" x14ac:dyDescent="0.2">
      <c r="B135" s="1084" t="str">
        <f t="shared" si="17"/>
        <v>T8.2</v>
      </c>
      <c r="C135" s="1085">
        <f t="shared" si="17"/>
        <v>0.6</v>
      </c>
      <c r="D135" s="1085">
        <v>1.45</v>
      </c>
      <c r="E135" s="1087">
        <v>1.5</v>
      </c>
      <c r="F135" s="1087">
        <f t="shared" si="11"/>
        <v>2.5</v>
      </c>
      <c r="G135" s="1087">
        <f t="shared" si="12"/>
        <v>1.7000000000000002</v>
      </c>
      <c r="H135" s="1087">
        <f t="shared" si="16"/>
        <v>1</v>
      </c>
      <c r="I135" s="1085">
        <f t="shared" si="13"/>
        <v>6.3750000000000009</v>
      </c>
      <c r="J135" s="1087">
        <f t="shared" si="14"/>
        <v>4.25</v>
      </c>
      <c r="K135" s="1085">
        <f t="shared" si="15"/>
        <v>0.25000000000000022</v>
      </c>
      <c r="L135" s="472">
        <v>25</v>
      </c>
    </row>
    <row r="136" spans="2:16" ht="13.5" customHeight="1" x14ac:dyDescent="0.2">
      <c r="B136" s="1084" t="str">
        <f t="shared" si="17"/>
        <v>T8.1</v>
      </c>
      <c r="C136" s="1085">
        <f t="shared" si="17"/>
        <v>0.6</v>
      </c>
      <c r="D136" s="1085">
        <v>1.45</v>
      </c>
      <c r="E136" s="1087">
        <v>1.5</v>
      </c>
      <c r="F136" s="1087">
        <f t="shared" si="11"/>
        <v>2.5</v>
      </c>
      <c r="G136" s="1087">
        <f t="shared" si="12"/>
        <v>1.7000000000000002</v>
      </c>
      <c r="H136" s="1087">
        <f t="shared" si="16"/>
        <v>1</v>
      </c>
      <c r="I136" s="1085">
        <f t="shared" si="13"/>
        <v>6.3750000000000009</v>
      </c>
      <c r="J136" s="1087">
        <f t="shared" si="14"/>
        <v>4.25</v>
      </c>
      <c r="K136" s="1085">
        <f t="shared" si="15"/>
        <v>0.25000000000000022</v>
      </c>
      <c r="L136" s="472">
        <v>26</v>
      </c>
    </row>
    <row r="137" spans="2:16" ht="13.5" customHeight="1" x14ac:dyDescent="0.2">
      <c r="B137" s="1084" t="str">
        <f t="shared" si="17"/>
        <v>T8.1.1</v>
      </c>
      <c r="C137" s="1085">
        <f t="shared" si="17"/>
        <v>0.6</v>
      </c>
      <c r="D137" s="1085">
        <v>1.45</v>
      </c>
      <c r="E137" s="1087">
        <v>1.5</v>
      </c>
      <c r="F137" s="1087">
        <f t="shared" si="11"/>
        <v>2.5</v>
      </c>
      <c r="G137" s="1087">
        <f t="shared" si="12"/>
        <v>1.7000000000000002</v>
      </c>
      <c r="H137" s="1087">
        <f t="shared" si="16"/>
        <v>1</v>
      </c>
      <c r="I137" s="1085">
        <f t="shared" si="13"/>
        <v>6.3750000000000009</v>
      </c>
      <c r="J137" s="1087">
        <f t="shared" si="14"/>
        <v>4.25</v>
      </c>
      <c r="K137" s="1085">
        <f t="shared" si="15"/>
        <v>0.25000000000000022</v>
      </c>
      <c r="L137" s="472">
        <v>27</v>
      </c>
    </row>
    <row r="138" spans="2:16" ht="13.5" customHeight="1" x14ac:dyDescent="0.2">
      <c r="B138" s="1084" t="str">
        <f t="shared" si="17"/>
        <v>T9.2</v>
      </c>
      <c r="C138" s="1085">
        <f t="shared" si="17"/>
        <v>0.6</v>
      </c>
      <c r="D138" s="1085">
        <v>1.45</v>
      </c>
      <c r="E138" s="1087">
        <v>1.5</v>
      </c>
      <c r="F138" s="1087">
        <f t="shared" si="11"/>
        <v>2.5</v>
      </c>
      <c r="G138" s="1087">
        <f t="shared" si="12"/>
        <v>1.7000000000000002</v>
      </c>
      <c r="H138" s="1087">
        <f t="shared" si="16"/>
        <v>1</v>
      </c>
      <c r="I138" s="1085">
        <f t="shared" si="13"/>
        <v>6.3750000000000009</v>
      </c>
      <c r="J138" s="1087">
        <f t="shared" si="14"/>
        <v>4.25</v>
      </c>
      <c r="K138" s="1085">
        <f t="shared" si="15"/>
        <v>0.25000000000000022</v>
      </c>
      <c r="L138" s="472">
        <v>28</v>
      </c>
    </row>
    <row r="139" spans="2:16" ht="13.5" customHeight="1" x14ac:dyDescent="0.2">
      <c r="B139" s="1084" t="str">
        <f t="shared" si="17"/>
        <v>T9.1</v>
      </c>
      <c r="C139" s="1085">
        <f t="shared" si="17"/>
        <v>0.6</v>
      </c>
      <c r="D139" s="1085">
        <v>1.45</v>
      </c>
      <c r="E139" s="1087">
        <v>1.5</v>
      </c>
      <c r="F139" s="1087">
        <f t="shared" si="11"/>
        <v>2.5</v>
      </c>
      <c r="G139" s="1087">
        <f t="shared" si="12"/>
        <v>1.7000000000000002</v>
      </c>
      <c r="H139" s="1087">
        <f t="shared" si="16"/>
        <v>1</v>
      </c>
      <c r="I139" s="1085">
        <f t="shared" si="13"/>
        <v>6.3750000000000009</v>
      </c>
      <c r="J139" s="1087">
        <f t="shared" si="14"/>
        <v>4.25</v>
      </c>
      <c r="K139" s="1085">
        <f t="shared" si="15"/>
        <v>0.25000000000000022</v>
      </c>
      <c r="L139" s="472">
        <v>29</v>
      </c>
    </row>
    <row r="140" spans="2:16" ht="13.5" customHeight="1" x14ac:dyDescent="0.2">
      <c r="B140" s="1084" t="str">
        <f t="shared" si="17"/>
        <v>T9.1.1</v>
      </c>
      <c r="C140" s="1085">
        <f t="shared" si="17"/>
        <v>0.6</v>
      </c>
      <c r="D140" s="1085">
        <v>1.45</v>
      </c>
      <c r="E140" s="1087">
        <v>1.5</v>
      </c>
      <c r="F140" s="1087">
        <f t="shared" si="11"/>
        <v>2.5</v>
      </c>
      <c r="G140" s="1087">
        <f t="shared" si="12"/>
        <v>1.7000000000000002</v>
      </c>
      <c r="H140" s="1087">
        <f t="shared" si="16"/>
        <v>1</v>
      </c>
      <c r="I140" s="1085">
        <f t="shared" si="13"/>
        <v>6.3750000000000009</v>
      </c>
      <c r="J140" s="1087">
        <f t="shared" si="14"/>
        <v>4.25</v>
      </c>
      <c r="K140" s="1085">
        <f t="shared" si="15"/>
        <v>0.25000000000000022</v>
      </c>
      <c r="L140" s="472">
        <v>30</v>
      </c>
    </row>
    <row r="141" spans="2:16" ht="13.5" customHeight="1" x14ac:dyDescent="0.2">
      <c r="B141" s="1658" t="s">
        <v>2837</v>
      </c>
      <c r="C141" s="1658"/>
      <c r="D141" s="1658"/>
      <c r="E141" s="1658"/>
      <c r="F141" s="1658"/>
      <c r="G141" s="1658"/>
      <c r="H141" s="1658"/>
      <c r="I141" s="1090">
        <f>TRUNC((SUM(I111:I140)),2)</f>
        <v>218.25</v>
      </c>
      <c r="J141" s="1090">
        <f>TRUNC((SUM(J111:J140)),2)</f>
        <v>145.5</v>
      </c>
      <c r="K141" s="1090">
        <f>TRUNC((SUM(K111:K140)),2)</f>
        <v>14.7</v>
      </c>
    </row>
    <row r="142" spans="2:16" ht="16.5" customHeight="1" x14ac:dyDescent="0.2">
      <c r="B142" s="1653" t="s">
        <v>555</v>
      </c>
      <c r="C142" s="1654"/>
      <c r="D142" s="1654"/>
      <c r="E142" s="1654"/>
      <c r="F142" s="1654"/>
      <c r="G142" s="1654"/>
      <c r="H142" s="1654"/>
      <c r="I142" s="1654"/>
      <c r="J142" s="1654"/>
      <c r="K142" s="1655"/>
    </row>
    <row r="143" spans="2:16" x14ac:dyDescent="0.2">
      <c r="B143" s="1084" t="str">
        <f t="shared" ref="B143:C158" si="18">B38</f>
        <v>T16.2</v>
      </c>
      <c r="C143" s="1085">
        <f t="shared" si="18"/>
        <v>0.6</v>
      </c>
      <c r="D143" s="1085">
        <v>1.45</v>
      </c>
      <c r="E143" s="1087">
        <v>1.5</v>
      </c>
      <c r="F143" s="1087">
        <f>E143+1</f>
        <v>2.5</v>
      </c>
      <c r="G143" s="1087">
        <f t="shared" ref="G143:G175" si="19">D38+0.1</f>
        <v>1.7000000000000002</v>
      </c>
      <c r="H143" s="1087">
        <v>1</v>
      </c>
      <c r="I143" s="1085">
        <f>E143*F143*G143</f>
        <v>6.3750000000000009</v>
      </c>
      <c r="J143" s="1087">
        <f>F143*G143</f>
        <v>4.25</v>
      </c>
      <c r="K143" s="1085">
        <f>G143-D143</f>
        <v>0.25000000000000022</v>
      </c>
      <c r="L143" s="472">
        <v>1</v>
      </c>
      <c r="P143" s="472">
        <v>14</v>
      </c>
    </row>
    <row r="144" spans="2:16" x14ac:dyDescent="0.2">
      <c r="B144" s="1084" t="str">
        <f t="shared" si="18"/>
        <v>T6.1</v>
      </c>
      <c r="C144" s="1085">
        <f t="shared" si="18"/>
        <v>0.8</v>
      </c>
      <c r="D144" s="1085">
        <v>1.45</v>
      </c>
      <c r="E144" s="1087">
        <v>1.5</v>
      </c>
      <c r="F144" s="1087">
        <f t="shared" ref="F144:F175" si="20">E144+1</f>
        <v>2.5</v>
      </c>
      <c r="G144" s="1087">
        <f t="shared" si="19"/>
        <v>1.9000000000000001</v>
      </c>
      <c r="H144" s="1087">
        <v>1</v>
      </c>
      <c r="I144" s="1085">
        <f t="shared" ref="I144:I175" si="21">E144*F144*G144</f>
        <v>7.1250000000000009</v>
      </c>
      <c r="J144" s="1087">
        <f t="shared" ref="J144:J175" si="22">F144*G144</f>
        <v>4.75</v>
      </c>
      <c r="K144" s="1085">
        <f>G144-D144</f>
        <v>0.45000000000000018</v>
      </c>
      <c r="L144" s="472">
        <v>2</v>
      </c>
      <c r="P144" s="472">
        <v>10</v>
      </c>
    </row>
    <row r="145" spans="2:16" x14ac:dyDescent="0.2">
      <c r="B145" s="1084" t="str">
        <f t="shared" si="18"/>
        <v>T13.3</v>
      </c>
      <c r="C145" s="1085">
        <f t="shared" si="18"/>
        <v>0.6</v>
      </c>
      <c r="D145" s="1085">
        <v>1.45</v>
      </c>
      <c r="E145" s="1087">
        <v>1.5</v>
      </c>
      <c r="F145" s="1087">
        <f t="shared" si="20"/>
        <v>2.5</v>
      </c>
      <c r="G145" s="1087">
        <f t="shared" si="19"/>
        <v>1.7000000000000002</v>
      </c>
      <c r="H145" s="1087">
        <v>1</v>
      </c>
      <c r="I145" s="1085">
        <f t="shared" si="21"/>
        <v>6.3750000000000009</v>
      </c>
      <c r="J145" s="1087">
        <f t="shared" si="22"/>
        <v>4.25</v>
      </c>
      <c r="K145" s="1085">
        <f t="shared" ref="K145:K175" si="23">G145-D145</f>
        <v>0.25000000000000022</v>
      </c>
      <c r="L145" s="472">
        <v>3</v>
      </c>
      <c r="P145" s="472">
        <v>5</v>
      </c>
    </row>
    <row r="146" spans="2:16" x14ac:dyDescent="0.2">
      <c r="B146" s="1084" t="str">
        <f t="shared" si="18"/>
        <v>T13.2</v>
      </c>
      <c r="C146" s="1085">
        <f t="shared" si="18"/>
        <v>0.6</v>
      </c>
      <c r="D146" s="1085">
        <v>1.45</v>
      </c>
      <c r="E146" s="1087">
        <v>1.5</v>
      </c>
      <c r="F146" s="1087">
        <f t="shared" si="20"/>
        <v>2.5</v>
      </c>
      <c r="G146" s="1087">
        <f t="shared" si="19"/>
        <v>1.7000000000000002</v>
      </c>
      <c r="H146" s="1087">
        <v>1</v>
      </c>
      <c r="I146" s="1085">
        <f t="shared" si="21"/>
        <v>6.3750000000000009</v>
      </c>
      <c r="J146" s="1087">
        <f t="shared" si="22"/>
        <v>4.25</v>
      </c>
      <c r="K146" s="1085">
        <f t="shared" si="23"/>
        <v>0.25000000000000022</v>
      </c>
      <c r="L146" s="472">
        <v>4</v>
      </c>
      <c r="P146" s="472">
        <v>16</v>
      </c>
    </row>
    <row r="147" spans="2:16" x14ac:dyDescent="0.2">
      <c r="B147" s="1084" t="str">
        <f t="shared" si="18"/>
        <v>T13.1</v>
      </c>
      <c r="C147" s="1085">
        <f t="shared" si="18"/>
        <v>0.6</v>
      </c>
      <c r="D147" s="1085">
        <v>1.45</v>
      </c>
      <c r="E147" s="1087">
        <v>1.5</v>
      </c>
      <c r="F147" s="1087">
        <f t="shared" si="20"/>
        <v>2.5</v>
      </c>
      <c r="G147" s="1087">
        <f t="shared" si="19"/>
        <v>1.6</v>
      </c>
      <c r="H147" s="1087">
        <v>1</v>
      </c>
      <c r="I147" s="1085">
        <f t="shared" si="21"/>
        <v>6</v>
      </c>
      <c r="J147" s="1087">
        <f t="shared" si="22"/>
        <v>4</v>
      </c>
      <c r="K147" s="1085">
        <f t="shared" si="23"/>
        <v>0.15000000000000013</v>
      </c>
      <c r="L147" s="472">
        <v>5</v>
      </c>
      <c r="P147" s="472">
        <v>8</v>
      </c>
    </row>
    <row r="148" spans="2:16" x14ac:dyDescent="0.2">
      <c r="B148" s="1084" t="str">
        <f t="shared" si="18"/>
        <v>T12.3</v>
      </c>
      <c r="C148" s="1085">
        <f t="shared" si="18"/>
        <v>0.6</v>
      </c>
      <c r="D148" s="1085">
        <v>1.45</v>
      </c>
      <c r="E148" s="1087">
        <v>1.5</v>
      </c>
      <c r="F148" s="1087">
        <f t="shared" si="20"/>
        <v>2.5</v>
      </c>
      <c r="G148" s="1087">
        <f t="shared" si="19"/>
        <v>1.7000000000000002</v>
      </c>
      <c r="H148" s="1087">
        <v>1</v>
      </c>
      <c r="I148" s="1085">
        <f t="shared" si="21"/>
        <v>6.3750000000000009</v>
      </c>
      <c r="J148" s="1087">
        <f t="shared" si="22"/>
        <v>4.25</v>
      </c>
      <c r="K148" s="1085">
        <f t="shared" si="23"/>
        <v>0.25000000000000022</v>
      </c>
      <c r="L148" s="472">
        <v>6</v>
      </c>
      <c r="P148" s="472">
        <v>10</v>
      </c>
    </row>
    <row r="149" spans="2:16" x14ac:dyDescent="0.2">
      <c r="B149" s="1084" t="str">
        <f t="shared" si="18"/>
        <v>T12.2</v>
      </c>
      <c r="C149" s="1085">
        <f t="shared" si="18"/>
        <v>0.6</v>
      </c>
      <c r="D149" s="1085">
        <v>1.45</v>
      </c>
      <c r="E149" s="1087">
        <v>1.5</v>
      </c>
      <c r="F149" s="1087">
        <f t="shared" si="20"/>
        <v>2.5</v>
      </c>
      <c r="G149" s="1087">
        <f t="shared" si="19"/>
        <v>1.7000000000000002</v>
      </c>
      <c r="H149" s="1087">
        <v>1</v>
      </c>
      <c r="I149" s="1085">
        <f t="shared" si="21"/>
        <v>6.3750000000000009</v>
      </c>
      <c r="J149" s="1087">
        <f t="shared" si="22"/>
        <v>4.25</v>
      </c>
      <c r="K149" s="1085">
        <f t="shared" si="23"/>
        <v>0.25000000000000022</v>
      </c>
      <c r="L149" s="472">
        <v>7</v>
      </c>
      <c r="P149" s="472">
        <v>12</v>
      </c>
    </row>
    <row r="150" spans="2:16" x14ac:dyDescent="0.2">
      <c r="B150" s="1084" t="str">
        <f t="shared" si="18"/>
        <v>T12.1</v>
      </c>
      <c r="C150" s="1085">
        <f t="shared" si="18"/>
        <v>1</v>
      </c>
      <c r="D150" s="1085">
        <v>1.45</v>
      </c>
      <c r="E150" s="1087">
        <v>1.5</v>
      </c>
      <c r="F150" s="1087">
        <f t="shared" si="20"/>
        <v>2.5</v>
      </c>
      <c r="G150" s="1087">
        <f t="shared" si="19"/>
        <v>2.1</v>
      </c>
      <c r="H150" s="1087">
        <v>1</v>
      </c>
      <c r="I150" s="1085">
        <f t="shared" si="21"/>
        <v>7.875</v>
      </c>
      <c r="J150" s="1087">
        <f t="shared" si="22"/>
        <v>5.25</v>
      </c>
      <c r="K150" s="1085">
        <f t="shared" si="23"/>
        <v>0.65000000000000013</v>
      </c>
      <c r="L150" s="472">
        <v>8</v>
      </c>
      <c r="P150" s="472">
        <v>19</v>
      </c>
    </row>
    <row r="151" spans="2:16" x14ac:dyDescent="0.2">
      <c r="B151" s="1084" t="str">
        <f t="shared" si="18"/>
        <v>T6.2</v>
      </c>
      <c r="C151" s="1085">
        <f t="shared" si="18"/>
        <v>0.6</v>
      </c>
      <c r="D151" s="1085">
        <v>1.45</v>
      </c>
      <c r="E151" s="1087">
        <v>1.5</v>
      </c>
      <c r="F151" s="1087">
        <f t="shared" si="20"/>
        <v>2.5</v>
      </c>
      <c r="G151" s="1087">
        <f t="shared" si="19"/>
        <v>1.7000000000000002</v>
      </c>
      <c r="H151" s="1087">
        <v>1</v>
      </c>
      <c r="I151" s="1085">
        <f t="shared" si="21"/>
        <v>6.3750000000000009</v>
      </c>
      <c r="J151" s="1087">
        <f t="shared" si="22"/>
        <v>4.25</v>
      </c>
      <c r="K151" s="1085">
        <f t="shared" si="23"/>
        <v>0.25000000000000022</v>
      </c>
      <c r="L151" s="472">
        <v>9</v>
      </c>
      <c r="P151" s="472">
        <v>8</v>
      </c>
    </row>
    <row r="152" spans="2:16" x14ac:dyDescent="0.2">
      <c r="B152" s="1084" t="str">
        <f t="shared" si="18"/>
        <v>T6.1</v>
      </c>
      <c r="C152" s="1085">
        <f t="shared" si="18"/>
        <v>0.6</v>
      </c>
      <c r="D152" s="1085">
        <v>1.45</v>
      </c>
      <c r="E152" s="1087">
        <v>1.5</v>
      </c>
      <c r="F152" s="1087">
        <f t="shared" si="20"/>
        <v>2.5</v>
      </c>
      <c r="G152" s="1087">
        <f t="shared" si="19"/>
        <v>1.7000000000000002</v>
      </c>
      <c r="H152" s="1087">
        <v>1</v>
      </c>
      <c r="I152" s="1085">
        <f t="shared" si="21"/>
        <v>6.3750000000000009</v>
      </c>
      <c r="J152" s="1087">
        <f t="shared" si="22"/>
        <v>4.25</v>
      </c>
      <c r="K152" s="1085">
        <f t="shared" si="23"/>
        <v>0.25000000000000022</v>
      </c>
      <c r="L152" s="472">
        <v>10</v>
      </c>
      <c r="P152" s="472">
        <v>8</v>
      </c>
    </row>
    <row r="153" spans="2:16" x14ac:dyDescent="0.2">
      <c r="B153" s="1084" t="str">
        <f t="shared" si="18"/>
        <v>T6</v>
      </c>
      <c r="C153" s="1085">
        <f t="shared" si="18"/>
        <v>0.8</v>
      </c>
      <c r="D153" s="1085">
        <v>1.45</v>
      </c>
      <c r="E153" s="1087">
        <v>1.5</v>
      </c>
      <c r="F153" s="1087">
        <f t="shared" si="20"/>
        <v>2.5</v>
      </c>
      <c r="G153" s="1087">
        <f t="shared" si="19"/>
        <v>1.9000000000000001</v>
      </c>
      <c r="H153" s="1087">
        <v>1</v>
      </c>
      <c r="I153" s="1085">
        <f t="shared" si="21"/>
        <v>7.1250000000000009</v>
      </c>
      <c r="J153" s="1087">
        <f t="shared" si="22"/>
        <v>4.75</v>
      </c>
      <c r="K153" s="1085">
        <f t="shared" si="23"/>
        <v>0.45000000000000018</v>
      </c>
      <c r="L153" s="472">
        <v>11</v>
      </c>
      <c r="P153" s="472">
        <v>12</v>
      </c>
    </row>
    <row r="154" spans="2:16" x14ac:dyDescent="0.2">
      <c r="B154" s="1084" t="str">
        <f t="shared" si="18"/>
        <v>T7</v>
      </c>
      <c r="C154" s="1085">
        <f t="shared" si="18"/>
        <v>0.8</v>
      </c>
      <c r="D154" s="1085">
        <v>1.45</v>
      </c>
      <c r="E154" s="1087">
        <v>1.5</v>
      </c>
      <c r="F154" s="1087">
        <f t="shared" si="20"/>
        <v>2.5</v>
      </c>
      <c r="G154" s="1087">
        <f t="shared" si="19"/>
        <v>1.9000000000000001</v>
      </c>
      <c r="H154" s="1087">
        <v>1</v>
      </c>
      <c r="I154" s="1085">
        <f t="shared" si="21"/>
        <v>7.1250000000000009</v>
      </c>
      <c r="J154" s="1087">
        <f t="shared" si="22"/>
        <v>4.75</v>
      </c>
      <c r="K154" s="1085">
        <f t="shared" si="23"/>
        <v>0.45000000000000018</v>
      </c>
      <c r="L154" s="472">
        <v>12</v>
      </c>
      <c r="P154" s="472">
        <v>19</v>
      </c>
    </row>
    <row r="155" spans="2:16" x14ac:dyDescent="0.2">
      <c r="B155" s="1084" t="str">
        <f t="shared" si="18"/>
        <v>T8</v>
      </c>
      <c r="C155" s="1085">
        <f t="shared" si="18"/>
        <v>0.8</v>
      </c>
      <c r="D155" s="1085">
        <v>1.45</v>
      </c>
      <c r="E155" s="1087">
        <v>1.5</v>
      </c>
      <c r="F155" s="1087">
        <f t="shared" si="20"/>
        <v>2.5</v>
      </c>
      <c r="G155" s="1087">
        <f t="shared" si="19"/>
        <v>1.9000000000000001</v>
      </c>
      <c r="H155" s="1087">
        <v>1</v>
      </c>
      <c r="I155" s="1085">
        <f t="shared" si="21"/>
        <v>7.1250000000000009</v>
      </c>
      <c r="J155" s="1087">
        <f t="shared" si="22"/>
        <v>4.75</v>
      </c>
      <c r="K155" s="1085">
        <f t="shared" si="23"/>
        <v>0.45000000000000018</v>
      </c>
      <c r="L155" s="472">
        <v>13</v>
      </c>
      <c r="P155" s="472">
        <v>12</v>
      </c>
    </row>
    <row r="156" spans="2:16" x14ac:dyDescent="0.2">
      <c r="B156" s="1084" t="str">
        <f t="shared" si="18"/>
        <v>T9</v>
      </c>
      <c r="C156" s="1085">
        <f t="shared" si="18"/>
        <v>0.8</v>
      </c>
      <c r="D156" s="1085">
        <v>1.45</v>
      </c>
      <c r="E156" s="1087">
        <v>1.5</v>
      </c>
      <c r="F156" s="1087">
        <f t="shared" si="20"/>
        <v>2.5</v>
      </c>
      <c r="G156" s="1087">
        <f t="shared" si="19"/>
        <v>1.9000000000000001</v>
      </c>
      <c r="H156" s="1087">
        <v>1</v>
      </c>
      <c r="I156" s="1085">
        <f t="shared" si="21"/>
        <v>7.1250000000000009</v>
      </c>
      <c r="J156" s="1087">
        <f t="shared" si="22"/>
        <v>4.75</v>
      </c>
      <c r="K156" s="1085">
        <f t="shared" si="23"/>
        <v>0.45000000000000018</v>
      </c>
      <c r="L156" s="472">
        <v>14</v>
      </c>
      <c r="P156" s="472">
        <v>20</v>
      </c>
    </row>
    <row r="157" spans="2:16" x14ac:dyDescent="0.2">
      <c r="B157" s="1084" t="str">
        <f t="shared" si="18"/>
        <v>T10</v>
      </c>
      <c r="C157" s="1085">
        <f t="shared" si="18"/>
        <v>0.8</v>
      </c>
      <c r="D157" s="1085">
        <v>1.45</v>
      </c>
      <c r="E157" s="1087">
        <v>1.5</v>
      </c>
      <c r="F157" s="1087">
        <f t="shared" si="20"/>
        <v>2.5</v>
      </c>
      <c r="G157" s="1087">
        <f t="shared" si="19"/>
        <v>1.9000000000000001</v>
      </c>
      <c r="H157" s="1087">
        <v>1</v>
      </c>
      <c r="I157" s="1085">
        <f t="shared" si="21"/>
        <v>7.1250000000000009</v>
      </c>
      <c r="J157" s="1087">
        <f t="shared" si="22"/>
        <v>4.75</v>
      </c>
      <c r="K157" s="1085">
        <f t="shared" si="23"/>
        <v>0.45000000000000018</v>
      </c>
      <c r="L157" s="472">
        <v>15</v>
      </c>
      <c r="P157" s="472">
        <v>14</v>
      </c>
    </row>
    <row r="158" spans="2:16" x14ac:dyDescent="0.2">
      <c r="B158" s="1084" t="str">
        <f t="shared" si="18"/>
        <v>T11</v>
      </c>
      <c r="C158" s="1085">
        <f t="shared" si="18"/>
        <v>1</v>
      </c>
      <c r="D158" s="1085">
        <v>1.45</v>
      </c>
      <c r="E158" s="1087">
        <v>1.5</v>
      </c>
      <c r="F158" s="1087">
        <f t="shared" si="20"/>
        <v>2.5</v>
      </c>
      <c r="G158" s="1087">
        <f t="shared" si="19"/>
        <v>2.1</v>
      </c>
      <c r="H158" s="1087">
        <v>1</v>
      </c>
      <c r="I158" s="1085">
        <f t="shared" si="21"/>
        <v>7.875</v>
      </c>
      <c r="J158" s="1087">
        <f t="shared" si="22"/>
        <v>5.25</v>
      </c>
      <c r="K158" s="1085">
        <f t="shared" si="23"/>
        <v>0.65000000000000013</v>
      </c>
      <c r="L158" s="472">
        <v>16</v>
      </c>
      <c r="P158" s="472">
        <v>12</v>
      </c>
    </row>
    <row r="159" spans="2:16" x14ac:dyDescent="0.2">
      <c r="B159" s="1084" t="str">
        <f t="shared" ref="B159:C174" si="24">B54</f>
        <v>T12</v>
      </c>
      <c r="C159" s="1085">
        <f t="shared" si="24"/>
        <v>1</v>
      </c>
      <c r="D159" s="1085">
        <v>1.45</v>
      </c>
      <c r="E159" s="1087">
        <v>1.5</v>
      </c>
      <c r="F159" s="1087">
        <f t="shared" si="20"/>
        <v>2.5</v>
      </c>
      <c r="G159" s="1087">
        <f t="shared" si="19"/>
        <v>2.1</v>
      </c>
      <c r="H159" s="1087">
        <v>1</v>
      </c>
      <c r="I159" s="1085">
        <f t="shared" si="21"/>
        <v>7.875</v>
      </c>
      <c r="J159" s="1087">
        <f t="shared" si="22"/>
        <v>5.25</v>
      </c>
      <c r="K159" s="1085">
        <f t="shared" si="23"/>
        <v>0.65000000000000013</v>
      </c>
      <c r="L159" s="472">
        <v>17</v>
      </c>
      <c r="P159" s="472">
        <v>12</v>
      </c>
    </row>
    <row r="160" spans="2:16" x14ac:dyDescent="0.2">
      <c r="B160" s="1084" t="str">
        <f t="shared" si="24"/>
        <v>T13</v>
      </c>
      <c r="C160" s="1085">
        <f t="shared" si="24"/>
        <v>1</v>
      </c>
      <c r="D160" s="1085">
        <v>1.45</v>
      </c>
      <c r="E160" s="1087">
        <v>1.5</v>
      </c>
      <c r="F160" s="1087">
        <f t="shared" si="20"/>
        <v>2.5</v>
      </c>
      <c r="G160" s="1087">
        <f t="shared" si="19"/>
        <v>2.1</v>
      </c>
      <c r="H160" s="1087">
        <v>1</v>
      </c>
      <c r="I160" s="1085">
        <f t="shared" si="21"/>
        <v>7.875</v>
      </c>
      <c r="J160" s="1087">
        <f t="shared" si="22"/>
        <v>5.25</v>
      </c>
      <c r="K160" s="1085">
        <f t="shared" si="23"/>
        <v>0.65000000000000013</v>
      </c>
      <c r="L160" s="472">
        <v>18</v>
      </c>
      <c r="P160" s="472">
        <v>16</v>
      </c>
    </row>
    <row r="161" spans="2:16" x14ac:dyDescent="0.2">
      <c r="B161" s="1084" t="str">
        <f t="shared" si="24"/>
        <v>T14</v>
      </c>
      <c r="C161" s="1085">
        <f t="shared" si="24"/>
        <v>1</v>
      </c>
      <c r="D161" s="1085">
        <v>1.45</v>
      </c>
      <c r="E161" s="1087">
        <v>1.5</v>
      </c>
      <c r="F161" s="1087">
        <f t="shared" si="20"/>
        <v>2.5</v>
      </c>
      <c r="G161" s="1087">
        <f t="shared" si="19"/>
        <v>2.1</v>
      </c>
      <c r="H161" s="1087">
        <v>1</v>
      </c>
      <c r="I161" s="1085">
        <f t="shared" si="21"/>
        <v>7.875</v>
      </c>
      <c r="J161" s="1087">
        <f t="shared" si="22"/>
        <v>5.25</v>
      </c>
      <c r="K161" s="1085">
        <f t="shared" si="23"/>
        <v>0.65000000000000013</v>
      </c>
      <c r="L161" s="472">
        <v>19</v>
      </c>
      <c r="P161" s="472">
        <v>19</v>
      </c>
    </row>
    <row r="162" spans="2:16" x14ac:dyDescent="0.2">
      <c r="B162" s="1084" t="str">
        <f t="shared" si="24"/>
        <v>T15</v>
      </c>
      <c r="C162" s="1085">
        <f t="shared" si="24"/>
        <v>1</v>
      </c>
      <c r="D162" s="1085">
        <v>1.45</v>
      </c>
      <c r="E162" s="1087">
        <v>1.5</v>
      </c>
      <c r="F162" s="1087">
        <f t="shared" si="20"/>
        <v>2.5</v>
      </c>
      <c r="G162" s="1087">
        <f t="shared" si="19"/>
        <v>2.1</v>
      </c>
      <c r="H162" s="1087">
        <v>1</v>
      </c>
      <c r="I162" s="1085">
        <f t="shared" si="21"/>
        <v>7.875</v>
      </c>
      <c r="J162" s="1087">
        <f t="shared" si="22"/>
        <v>5.25</v>
      </c>
      <c r="K162" s="1085">
        <f t="shared" si="23"/>
        <v>0.65000000000000013</v>
      </c>
      <c r="L162" s="472">
        <v>20</v>
      </c>
      <c r="P162" s="472">
        <v>20</v>
      </c>
    </row>
    <row r="163" spans="2:16" x14ac:dyDescent="0.2">
      <c r="B163" s="1084" t="str">
        <f t="shared" si="24"/>
        <v>T16</v>
      </c>
      <c r="C163" s="1085">
        <f t="shared" si="24"/>
        <v>1</v>
      </c>
      <c r="D163" s="1085">
        <v>1.45</v>
      </c>
      <c r="E163" s="1087">
        <v>1.5</v>
      </c>
      <c r="F163" s="1087">
        <f t="shared" si="20"/>
        <v>2.5</v>
      </c>
      <c r="G163" s="1087">
        <f t="shared" si="19"/>
        <v>2.1</v>
      </c>
      <c r="H163" s="1087">
        <v>1</v>
      </c>
      <c r="I163" s="1085">
        <f t="shared" si="21"/>
        <v>7.875</v>
      </c>
      <c r="J163" s="1087">
        <f t="shared" si="22"/>
        <v>5.25</v>
      </c>
      <c r="K163" s="1085">
        <f t="shared" si="23"/>
        <v>0.65000000000000013</v>
      </c>
      <c r="L163" s="472">
        <v>21</v>
      </c>
      <c r="P163" s="472">
        <v>16</v>
      </c>
    </row>
    <row r="164" spans="2:16" x14ac:dyDescent="0.2">
      <c r="B164" s="1084" t="str">
        <f t="shared" si="24"/>
        <v>T17</v>
      </c>
      <c r="C164" s="1085">
        <f t="shared" si="24"/>
        <v>1</v>
      </c>
      <c r="D164" s="1085">
        <v>1.45</v>
      </c>
      <c r="E164" s="1087">
        <v>1.5</v>
      </c>
      <c r="F164" s="1087">
        <f t="shared" si="20"/>
        <v>2.5</v>
      </c>
      <c r="G164" s="1087">
        <f t="shared" si="19"/>
        <v>2.1</v>
      </c>
      <c r="H164" s="1087">
        <v>1</v>
      </c>
      <c r="I164" s="1085">
        <f t="shared" si="21"/>
        <v>7.875</v>
      </c>
      <c r="J164" s="1087">
        <f t="shared" si="22"/>
        <v>5.25</v>
      </c>
      <c r="K164" s="1085">
        <f t="shared" si="23"/>
        <v>0.65000000000000013</v>
      </c>
      <c r="L164" s="472">
        <v>22</v>
      </c>
      <c r="P164" s="472">
        <v>20</v>
      </c>
    </row>
    <row r="165" spans="2:16" x14ac:dyDescent="0.2">
      <c r="B165" s="1084" t="str">
        <f t="shared" si="24"/>
        <v>T18</v>
      </c>
      <c r="C165" s="1085">
        <f t="shared" si="24"/>
        <v>1</v>
      </c>
      <c r="D165" s="1085">
        <v>1.45</v>
      </c>
      <c r="E165" s="1087">
        <v>1.5</v>
      </c>
      <c r="F165" s="1087">
        <f t="shared" si="20"/>
        <v>2.5</v>
      </c>
      <c r="G165" s="1087">
        <f t="shared" si="19"/>
        <v>2.1</v>
      </c>
      <c r="H165" s="1087">
        <v>1</v>
      </c>
      <c r="I165" s="1085">
        <f t="shared" si="21"/>
        <v>7.875</v>
      </c>
      <c r="J165" s="1087">
        <f t="shared" si="22"/>
        <v>5.25</v>
      </c>
      <c r="K165" s="1085">
        <f t="shared" si="23"/>
        <v>0.65000000000000013</v>
      </c>
      <c r="L165" s="472">
        <v>23</v>
      </c>
      <c r="P165" s="472">
        <v>14</v>
      </c>
    </row>
    <row r="166" spans="2:16" x14ac:dyDescent="0.2">
      <c r="B166" s="1084" t="str">
        <f t="shared" si="24"/>
        <v>T5</v>
      </c>
      <c r="C166" s="1085">
        <f t="shared" si="24"/>
        <v>0.6</v>
      </c>
      <c r="D166" s="1085">
        <v>1.45</v>
      </c>
      <c r="E166" s="1087">
        <v>1.5</v>
      </c>
      <c r="F166" s="1087">
        <f t="shared" si="20"/>
        <v>2.5</v>
      </c>
      <c r="G166" s="1087">
        <f t="shared" si="19"/>
        <v>1.7000000000000002</v>
      </c>
      <c r="H166" s="1087">
        <v>1</v>
      </c>
      <c r="I166" s="1085">
        <f t="shared" si="21"/>
        <v>6.3750000000000009</v>
      </c>
      <c r="J166" s="1087">
        <f t="shared" si="22"/>
        <v>4.25</v>
      </c>
      <c r="K166" s="1085">
        <f t="shared" si="23"/>
        <v>0.25000000000000022</v>
      </c>
      <c r="L166" s="472">
        <v>24</v>
      </c>
      <c r="P166" s="472">
        <v>12</v>
      </c>
    </row>
    <row r="167" spans="2:16" x14ac:dyDescent="0.2">
      <c r="B167" s="1084" t="str">
        <f t="shared" si="24"/>
        <v>T8.1</v>
      </c>
      <c r="C167" s="1085">
        <f t="shared" si="24"/>
        <v>0.6</v>
      </c>
      <c r="D167" s="1085">
        <v>1.45</v>
      </c>
      <c r="E167" s="1087">
        <v>1.5</v>
      </c>
      <c r="F167" s="1087">
        <f t="shared" si="20"/>
        <v>2.5</v>
      </c>
      <c r="G167" s="1087">
        <f t="shared" si="19"/>
        <v>1.7000000000000002</v>
      </c>
      <c r="H167" s="1087">
        <v>1</v>
      </c>
      <c r="I167" s="1085">
        <f t="shared" si="21"/>
        <v>6.3750000000000009</v>
      </c>
      <c r="J167" s="1087">
        <f t="shared" si="22"/>
        <v>4.25</v>
      </c>
      <c r="K167" s="1085">
        <f t="shared" si="23"/>
        <v>0.25000000000000022</v>
      </c>
      <c r="L167" s="472">
        <v>25</v>
      </c>
      <c r="P167" s="472">
        <v>14</v>
      </c>
    </row>
    <row r="168" spans="2:16" x14ac:dyDescent="0.2">
      <c r="B168" s="1084" t="str">
        <f t="shared" si="24"/>
        <v>T16b4</v>
      </c>
      <c r="C168" s="1085">
        <f t="shared" si="24"/>
        <v>0.6</v>
      </c>
      <c r="D168" s="1085">
        <v>1.45</v>
      </c>
      <c r="E168" s="1087">
        <v>1.5</v>
      </c>
      <c r="F168" s="1087">
        <f t="shared" si="20"/>
        <v>2.5</v>
      </c>
      <c r="G168" s="1087">
        <f t="shared" si="19"/>
        <v>1.7000000000000002</v>
      </c>
      <c r="H168" s="1087">
        <v>1</v>
      </c>
      <c r="I168" s="1085">
        <f t="shared" si="21"/>
        <v>6.3750000000000009</v>
      </c>
      <c r="J168" s="1087">
        <f t="shared" si="22"/>
        <v>4.25</v>
      </c>
      <c r="K168" s="1085">
        <f t="shared" si="23"/>
        <v>0.25000000000000022</v>
      </c>
      <c r="L168" s="472">
        <v>26</v>
      </c>
      <c r="P168" s="472">
        <f>SUM(P143:P167)</f>
        <v>342</v>
      </c>
    </row>
    <row r="169" spans="2:16" x14ac:dyDescent="0.2">
      <c r="B169" s="1084" t="str">
        <f t="shared" si="24"/>
        <v>T16b3</v>
      </c>
      <c r="C169" s="1085">
        <f t="shared" si="24"/>
        <v>0.6</v>
      </c>
      <c r="D169" s="1085">
        <v>1.45</v>
      </c>
      <c r="E169" s="1087">
        <v>1.5</v>
      </c>
      <c r="F169" s="1087">
        <f t="shared" si="20"/>
        <v>2.5</v>
      </c>
      <c r="G169" s="1087">
        <f t="shared" si="19"/>
        <v>1.7000000000000002</v>
      </c>
      <c r="H169" s="1087">
        <v>1</v>
      </c>
      <c r="I169" s="1085">
        <f t="shared" si="21"/>
        <v>6.3750000000000009</v>
      </c>
      <c r="J169" s="1087">
        <f t="shared" si="22"/>
        <v>4.25</v>
      </c>
      <c r="K169" s="1085">
        <f t="shared" si="23"/>
        <v>0.25000000000000022</v>
      </c>
      <c r="L169" s="472">
        <v>27</v>
      </c>
    </row>
    <row r="170" spans="2:16" x14ac:dyDescent="0.2">
      <c r="B170" s="1084" t="str">
        <f t="shared" si="24"/>
        <v>T16b2</v>
      </c>
      <c r="C170" s="1085">
        <f t="shared" si="24"/>
        <v>0.6</v>
      </c>
      <c r="D170" s="1085">
        <v>1.45</v>
      </c>
      <c r="E170" s="1087">
        <v>1.5</v>
      </c>
      <c r="F170" s="1087">
        <f t="shared" si="20"/>
        <v>2.5</v>
      </c>
      <c r="G170" s="1087">
        <f t="shared" si="19"/>
        <v>1.7000000000000002</v>
      </c>
      <c r="H170" s="1087">
        <v>1</v>
      </c>
      <c r="I170" s="1085">
        <f t="shared" si="21"/>
        <v>6.3750000000000009</v>
      </c>
      <c r="J170" s="1087">
        <f t="shared" si="22"/>
        <v>4.25</v>
      </c>
      <c r="K170" s="1085">
        <f t="shared" si="23"/>
        <v>0.25000000000000022</v>
      </c>
      <c r="L170" s="472">
        <v>28</v>
      </c>
    </row>
    <row r="171" spans="2:16" x14ac:dyDescent="0.2">
      <c r="B171" s="1084" t="str">
        <f t="shared" si="24"/>
        <v>T16b1</v>
      </c>
      <c r="C171" s="1085">
        <f t="shared" si="24"/>
        <v>0.6</v>
      </c>
      <c r="D171" s="1085">
        <v>1.45</v>
      </c>
      <c r="E171" s="1087">
        <v>1.5</v>
      </c>
      <c r="F171" s="1087">
        <f t="shared" si="20"/>
        <v>2.5</v>
      </c>
      <c r="G171" s="1087">
        <f t="shared" si="19"/>
        <v>1.7000000000000002</v>
      </c>
      <c r="H171" s="1087">
        <v>1</v>
      </c>
      <c r="I171" s="1085">
        <f t="shared" si="21"/>
        <v>6.3750000000000009</v>
      </c>
      <c r="J171" s="1087">
        <f t="shared" si="22"/>
        <v>4.25</v>
      </c>
      <c r="K171" s="1085">
        <f t="shared" si="23"/>
        <v>0.25000000000000022</v>
      </c>
      <c r="L171" s="472">
        <v>29</v>
      </c>
    </row>
    <row r="172" spans="2:16" x14ac:dyDescent="0.2">
      <c r="B172" s="1084" t="str">
        <f t="shared" si="24"/>
        <v>T16b</v>
      </c>
      <c r="C172" s="1085">
        <f t="shared" si="24"/>
        <v>0.6</v>
      </c>
      <c r="D172" s="1085">
        <v>1.45</v>
      </c>
      <c r="E172" s="1087">
        <v>1.5</v>
      </c>
      <c r="F172" s="1087">
        <f t="shared" si="20"/>
        <v>2.5</v>
      </c>
      <c r="G172" s="1087">
        <f t="shared" si="19"/>
        <v>1.7000000000000002</v>
      </c>
      <c r="H172" s="1087">
        <v>1</v>
      </c>
      <c r="I172" s="1085">
        <f t="shared" si="21"/>
        <v>6.3750000000000009</v>
      </c>
      <c r="J172" s="1087">
        <f t="shared" si="22"/>
        <v>4.25</v>
      </c>
      <c r="K172" s="1085">
        <f t="shared" si="23"/>
        <v>0.25000000000000022</v>
      </c>
      <c r="L172" s="472">
        <v>30</v>
      </c>
    </row>
    <row r="173" spans="2:16" x14ac:dyDescent="0.2">
      <c r="B173" s="1084" t="str">
        <f t="shared" si="24"/>
        <v>T16c</v>
      </c>
      <c r="C173" s="1085">
        <f t="shared" si="24"/>
        <v>0.6</v>
      </c>
      <c r="D173" s="1085">
        <v>1.45</v>
      </c>
      <c r="E173" s="1087">
        <v>1.5</v>
      </c>
      <c r="F173" s="1087">
        <f t="shared" si="20"/>
        <v>2.5</v>
      </c>
      <c r="G173" s="1087">
        <f t="shared" si="19"/>
        <v>1.7000000000000002</v>
      </c>
      <c r="H173" s="1087">
        <v>1</v>
      </c>
      <c r="I173" s="1085">
        <f t="shared" si="21"/>
        <v>6.3750000000000009</v>
      </c>
      <c r="J173" s="1087">
        <f t="shared" si="22"/>
        <v>4.25</v>
      </c>
      <c r="K173" s="1085">
        <f t="shared" si="23"/>
        <v>0.25000000000000022</v>
      </c>
      <c r="L173" s="472">
        <v>31</v>
      </c>
    </row>
    <row r="174" spans="2:16" x14ac:dyDescent="0.2">
      <c r="B174" s="1084" t="str">
        <f t="shared" si="24"/>
        <v>T16d</v>
      </c>
      <c r="C174" s="1085">
        <f t="shared" si="24"/>
        <v>0.8</v>
      </c>
      <c r="D174" s="1085">
        <v>1.45</v>
      </c>
      <c r="E174" s="1087">
        <v>1.5</v>
      </c>
      <c r="F174" s="1087">
        <f t="shared" si="20"/>
        <v>2.5</v>
      </c>
      <c r="G174" s="1087">
        <f t="shared" si="19"/>
        <v>1.9000000000000001</v>
      </c>
      <c r="H174" s="1087">
        <v>1</v>
      </c>
      <c r="I174" s="1085">
        <f t="shared" si="21"/>
        <v>7.1250000000000009</v>
      </c>
      <c r="J174" s="1087">
        <f t="shared" si="22"/>
        <v>4.75</v>
      </c>
      <c r="K174" s="1085">
        <f t="shared" si="23"/>
        <v>0.45000000000000018</v>
      </c>
      <c r="L174" s="472">
        <v>32</v>
      </c>
    </row>
    <row r="175" spans="2:16" x14ac:dyDescent="0.2">
      <c r="B175" s="1084" t="str">
        <f>B70</f>
        <v>T16a</v>
      </c>
      <c r="C175" s="1085">
        <f>C70</f>
        <v>0.6</v>
      </c>
      <c r="D175" s="1085">
        <v>1.45</v>
      </c>
      <c r="E175" s="1087">
        <v>1.5</v>
      </c>
      <c r="F175" s="1087">
        <f t="shared" si="20"/>
        <v>2.5</v>
      </c>
      <c r="G175" s="1087">
        <f t="shared" si="19"/>
        <v>1.7000000000000002</v>
      </c>
      <c r="H175" s="1087">
        <v>1</v>
      </c>
      <c r="I175" s="1085">
        <f t="shared" si="21"/>
        <v>6.3750000000000009</v>
      </c>
      <c r="J175" s="1087">
        <f t="shared" si="22"/>
        <v>4.25</v>
      </c>
      <c r="K175" s="1085">
        <f t="shared" si="23"/>
        <v>0.25000000000000022</v>
      </c>
      <c r="L175" s="472">
        <v>33</v>
      </c>
    </row>
    <row r="176" spans="2:16" ht="15" x14ac:dyDescent="0.2">
      <c r="B176" s="1658" t="s">
        <v>2838</v>
      </c>
      <c r="C176" s="1658"/>
      <c r="D176" s="1658"/>
      <c r="E176" s="1658"/>
      <c r="F176" s="1658"/>
      <c r="G176" s="1658"/>
      <c r="H176" s="1658"/>
      <c r="I176" s="1090">
        <f>TRUNC((SUM(I143:I175)),2)</f>
        <v>228.75</v>
      </c>
      <c r="J176" s="1090">
        <f>TRUNC((SUM(J143:J175)),2)</f>
        <v>152.5</v>
      </c>
      <c r="K176" s="1090">
        <f>TRUNC((SUM(K143:K175)),2)</f>
        <v>13.15</v>
      </c>
    </row>
    <row r="177" spans="1:24" s="478" customFormat="1" ht="20.100000000000001" customHeight="1" x14ac:dyDescent="0.2">
      <c r="B177" s="1659" t="s">
        <v>708</v>
      </c>
      <c r="C177" s="1659"/>
      <c r="D177" s="1659"/>
      <c r="E177" s="1659"/>
      <c r="F177" s="1659"/>
      <c r="G177" s="1659"/>
      <c r="H177" s="1659"/>
      <c r="I177" s="1092">
        <f>I176+I141</f>
        <v>447</v>
      </c>
      <c r="J177" s="1092">
        <f>J176+J141</f>
        <v>298</v>
      </c>
      <c r="K177" s="1092">
        <f>K176+K141</f>
        <v>27.85</v>
      </c>
      <c r="O177" s="472"/>
    </row>
    <row r="178" spans="1:24" s="478" customFormat="1" ht="18.75" customHeight="1" x14ac:dyDescent="0.2">
      <c r="B178" s="1098"/>
      <c r="C178" s="1099"/>
      <c r="D178" s="1099"/>
      <c r="E178" s="1099"/>
      <c r="F178" s="1100" t="s">
        <v>2809</v>
      </c>
      <c r="G178" s="1101" t="s">
        <v>2807</v>
      </c>
      <c r="H178" s="1101" t="s">
        <v>2808</v>
      </c>
      <c r="I178" s="1102"/>
      <c r="J178" s="1102"/>
      <c r="K178" s="1102"/>
    </row>
    <row r="179" spans="1:24" s="478" customFormat="1" ht="20.100000000000001" customHeight="1" x14ac:dyDescent="0.2">
      <c r="B179" s="1098"/>
      <c r="C179" s="1099"/>
      <c r="D179" s="1099"/>
      <c r="E179" s="1099"/>
      <c r="F179" s="1095" t="s">
        <v>2811</v>
      </c>
      <c r="G179" s="1092">
        <f>I177</f>
        <v>447</v>
      </c>
      <c r="H179" s="1092"/>
      <c r="I179" s="1102"/>
      <c r="J179" s="1102"/>
      <c r="K179" s="1102"/>
    </row>
    <row r="180" spans="1:24" x14ac:dyDescent="0.2">
      <c r="O180" s="478"/>
    </row>
    <row r="181" spans="1:24" ht="15" x14ac:dyDescent="0.25">
      <c r="A181" s="625"/>
      <c r="B181" s="1657" t="s">
        <v>2839</v>
      </c>
      <c r="C181" s="1657"/>
      <c r="D181" s="1657"/>
      <c r="E181" s="1657"/>
      <c r="F181" s="1657"/>
      <c r="G181" s="1657"/>
      <c r="H181" s="1657"/>
      <c r="I181" s="1657"/>
      <c r="J181" s="1657"/>
      <c r="K181" s="1657"/>
      <c r="L181" s="625"/>
      <c r="M181" s="1082"/>
      <c r="N181" s="1082"/>
      <c r="P181" s="1082"/>
      <c r="Q181" s="1082"/>
      <c r="R181" s="1082"/>
      <c r="S181" s="1082"/>
      <c r="T181" s="1082"/>
      <c r="U181" s="1082"/>
      <c r="V181" s="1082"/>
      <c r="W181" s="1082"/>
      <c r="X181" s="1082"/>
    </row>
    <row r="182" spans="1:24" ht="60" x14ac:dyDescent="0.25">
      <c r="B182" s="1060" t="s">
        <v>2840</v>
      </c>
      <c r="C182" s="1060" t="s">
        <v>2841</v>
      </c>
      <c r="D182" s="1060" t="s">
        <v>2842</v>
      </c>
      <c r="E182" s="1061" t="s">
        <v>2843</v>
      </c>
      <c r="F182" s="1062" t="s">
        <v>2844</v>
      </c>
      <c r="G182" s="1063" t="s">
        <v>2845</v>
      </c>
      <c r="H182" s="1063" t="s">
        <v>2846</v>
      </c>
      <c r="I182" s="1063" t="s">
        <v>2847</v>
      </c>
      <c r="J182" s="1062" t="s">
        <v>2848</v>
      </c>
      <c r="K182" s="1061" t="s">
        <v>2849</v>
      </c>
      <c r="O182" s="1082"/>
    </row>
    <row r="183" spans="1:24" ht="15" x14ac:dyDescent="0.25">
      <c r="B183" s="1653" t="s">
        <v>538</v>
      </c>
      <c r="C183" s="1654"/>
      <c r="D183" s="1654"/>
      <c r="E183" s="1654"/>
      <c r="F183" s="1654"/>
      <c r="G183" s="1654"/>
      <c r="H183" s="1654"/>
      <c r="I183" s="1654"/>
      <c r="J183" s="1654"/>
      <c r="K183" s="1655"/>
      <c r="O183" s="1082"/>
    </row>
    <row r="184" spans="1:24" ht="15" x14ac:dyDescent="0.25">
      <c r="B184" s="1086" t="s">
        <v>2850</v>
      </c>
      <c r="C184" s="1086">
        <v>286</v>
      </c>
      <c r="D184" s="1086">
        <f>0.4+0.6</f>
        <v>1</v>
      </c>
      <c r="E184" s="1086" t="s">
        <v>2851</v>
      </c>
      <c r="F184" s="1086">
        <f>TRUNC(C184*1.5*D184,2)</f>
        <v>429</v>
      </c>
      <c r="G184" s="1086">
        <f t="shared" ref="G184:G189" si="25">TRUNC(F184-(C184*N184^2*PI())-(0.1*D184*C184),2)</f>
        <v>346.46</v>
      </c>
      <c r="H184" s="1086">
        <f t="shared" ref="H184:H189" si="26">F184-G184</f>
        <v>82.54000000000002</v>
      </c>
      <c r="I184" s="1086">
        <f t="shared" ref="I184:I189" si="27">H184*1.25</f>
        <v>103.17500000000003</v>
      </c>
      <c r="J184" s="1086">
        <v>0</v>
      </c>
      <c r="K184" s="1086">
        <f t="shared" ref="K184:K189" si="28">TRUNC(C184*D184*0.1,2)</f>
        <v>28.6</v>
      </c>
      <c r="N184" s="472">
        <v>0.245</v>
      </c>
      <c r="O184" s="1082"/>
    </row>
    <row r="185" spans="1:24" ht="25.5" x14ac:dyDescent="0.25">
      <c r="B185" s="1103" t="s">
        <v>2852</v>
      </c>
      <c r="C185" s="1086">
        <v>29</v>
      </c>
      <c r="D185" s="1086">
        <v>1.2</v>
      </c>
      <c r="E185" s="1086" t="s">
        <v>2851</v>
      </c>
      <c r="F185" s="1086">
        <f>TRUNC(C185*1.5*D185,2)</f>
        <v>52.2</v>
      </c>
      <c r="G185" s="1086">
        <f t="shared" si="25"/>
        <v>36.909999999999997</v>
      </c>
      <c r="H185" s="1086">
        <f t="shared" si="26"/>
        <v>15.290000000000006</v>
      </c>
      <c r="I185" s="1086">
        <f t="shared" si="27"/>
        <v>19.112500000000008</v>
      </c>
      <c r="J185" s="1086">
        <v>0</v>
      </c>
      <c r="K185" s="1086">
        <f t="shared" si="28"/>
        <v>3.48</v>
      </c>
      <c r="N185" s="472">
        <v>0.36</v>
      </c>
      <c r="O185" s="1082"/>
    </row>
    <row r="186" spans="1:24" ht="15" x14ac:dyDescent="0.25">
      <c r="B186" s="1086" t="s">
        <v>2853</v>
      </c>
      <c r="C186" s="1086">
        <f>SUMIF($C$6:$C$35,0.6,$F$6:$F$35)</f>
        <v>962</v>
      </c>
      <c r="D186" s="1086">
        <f>0.6+0.6</f>
        <v>1.2</v>
      </c>
      <c r="E186" s="1086" t="s">
        <v>2851</v>
      </c>
      <c r="F186" s="1086">
        <f>SUMIF($C$6:$C$35,0.6,$I$6:$I$35)</f>
        <v>1848.7700000000004</v>
      </c>
      <c r="G186" s="1086">
        <f t="shared" si="25"/>
        <v>1341.65</v>
      </c>
      <c r="H186" s="1086">
        <f t="shared" si="26"/>
        <v>507.12000000000035</v>
      </c>
      <c r="I186" s="1086">
        <f t="shared" si="27"/>
        <v>633.90000000000043</v>
      </c>
      <c r="J186" s="1086">
        <f>SUMIF($C$6:$C$35,0.6,$J$6:$J$35)</f>
        <v>3081.31</v>
      </c>
      <c r="K186" s="1086">
        <f t="shared" si="28"/>
        <v>115.44</v>
      </c>
      <c r="N186" s="472">
        <v>0.36</v>
      </c>
      <c r="O186" s="1082"/>
    </row>
    <row r="187" spans="1:24" ht="15" x14ac:dyDescent="0.25">
      <c r="B187" s="1086" t="s">
        <v>2854</v>
      </c>
      <c r="C187" s="1086">
        <f>SUMIF($C$6:$C$35,0.8,$F$6:$F$35)</f>
        <v>233</v>
      </c>
      <c r="D187" s="1086">
        <f>0.8+0.6</f>
        <v>1.4</v>
      </c>
      <c r="E187" s="1086" t="s">
        <v>2851</v>
      </c>
      <c r="F187" s="1086">
        <f>SUMIF($C$6:$C$35,0.8,$I$6:$I$35)</f>
        <v>587.16000000000008</v>
      </c>
      <c r="G187" s="1086">
        <f t="shared" si="25"/>
        <v>385.88</v>
      </c>
      <c r="H187" s="1086">
        <f t="shared" si="26"/>
        <v>201.28000000000009</v>
      </c>
      <c r="I187" s="1086">
        <f t="shared" si="27"/>
        <v>251.60000000000011</v>
      </c>
      <c r="J187" s="1086">
        <f>SUMIF($C$6:$C$35,0.8,$J$6:$J$35)</f>
        <v>838.8</v>
      </c>
      <c r="K187" s="1086">
        <f t="shared" si="28"/>
        <v>32.619999999999997</v>
      </c>
      <c r="N187" s="472">
        <v>0.48</v>
      </c>
      <c r="O187" s="1082"/>
    </row>
    <row r="188" spans="1:24" ht="15" x14ac:dyDescent="0.25">
      <c r="B188" s="1086" t="s">
        <v>2855</v>
      </c>
      <c r="C188" s="1086">
        <f>SUMIF($C$6:$C$35,1,$F$6:$F$35)</f>
        <v>540</v>
      </c>
      <c r="D188" s="1086">
        <f>1+0.6</f>
        <v>1.6</v>
      </c>
      <c r="E188" s="1086" t="s">
        <v>2851</v>
      </c>
      <c r="F188" s="1086">
        <f>SUMIF($C$6:$C$35,1,$I$6:$I$35)</f>
        <v>1822.64</v>
      </c>
      <c r="G188" s="1086">
        <f t="shared" si="25"/>
        <v>1125.51</v>
      </c>
      <c r="H188" s="1086">
        <f t="shared" si="26"/>
        <v>697.13000000000011</v>
      </c>
      <c r="I188" s="1086">
        <f t="shared" si="27"/>
        <v>871.41250000000014</v>
      </c>
      <c r="J188" s="1086">
        <f>SUMIF($C$6:$C$35,1,$J$6:$J$35)</f>
        <v>2278.3000000000002</v>
      </c>
      <c r="K188" s="1086">
        <f t="shared" si="28"/>
        <v>86.4</v>
      </c>
      <c r="N188" s="472">
        <v>0.6</v>
      </c>
      <c r="O188" s="1082"/>
    </row>
    <row r="189" spans="1:24" ht="15" x14ac:dyDescent="0.25">
      <c r="B189" s="1086" t="s">
        <v>2856</v>
      </c>
      <c r="C189" s="1086">
        <f>SUMIF($C$6:$C$35,1.2,$F$6:$F$35)</f>
        <v>447</v>
      </c>
      <c r="D189" s="1086">
        <f>1.2+0.6</f>
        <v>1.7999999999999998</v>
      </c>
      <c r="E189" s="1086" t="s">
        <v>2851</v>
      </c>
      <c r="F189" s="1086">
        <f>SUMIF($C$6:$C$35,1.2,$I$6:$I$35)</f>
        <v>1783.89</v>
      </c>
      <c r="G189" s="1086">
        <f t="shared" si="25"/>
        <v>975.44</v>
      </c>
      <c r="H189" s="1086">
        <f t="shared" si="26"/>
        <v>808.45</v>
      </c>
      <c r="I189" s="1086">
        <f t="shared" si="27"/>
        <v>1010.5625</v>
      </c>
      <c r="J189" s="1086">
        <f>SUMIF($C$6:$C$35,1.2,$J$6:$J$35)</f>
        <v>1982.1000000000001</v>
      </c>
      <c r="K189" s="1086">
        <f t="shared" si="28"/>
        <v>80.459999999999994</v>
      </c>
      <c r="N189" s="472">
        <v>0.72</v>
      </c>
      <c r="O189" s="1082"/>
    </row>
    <row r="190" spans="1:24" ht="15" x14ac:dyDescent="0.25">
      <c r="B190" s="1656" t="s">
        <v>708</v>
      </c>
      <c r="C190" s="1656"/>
      <c r="D190" s="1656"/>
      <c r="E190" s="1656"/>
      <c r="F190" s="1104">
        <f t="shared" ref="F190:K190" si="29">TRUNC((SUM(F184:F189)),2)</f>
        <v>6523.66</v>
      </c>
      <c r="G190" s="1104">
        <f t="shared" si="29"/>
        <v>4211.8500000000004</v>
      </c>
      <c r="H190" s="1104">
        <f t="shared" si="29"/>
        <v>2311.81</v>
      </c>
      <c r="I190" s="1104">
        <f t="shared" si="29"/>
        <v>2889.76</v>
      </c>
      <c r="J190" s="1104">
        <f t="shared" si="29"/>
        <v>8180.51</v>
      </c>
      <c r="K190" s="1104">
        <f t="shared" si="29"/>
        <v>347</v>
      </c>
      <c r="O190" s="1082"/>
    </row>
    <row r="191" spans="1:24" ht="15" x14ac:dyDescent="0.25">
      <c r="B191" s="1653" t="s">
        <v>555</v>
      </c>
      <c r="C191" s="1654"/>
      <c r="D191" s="1654"/>
      <c r="E191" s="1654"/>
      <c r="F191" s="1654"/>
      <c r="G191" s="1654"/>
      <c r="H191" s="1654"/>
      <c r="I191" s="1654"/>
      <c r="J191" s="1654"/>
      <c r="K191" s="1655"/>
      <c r="O191" s="1082"/>
    </row>
    <row r="192" spans="1:24" ht="28.5" x14ac:dyDescent="0.2">
      <c r="B192" s="1086" t="s">
        <v>2857</v>
      </c>
      <c r="C192" s="1086">
        <v>342</v>
      </c>
      <c r="D192" s="1086">
        <v>1.2</v>
      </c>
      <c r="E192" s="1086" t="s">
        <v>2851</v>
      </c>
      <c r="F192" s="1086">
        <f>TRUNC(C192*1.5*D192,2)</f>
        <v>615.6</v>
      </c>
      <c r="G192" s="1086">
        <f>TRUNC(F192-(C192*N192^2*PI())-(0.1*D192*C192),2)</f>
        <v>435.31</v>
      </c>
      <c r="H192" s="1086">
        <f>F192-G192</f>
        <v>180.29000000000002</v>
      </c>
      <c r="I192" s="1086">
        <f>H192*1.25</f>
        <v>225.36250000000001</v>
      </c>
      <c r="J192" s="1086">
        <v>0</v>
      </c>
      <c r="K192" s="1086">
        <f>TRUNC(C192*D192*0.1,2)</f>
        <v>41.04</v>
      </c>
      <c r="N192" s="472">
        <v>0.36</v>
      </c>
    </row>
    <row r="193" spans="2:24" x14ac:dyDescent="0.2">
      <c r="B193" s="1086" t="s">
        <v>2853</v>
      </c>
      <c r="C193" s="1086">
        <f>SUMIF($C$38:$C$70,0.6,$F$38:$F$70)</f>
        <v>1188</v>
      </c>
      <c r="D193" s="1086">
        <f>0.6+0.6</f>
        <v>1.2</v>
      </c>
      <c r="E193" s="1086" t="s">
        <v>2851</v>
      </c>
      <c r="F193" s="1086">
        <f>SUMIF($C$38:$C$70,0.6,$I$38:$I$70)</f>
        <v>2280.6</v>
      </c>
      <c r="G193" s="1086">
        <f>TRUNC(F193-(C193*N193^2*PI())-(0.1*D193*C193),2)</f>
        <v>1654.34</v>
      </c>
      <c r="H193" s="1086">
        <f>F193-G193</f>
        <v>626.26</v>
      </c>
      <c r="I193" s="1086">
        <f>H193*1.25</f>
        <v>782.82500000000005</v>
      </c>
      <c r="J193" s="1086">
        <f>SUMIF($C$38:$C$70,0.6,$J$38:$J$70)</f>
        <v>3800.9999999999995</v>
      </c>
      <c r="K193" s="1086">
        <f>TRUNC(C193*D193*0.1,2)</f>
        <v>142.56</v>
      </c>
      <c r="N193" s="472">
        <v>0.36</v>
      </c>
    </row>
    <row r="194" spans="2:24" x14ac:dyDescent="0.2">
      <c r="B194" s="1086" t="s">
        <v>2854</v>
      </c>
      <c r="C194" s="1086">
        <f>SUMIF($C$38:$C$70,0.8,$F$38:$F$70)</f>
        <v>599</v>
      </c>
      <c r="D194" s="1086">
        <f>0.8+0.6</f>
        <v>1.4</v>
      </c>
      <c r="E194" s="1086" t="s">
        <v>2851</v>
      </c>
      <c r="F194" s="1086">
        <f>SUMIF($C$38:$C$70,0.8,$I$38:$I$70)</f>
        <v>1542.52</v>
      </c>
      <c r="G194" s="1086">
        <f>TRUNC(F194-(C194*N194^2*PI())-(0.1*D194*C194),2)</f>
        <v>1025.0899999999999</v>
      </c>
      <c r="H194" s="1086">
        <f>F194-G194</f>
        <v>517.43000000000006</v>
      </c>
      <c r="I194" s="1086">
        <f>H194*1.25</f>
        <v>646.78750000000014</v>
      </c>
      <c r="J194" s="1086">
        <f>SUMIF($C$38:$C$70,0.8,$J$38:$J$70)</f>
        <v>2203.6</v>
      </c>
      <c r="K194" s="1086">
        <f>TRUNC(C194*D194*0.1,2)</f>
        <v>83.86</v>
      </c>
      <c r="N194" s="472">
        <v>0.48</v>
      </c>
    </row>
    <row r="195" spans="2:24" x14ac:dyDescent="0.2">
      <c r="B195" s="1086" t="s">
        <v>2855</v>
      </c>
      <c r="C195" s="1086">
        <f>SUMIF($C$38:$C$70,1,$F$38:$F$70)</f>
        <v>737</v>
      </c>
      <c r="D195" s="1086">
        <f>1+0.6</f>
        <v>1.6</v>
      </c>
      <c r="E195" s="1086" t="s">
        <v>2851</v>
      </c>
      <c r="F195" s="1086">
        <f>SUMIF($C$38:$C$70,1,$I$38:$I$70)</f>
        <v>2203.1999999999998</v>
      </c>
      <c r="G195" s="1086">
        <f>TRUNC(F195-(C195*N195^2*PI())-(0.1*D195*C195),2)</f>
        <v>1251.75</v>
      </c>
      <c r="H195" s="1086">
        <f>F195-G195</f>
        <v>951.44999999999982</v>
      </c>
      <c r="I195" s="1086">
        <f>H195*1.25</f>
        <v>1189.3124999999998</v>
      </c>
      <c r="J195" s="1086">
        <f>SUMIF($C$38:$C$83,1,$J$38:$J$83)</f>
        <v>2754</v>
      </c>
      <c r="K195" s="1086">
        <f>TRUNC(C195*D195*0.1,2)</f>
        <v>117.92</v>
      </c>
      <c r="N195" s="472">
        <v>0.6</v>
      </c>
    </row>
    <row r="196" spans="2:24" ht="15" x14ac:dyDescent="0.2">
      <c r="B196" s="1656" t="s">
        <v>708</v>
      </c>
      <c r="C196" s="1656"/>
      <c r="D196" s="1656"/>
      <c r="E196" s="1656"/>
      <c r="F196" s="1104">
        <f t="shared" ref="F196:K196" si="30">TRUNC((SUM(F192:F195)),2)</f>
        <v>6641.92</v>
      </c>
      <c r="G196" s="1104">
        <f t="shared" si="30"/>
        <v>4366.49</v>
      </c>
      <c r="H196" s="1104">
        <f t="shared" si="30"/>
        <v>2275.4299999999998</v>
      </c>
      <c r="I196" s="1104">
        <f t="shared" si="30"/>
        <v>2844.28</v>
      </c>
      <c r="J196" s="1104">
        <f t="shared" si="30"/>
        <v>8758.6</v>
      </c>
      <c r="K196" s="1104">
        <f t="shared" si="30"/>
        <v>385.38</v>
      </c>
    </row>
    <row r="197" spans="2:24" ht="16.5" customHeight="1" x14ac:dyDescent="0.2"/>
    <row r="198" spans="2:24" ht="20.100000000000001" customHeight="1" x14ac:dyDescent="0.25">
      <c r="L198" s="625"/>
      <c r="M198" s="1082"/>
      <c r="N198" s="1082"/>
      <c r="P198" s="1082"/>
      <c r="Q198" s="1082"/>
      <c r="R198" s="1082"/>
      <c r="S198" s="1082"/>
      <c r="T198" s="1082"/>
      <c r="U198" s="1082"/>
      <c r="V198" s="1082"/>
      <c r="W198" s="1082"/>
      <c r="X198" s="1082"/>
    </row>
  </sheetData>
  <mergeCells count="30">
    <mergeCell ref="B71:G71"/>
    <mergeCell ref="B2:K2"/>
    <mergeCell ref="B3:K3"/>
    <mergeCell ref="B5:K5"/>
    <mergeCell ref="B36:G36"/>
    <mergeCell ref="B37:K37"/>
    <mergeCell ref="B104:K104"/>
    <mergeCell ref="B72:G72"/>
    <mergeCell ref="B73:K73"/>
    <mergeCell ref="B86:K86"/>
    <mergeCell ref="B88:K88"/>
    <mergeCell ref="B90:H90"/>
    <mergeCell ref="B92:K92"/>
    <mergeCell ref="B94:K94"/>
    <mergeCell ref="B96:K96"/>
    <mergeCell ref="B98:H98"/>
    <mergeCell ref="B100:K100"/>
    <mergeCell ref="B102:K102"/>
    <mergeCell ref="B196:E196"/>
    <mergeCell ref="B106:I106"/>
    <mergeCell ref="B108:K108"/>
    <mergeCell ref="B110:K110"/>
    <mergeCell ref="B141:H141"/>
    <mergeCell ref="B142:K142"/>
    <mergeCell ref="B176:H176"/>
    <mergeCell ref="B177:H177"/>
    <mergeCell ref="B181:K181"/>
    <mergeCell ref="B183:K183"/>
    <mergeCell ref="B190:E190"/>
    <mergeCell ref="B191:K191"/>
  </mergeCells>
  <printOptions horizontalCentered="1"/>
  <pageMargins left="0.59055118110236227" right="0.59055118110236227" top="1.7716535433070868" bottom="0.78740157480314965" header="0" footer="0"/>
  <pageSetup paperSize="9" scale="60" firstPageNumber="25" orientation="landscape" r:id="rId1"/>
  <headerFooter scaleWithDoc="0">
    <oddHeader>&amp;L&amp;G</oddHeader>
    <oddFooter>&amp;C&amp;"-,Negrito"&amp;12DIONI CAETANEO DE OLIVEIRA
&amp;"-,Regular"ENGENHEIRO CIVIL - CREA /MT 40957
DEPARTAMENTO DE ENGENHARIA</oddFooter>
  </headerFooter>
  <rowBreaks count="3" manualBreakCount="3">
    <brk id="75" min="1" max="10" man="1"/>
    <brk id="107" min="1" max="10" man="1"/>
    <brk id="180" min="1" max="10"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A0D48-5519-4A19-ADE4-46967425B7B7}">
  <sheetPr>
    <tabColor rgb="FF0070C0"/>
    <pageSetUpPr fitToPage="1"/>
  </sheetPr>
  <dimension ref="A1:J36"/>
  <sheetViews>
    <sheetView showGridLines="0" view="pageLayout" zoomScaleNormal="85" zoomScaleSheetLayoutView="90" workbookViewId="0">
      <selection activeCell="C32" sqref="C32"/>
    </sheetView>
  </sheetViews>
  <sheetFormatPr defaultColWidth="11.42578125" defaultRowHeight="14.25" x14ac:dyDescent="0.25"/>
  <cols>
    <col min="1" max="1" width="15.140625" style="6" customWidth="1"/>
    <col min="2" max="2" width="16.5703125" style="6" customWidth="1"/>
    <col min="3" max="3" width="73.42578125" style="6" customWidth="1"/>
    <col min="4" max="4" width="14.140625" style="53" customWidth="1"/>
    <col min="5" max="5" width="17" style="53" bestFit="1" customWidth="1"/>
    <col min="6" max="7" width="15.7109375" style="53" customWidth="1"/>
    <col min="8" max="8" width="14.28515625" style="6" customWidth="1"/>
    <col min="9" max="9" width="11.42578125" style="6"/>
    <col min="10" max="10" width="25.5703125" style="6" bestFit="1" customWidth="1"/>
    <col min="11" max="234" width="11.42578125" style="6"/>
    <col min="235" max="235" width="0.7109375" style="6" customWidth="1"/>
    <col min="236" max="236" width="15.140625" style="6" customWidth="1"/>
    <col min="237" max="237" width="0.7109375" style="6" customWidth="1"/>
    <col min="238" max="238" width="56.140625" style="6" customWidth="1"/>
    <col min="239" max="239" width="0.7109375" style="6" customWidth="1"/>
    <col min="240" max="240" width="9.140625" style="6" customWidth="1"/>
    <col min="241" max="241" width="6" style="6" customWidth="1"/>
    <col min="242" max="242" width="0.7109375" style="6" customWidth="1"/>
    <col min="243" max="243" width="7.140625" style="6" customWidth="1"/>
    <col min="244" max="244" width="6.5703125" style="6" customWidth="1"/>
    <col min="245" max="245" width="0.7109375" style="6" customWidth="1"/>
    <col min="246" max="246" width="7.85546875" style="6" customWidth="1"/>
    <col min="247" max="247" width="10.5703125" style="6" customWidth="1"/>
    <col min="248" max="248" width="0.7109375" style="6" customWidth="1"/>
    <col min="249" max="490" width="11.42578125" style="6"/>
    <col min="491" max="491" width="0.7109375" style="6" customWidth="1"/>
    <col min="492" max="492" width="15.140625" style="6" customWidth="1"/>
    <col min="493" max="493" width="0.7109375" style="6" customWidth="1"/>
    <col min="494" max="494" width="56.140625" style="6" customWidth="1"/>
    <col min="495" max="495" width="0.7109375" style="6" customWidth="1"/>
    <col min="496" max="496" width="9.140625" style="6" customWidth="1"/>
    <col min="497" max="497" width="6" style="6" customWidth="1"/>
    <col min="498" max="498" width="0.7109375" style="6" customWidth="1"/>
    <col min="499" max="499" width="7.140625" style="6" customWidth="1"/>
    <col min="500" max="500" width="6.5703125" style="6" customWidth="1"/>
    <col min="501" max="501" width="0.7109375" style="6" customWidth="1"/>
    <col min="502" max="502" width="7.85546875" style="6" customWidth="1"/>
    <col min="503" max="503" width="10.5703125" style="6" customWidth="1"/>
    <col min="504" max="504" width="0.7109375" style="6" customWidth="1"/>
    <col min="505" max="746" width="11.42578125" style="6"/>
    <col min="747" max="747" width="0.7109375" style="6" customWidth="1"/>
    <col min="748" max="748" width="15.140625" style="6" customWidth="1"/>
    <col min="749" max="749" width="0.7109375" style="6" customWidth="1"/>
    <col min="750" max="750" width="56.140625" style="6" customWidth="1"/>
    <col min="751" max="751" width="0.7109375" style="6" customWidth="1"/>
    <col min="752" max="752" width="9.140625" style="6" customWidth="1"/>
    <col min="753" max="753" width="6" style="6" customWidth="1"/>
    <col min="754" max="754" width="0.7109375" style="6" customWidth="1"/>
    <col min="755" max="755" width="7.140625" style="6" customWidth="1"/>
    <col min="756" max="756" width="6.5703125" style="6" customWidth="1"/>
    <col min="757" max="757" width="0.7109375" style="6" customWidth="1"/>
    <col min="758" max="758" width="7.85546875" style="6" customWidth="1"/>
    <col min="759" max="759" width="10.5703125" style="6" customWidth="1"/>
    <col min="760" max="760" width="0.7109375" style="6" customWidth="1"/>
    <col min="761" max="1002" width="11.42578125" style="6"/>
    <col min="1003" max="1003" width="0.7109375" style="6" customWidth="1"/>
    <col min="1004" max="1004" width="15.140625" style="6" customWidth="1"/>
    <col min="1005" max="1005" width="0.7109375" style="6" customWidth="1"/>
    <col min="1006" max="1006" width="56.140625" style="6" customWidth="1"/>
    <col min="1007" max="1007" width="0.7109375" style="6" customWidth="1"/>
    <col min="1008" max="1008" width="9.140625" style="6" customWidth="1"/>
    <col min="1009" max="1009" width="6" style="6" customWidth="1"/>
    <col min="1010" max="1010" width="0.7109375" style="6" customWidth="1"/>
    <col min="1011" max="1011" width="7.140625" style="6" customWidth="1"/>
    <col min="1012" max="1012" width="6.5703125" style="6" customWidth="1"/>
    <col min="1013" max="1013" width="0.7109375" style="6" customWidth="1"/>
    <col min="1014" max="1014" width="7.85546875" style="6" customWidth="1"/>
    <col min="1015" max="1015" width="10.5703125" style="6" customWidth="1"/>
    <col min="1016" max="1016" width="0.7109375" style="6" customWidth="1"/>
    <col min="1017" max="1258" width="11.42578125" style="6"/>
    <col min="1259" max="1259" width="0.7109375" style="6" customWidth="1"/>
    <col min="1260" max="1260" width="15.140625" style="6" customWidth="1"/>
    <col min="1261" max="1261" width="0.7109375" style="6" customWidth="1"/>
    <col min="1262" max="1262" width="56.140625" style="6" customWidth="1"/>
    <col min="1263" max="1263" width="0.7109375" style="6" customWidth="1"/>
    <col min="1264" max="1264" width="9.140625" style="6" customWidth="1"/>
    <col min="1265" max="1265" width="6" style="6" customWidth="1"/>
    <col min="1266" max="1266" width="0.7109375" style="6" customWidth="1"/>
    <col min="1267" max="1267" width="7.140625" style="6" customWidth="1"/>
    <col min="1268" max="1268" width="6.5703125" style="6" customWidth="1"/>
    <col min="1269" max="1269" width="0.7109375" style="6" customWidth="1"/>
    <col min="1270" max="1270" width="7.85546875" style="6" customWidth="1"/>
    <col min="1271" max="1271" width="10.5703125" style="6" customWidth="1"/>
    <col min="1272" max="1272" width="0.7109375" style="6" customWidth="1"/>
    <col min="1273" max="1514" width="11.42578125" style="6"/>
    <col min="1515" max="1515" width="0.7109375" style="6" customWidth="1"/>
    <col min="1516" max="1516" width="15.140625" style="6" customWidth="1"/>
    <col min="1517" max="1517" width="0.7109375" style="6" customWidth="1"/>
    <col min="1518" max="1518" width="56.140625" style="6" customWidth="1"/>
    <col min="1519" max="1519" width="0.7109375" style="6" customWidth="1"/>
    <col min="1520" max="1520" width="9.140625" style="6" customWidth="1"/>
    <col min="1521" max="1521" width="6" style="6" customWidth="1"/>
    <col min="1522" max="1522" width="0.7109375" style="6" customWidth="1"/>
    <col min="1523" max="1523" width="7.140625" style="6" customWidth="1"/>
    <col min="1524" max="1524" width="6.5703125" style="6" customWidth="1"/>
    <col min="1525" max="1525" width="0.7109375" style="6" customWidth="1"/>
    <col min="1526" max="1526" width="7.85546875" style="6" customWidth="1"/>
    <col min="1527" max="1527" width="10.5703125" style="6" customWidth="1"/>
    <col min="1528" max="1528" width="0.7109375" style="6" customWidth="1"/>
    <col min="1529" max="1770" width="11.42578125" style="6"/>
    <col min="1771" max="1771" width="0.7109375" style="6" customWidth="1"/>
    <col min="1772" max="1772" width="15.140625" style="6" customWidth="1"/>
    <col min="1773" max="1773" width="0.7109375" style="6" customWidth="1"/>
    <col min="1774" max="1774" width="56.140625" style="6" customWidth="1"/>
    <col min="1775" max="1775" width="0.7109375" style="6" customWidth="1"/>
    <col min="1776" max="1776" width="9.140625" style="6" customWidth="1"/>
    <col min="1777" max="1777" width="6" style="6" customWidth="1"/>
    <col min="1778" max="1778" width="0.7109375" style="6" customWidth="1"/>
    <col min="1779" max="1779" width="7.140625" style="6" customWidth="1"/>
    <col min="1780" max="1780" width="6.5703125" style="6" customWidth="1"/>
    <col min="1781" max="1781" width="0.7109375" style="6" customWidth="1"/>
    <col min="1782" max="1782" width="7.85546875" style="6" customWidth="1"/>
    <col min="1783" max="1783" width="10.5703125" style="6" customWidth="1"/>
    <col min="1784" max="1784" width="0.7109375" style="6" customWidth="1"/>
    <col min="1785" max="2026" width="11.42578125" style="6"/>
    <col min="2027" max="2027" width="0.7109375" style="6" customWidth="1"/>
    <col min="2028" max="2028" width="15.140625" style="6" customWidth="1"/>
    <col min="2029" max="2029" width="0.7109375" style="6" customWidth="1"/>
    <col min="2030" max="2030" width="56.140625" style="6" customWidth="1"/>
    <col min="2031" max="2031" width="0.7109375" style="6" customWidth="1"/>
    <col min="2032" max="2032" width="9.140625" style="6" customWidth="1"/>
    <col min="2033" max="2033" width="6" style="6" customWidth="1"/>
    <col min="2034" max="2034" width="0.7109375" style="6" customWidth="1"/>
    <col min="2035" max="2035" width="7.140625" style="6" customWidth="1"/>
    <col min="2036" max="2036" width="6.5703125" style="6" customWidth="1"/>
    <col min="2037" max="2037" width="0.7109375" style="6" customWidth="1"/>
    <col min="2038" max="2038" width="7.85546875" style="6" customWidth="1"/>
    <col min="2039" max="2039" width="10.5703125" style="6" customWidth="1"/>
    <col min="2040" max="2040" width="0.7109375" style="6" customWidth="1"/>
    <col min="2041" max="2282" width="11.42578125" style="6"/>
    <col min="2283" max="2283" width="0.7109375" style="6" customWidth="1"/>
    <col min="2284" max="2284" width="15.140625" style="6" customWidth="1"/>
    <col min="2285" max="2285" width="0.7109375" style="6" customWidth="1"/>
    <col min="2286" max="2286" width="56.140625" style="6" customWidth="1"/>
    <col min="2287" max="2287" width="0.7109375" style="6" customWidth="1"/>
    <col min="2288" max="2288" width="9.140625" style="6" customWidth="1"/>
    <col min="2289" max="2289" width="6" style="6" customWidth="1"/>
    <col min="2290" max="2290" width="0.7109375" style="6" customWidth="1"/>
    <col min="2291" max="2291" width="7.140625" style="6" customWidth="1"/>
    <col min="2292" max="2292" width="6.5703125" style="6" customWidth="1"/>
    <col min="2293" max="2293" width="0.7109375" style="6" customWidth="1"/>
    <col min="2294" max="2294" width="7.85546875" style="6" customWidth="1"/>
    <col min="2295" max="2295" width="10.5703125" style="6" customWidth="1"/>
    <col min="2296" max="2296" width="0.7109375" style="6" customWidth="1"/>
    <col min="2297" max="2538" width="11.42578125" style="6"/>
    <col min="2539" max="2539" width="0.7109375" style="6" customWidth="1"/>
    <col min="2540" max="2540" width="15.140625" style="6" customWidth="1"/>
    <col min="2541" max="2541" width="0.7109375" style="6" customWidth="1"/>
    <col min="2542" max="2542" width="56.140625" style="6" customWidth="1"/>
    <col min="2543" max="2543" width="0.7109375" style="6" customWidth="1"/>
    <col min="2544" max="2544" width="9.140625" style="6" customWidth="1"/>
    <col min="2545" max="2545" width="6" style="6" customWidth="1"/>
    <col min="2546" max="2546" width="0.7109375" style="6" customWidth="1"/>
    <col min="2547" max="2547" width="7.140625" style="6" customWidth="1"/>
    <col min="2548" max="2548" width="6.5703125" style="6" customWidth="1"/>
    <col min="2549" max="2549" width="0.7109375" style="6" customWidth="1"/>
    <col min="2550" max="2550" width="7.85546875" style="6" customWidth="1"/>
    <col min="2551" max="2551" width="10.5703125" style="6" customWidth="1"/>
    <col min="2552" max="2552" width="0.7109375" style="6" customWidth="1"/>
    <col min="2553" max="2794" width="11.42578125" style="6"/>
    <col min="2795" max="2795" width="0.7109375" style="6" customWidth="1"/>
    <col min="2796" max="2796" width="15.140625" style="6" customWidth="1"/>
    <col min="2797" max="2797" width="0.7109375" style="6" customWidth="1"/>
    <col min="2798" max="2798" width="56.140625" style="6" customWidth="1"/>
    <col min="2799" max="2799" width="0.7109375" style="6" customWidth="1"/>
    <col min="2800" max="2800" width="9.140625" style="6" customWidth="1"/>
    <col min="2801" max="2801" width="6" style="6" customWidth="1"/>
    <col min="2802" max="2802" width="0.7109375" style="6" customWidth="1"/>
    <col min="2803" max="2803" width="7.140625" style="6" customWidth="1"/>
    <col min="2804" max="2804" width="6.5703125" style="6" customWidth="1"/>
    <col min="2805" max="2805" width="0.7109375" style="6" customWidth="1"/>
    <col min="2806" max="2806" width="7.85546875" style="6" customWidth="1"/>
    <col min="2807" max="2807" width="10.5703125" style="6" customWidth="1"/>
    <col min="2808" max="2808" width="0.7109375" style="6" customWidth="1"/>
    <col min="2809" max="3050" width="11.42578125" style="6"/>
    <col min="3051" max="3051" width="0.7109375" style="6" customWidth="1"/>
    <col min="3052" max="3052" width="15.140625" style="6" customWidth="1"/>
    <col min="3053" max="3053" width="0.7109375" style="6" customWidth="1"/>
    <col min="3054" max="3054" width="56.140625" style="6" customWidth="1"/>
    <col min="3055" max="3055" width="0.7109375" style="6" customWidth="1"/>
    <col min="3056" max="3056" width="9.140625" style="6" customWidth="1"/>
    <col min="3057" max="3057" width="6" style="6" customWidth="1"/>
    <col min="3058" max="3058" width="0.7109375" style="6" customWidth="1"/>
    <col min="3059" max="3059" width="7.140625" style="6" customWidth="1"/>
    <col min="3060" max="3060" width="6.5703125" style="6" customWidth="1"/>
    <col min="3061" max="3061" width="0.7109375" style="6" customWidth="1"/>
    <col min="3062" max="3062" width="7.85546875" style="6" customWidth="1"/>
    <col min="3063" max="3063" width="10.5703125" style="6" customWidth="1"/>
    <col min="3064" max="3064" width="0.7109375" style="6" customWidth="1"/>
    <col min="3065" max="3306" width="11.42578125" style="6"/>
    <col min="3307" max="3307" width="0.7109375" style="6" customWidth="1"/>
    <col min="3308" max="3308" width="15.140625" style="6" customWidth="1"/>
    <col min="3309" max="3309" width="0.7109375" style="6" customWidth="1"/>
    <col min="3310" max="3310" width="56.140625" style="6" customWidth="1"/>
    <col min="3311" max="3311" width="0.7109375" style="6" customWidth="1"/>
    <col min="3312" max="3312" width="9.140625" style="6" customWidth="1"/>
    <col min="3313" max="3313" width="6" style="6" customWidth="1"/>
    <col min="3314" max="3314" width="0.7109375" style="6" customWidth="1"/>
    <col min="3315" max="3315" width="7.140625" style="6" customWidth="1"/>
    <col min="3316" max="3316" width="6.5703125" style="6" customWidth="1"/>
    <col min="3317" max="3317" width="0.7109375" style="6" customWidth="1"/>
    <col min="3318" max="3318" width="7.85546875" style="6" customWidth="1"/>
    <col min="3319" max="3319" width="10.5703125" style="6" customWidth="1"/>
    <col min="3320" max="3320" width="0.7109375" style="6" customWidth="1"/>
    <col min="3321" max="3562" width="11.42578125" style="6"/>
    <col min="3563" max="3563" width="0.7109375" style="6" customWidth="1"/>
    <col min="3564" max="3564" width="15.140625" style="6" customWidth="1"/>
    <col min="3565" max="3565" width="0.7109375" style="6" customWidth="1"/>
    <col min="3566" max="3566" width="56.140625" style="6" customWidth="1"/>
    <col min="3567" max="3567" width="0.7109375" style="6" customWidth="1"/>
    <col min="3568" max="3568" width="9.140625" style="6" customWidth="1"/>
    <col min="3569" max="3569" width="6" style="6" customWidth="1"/>
    <col min="3570" max="3570" width="0.7109375" style="6" customWidth="1"/>
    <col min="3571" max="3571" width="7.140625" style="6" customWidth="1"/>
    <col min="3572" max="3572" width="6.5703125" style="6" customWidth="1"/>
    <col min="3573" max="3573" width="0.7109375" style="6" customWidth="1"/>
    <col min="3574" max="3574" width="7.85546875" style="6" customWidth="1"/>
    <col min="3575" max="3575" width="10.5703125" style="6" customWidth="1"/>
    <col min="3576" max="3576" width="0.7109375" style="6" customWidth="1"/>
    <col min="3577" max="3818" width="11.42578125" style="6"/>
    <col min="3819" max="3819" width="0.7109375" style="6" customWidth="1"/>
    <col min="3820" max="3820" width="15.140625" style="6" customWidth="1"/>
    <col min="3821" max="3821" width="0.7109375" style="6" customWidth="1"/>
    <col min="3822" max="3822" width="56.140625" style="6" customWidth="1"/>
    <col min="3823" max="3823" width="0.7109375" style="6" customWidth="1"/>
    <col min="3824" max="3824" width="9.140625" style="6" customWidth="1"/>
    <col min="3825" max="3825" width="6" style="6" customWidth="1"/>
    <col min="3826" max="3826" width="0.7109375" style="6" customWidth="1"/>
    <col min="3827" max="3827" width="7.140625" style="6" customWidth="1"/>
    <col min="3828" max="3828" width="6.5703125" style="6" customWidth="1"/>
    <col min="3829" max="3829" width="0.7109375" style="6" customWidth="1"/>
    <col min="3830" max="3830" width="7.85546875" style="6" customWidth="1"/>
    <col min="3831" max="3831" width="10.5703125" style="6" customWidth="1"/>
    <col min="3832" max="3832" width="0.7109375" style="6" customWidth="1"/>
    <col min="3833" max="4074" width="11.42578125" style="6"/>
    <col min="4075" max="4075" width="0.7109375" style="6" customWidth="1"/>
    <col min="4076" max="4076" width="15.140625" style="6" customWidth="1"/>
    <col min="4077" max="4077" width="0.7109375" style="6" customWidth="1"/>
    <col min="4078" max="4078" width="56.140625" style="6" customWidth="1"/>
    <col min="4079" max="4079" width="0.7109375" style="6" customWidth="1"/>
    <col min="4080" max="4080" width="9.140625" style="6" customWidth="1"/>
    <col min="4081" max="4081" width="6" style="6" customWidth="1"/>
    <col min="4082" max="4082" width="0.7109375" style="6" customWidth="1"/>
    <col min="4083" max="4083" width="7.140625" style="6" customWidth="1"/>
    <col min="4084" max="4084" width="6.5703125" style="6" customWidth="1"/>
    <col min="4085" max="4085" width="0.7109375" style="6" customWidth="1"/>
    <col min="4086" max="4086" width="7.85546875" style="6" customWidth="1"/>
    <col min="4087" max="4087" width="10.5703125" style="6" customWidth="1"/>
    <col min="4088" max="4088" width="0.7109375" style="6" customWidth="1"/>
    <col min="4089" max="4330" width="11.42578125" style="6"/>
    <col min="4331" max="4331" width="0.7109375" style="6" customWidth="1"/>
    <col min="4332" max="4332" width="15.140625" style="6" customWidth="1"/>
    <col min="4333" max="4333" width="0.7109375" style="6" customWidth="1"/>
    <col min="4334" max="4334" width="56.140625" style="6" customWidth="1"/>
    <col min="4335" max="4335" width="0.7109375" style="6" customWidth="1"/>
    <col min="4336" max="4336" width="9.140625" style="6" customWidth="1"/>
    <col min="4337" max="4337" width="6" style="6" customWidth="1"/>
    <col min="4338" max="4338" width="0.7109375" style="6" customWidth="1"/>
    <col min="4339" max="4339" width="7.140625" style="6" customWidth="1"/>
    <col min="4340" max="4340" width="6.5703125" style="6" customWidth="1"/>
    <col min="4341" max="4341" width="0.7109375" style="6" customWidth="1"/>
    <col min="4342" max="4342" width="7.85546875" style="6" customWidth="1"/>
    <col min="4343" max="4343" width="10.5703125" style="6" customWidth="1"/>
    <col min="4344" max="4344" width="0.7109375" style="6" customWidth="1"/>
    <col min="4345" max="4586" width="11.42578125" style="6"/>
    <col min="4587" max="4587" width="0.7109375" style="6" customWidth="1"/>
    <col min="4588" max="4588" width="15.140625" style="6" customWidth="1"/>
    <col min="4589" max="4589" width="0.7109375" style="6" customWidth="1"/>
    <col min="4590" max="4590" width="56.140625" style="6" customWidth="1"/>
    <col min="4591" max="4591" width="0.7109375" style="6" customWidth="1"/>
    <col min="4592" max="4592" width="9.140625" style="6" customWidth="1"/>
    <col min="4593" max="4593" width="6" style="6" customWidth="1"/>
    <col min="4594" max="4594" width="0.7109375" style="6" customWidth="1"/>
    <col min="4595" max="4595" width="7.140625" style="6" customWidth="1"/>
    <col min="4596" max="4596" width="6.5703125" style="6" customWidth="1"/>
    <col min="4597" max="4597" width="0.7109375" style="6" customWidth="1"/>
    <col min="4598" max="4598" width="7.85546875" style="6" customWidth="1"/>
    <col min="4599" max="4599" width="10.5703125" style="6" customWidth="1"/>
    <col min="4600" max="4600" width="0.7109375" style="6" customWidth="1"/>
    <col min="4601" max="4842" width="11.42578125" style="6"/>
    <col min="4843" max="4843" width="0.7109375" style="6" customWidth="1"/>
    <col min="4844" max="4844" width="15.140625" style="6" customWidth="1"/>
    <col min="4845" max="4845" width="0.7109375" style="6" customWidth="1"/>
    <col min="4846" max="4846" width="56.140625" style="6" customWidth="1"/>
    <col min="4847" max="4847" width="0.7109375" style="6" customWidth="1"/>
    <col min="4848" max="4848" width="9.140625" style="6" customWidth="1"/>
    <col min="4849" max="4849" width="6" style="6" customWidth="1"/>
    <col min="4850" max="4850" width="0.7109375" style="6" customWidth="1"/>
    <col min="4851" max="4851" width="7.140625" style="6" customWidth="1"/>
    <col min="4852" max="4852" width="6.5703125" style="6" customWidth="1"/>
    <col min="4853" max="4853" width="0.7109375" style="6" customWidth="1"/>
    <col min="4854" max="4854" width="7.85546875" style="6" customWidth="1"/>
    <col min="4855" max="4855" width="10.5703125" style="6" customWidth="1"/>
    <col min="4856" max="4856" width="0.7109375" style="6" customWidth="1"/>
    <col min="4857" max="5098" width="11.42578125" style="6"/>
    <col min="5099" max="5099" width="0.7109375" style="6" customWidth="1"/>
    <col min="5100" max="5100" width="15.140625" style="6" customWidth="1"/>
    <col min="5101" max="5101" width="0.7109375" style="6" customWidth="1"/>
    <col min="5102" max="5102" width="56.140625" style="6" customWidth="1"/>
    <col min="5103" max="5103" width="0.7109375" style="6" customWidth="1"/>
    <col min="5104" max="5104" width="9.140625" style="6" customWidth="1"/>
    <col min="5105" max="5105" width="6" style="6" customWidth="1"/>
    <col min="5106" max="5106" width="0.7109375" style="6" customWidth="1"/>
    <col min="5107" max="5107" width="7.140625" style="6" customWidth="1"/>
    <col min="5108" max="5108" width="6.5703125" style="6" customWidth="1"/>
    <col min="5109" max="5109" width="0.7109375" style="6" customWidth="1"/>
    <col min="5110" max="5110" width="7.85546875" style="6" customWidth="1"/>
    <col min="5111" max="5111" width="10.5703125" style="6" customWidth="1"/>
    <col min="5112" max="5112" width="0.7109375" style="6" customWidth="1"/>
    <col min="5113" max="5354" width="11.42578125" style="6"/>
    <col min="5355" max="5355" width="0.7109375" style="6" customWidth="1"/>
    <col min="5356" max="5356" width="15.140625" style="6" customWidth="1"/>
    <col min="5357" max="5357" width="0.7109375" style="6" customWidth="1"/>
    <col min="5358" max="5358" width="56.140625" style="6" customWidth="1"/>
    <col min="5359" max="5359" width="0.7109375" style="6" customWidth="1"/>
    <col min="5360" max="5360" width="9.140625" style="6" customWidth="1"/>
    <col min="5361" max="5361" width="6" style="6" customWidth="1"/>
    <col min="5362" max="5362" width="0.7109375" style="6" customWidth="1"/>
    <col min="5363" max="5363" width="7.140625" style="6" customWidth="1"/>
    <col min="5364" max="5364" width="6.5703125" style="6" customWidth="1"/>
    <col min="5365" max="5365" width="0.7109375" style="6" customWidth="1"/>
    <col min="5366" max="5366" width="7.85546875" style="6" customWidth="1"/>
    <col min="5367" max="5367" width="10.5703125" style="6" customWidth="1"/>
    <col min="5368" max="5368" width="0.7109375" style="6" customWidth="1"/>
    <col min="5369" max="5610" width="11.42578125" style="6"/>
    <col min="5611" max="5611" width="0.7109375" style="6" customWidth="1"/>
    <col min="5612" max="5612" width="15.140625" style="6" customWidth="1"/>
    <col min="5613" max="5613" width="0.7109375" style="6" customWidth="1"/>
    <col min="5614" max="5614" width="56.140625" style="6" customWidth="1"/>
    <col min="5615" max="5615" width="0.7109375" style="6" customWidth="1"/>
    <col min="5616" max="5616" width="9.140625" style="6" customWidth="1"/>
    <col min="5617" max="5617" width="6" style="6" customWidth="1"/>
    <col min="5618" max="5618" width="0.7109375" style="6" customWidth="1"/>
    <col min="5619" max="5619" width="7.140625" style="6" customWidth="1"/>
    <col min="5620" max="5620" width="6.5703125" style="6" customWidth="1"/>
    <col min="5621" max="5621" width="0.7109375" style="6" customWidth="1"/>
    <col min="5622" max="5622" width="7.85546875" style="6" customWidth="1"/>
    <col min="5623" max="5623" width="10.5703125" style="6" customWidth="1"/>
    <col min="5624" max="5624" width="0.7109375" style="6" customWidth="1"/>
    <col min="5625" max="5866" width="11.42578125" style="6"/>
    <col min="5867" max="5867" width="0.7109375" style="6" customWidth="1"/>
    <col min="5868" max="5868" width="15.140625" style="6" customWidth="1"/>
    <col min="5869" max="5869" width="0.7109375" style="6" customWidth="1"/>
    <col min="5870" max="5870" width="56.140625" style="6" customWidth="1"/>
    <col min="5871" max="5871" width="0.7109375" style="6" customWidth="1"/>
    <col min="5872" max="5872" width="9.140625" style="6" customWidth="1"/>
    <col min="5873" max="5873" width="6" style="6" customWidth="1"/>
    <col min="5874" max="5874" width="0.7109375" style="6" customWidth="1"/>
    <col min="5875" max="5875" width="7.140625" style="6" customWidth="1"/>
    <col min="5876" max="5876" width="6.5703125" style="6" customWidth="1"/>
    <col min="5877" max="5877" width="0.7109375" style="6" customWidth="1"/>
    <col min="5878" max="5878" width="7.85546875" style="6" customWidth="1"/>
    <col min="5879" max="5879" width="10.5703125" style="6" customWidth="1"/>
    <col min="5880" max="5880" width="0.7109375" style="6" customWidth="1"/>
    <col min="5881" max="6122" width="11.42578125" style="6"/>
    <col min="6123" max="6123" width="0.7109375" style="6" customWidth="1"/>
    <col min="6124" max="6124" width="15.140625" style="6" customWidth="1"/>
    <col min="6125" max="6125" width="0.7109375" style="6" customWidth="1"/>
    <col min="6126" max="6126" width="56.140625" style="6" customWidth="1"/>
    <col min="6127" max="6127" width="0.7109375" style="6" customWidth="1"/>
    <col min="6128" max="6128" width="9.140625" style="6" customWidth="1"/>
    <col min="6129" max="6129" width="6" style="6" customWidth="1"/>
    <col min="6130" max="6130" width="0.7109375" style="6" customWidth="1"/>
    <col min="6131" max="6131" width="7.140625" style="6" customWidth="1"/>
    <col min="6132" max="6132" width="6.5703125" style="6" customWidth="1"/>
    <col min="6133" max="6133" width="0.7109375" style="6" customWidth="1"/>
    <col min="6134" max="6134" width="7.85546875" style="6" customWidth="1"/>
    <col min="6135" max="6135" width="10.5703125" style="6" customWidth="1"/>
    <col min="6136" max="6136" width="0.7109375" style="6" customWidth="1"/>
    <col min="6137" max="6378" width="11.42578125" style="6"/>
    <col min="6379" max="6379" width="0.7109375" style="6" customWidth="1"/>
    <col min="6380" max="6380" width="15.140625" style="6" customWidth="1"/>
    <col min="6381" max="6381" width="0.7109375" style="6" customWidth="1"/>
    <col min="6382" max="6382" width="56.140625" style="6" customWidth="1"/>
    <col min="6383" max="6383" width="0.7109375" style="6" customWidth="1"/>
    <col min="6384" max="6384" width="9.140625" style="6" customWidth="1"/>
    <col min="6385" max="6385" width="6" style="6" customWidth="1"/>
    <col min="6386" max="6386" width="0.7109375" style="6" customWidth="1"/>
    <col min="6387" max="6387" width="7.140625" style="6" customWidth="1"/>
    <col min="6388" max="6388" width="6.5703125" style="6" customWidth="1"/>
    <col min="6389" max="6389" width="0.7109375" style="6" customWidth="1"/>
    <col min="6390" max="6390" width="7.85546875" style="6" customWidth="1"/>
    <col min="6391" max="6391" width="10.5703125" style="6" customWidth="1"/>
    <col min="6392" max="6392" width="0.7109375" style="6" customWidth="1"/>
    <col min="6393" max="6634" width="11.42578125" style="6"/>
    <col min="6635" max="6635" width="0.7109375" style="6" customWidth="1"/>
    <col min="6636" max="6636" width="15.140625" style="6" customWidth="1"/>
    <col min="6637" max="6637" width="0.7109375" style="6" customWidth="1"/>
    <col min="6638" max="6638" width="56.140625" style="6" customWidth="1"/>
    <col min="6639" max="6639" width="0.7109375" style="6" customWidth="1"/>
    <col min="6640" max="6640" width="9.140625" style="6" customWidth="1"/>
    <col min="6641" max="6641" width="6" style="6" customWidth="1"/>
    <col min="6642" max="6642" width="0.7109375" style="6" customWidth="1"/>
    <col min="6643" max="6643" width="7.140625" style="6" customWidth="1"/>
    <col min="6644" max="6644" width="6.5703125" style="6" customWidth="1"/>
    <col min="6645" max="6645" width="0.7109375" style="6" customWidth="1"/>
    <col min="6646" max="6646" width="7.85546875" style="6" customWidth="1"/>
    <col min="6647" max="6647" width="10.5703125" style="6" customWidth="1"/>
    <col min="6648" max="6648" width="0.7109375" style="6" customWidth="1"/>
    <col min="6649" max="6890" width="11.42578125" style="6"/>
    <col min="6891" max="6891" width="0.7109375" style="6" customWidth="1"/>
    <col min="6892" max="6892" width="15.140625" style="6" customWidth="1"/>
    <col min="6893" max="6893" width="0.7109375" style="6" customWidth="1"/>
    <col min="6894" max="6894" width="56.140625" style="6" customWidth="1"/>
    <col min="6895" max="6895" width="0.7109375" style="6" customWidth="1"/>
    <col min="6896" max="6896" width="9.140625" style="6" customWidth="1"/>
    <col min="6897" max="6897" width="6" style="6" customWidth="1"/>
    <col min="6898" max="6898" width="0.7109375" style="6" customWidth="1"/>
    <col min="6899" max="6899" width="7.140625" style="6" customWidth="1"/>
    <col min="6900" max="6900" width="6.5703125" style="6" customWidth="1"/>
    <col min="6901" max="6901" width="0.7109375" style="6" customWidth="1"/>
    <col min="6902" max="6902" width="7.85546875" style="6" customWidth="1"/>
    <col min="6903" max="6903" width="10.5703125" style="6" customWidth="1"/>
    <col min="6904" max="6904" width="0.7109375" style="6" customWidth="1"/>
    <col min="6905" max="7146" width="11.42578125" style="6"/>
    <col min="7147" max="7147" width="0.7109375" style="6" customWidth="1"/>
    <col min="7148" max="7148" width="15.140625" style="6" customWidth="1"/>
    <col min="7149" max="7149" width="0.7109375" style="6" customWidth="1"/>
    <col min="7150" max="7150" width="56.140625" style="6" customWidth="1"/>
    <col min="7151" max="7151" width="0.7109375" style="6" customWidth="1"/>
    <col min="7152" max="7152" width="9.140625" style="6" customWidth="1"/>
    <col min="7153" max="7153" width="6" style="6" customWidth="1"/>
    <col min="7154" max="7154" width="0.7109375" style="6" customWidth="1"/>
    <col min="7155" max="7155" width="7.140625" style="6" customWidth="1"/>
    <col min="7156" max="7156" width="6.5703125" style="6" customWidth="1"/>
    <col min="7157" max="7157" width="0.7109375" style="6" customWidth="1"/>
    <col min="7158" max="7158" width="7.85546875" style="6" customWidth="1"/>
    <col min="7159" max="7159" width="10.5703125" style="6" customWidth="1"/>
    <col min="7160" max="7160" width="0.7109375" style="6" customWidth="1"/>
    <col min="7161" max="7402" width="11.42578125" style="6"/>
    <col min="7403" max="7403" width="0.7109375" style="6" customWidth="1"/>
    <col min="7404" max="7404" width="15.140625" style="6" customWidth="1"/>
    <col min="7405" max="7405" width="0.7109375" style="6" customWidth="1"/>
    <col min="7406" max="7406" width="56.140625" style="6" customWidth="1"/>
    <col min="7407" max="7407" width="0.7109375" style="6" customWidth="1"/>
    <col min="7408" max="7408" width="9.140625" style="6" customWidth="1"/>
    <col min="7409" max="7409" width="6" style="6" customWidth="1"/>
    <col min="7410" max="7410" width="0.7109375" style="6" customWidth="1"/>
    <col min="7411" max="7411" width="7.140625" style="6" customWidth="1"/>
    <col min="7412" max="7412" width="6.5703125" style="6" customWidth="1"/>
    <col min="7413" max="7413" width="0.7109375" style="6" customWidth="1"/>
    <col min="7414" max="7414" width="7.85546875" style="6" customWidth="1"/>
    <col min="7415" max="7415" width="10.5703125" style="6" customWidth="1"/>
    <col min="7416" max="7416" width="0.7109375" style="6" customWidth="1"/>
    <col min="7417" max="7658" width="11.42578125" style="6"/>
    <col min="7659" max="7659" width="0.7109375" style="6" customWidth="1"/>
    <col min="7660" max="7660" width="15.140625" style="6" customWidth="1"/>
    <col min="7661" max="7661" width="0.7109375" style="6" customWidth="1"/>
    <col min="7662" max="7662" width="56.140625" style="6" customWidth="1"/>
    <col min="7663" max="7663" width="0.7109375" style="6" customWidth="1"/>
    <col min="7664" max="7664" width="9.140625" style="6" customWidth="1"/>
    <col min="7665" max="7665" width="6" style="6" customWidth="1"/>
    <col min="7666" max="7666" width="0.7109375" style="6" customWidth="1"/>
    <col min="7667" max="7667" width="7.140625" style="6" customWidth="1"/>
    <col min="7668" max="7668" width="6.5703125" style="6" customWidth="1"/>
    <col min="7669" max="7669" width="0.7109375" style="6" customWidth="1"/>
    <col min="7670" max="7670" width="7.85546875" style="6" customWidth="1"/>
    <col min="7671" max="7671" width="10.5703125" style="6" customWidth="1"/>
    <col min="7672" max="7672" width="0.7109375" style="6" customWidth="1"/>
    <col min="7673" max="7914" width="11.42578125" style="6"/>
    <col min="7915" max="7915" width="0.7109375" style="6" customWidth="1"/>
    <col min="7916" max="7916" width="15.140625" style="6" customWidth="1"/>
    <col min="7917" max="7917" width="0.7109375" style="6" customWidth="1"/>
    <col min="7918" max="7918" width="56.140625" style="6" customWidth="1"/>
    <col min="7919" max="7919" width="0.7109375" style="6" customWidth="1"/>
    <col min="7920" max="7920" width="9.140625" style="6" customWidth="1"/>
    <col min="7921" max="7921" width="6" style="6" customWidth="1"/>
    <col min="7922" max="7922" width="0.7109375" style="6" customWidth="1"/>
    <col min="7923" max="7923" width="7.140625" style="6" customWidth="1"/>
    <col min="7924" max="7924" width="6.5703125" style="6" customWidth="1"/>
    <col min="7925" max="7925" width="0.7109375" style="6" customWidth="1"/>
    <col min="7926" max="7926" width="7.85546875" style="6" customWidth="1"/>
    <col min="7927" max="7927" width="10.5703125" style="6" customWidth="1"/>
    <col min="7928" max="7928" width="0.7109375" style="6" customWidth="1"/>
    <col min="7929" max="8170" width="11.42578125" style="6"/>
    <col min="8171" max="8171" width="0.7109375" style="6" customWidth="1"/>
    <col min="8172" max="8172" width="15.140625" style="6" customWidth="1"/>
    <col min="8173" max="8173" width="0.7109375" style="6" customWidth="1"/>
    <col min="8174" max="8174" width="56.140625" style="6" customWidth="1"/>
    <col min="8175" max="8175" width="0.7109375" style="6" customWidth="1"/>
    <col min="8176" max="8176" width="9.140625" style="6" customWidth="1"/>
    <col min="8177" max="8177" width="6" style="6" customWidth="1"/>
    <col min="8178" max="8178" width="0.7109375" style="6" customWidth="1"/>
    <col min="8179" max="8179" width="7.140625" style="6" customWidth="1"/>
    <col min="8180" max="8180" width="6.5703125" style="6" customWidth="1"/>
    <col min="8181" max="8181" width="0.7109375" style="6" customWidth="1"/>
    <col min="8182" max="8182" width="7.85546875" style="6" customWidth="1"/>
    <col min="8183" max="8183" width="10.5703125" style="6" customWidth="1"/>
    <col min="8184" max="8184" width="0.7109375" style="6" customWidth="1"/>
    <col min="8185" max="8426" width="11.42578125" style="6"/>
    <col min="8427" max="8427" width="0.7109375" style="6" customWidth="1"/>
    <col min="8428" max="8428" width="15.140625" style="6" customWidth="1"/>
    <col min="8429" max="8429" width="0.7109375" style="6" customWidth="1"/>
    <col min="8430" max="8430" width="56.140625" style="6" customWidth="1"/>
    <col min="8431" max="8431" width="0.7109375" style="6" customWidth="1"/>
    <col min="8432" max="8432" width="9.140625" style="6" customWidth="1"/>
    <col min="8433" max="8433" width="6" style="6" customWidth="1"/>
    <col min="8434" max="8434" width="0.7109375" style="6" customWidth="1"/>
    <col min="8435" max="8435" width="7.140625" style="6" customWidth="1"/>
    <col min="8436" max="8436" width="6.5703125" style="6" customWidth="1"/>
    <col min="8437" max="8437" width="0.7109375" style="6" customWidth="1"/>
    <col min="8438" max="8438" width="7.85546875" style="6" customWidth="1"/>
    <col min="8439" max="8439" width="10.5703125" style="6" customWidth="1"/>
    <col min="8440" max="8440" width="0.7109375" style="6" customWidth="1"/>
    <col min="8441" max="8682" width="11.42578125" style="6"/>
    <col min="8683" max="8683" width="0.7109375" style="6" customWidth="1"/>
    <col min="8684" max="8684" width="15.140625" style="6" customWidth="1"/>
    <col min="8685" max="8685" width="0.7109375" style="6" customWidth="1"/>
    <col min="8686" max="8686" width="56.140625" style="6" customWidth="1"/>
    <col min="8687" max="8687" width="0.7109375" style="6" customWidth="1"/>
    <col min="8688" max="8688" width="9.140625" style="6" customWidth="1"/>
    <col min="8689" max="8689" width="6" style="6" customWidth="1"/>
    <col min="8690" max="8690" width="0.7109375" style="6" customWidth="1"/>
    <col min="8691" max="8691" width="7.140625" style="6" customWidth="1"/>
    <col min="8692" max="8692" width="6.5703125" style="6" customWidth="1"/>
    <col min="8693" max="8693" width="0.7109375" style="6" customWidth="1"/>
    <col min="8694" max="8694" width="7.85546875" style="6" customWidth="1"/>
    <col min="8695" max="8695" width="10.5703125" style="6" customWidth="1"/>
    <col min="8696" max="8696" width="0.7109375" style="6" customWidth="1"/>
    <col min="8697" max="8938" width="11.42578125" style="6"/>
    <col min="8939" max="8939" width="0.7109375" style="6" customWidth="1"/>
    <col min="8940" max="8940" width="15.140625" style="6" customWidth="1"/>
    <col min="8941" max="8941" width="0.7109375" style="6" customWidth="1"/>
    <col min="8942" max="8942" width="56.140625" style="6" customWidth="1"/>
    <col min="8943" max="8943" width="0.7109375" style="6" customWidth="1"/>
    <col min="8944" max="8944" width="9.140625" style="6" customWidth="1"/>
    <col min="8945" max="8945" width="6" style="6" customWidth="1"/>
    <col min="8946" max="8946" width="0.7109375" style="6" customWidth="1"/>
    <col min="8947" max="8947" width="7.140625" style="6" customWidth="1"/>
    <col min="8948" max="8948" width="6.5703125" style="6" customWidth="1"/>
    <col min="8949" max="8949" width="0.7109375" style="6" customWidth="1"/>
    <col min="8950" max="8950" width="7.85546875" style="6" customWidth="1"/>
    <col min="8951" max="8951" width="10.5703125" style="6" customWidth="1"/>
    <col min="8952" max="8952" width="0.7109375" style="6" customWidth="1"/>
    <col min="8953" max="9194" width="11.42578125" style="6"/>
    <col min="9195" max="9195" width="0.7109375" style="6" customWidth="1"/>
    <col min="9196" max="9196" width="15.140625" style="6" customWidth="1"/>
    <col min="9197" max="9197" width="0.7109375" style="6" customWidth="1"/>
    <col min="9198" max="9198" width="56.140625" style="6" customWidth="1"/>
    <col min="9199" max="9199" width="0.7109375" style="6" customWidth="1"/>
    <col min="9200" max="9200" width="9.140625" style="6" customWidth="1"/>
    <col min="9201" max="9201" width="6" style="6" customWidth="1"/>
    <col min="9202" max="9202" width="0.7109375" style="6" customWidth="1"/>
    <col min="9203" max="9203" width="7.140625" style="6" customWidth="1"/>
    <col min="9204" max="9204" width="6.5703125" style="6" customWidth="1"/>
    <col min="9205" max="9205" width="0.7109375" style="6" customWidth="1"/>
    <col min="9206" max="9206" width="7.85546875" style="6" customWidth="1"/>
    <col min="9207" max="9207" width="10.5703125" style="6" customWidth="1"/>
    <col min="9208" max="9208" width="0.7109375" style="6" customWidth="1"/>
    <col min="9209" max="9450" width="11.42578125" style="6"/>
    <col min="9451" max="9451" width="0.7109375" style="6" customWidth="1"/>
    <col min="9452" max="9452" width="15.140625" style="6" customWidth="1"/>
    <col min="9453" max="9453" width="0.7109375" style="6" customWidth="1"/>
    <col min="9454" max="9454" width="56.140625" style="6" customWidth="1"/>
    <col min="9455" max="9455" width="0.7109375" style="6" customWidth="1"/>
    <col min="9456" max="9456" width="9.140625" style="6" customWidth="1"/>
    <col min="9457" max="9457" width="6" style="6" customWidth="1"/>
    <col min="9458" max="9458" width="0.7109375" style="6" customWidth="1"/>
    <col min="9459" max="9459" width="7.140625" style="6" customWidth="1"/>
    <col min="9460" max="9460" width="6.5703125" style="6" customWidth="1"/>
    <col min="9461" max="9461" width="0.7109375" style="6" customWidth="1"/>
    <col min="9462" max="9462" width="7.85546875" style="6" customWidth="1"/>
    <col min="9463" max="9463" width="10.5703125" style="6" customWidth="1"/>
    <col min="9464" max="9464" width="0.7109375" style="6" customWidth="1"/>
    <col min="9465" max="9706" width="11.42578125" style="6"/>
    <col min="9707" max="9707" width="0.7109375" style="6" customWidth="1"/>
    <col min="9708" max="9708" width="15.140625" style="6" customWidth="1"/>
    <col min="9709" max="9709" width="0.7109375" style="6" customWidth="1"/>
    <col min="9710" max="9710" width="56.140625" style="6" customWidth="1"/>
    <col min="9711" max="9711" width="0.7109375" style="6" customWidth="1"/>
    <col min="9712" max="9712" width="9.140625" style="6" customWidth="1"/>
    <col min="9713" max="9713" width="6" style="6" customWidth="1"/>
    <col min="9714" max="9714" width="0.7109375" style="6" customWidth="1"/>
    <col min="9715" max="9715" width="7.140625" style="6" customWidth="1"/>
    <col min="9716" max="9716" width="6.5703125" style="6" customWidth="1"/>
    <col min="9717" max="9717" width="0.7109375" style="6" customWidth="1"/>
    <col min="9718" max="9718" width="7.85546875" style="6" customWidth="1"/>
    <col min="9719" max="9719" width="10.5703125" style="6" customWidth="1"/>
    <col min="9720" max="9720" width="0.7109375" style="6" customWidth="1"/>
    <col min="9721" max="9962" width="11.42578125" style="6"/>
    <col min="9963" max="9963" width="0.7109375" style="6" customWidth="1"/>
    <col min="9964" max="9964" width="15.140625" style="6" customWidth="1"/>
    <col min="9965" max="9965" width="0.7109375" style="6" customWidth="1"/>
    <col min="9966" max="9966" width="56.140625" style="6" customWidth="1"/>
    <col min="9967" max="9967" width="0.7109375" style="6" customWidth="1"/>
    <col min="9968" max="9968" width="9.140625" style="6" customWidth="1"/>
    <col min="9969" max="9969" width="6" style="6" customWidth="1"/>
    <col min="9970" max="9970" width="0.7109375" style="6" customWidth="1"/>
    <col min="9971" max="9971" width="7.140625" style="6" customWidth="1"/>
    <col min="9972" max="9972" width="6.5703125" style="6" customWidth="1"/>
    <col min="9973" max="9973" width="0.7109375" style="6" customWidth="1"/>
    <col min="9974" max="9974" width="7.85546875" style="6" customWidth="1"/>
    <col min="9975" max="9975" width="10.5703125" style="6" customWidth="1"/>
    <col min="9976" max="9976" width="0.7109375" style="6" customWidth="1"/>
    <col min="9977" max="10218" width="11.42578125" style="6"/>
    <col min="10219" max="10219" width="0.7109375" style="6" customWidth="1"/>
    <col min="10220" max="10220" width="15.140625" style="6" customWidth="1"/>
    <col min="10221" max="10221" width="0.7109375" style="6" customWidth="1"/>
    <col min="10222" max="10222" width="56.140625" style="6" customWidth="1"/>
    <col min="10223" max="10223" width="0.7109375" style="6" customWidth="1"/>
    <col min="10224" max="10224" width="9.140625" style="6" customWidth="1"/>
    <col min="10225" max="10225" width="6" style="6" customWidth="1"/>
    <col min="10226" max="10226" width="0.7109375" style="6" customWidth="1"/>
    <col min="10227" max="10227" width="7.140625" style="6" customWidth="1"/>
    <col min="10228" max="10228" width="6.5703125" style="6" customWidth="1"/>
    <col min="10229" max="10229" width="0.7109375" style="6" customWidth="1"/>
    <col min="10230" max="10230" width="7.85546875" style="6" customWidth="1"/>
    <col min="10231" max="10231" width="10.5703125" style="6" customWidth="1"/>
    <col min="10232" max="10232" width="0.7109375" style="6" customWidth="1"/>
    <col min="10233" max="10474" width="11.42578125" style="6"/>
    <col min="10475" max="10475" width="0.7109375" style="6" customWidth="1"/>
    <col min="10476" max="10476" width="15.140625" style="6" customWidth="1"/>
    <col min="10477" max="10477" width="0.7109375" style="6" customWidth="1"/>
    <col min="10478" max="10478" width="56.140625" style="6" customWidth="1"/>
    <col min="10479" max="10479" width="0.7109375" style="6" customWidth="1"/>
    <col min="10480" max="10480" width="9.140625" style="6" customWidth="1"/>
    <col min="10481" max="10481" width="6" style="6" customWidth="1"/>
    <col min="10482" max="10482" width="0.7109375" style="6" customWidth="1"/>
    <col min="10483" max="10483" width="7.140625" style="6" customWidth="1"/>
    <col min="10484" max="10484" width="6.5703125" style="6" customWidth="1"/>
    <col min="10485" max="10485" width="0.7109375" style="6" customWidth="1"/>
    <col min="10486" max="10486" width="7.85546875" style="6" customWidth="1"/>
    <col min="10487" max="10487" width="10.5703125" style="6" customWidth="1"/>
    <col min="10488" max="10488" width="0.7109375" style="6" customWidth="1"/>
    <col min="10489" max="10730" width="11.42578125" style="6"/>
    <col min="10731" max="10731" width="0.7109375" style="6" customWidth="1"/>
    <col min="10732" max="10732" width="15.140625" style="6" customWidth="1"/>
    <col min="10733" max="10733" width="0.7109375" style="6" customWidth="1"/>
    <col min="10734" max="10734" width="56.140625" style="6" customWidth="1"/>
    <col min="10735" max="10735" width="0.7109375" style="6" customWidth="1"/>
    <col min="10736" max="10736" width="9.140625" style="6" customWidth="1"/>
    <col min="10737" max="10737" width="6" style="6" customWidth="1"/>
    <col min="10738" max="10738" width="0.7109375" style="6" customWidth="1"/>
    <col min="10739" max="10739" width="7.140625" style="6" customWidth="1"/>
    <col min="10740" max="10740" width="6.5703125" style="6" customWidth="1"/>
    <col min="10741" max="10741" width="0.7109375" style="6" customWidth="1"/>
    <col min="10742" max="10742" width="7.85546875" style="6" customWidth="1"/>
    <col min="10743" max="10743" width="10.5703125" style="6" customWidth="1"/>
    <col min="10744" max="10744" width="0.7109375" style="6" customWidth="1"/>
    <col min="10745" max="10986" width="11.42578125" style="6"/>
    <col min="10987" max="10987" width="0.7109375" style="6" customWidth="1"/>
    <col min="10988" max="10988" width="15.140625" style="6" customWidth="1"/>
    <col min="10989" max="10989" width="0.7109375" style="6" customWidth="1"/>
    <col min="10990" max="10990" width="56.140625" style="6" customWidth="1"/>
    <col min="10991" max="10991" width="0.7109375" style="6" customWidth="1"/>
    <col min="10992" max="10992" width="9.140625" style="6" customWidth="1"/>
    <col min="10993" max="10993" width="6" style="6" customWidth="1"/>
    <col min="10994" max="10994" width="0.7109375" style="6" customWidth="1"/>
    <col min="10995" max="10995" width="7.140625" style="6" customWidth="1"/>
    <col min="10996" max="10996" width="6.5703125" style="6" customWidth="1"/>
    <col min="10997" max="10997" width="0.7109375" style="6" customWidth="1"/>
    <col min="10998" max="10998" width="7.85546875" style="6" customWidth="1"/>
    <col min="10999" max="10999" width="10.5703125" style="6" customWidth="1"/>
    <col min="11000" max="11000" width="0.7109375" style="6" customWidth="1"/>
    <col min="11001" max="11242" width="11.42578125" style="6"/>
    <col min="11243" max="11243" width="0.7109375" style="6" customWidth="1"/>
    <col min="11244" max="11244" width="15.140625" style="6" customWidth="1"/>
    <col min="11245" max="11245" width="0.7109375" style="6" customWidth="1"/>
    <col min="11246" max="11246" width="56.140625" style="6" customWidth="1"/>
    <col min="11247" max="11247" width="0.7109375" style="6" customWidth="1"/>
    <col min="11248" max="11248" width="9.140625" style="6" customWidth="1"/>
    <col min="11249" max="11249" width="6" style="6" customWidth="1"/>
    <col min="11250" max="11250" width="0.7109375" style="6" customWidth="1"/>
    <col min="11251" max="11251" width="7.140625" style="6" customWidth="1"/>
    <col min="11252" max="11252" width="6.5703125" style="6" customWidth="1"/>
    <col min="11253" max="11253" width="0.7109375" style="6" customWidth="1"/>
    <col min="11254" max="11254" width="7.85546875" style="6" customWidth="1"/>
    <col min="11255" max="11255" width="10.5703125" style="6" customWidth="1"/>
    <col min="11256" max="11256" width="0.7109375" style="6" customWidth="1"/>
    <col min="11257" max="11498" width="11.42578125" style="6"/>
    <col min="11499" max="11499" width="0.7109375" style="6" customWidth="1"/>
    <col min="11500" max="11500" width="15.140625" style="6" customWidth="1"/>
    <col min="11501" max="11501" width="0.7109375" style="6" customWidth="1"/>
    <col min="11502" max="11502" width="56.140625" style="6" customWidth="1"/>
    <col min="11503" max="11503" width="0.7109375" style="6" customWidth="1"/>
    <col min="11504" max="11504" width="9.140625" style="6" customWidth="1"/>
    <col min="11505" max="11505" width="6" style="6" customWidth="1"/>
    <col min="11506" max="11506" width="0.7109375" style="6" customWidth="1"/>
    <col min="11507" max="11507" width="7.140625" style="6" customWidth="1"/>
    <col min="11508" max="11508" width="6.5703125" style="6" customWidth="1"/>
    <col min="11509" max="11509" width="0.7109375" style="6" customWidth="1"/>
    <col min="11510" max="11510" width="7.85546875" style="6" customWidth="1"/>
    <col min="11511" max="11511" width="10.5703125" style="6" customWidth="1"/>
    <col min="11512" max="11512" width="0.7109375" style="6" customWidth="1"/>
    <col min="11513" max="11754" width="11.42578125" style="6"/>
    <col min="11755" max="11755" width="0.7109375" style="6" customWidth="1"/>
    <col min="11756" max="11756" width="15.140625" style="6" customWidth="1"/>
    <col min="11757" max="11757" width="0.7109375" style="6" customWidth="1"/>
    <col min="11758" max="11758" width="56.140625" style="6" customWidth="1"/>
    <col min="11759" max="11759" width="0.7109375" style="6" customWidth="1"/>
    <col min="11760" max="11760" width="9.140625" style="6" customWidth="1"/>
    <col min="11761" max="11761" width="6" style="6" customWidth="1"/>
    <col min="11762" max="11762" width="0.7109375" style="6" customWidth="1"/>
    <col min="11763" max="11763" width="7.140625" style="6" customWidth="1"/>
    <col min="11764" max="11764" width="6.5703125" style="6" customWidth="1"/>
    <col min="11765" max="11765" width="0.7109375" style="6" customWidth="1"/>
    <col min="11766" max="11766" width="7.85546875" style="6" customWidth="1"/>
    <col min="11767" max="11767" width="10.5703125" style="6" customWidth="1"/>
    <col min="11768" max="11768" width="0.7109375" style="6" customWidth="1"/>
    <col min="11769" max="12010" width="11.42578125" style="6"/>
    <col min="12011" max="12011" width="0.7109375" style="6" customWidth="1"/>
    <col min="12012" max="12012" width="15.140625" style="6" customWidth="1"/>
    <col min="12013" max="12013" width="0.7109375" style="6" customWidth="1"/>
    <col min="12014" max="12014" width="56.140625" style="6" customWidth="1"/>
    <col min="12015" max="12015" width="0.7109375" style="6" customWidth="1"/>
    <col min="12016" max="12016" width="9.140625" style="6" customWidth="1"/>
    <col min="12017" max="12017" width="6" style="6" customWidth="1"/>
    <col min="12018" max="12018" width="0.7109375" style="6" customWidth="1"/>
    <col min="12019" max="12019" width="7.140625" style="6" customWidth="1"/>
    <col min="12020" max="12020" width="6.5703125" style="6" customWidth="1"/>
    <col min="12021" max="12021" width="0.7109375" style="6" customWidth="1"/>
    <col min="12022" max="12022" width="7.85546875" style="6" customWidth="1"/>
    <col min="12023" max="12023" width="10.5703125" style="6" customWidth="1"/>
    <col min="12024" max="12024" width="0.7109375" style="6" customWidth="1"/>
    <col min="12025" max="12266" width="11.42578125" style="6"/>
    <col min="12267" max="12267" width="0.7109375" style="6" customWidth="1"/>
    <col min="12268" max="12268" width="15.140625" style="6" customWidth="1"/>
    <col min="12269" max="12269" width="0.7109375" style="6" customWidth="1"/>
    <col min="12270" max="12270" width="56.140625" style="6" customWidth="1"/>
    <col min="12271" max="12271" width="0.7109375" style="6" customWidth="1"/>
    <col min="12272" max="12272" width="9.140625" style="6" customWidth="1"/>
    <col min="12273" max="12273" width="6" style="6" customWidth="1"/>
    <col min="12274" max="12274" width="0.7109375" style="6" customWidth="1"/>
    <col min="12275" max="12275" width="7.140625" style="6" customWidth="1"/>
    <col min="12276" max="12276" width="6.5703125" style="6" customWidth="1"/>
    <col min="12277" max="12277" width="0.7109375" style="6" customWidth="1"/>
    <col min="12278" max="12278" width="7.85546875" style="6" customWidth="1"/>
    <col min="12279" max="12279" width="10.5703125" style="6" customWidth="1"/>
    <col min="12280" max="12280" width="0.7109375" style="6" customWidth="1"/>
    <col min="12281" max="12522" width="11.42578125" style="6"/>
    <col min="12523" max="12523" width="0.7109375" style="6" customWidth="1"/>
    <col min="12524" max="12524" width="15.140625" style="6" customWidth="1"/>
    <col min="12525" max="12525" width="0.7109375" style="6" customWidth="1"/>
    <col min="12526" max="12526" width="56.140625" style="6" customWidth="1"/>
    <col min="12527" max="12527" width="0.7109375" style="6" customWidth="1"/>
    <col min="12528" max="12528" width="9.140625" style="6" customWidth="1"/>
    <col min="12529" max="12529" width="6" style="6" customWidth="1"/>
    <col min="12530" max="12530" width="0.7109375" style="6" customWidth="1"/>
    <col min="12531" max="12531" width="7.140625" style="6" customWidth="1"/>
    <col min="12532" max="12532" width="6.5703125" style="6" customWidth="1"/>
    <col min="12533" max="12533" width="0.7109375" style="6" customWidth="1"/>
    <col min="12534" max="12534" width="7.85546875" style="6" customWidth="1"/>
    <col min="12535" max="12535" width="10.5703125" style="6" customWidth="1"/>
    <col min="12536" max="12536" width="0.7109375" style="6" customWidth="1"/>
    <col min="12537" max="12778" width="11.42578125" style="6"/>
    <col min="12779" max="12779" width="0.7109375" style="6" customWidth="1"/>
    <col min="12780" max="12780" width="15.140625" style="6" customWidth="1"/>
    <col min="12781" max="12781" width="0.7109375" style="6" customWidth="1"/>
    <col min="12782" max="12782" width="56.140625" style="6" customWidth="1"/>
    <col min="12783" max="12783" width="0.7109375" style="6" customWidth="1"/>
    <col min="12784" max="12784" width="9.140625" style="6" customWidth="1"/>
    <col min="12785" max="12785" width="6" style="6" customWidth="1"/>
    <col min="12786" max="12786" width="0.7109375" style="6" customWidth="1"/>
    <col min="12787" max="12787" width="7.140625" style="6" customWidth="1"/>
    <col min="12788" max="12788" width="6.5703125" style="6" customWidth="1"/>
    <col min="12789" max="12789" width="0.7109375" style="6" customWidth="1"/>
    <col min="12790" max="12790" width="7.85546875" style="6" customWidth="1"/>
    <col min="12791" max="12791" width="10.5703125" style="6" customWidth="1"/>
    <col min="12792" max="12792" width="0.7109375" style="6" customWidth="1"/>
    <col min="12793" max="13034" width="11.42578125" style="6"/>
    <col min="13035" max="13035" width="0.7109375" style="6" customWidth="1"/>
    <col min="13036" max="13036" width="15.140625" style="6" customWidth="1"/>
    <col min="13037" max="13037" width="0.7109375" style="6" customWidth="1"/>
    <col min="13038" max="13038" width="56.140625" style="6" customWidth="1"/>
    <col min="13039" max="13039" width="0.7109375" style="6" customWidth="1"/>
    <col min="13040" max="13040" width="9.140625" style="6" customWidth="1"/>
    <col min="13041" max="13041" width="6" style="6" customWidth="1"/>
    <col min="13042" max="13042" width="0.7109375" style="6" customWidth="1"/>
    <col min="13043" max="13043" width="7.140625" style="6" customWidth="1"/>
    <col min="13044" max="13044" width="6.5703125" style="6" customWidth="1"/>
    <col min="13045" max="13045" width="0.7109375" style="6" customWidth="1"/>
    <col min="13046" max="13046" width="7.85546875" style="6" customWidth="1"/>
    <col min="13047" max="13047" width="10.5703125" style="6" customWidth="1"/>
    <col min="13048" max="13048" width="0.7109375" style="6" customWidth="1"/>
    <col min="13049" max="13290" width="11.42578125" style="6"/>
    <col min="13291" max="13291" width="0.7109375" style="6" customWidth="1"/>
    <col min="13292" max="13292" width="15.140625" style="6" customWidth="1"/>
    <col min="13293" max="13293" width="0.7109375" style="6" customWidth="1"/>
    <col min="13294" max="13294" width="56.140625" style="6" customWidth="1"/>
    <col min="13295" max="13295" width="0.7109375" style="6" customWidth="1"/>
    <col min="13296" max="13296" width="9.140625" style="6" customWidth="1"/>
    <col min="13297" max="13297" width="6" style="6" customWidth="1"/>
    <col min="13298" max="13298" width="0.7109375" style="6" customWidth="1"/>
    <col min="13299" max="13299" width="7.140625" style="6" customWidth="1"/>
    <col min="13300" max="13300" width="6.5703125" style="6" customWidth="1"/>
    <col min="13301" max="13301" width="0.7109375" style="6" customWidth="1"/>
    <col min="13302" max="13302" width="7.85546875" style="6" customWidth="1"/>
    <col min="13303" max="13303" width="10.5703125" style="6" customWidth="1"/>
    <col min="13304" max="13304" width="0.7109375" style="6" customWidth="1"/>
    <col min="13305" max="13546" width="11.42578125" style="6"/>
    <col min="13547" max="13547" width="0.7109375" style="6" customWidth="1"/>
    <col min="13548" max="13548" width="15.140625" style="6" customWidth="1"/>
    <col min="13549" max="13549" width="0.7109375" style="6" customWidth="1"/>
    <col min="13550" max="13550" width="56.140625" style="6" customWidth="1"/>
    <col min="13551" max="13551" width="0.7109375" style="6" customWidth="1"/>
    <col min="13552" max="13552" width="9.140625" style="6" customWidth="1"/>
    <col min="13553" max="13553" width="6" style="6" customWidth="1"/>
    <col min="13554" max="13554" width="0.7109375" style="6" customWidth="1"/>
    <col min="13555" max="13555" width="7.140625" style="6" customWidth="1"/>
    <col min="13556" max="13556" width="6.5703125" style="6" customWidth="1"/>
    <col min="13557" max="13557" width="0.7109375" style="6" customWidth="1"/>
    <col min="13558" max="13558" width="7.85546875" style="6" customWidth="1"/>
    <col min="13559" max="13559" width="10.5703125" style="6" customWidth="1"/>
    <col min="13560" max="13560" width="0.7109375" style="6" customWidth="1"/>
    <col min="13561" max="16384" width="11.42578125" style="6"/>
  </cols>
  <sheetData>
    <row r="1" spans="1:10" ht="15" customHeight="1" x14ac:dyDescent="0.25">
      <c r="A1" s="1" t="s">
        <v>0</v>
      </c>
      <c r="B1" s="2" t="s">
        <v>220</v>
      </c>
      <c r="C1" s="55"/>
      <c r="D1" s="4"/>
      <c r="E1" s="4"/>
      <c r="F1" s="4"/>
      <c r="G1" s="5"/>
      <c r="J1" s="7" t="s">
        <v>1</v>
      </c>
    </row>
    <row r="2" spans="1:10" ht="15" customHeight="1" x14ac:dyDescent="0.25">
      <c r="A2" s="8" t="s">
        <v>2</v>
      </c>
      <c r="B2" s="9" t="s">
        <v>226</v>
      </c>
      <c r="C2" s="56"/>
      <c r="D2" s="11"/>
      <c r="E2" s="11"/>
      <c r="F2" s="11"/>
      <c r="G2" s="12"/>
      <c r="J2" s="13" t="s">
        <v>4</v>
      </c>
    </row>
    <row r="3" spans="1:10" ht="15" customHeight="1" x14ac:dyDescent="0.25">
      <c r="A3" s="8" t="s">
        <v>5</v>
      </c>
      <c r="B3" s="9" t="s">
        <v>231</v>
      </c>
      <c r="C3" s="56"/>
      <c r="D3" s="11"/>
      <c r="E3" s="11"/>
      <c r="F3" s="11"/>
      <c r="G3" s="12"/>
      <c r="J3" s="7" t="s">
        <v>6</v>
      </c>
    </row>
    <row r="4" spans="1:10" ht="15" customHeight="1" x14ac:dyDescent="0.25">
      <c r="A4" s="14" t="s">
        <v>7</v>
      </c>
      <c r="B4" s="15">
        <v>0</v>
      </c>
      <c r="C4" s="57"/>
      <c r="D4" s="17"/>
      <c r="E4" s="17"/>
      <c r="F4" s="17"/>
      <c r="G4" s="58"/>
      <c r="J4" s="7" t="s">
        <v>8</v>
      </c>
    </row>
    <row r="5" spans="1:10" ht="30" customHeight="1" x14ac:dyDescent="0.25">
      <c r="A5" s="1192" t="s">
        <v>2879</v>
      </c>
      <c r="B5" s="1193"/>
      <c r="C5" s="1193"/>
      <c r="D5" s="1193"/>
      <c r="E5" s="1193"/>
      <c r="F5" s="1193"/>
      <c r="G5" s="1194"/>
      <c r="J5" s="7" t="s">
        <v>9</v>
      </c>
    </row>
    <row r="6" spans="1:10" ht="18" customHeight="1" x14ac:dyDescent="0.25">
      <c r="A6" s="91" t="s">
        <v>10</v>
      </c>
      <c r="B6" s="60" t="s">
        <v>11</v>
      </c>
      <c r="C6" s="1214" t="s">
        <v>49</v>
      </c>
      <c r="D6" s="1214"/>
      <c r="E6" s="1215"/>
      <c r="F6" s="60" t="s">
        <v>12</v>
      </c>
      <c r="G6" s="92"/>
      <c r="J6" s="7" t="s">
        <v>13</v>
      </c>
    </row>
    <row r="7" spans="1:10" ht="24.95" customHeight="1" x14ac:dyDescent="0.25">
      <c r="A7" s="24" t="s">
        <v>50</v>
      </c>
      <c r="B7" s="25"/>
      <c r="C7" s="1216"/>
      <c r="D7" s="1216"/>
      <c r="E7" s="1217"/>
      <c r="F7" s="63"/>
      <c r="G7" s="64" t="s">
        <v>33</v>
      </c>
      <c r="J7" s="35" t="s">
        <v>20</v>
      </c>
    </row>
    <row r="8" spans="1:10" ht="21" customHeight="1" x14ac:dyDescent="0.25">
      <c r="A8" s="93" t="s">
        <v>18</v>
      </c>
      <c r="B8" s="33"/>
      <c r="C8" s="33" t="s">
        <v>51</v>
      </c>
      <c r="D8" s="65"/>
      <c r="E8" s="65"/>
      <c r="F8" s="33"/>
      <c r="G8" s="34"/>
      <c r="J8" s="6" t="s">
        <v>17</v>
      </c>
    </row>
    <row r="9" spans="1:10" ht="21" customHeight="1" x14ac:dyDescent="0.25">
      <c r="A9" s="1218" t="s">
        <v>10</v>
      </c>
      <c r="B9" s="1218" t="s">
        <v>21</v>
      </c>
      <c r="C9" s="1218" t="s">
        <v>22</v>
      </c>
      <c r="D9" s="1219" t="s">
        <v>35</v>
      </c>
      <c r="E9" s="1219" t="s">
        <v>36</v>
      </c>
      <c r="F9" s="94" t="s">
        <v>28</v>
      </c>
      <c r="G9" s="95" t="s">
        <v>28</v>
      </c>
    </row>
    <row r="10" spans="1:10" ht="30" customHeight="1" x14ac:dyDescent="0.25">
      <c r="A10" s="1218"/>
      <c r="B10" s="1218"/>
      <c r="C10" s="1218"/>
      <c r="D10" s="1219"/>
      <c r="E10" s="1219"/>
      <c r="F10" s="96" t="s">
        <v>29</v>
      </c>
      <c r="G10" s="41" t="s">
        <v>30</v>
      </c>
    </row>
    <row r="11" spans="1:10" ht="28.5" x14ac:dyDescent="0.25">
      <c r="A11" s="48">
        <v>5839</v>
      </c>
      <c r="B11" s="71" t="s">
        <v>1</v>
      </c>
      <c r="C11" s="44" t="s">
        <v>2897</v>
      </c>
      <c r="D11" s="46" t="s">
        <v>2898</v>
      </c>
      <c r="E11" s="97">
        <v>2E-3</v>
      </c>
      <c r="F11" s="47">
        <v>9.6999999999999993</v>
      </c>
      <c r="G11" s="47">
        <f t="shared" ref="G11:G18" si="0">TRUNC(E11*F11,2)</f>
        <v>0.01</v>
      </c>
    </row>
    <row r="12" spans="1:10" ht="28.5" x14ac:dyDescent="0.25">
      <c r="A12" s="48">
        <v>5841</v>
      </c>
      <c r="B12" s="71" t="s">
        <v>1</v>
      </c>
      <c r="C12" s="44" t="s">
        <v>2899</v>
      </c>
      <c r="D12" s="46" t="s">
        <v>2900</v>
      </c>
      <c r="E12" s="97">
        <v>4.0000000000000001E-3</v>
      </c>
      <c r="F12" s="47">
        <v>4.88</v>
      </c>
      <c r="G12" s="47">
        <f t="shared" si="0"/>
        <v>0.01</v>
      </c>
    </row>
    <row r="13" spans="1:10" x14ac:dyDescent="0.25">
      <c r="A13" s="48"/>
      <c r="B13" s="71" t="s">
        <v>17</v>
      </c>
      <c r="C13" s="44" t="s">
        <v>52</v>
      </c>
      <c r="D13" s="46" t="s">
        <v>53</v>
      </c>
      <c r="E13" s="97">
        <v>1.2</v>
      </c>
      <c r="F13" s="47"/>
      <c r="G13" s="47">
        <f t="shared" si="0"/>
        <v>0</v>
      </c>
    </row>
    <row r="14" spans="1:10" ht="57" x14ac:dyDescent="0.25">
      <c r="A14" s="48">
        <v>83362</v>
      </c>
      <c r="B14" s="71" t="s">
        <v>1</v>
      </c>
      <c r="C14" s="44" t="s">
        <v>2901</v>
      </c>
      <c r="D14" s="46" t="s">
        <v>2898</v>
      </c>
      <c r="E14" s="97">
        <v>1E-3</v>
      </c>
      <c r="F14" s="47">
        <v>274.87</v>
      </c>
      <c r="G14" s="47">
        <f t="shared" si="0"/>
        <v>0.27</v>
      </c>
    </row>
    <row r="15" spans="1:10" x14ac:dyDescent="0.25">
      <c r="A15" s="48">
        <v>88316</v>
      </c>
      <c r="B15" s="71" t="s">
        <v>1</v>
      </c>
      <c r="C15" s="44" t="s">
        <v>2893</v>
      </c>
      <c r="D15" s="46" t="s">
        <v>2890</v>
      </c>
      <c r="E15" s="97">
        <v>5.7999999999999996E-3</v>
      </c>
      <c r="F15" s="47">
        <v>20.32</v>
      </c>
      <c r="G15" s="47">
        <f t="shared" si="0"/>
        <v>0.11</v>
      </c>
    </row>
    <row r="16" spans="1:10" ht="28.5" x14ac:dyDescent="0.25">
      <c r="A16" s="48">
        <v>89035</v>
      </c>
      <c r="B16" s="71" t="s">
        <v>1</v>
      </c>
      <c r="C16" s="44" t="s">
        <v>2902</v>
      </c>
      <c r="D16" s="46" t="s">
        <v>2898</v>
      </c>
      <c r="E16" s="97">
        <v>1.6999999999999999E-3</v>
      </c>
      <c r="F16" s="47">
        <v>120.32</v>
      </c>
      <c r="G16" s="47">
        <f t="shared" si="0"/>
        <v>0.2</v>
      </c>
    </row>
    <row r="17" spans="1:7" ht="28.5" x14ac:dyDescent="0.25">
      <c r="A17" s="48">
        <v>89036</v>
      </c>
      <c r="B17" s="71" t="s">
        <v>1</v>
      </c>
      <c r="C17" s="44" t="s">
        <v>2903</v>
      </c>
      <c r="D17" s="46" t="s">
        <v>2900</v>
      </c>
      <c r="E17" s="97">
        <v>4.1000000000000003E-3</v>
      </c>
      <c r="F17" s="47">
        <v>39.049999999999997</v>
      </c>
      <c r="G17" s="47">
        <f t="shared" si="0"/>
        <v>0.16</v>
      </c>
    </row>
    <row r="18" spans="1:7" ht="57" x14ac:dyDescent="0.25">
      <c r="A18" s="48">
        <v>91486</v>
      </c>
      <c r="B18" s="71" t="s">
        <v>1</v>
      </c>
      <c r="C18" s="44" t="s">
        <v>2904</v>
      </c>
      <c r="D18" s="46" t="s">
        <v>2900</v>
      </c>
      <c r="E18" s="97">
        <v>4.8999999999999998E-3</v>
      </c>
      <c r="F18" s="47">
        <v>70.760000000000005</v>
      </c>
      <c r="G18" s="47">
        <f t="shared" si="0"/>
        <v>0.34</v>
      </c>
    </row>
    <row r="19" spans="1:7" ht="15" x14ac:dyDescent="0.25">
      <c r="A19" s="1205" t="s">
        <v>54</v>
      </c>
      <c r="B19" s="1205"/>
      <c r="C19" s="1205"/>
      <c r="D19" s="1205"/>
      <c r="E19" s="1205"/>
      <c r="F19" s="1205"/>
      <c r="G19" s="52">
        <f>SUM(G11:G18)</f>
        <v>1.1000000000000001</v>
      </c>
    </row>
    <row r="22" spans="1:7" x14ac:dyDescent="0.25">
      <c r="A22" s="53"/>
      <c r="B22" s="53"/>
      <c r="D22" s="6"/>
      <c r="E22" s="6"/>
      <c r="F22" s="6"/>
      <c r="G22" s="6"/>
    </row>
    <row r="23" spans="1:7" s="53" customFormat="1" x14ac:dyDescent="0.25">
      <c r="C23" s="6"/>
      <c r="D23" s="6"/>
      <c r="E23" s="6"/>
      <c r="F23" s="6"/>
      <c r="G23" s="6"/>
    </row>
    <row r="24" spans="1:7" s="53" customFormat="1" x14ac:dyDescent="0.25">
      <c r="C24" s="6"/>
    </row>
    <row r="25" spans="1:7" s="53" customFormat="1" x14ac:dyDescent="0.25">
      <c r="C25" s="6"/>
    </row>
    <row r="26" spans="1:7" x14ac:dyDescent="0.25">
      <c r="A26" s="53"/>
      <c r="B26" s="53"/>
    </row>
    <row r="27" spans="1:7" s="53" customFormat="1" x14ac:dyDescent="0.25">
      <c r="C27" s="6"/>
      <c r="D27" s="6"/>
      <c r="E27" s="6"/>
      <c r="F27" s="6"/>
      <c r="G27" s="6"/>
    </row>
    <row r="28" spans="1:7" s="53" customFormat="1" x14ac:dyDescent="0.25">
      <c r="C28" s="6"/>
    </row>
    <row r="29" spans="1:7" x14ac:dyDescent="0.25">
      <c r="A29" s="53"/>
      <c r="B29" s="53"/>
    </row>
    <row r="30" spans="1:7" x14ac:dyDescent="0.25">
      <c r="A30" s="53"/>
      <c r="B30" s="53"/>
      <c r="D30" s="6"/>
      <c r="E30" s="6"/>
      <c r="F30" s="6"/>
      <c r="G30" s="6"/>
    </row>
    <row r="31" spans="1:7" x14ac:dyDescent="0.25">
      <c r="A31" s="53"/>
      <c r="B31" s="53"/>
      <c r="D31" s="6"/>
      <c r="E31" s="6"/>
      <c r="F31" s="6"/>
      <c r="G31" s="6"/>
    </row>
    <row r="32" spans="1:7" x14ac:dyDescent="0.25">
      <c r="A32" s="53"/>
      <c r="B32" s="53"/>
      <c r="D32" s="6"/>
      <c r="E32" s="6"/>
      <c r="F32" s="6"/>
      <c r="G32" s="6"/>
    </row>
    <row r="33" spans="1:7" x14ac:dyDescent="0.25">
      <c r="A33" s="53"/>
      <c r="B33" s="53"/>
      <c r="D33" s="6"/>
      <c r="E33" s="6"/>
      <c r="F33" s="6"/>
      <c r="G33" s="6"/>
    </row>
    <row r="34" spans="1:7" x14ac:dyDescent="0.25">
      <c r="A34" s="53"/>
      <c r="B34" s="53"/>
      <c r="D34" s="6"/>
      <c r="E34" s="6"/>
      <c r="F34" s="6"/>
      <c r="G34" s="6"/>
    </row>
    <row r="35" spans="1:7" x14ac:dyDescent="0.25">
      <c r="A35" s="53"/>
      <c r="B35" s="53"/>
      <c r="D35" s="6"/>
      <c r="E35" s="6"/>
      <c r="F35" s="6"/>
      <c r="G35" s="6"/>
    </row>
    <row r="36" spans="1:7" x14ac:dyDescent="0.25">
      <c r="A36" s="53"/>
      <c r="B36" s="53"/>
      <c r="D36" s="6"/>
      <c r="E36" s="6"/>
      <c r="F36" s="6"/>
      <c r="G36" s="6"/>
    </row>
  </sheetData>
  <mergeCells count="8">
    <mergeCell ref="A19:F19"/>
    <mergeCell ref="A5:G5"/>
    <mergeCell ref="C6:E7"/>
    <mergeCell ref="A9:A10"/>
    <mergeCell ref="B9:B10"/>
    <mergeCell ref="C9:C10"/>
    <mergeCell ref="D9:D10"/>
    <mergeCell ref="E9:E10"/>
  </mergeCells>
  <dataValidations disablePrompts="1" count="1">
    <dataValidation type="list" allowBlank="1" showInputMessage="1" showErrorMessage="1" sqref="B11:B18" xr:uid="{3D222193-04E6-401B-A435-9F6F0E5D3303}">
      <formula1>$J$1:$J$8</formula1>
    </dataValidation>
  </dataValidations>
  <printOptions horizontalCentered="1"/>
  <pageMargins left="0.59055118110236227" right="0.59055118110236227" top="1.7716535433070868" bottom="0.78740157480314965" header="0" footer="0"/>
  <pageSetup paperSize="9" scale="61" orientation="landscape" r:id="rId1"/>
  <headerFooter scaleWithDoc="0">
    <oddHeader>&amp;L&amp;G</oddHeader>
    <oddFooter>&amp;C&amp;"-,Negrito"&amp;12DIONI CAETANEO DE OLIVEIRA
&amp;"-,Regular"ENGENHEIRO CIVIL - CREA /MT 40957
DEPARTAMENTO DE ENGENHARIA</oddFooter>
  </headerFooter>
  <colBreaks count="1" manualBreakCount="1">
    <brk id="7"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A5174-BCA0-4FA4-BE5D-74030174F990}">
  <sheetPr>
    <tabColor rgb="FF0070C0"/>
  </sheetPr>
  <dimension ref="A1:J40"/>
  <sheetViews>
    <sheetView showGridLines="0" view="pageLayout" topLeftCell="A14" zoomScaleNormal="85" zoomScaleSheetLayoutView="100" workbookViewId="0">
      <selection activeCell="D21" sqref="D21"/>
    </sheetView>
  </sheetViews>
  <sheetFormatPr defaultColWidth="11.42578125" defaultRowHeight="14.25" x14ac:dyDescent="0.25"/>
  <cols>
    <col min="1" max="1" width="15.140625" style="6" customWidth="1"/>
    <col min="2" max="2" width="16.5703125" style="6" customWidth="1"/>
    <col min="3" max="3" width="73" style="6" customWidth="1"/>
    <col min="4" max="4" width="14.140625" style="53" customWidth="1"/>
    <col min="5" max="5" width="17" style="53" bestFit="1" customWidth="1"/>
    <col min="6" max="7" width="15.7109375" style="53" customWidth="1"/>
    <col min="8" max="8" width="14.28515625" style="6" customWidth="1"/>
    <col min="9" max="9" width="11.42578125" style="6"/>
    <col min="10" max="10" width="25.5703125" style="6" bestFit="1" customWidth="1"/>
    <col min="11" max="234" width="11.42578125" style="6"/>
    <col min="235" max="235" width="0.7109375" style="6" customWidth="1"/>
    <col min="236" max="236" width="15.140625" style="6" customWidth="1"/>
    <col min="237" max="237" width="0.7109375" style="6" customWidth="1"/>
    <col min="238" max="238" width="56.140625" style="6" customWidth="1"/>
    <col min="239" max="239" width="0.7109375" style="6" customWidth="1"/>
    <col min="240" max="240" width="9.140625" style="6" customWidth="1"/>
    <col min="241" max="241" width="6" style="6" customWidth="1"/>
    <col min="242" max="242" width="0.7109375" style="6" customWidth="1"/>
    <col min="243" max="243" width="7.140625" style="6" customWidth="1"/>
    <col min="244" max="244" width="6.5703125" style="6" customWidth="1"/>
    <col min="245" max="245" width="0.7109375" style="6" customWidth="1"/>
    <col min="246" max="246" width="7.85546875" style="6" customWidth="1"/>
    <col min="247" max="247" width="10.5703125" style="6" customWidth="1"/>
    <col min="248" max="248" width="0.7109375" style="6" customWidth="1"/>
    <col min="249" max="490" width="11.42578125" style="6"/>
    <col min="491" max="491" width="0.7109375" style="6" customWidth="1"/>
    <col min="492" max="492" width="15.140625" style="6" customWidth="1"/>
    <col min="493" max="493" width="0.7109375" style="6" customWidth="1"/>
    <col min="494" max="494" width="56.140625" style="6" customWidth="1"/>
    <col min="495" max="495" width="0.7109375" style="6" customWidth="1"/>
    <col min="496" max="496" width="9.140625" style="6" customWidth="1"/>
    <col min="497" max="497" width="6" style="6" customWidth="1"/>
    <col min="498" max="498" width="0.7109375" style="6" customWidth="1"/>
    <col min="499" max="499" width="7.140625" style="6" customWidth="1"/>
    <col min="500" max="500" width="6.5703125" style="6" customWidth="1"/>
    <col min="501" max="501" width="0.7109375" style="6" customWidth="1"/>
    <col min="502" max="502" width="7.85546875" style="6" customWidth="1"/>
    <col min="503" max="503" width="10.5703125" style="6" customWidth="1"/>
    <col min="504" max="504" width="0.7109375" style="6" customWidth="1"/>
    <col min="505" max="746" width="11.42578125" style="6"/>
    <col min="747" max="747" width="0.7109375" style="6" customWidth="1"/>
    <col min="748" max="748" width="15.140625" style="6" customWidth="1"/>
    <col min="749" max="749" width="0.7109375" style="6" customWidth="1"/>
    <col min="750" max="750" width="56.140625" style="6" customWidth="1"/>
    <col min="751" max="751" width="0.7109375" style="6" customWidth="1"/>
    <col min="752" max="752" width="9.140625" style="6" customWidth="1"/>
    <col min="753" max="753" width="6" style="6" customWidth="1"/>
    <col min="754" max="754" width="0.7109375" style="6" customWidth="1"/>
    <col min="755" max="755" width="7.140625" style="6" customWidth="1"/>
    <col min="756" max="756" width="6.5703125" style="6" customWidth="1"/>
    <col min="757" max="757" width="0.7109375" style="6" customWidth="1"/>
    <col min="758" max="758" width="7.85546875" style="6" customWidth="1"/>
    <col min="759" max="759" width="10.5703125" style="6" customWidth="1"/>
    <col min="760" max="760" width="0.7109375" style="6" customWidth="1"/>
    <col min="761" max="1002" width="11.42578125" style="6"/>
    <col min="1003" max="1003" width="0.7109375" style="6" customWidth="1"/>
    <col min="1004" max="1004" width="15.140625" style="6" customWidth="1"/>
    <col min="1005" max="1005" width="0.7109375" style="6" customWidth="1"/>
    <col min="1006" max="1006" width="56.140625" style="6" customWidth="1"/>
    <col min="1007" max="1007" width="0.7109375" style="6" customWidth="1"/>
    <col min="1008" max="1008" width="9.140625" style="6" customWidth="1"/>
    <col min="1009" max="1009" width="6" style="6" customWidth="1"/>
    <col min="1010" max="1010" width="0.7109375" style="6" customWidth="1"/>
    <col min="1011" max="1011" width="7.140625" style="6" customWidth="1"/>
    <col min="1012" max="1012" width="6.5703125" style="6" customWidth="1"/>
    <col min="1013" max="1013" width="0.7109375" style="6" customWidth="1"/>
    <col min="1014" max="1014" width="7.85546875" style="6" customWidth="1"/>
    <col min="1015" max="1015" width="10.5703125" style="6" customWidth="1"/>
    <col min="1016" max="1016" width="0.7109375" style="6" customWidth="1"/>
    <col min="1017" max="1258" width="11.42578125" style="6"/>
    <col min="1259" max="1259" width="0.7109375" style="6" customWidth="1"/>
    <col min="1260" max="1260" width="15.140625" style="6" customWidth="1"/>
    <col min="1261" max="1261" width="0.7109375" style="6" customWidth="1"/>
    <col min="1262" max="1262" width="56.140625" style="6" customWidth="1"/>
    <col min="1263" max="1263" width="0.7109375" style="6" customWidth="1"/>
    <col min="1264" max="1264" width="9.140625" style="6" customWidth="1"/>
    <col min="1265" max="1265" width="6" style="6" customWidth="1"/>
    <col min="1266" max="1266" width="0.7109375" style="6" customWidth="1"/>
    <col min="1267" max="1267" width="7.140625" style="6" customWidth="1"/>
    <col min="1268" max="1268" width="6.5703125" style="6" customWidth="1"/>
    <col min="1269" max="1269" width="0.7109375" style="6" customWidth="1"/>
    <col min="1270" max="1270" width="7.85546875" style="6" customWidth="1"/>
    <col min="1271" max="1271" width="10.5703125" style="6" customWidth="1"/>
    <col min="1272" max="1272" width="0.7109375" style="6" customWidth="1"/>
    <col min="1273" max="1514" width="11.42578125" style="6"/>
    <col min="1515" max="1515" width="0.7109375" style="6" customWidth="1"/>
    <col min="1516" max="1516" width="15.140625" style="6" customWidth="1"/>
    <col min="1517" max="1517" width="0.7109375" style="6" customWidth="1"/>
    <col min="1518" max="1518" width="56.140625" style="6" customWidth="1"/>
    <col min="1519" max="1519" width="0.7109375" style="6" customWidth="1"/>
    <col min="1520" max="1520" width="9.140625" style="6" customWidth="1"/>
    <col min="1521" max="1521" width="6" style="6" customWidth="1"/>
    <col min="1522" max="1522" width="0.7109375" style="6" customWidth="1"/>
    <col min="1523" max="1523" width="7.140625" style="6" customWidth="1"/>
    <col min="1524" max="1524" width="6.5703125" style="6" customWidth="1"/>
    <col min="1525" max="1525" width="0.7109375" style="6" customWidth="1"/>
    <col min="1526" max="1526" width="7.85546875" style="6" customWidth="1"/>
    <col min="1527" max="1527" width="10.5703125" style="6" customWidth="1"/>
    <col min="1528" max="1528" width="0.7109375" style="6" customWidth="1"/>
    <col min="1529" max="1770" width="11.42578125" style="6"/>
    <col min="1771" max="1771" width="0.7109375" style="6" customWidth="1"/>
    <col min="1772" max="1772" width="15.140625" style="6" customWidth="1"/>
    <col min="1773" max="1773" width="0.7109375" style="6" customWidth="1"/>
    <col min="1774" max="1774" width="56.140625" style="6" customWidth="1"/>
    <col min="1775" max="1775" width="0.7109375" style="6" customWidth="1"/>
    <col min="1776" max="1776" width="9.140625" style="6" customWidth="1"/>
    <col min="1777" max="1777" width="6" style="6" customWidth="1"/>
    <col min="1778" max="1778" width="0.7109375" style="6" customWidth="1"/>
    <col min="1779" max="1779" width="7.140625" style="6" customWidth="1"/>
    <col min="1780" max="1780" width="6.5703125" style="6" customWidth="1"/>
    <col min="1781" max="1781" width="0.7109375" style="6" customWidth="1"/>
    <col min="1782" max="1782" width="7.85546875" style="6" customWidth="1"/>
    <col min="1783" max="1783" width="10.5703125" style="6" customWidth="1"/>
    <col min="1784" max="1784" width="0.7109375" style="6" customWidth="1"/>
    <col min="1785" max="2026" width="11.42578125" style="6"/>
    <col min="2027" max="2027" width="0.7109375" style="6" customWidth="1"/>
    <col min="2028" max="2028" width="15.140625" style="6" customWidth="1"/>
    <col min="2029" max="2029" width="0.7109375" style="6" customWidth="1"/>
    <col min="2030" max="2030" width="56.140625" style="6" customWidth="1"/>
    <col min="2031" max="2031" width="0.7109375" style="6" customWidth="1"/>
    <col min="2032" max="2032" width="9.140625" style="6" customWidth="1"/>
    <col min="2033" max="2033" width="6" style="6" customWidth="1"/>
    <col min="2034" max="2034" width="0.7109375" style="6" customWidth="1"/>
    <col min="2035" max="2035" width="7.140625" style="6" customWidth="1"/>
    <col min="2036" max="2036" width="6.5703125" style="6" customWidth="1"/>
    <col min="2037" max="2037" width="0.7109375" style="6" customWidth="1"/>
    <col min="2038" max="2038" width="7.85546875" style="6" customWidth="1"/>
    <col min="2039" max="2039" width="10.5703125" style="6" customWidth="1"/>
    <col min="2040" max="2040" width="0.7109375" style="6" customWidth="1"/>
    <col min="2041" max="2282" width="11.42578125" style="6"/>
    <col min="2283" max="2283" width="0.7109375" style="6" customWidth="1"/>
    <col min="2284" max="2284" width="15.140625" style="6" customWidth="1"/>
    <col min="2285" max="2285" width="0.7109375" style="6" customWidth="1"/>
    <col min="2286" max="2286" width="56.140625" style="6" customWidth="1"/>
    <col min="2287" max="2287" width="0.7109375" style="6" customWidth="1"/>
    <col min="2288" max="2288" width="9.140625" style="6" customWidth="1"/>
    <col min="2289" max="2289" width="6" style="6" customWidth="1"/>
    <col min="2290" max="2290" width="0.7109375" style="6" customWidth="1"/>
    <col min="2291" max="2291" width="7.140625" style="6" customWidth="1"/>
    <col min="2292" max="2292" width="6.5703125" style="6" customWidth="1"/>
    <col min="2293" max="2293" width="0.7109375" style="6" customWidth="1"/>
    <col min="2294" max="2294" width="7.85546875" style="6" customWidth="1"/>
    <col min="2295" max="2295" width="10.5703125" style="6" customWidth="1"/>
    <col min="2296" max="2296" width="0.7109375" style="6" customWidth="1"/>
    <col min="2297" max="2538" width="11.42578125" style="6"/>
    <col min="2539" max="2539" width="0.7109375" style="6" customWidth="1"/>
    <col min="2540" max="2540" width="15.140625" style="6" customWidth="1"/>
    <col min="2541" max="2541" width="0.7109375" style="6" customWidth="1"/>
    <col min="2542" max="2542" width="56.140625" style="6" customWidth="1"/>
    <col min="2543" max="2543" width="0.7109375" style="6" customWidth="1"/>
    <col min="2544" max="2544" width="9.140625" style="6" customWidth="1"/>
    <col min="2545" max="2545" width="6" style="6" customWidth="1"/>
    <col min="2546" max="2546" width="0.7109375" style="6" customWidth="1"/>
    <col min="2547" max="2547" width="7.140625" style="6" customWidth="1"/>
    <col min="2548" max="2548" width="6.5703125" style="6" customWidth="1"/>
    <col min="2549" max="2549" width="0.7109375" style="6" customWidth="1"/>
    <col min="2550" max="2550" width="7.85546875" style="6" customWidth="1"/>
    <col min="2551" max="2551" width="10.5703125" style="6" customWidth="1"/>
    <col min="2552" max="2552" width="0.7109375" style="6" customWidth="1"/>
    <col min="2553" max="2794" width="11.42578125" style="6"/>
    <col min="2795" max="2795" width="0.7109375" style="6" customWidth="1"/>
    <col min="2796" max="2796" width="15.140625" style="6" customWidth="1"/>
    <col min="2797" max="2797" width="0.7109375" style="6" customWidth="1"/>
    <col min="2798" max="2798" width="56.140625" style="6" customWidth="1"/>
    <col min="2799" max="2799" width="0.7109375" style="6" customWidth="1"/>
    <col min="2800" max="2800" width="9.140625" style="6" customWidth="1"/>
    <col min="2801" max="2801" width="6" style="6" customWidth="1"/>
    <col min="2802" max="2802" width="0.7109375" style="6" customWidth="1"/>
    <col min="2803" max="2803" width="7.140625" style="6" customWidth="1"/>
    <col min="2804" max="2804" width="6.5703125" style="6" customWidth="1"/>
    <col min="2805" max="2805" width="0.7109375" style="6" customWidth="1"/>
    <col min="2806" max="2806" width="7.85546875" style="6" customWidth="1"/>
    <col min="2807" max="2807" width="10.5703125" style="6" customWidth="1"/>
    <col min="2808" max="2808" width="0.7109375" style="6" customWidth="1"/>
    <col min="2809" max="3050" width="11.42578125" style="6"/>
    <col min="3051" max="3051" width="0.7109375" style="6" customWidth="1"/>
    <col min="3052" max="3052" width="15.140625" style="6" customWidth="1"/>
    <col min="3053" max="3053" width="0.7109375" style="6" customWidth="1"/>
    <col min="3054" max="3054" width="56.140625" style="6" customWidth="1"/>
    <col min="3055" max="3055" width="0.7109375" style="6" customWidth="1"/>
    <col min="3056" max="3056" width="9.140625" style="6" customWidth="1"/>
    <col min="3057" max="3057" width="6" style="6" customWidth="1"/>
    <col min="3058" max="3058" width="0.7109375" style="6" customWidth="1"/>
    <col min="3059" max="3059" width="7.140625" style="6" customWidth="1"/>
    <col min="3060" max="3060" width="6.5703125" style="6" customWidth="1"/>
    <col min="3061" max="3061" width="0.7109375" style="6" customWidth="1"/>
    <col min="3062" max="3062" width="7.85546875" style="6" customWidth="1"/>
    <col min="3063" max="3063" width="10.5703125" style="6" customWidth="1"/>
    <col min="3064" max="3064" width="0.7109375" style="6" customWidth="1"/>
    <col min="3065" max="3306" width="11.42578125" style="6"/>
    <col min="3307" max="3307" width="0.7109375" style="6" customWidth="1"/>
    <col min="3308" max="3308" width="15.140625" style="6" customWidth="1"/>
    <col min="3309" max="3309" width="0.7109375" style="6" customWidth="1"/>
    <col min="3310" max="3310" width="56.140625" style="6" customWidth="1"/>
    <col min="3311" max="3311" width="0.7109375" style="6" customWidth="1"/>
    <col min="3312" max="3312" width="9.140625" style="6" customWidth="1"/>
    <col min="3313" max="3313" width="6" style="6" customWidth="1"/>
    <col min="3314" max="3314" width="0.7109375" style="6" customWidth="1"/>
    <col min="3315" max="3315" width="7.140625" style="6" customWidth="1"/>
    <col min="3316" max="3316" width="6.5703125" style="6" customWidth="1"/>
    <col min="3317" max="3317" width="0.7109375" style="6" customWidth="1"/>
    <col min="3318" max="3318" width="7.85546875" style="6" customWidth="1"/>
    <col min="3319" max="3319" width="10.5703125" style="6" customWidth="1"/>
    <col min="3320" max="3320" width="0.7109375" style="6" customWidth="1"/>
    <col min="3321" max="3562" width="11.42578125" style="6"/>
    <col min="3563" max="3563" width="0.7109375" style="6" customWidth="1"/>
    <col min="3564" max="3564" width="15.140625" style="6" customWidth="1"/>
    <col min="3565" max="3565" width="0.7109375" style="6" customWidth="1"/>
    <col min="3566" max="3566" width="56.140625" style="6" customWidth="1"/>
    <col min="3567" max="3567" width="0.7109375" style="6" customWidth="1"/>
    <col min="3568" max="3568" width="9.140625" style="6" customWidth="1"/>
    <col min="3569" max="3569" width="6" style="6" customWidth="1"/>
    <col min="3570" max="3570" width="0.7109375" style="6" customWidth="1"/>
    <col min="3571" max="3571" width="7.140625" style="6" customWidth="1"/>
    <col min="3572" max="3572" width="6.5703125" style="6" customWidth="1"/>
    <col min="3573" max="3573" width="0.7109375" style="6" customWidth="1"/>
    <col min="3574" max="3574" width="7.85546875" style="6" customWidth="1"/>
    <col min="3575" max="3575" width="10.5703125" style="6" customWidth="1"/>
    <col min="3576" max="3576" width="0.7109375" style="6" customWidth="1"/>
    <col min="3577" max="3818" width="11.42578125" style="6"/>
    <col min="3819" max="3819" width="0.7109375" style="6" customWidth="1"/>
    <col min="3820" max="3820" width="15.140625" style="6" customWidth="1"/>
    <col min="3821" max="3821" width="0.7109375" style="6" customWidth="1"/>
    <col min="3822" max="3822" width="56.140625" style="6" customWidth="1"/>
    <col min="3823" max="3823" width="0.7109375" style="6" customWidth="1"/>
    <col min="3824" max="3824" width="9.140625" style="6" customWidth="1"/>
    <col min="3825" max="3825" width="6" style="6" customWidth="1"/>
    <col min="3826" max="3826" width="0.7109375" style="6" customWidth="1"/>
    <col min="3827" max="3827" width="7.140625" style="6" customWidth="1"/>
    <col min="3828" max="3828" width="6.5703125" style="6" customWidth="1"/>
    <col min="3829" max="3829" width="0.7109375" style="6" customWidth="1"/>
    <col min="3830" max="3830" width="7.85546875" style="6" customWidth="1"/>
    <col min="3831" max="3831" width="10.5703125" style="6" customWidth="1"/>
    <col min="3832" max="3832" width="0.7109375" style="6" customWidth="1"/>
    <col min="3833" max="4074" width="11.42578125" style="6"/>
    <col min="4075" max="4075" width="0.7109375" style="6" customWidth="1"/>
    <col min="4076" max="4076" width="15.140625" style="6" customWidth="1"/>
    <col min="4077" max="4077" width="0.7109375" style="6" customWidth="1"/>
    <col min="4078" max="4078" width="56.140625" style="6" customWidth="1"/>
    <col min="4079" max="4079" width="0.7109375" style="6" customWidth="1"/>
    <col min="4080" max="4080" width="9.140625" style="6" customWidth="1"/>
    <col min="4081" max="4081" width="6" style="6" customWidth="1"/>
    <col min="4082" max="4082" width="0.7109375" style="6" customWidth="1"/>
    <col min="4083" max="4083" width="7.140625" style="6" customWidth="1"/>
    <col min="4084" max="4084" width="6.5703125" style="6" customWidth="1"/>
    <col min="4085" max="4085" width="0.7109375" style="6" customWidth="1"/>
    <col min="4086" max="4086" width="7.85546875" style="6" customWidth="1"/>
    <col min="4087" max="4087" width="10.5703125" style="6" customWidth="1"/>
    <col min="4088" max="4088" width="0.7109375" style="6" customWidth="1"/>
    <col min="4089" max="4330" width="11.42578125" style="6"/>
    <col min="4331" max="4331" width="0.7109375" style="6" customWidth="1"/>
    <col min="4332" max="4332" width="15.140625" style="6" customWidth="1"/>
    <col min="4333" max="4333" width="0.7109375" style="6" customWidth="1"/>
    <col min="4334" max="4334" width="56.140625" style="6" customWidth="1"/>
    <col min="4335" max="4335" width="0.7109375" style="6" customWidth="1"/>
    <col min="4336" max="4336" width="9.140625" style="6" customWidth="1"/>
    <col min="4337" max="4337" width="6" style="6" customWidth="1"/>
    <col min="4338" max="4338" width="0.7109375" style="6" customWidth="1"/>
    <col min="4339" max="4339" width="7.140625" style="6" customWidth="1"/>
    <col min="4340" max="4340" width="6.5703125" style="6" customWidth="1"/>
    <col min="4341" max="4341" width="0.7109375" style="6" customWidth="1"/>
    <col min="4342" max="4342" width="7.85546875" style="6" customWidth="1"/>
    <col min="4343" max="4343" width="10.5703125" style="6" customWidth="1"/>
    <col min="4344" max="4344" width="0.7109375" style="6" customWidth="1"/>
    <col min="4345" max="4586" width="11.42578125" style="6"/>
    <col min="4587" max="4587" width="0.7109375" style="6" customWidth="1"/>
    <col min="4588" max="4588" width="15.140625" style="6" customWidth="1"/>
    <col min="4589" max="4589" width="0.7109375" style="6" customWidth="1"/>
    <col min="4590" max="4590" width="56.140625" style="6" customWidth="1"/>
    <col min="4591" max="4591" width="0.7109375" style="6" customWidth="1"/>
    <col min="4592" max="4592" width="9.140625" style="6" customWidth="1"/>
    <col min="4593" max="4593" width="6" style="6" customWidth="1"/>
    <col min="4594" max="4594" width="0.7109375" style="6" customWidth="1"/>
    <col min="4595" max="4595" width="7.140625" style="6" customWidth="1"/>
    <col min="4596" max="4596" width="6.5703125" style="6" customWidth="1"/>
    <col min="4597" max="4597" width="0.7109375" style="6" customWidth="1"/>
    <col min="4598" max="4598" width="7.85546875" style="6" customWidth="1"/>
    <col min="4599" max="4599" width="10.5703125" style="6" customWidth="1"/>
    <col min="4600" max="4600" width="0.7109375" style="6" customWidth="1"/>
    <col min="4601" max="4842" width="11.42578125" style="6"/>
    <col min="4843" max="4843" width="0.7109375" style="6" customWidth="1"/>
    <col min="4844" max="4844" width="15.140625" style="6" customWidth="1"/>
    <col min="4845" max="4845" width="0.7109375" style="6" customWidth="1"/>
    <col min="4846" max="4846" width="56.140625" style="6" customWidth="1"/>
    <col min="4847" max="4847" width="0.7109375" style="6" customWidth="1"/>
    <col min="4848" max="4848" width="9.140625" style="6" customWidth="1"/>
    <col min="4849" max="4849" width="6" style="6" customWidth="1"/>
    <col min="4850" max="4850" width="0.7109375" style="6" customWidth="1"/>
    <col min="4851" max="4851" width="7.140625" style="6" customWidth="1"/>
    <col min="4852" max="4852" width="6.5703125" style="6" customWidth="1"/>
    <col min="4853" max="4853" width="0.7109375" style="6" customWidth="1"/>
    <col min="4854" max="4854" width="7.85546875" style="6" customWidth="1"/>
    <col min="4855" max="4855" width="10.5703125" style="6" customWidth="1"/>
    <col min="4856" max="4856" width="0.7109375" style="6" customWidth="1"/>
    <col min="4857" max="5098" width="11.42578125" style="6"/>
    <col min="5099" max="5099" width="0.7109375" style="6" customWidth="1"/>
    <col min="5100" max="5100" width="15.140625" style="6" customWidth="1"/>
    <col min="5101" max="5101" width="0.7109375" style="6" customWidth="1"/>
    <col min="5102" max="5102" width="56.140625" style="6" customWidth="1"/>
    <col min="5103" max="5103" width="0.7109375" style="6" customWidth="1"/>
    <col min="5104" max="5104" width="9.140625" style="6" customWidth="1"/>
    <col min="5105" max="5105" width="6" style="6" customWidth="1"/>
    <col min="5106" max="5106" width="0.7109375" style="6" customWidth="1"/>
    <col min="5107" max="5107" width="7.140625" style="6" customWidth="1"/>
    <col min="5108" max="5108" width="6.5703125" style="6" customWidth="1"/>
    <col min="5109" max="5109" width="0.7109375" style="6" customWidth="1"/>
    <col min="5110" max="5110" width="7.85546875" style="6" customWidth="1"/>
    <col min="5111" max="5111" width="10.5703125" style="6" customWidth="1"/>
    <col min="5112" max="5112" width="0.7109375" style="6" customWidth="1"/>
    <col min="5113" max="5354" width="11.42578125" style="6"/>
    <col min="5355" max="5355" width="0.7109375" style="6" customWidth="1"/>
    <col min="5356" max="5356" width="15.140625" style="6" customWidth="1"/>
    <col min="5357" max="5357" width="0.7109375" style="6" customWidth="1"/>
    <col min="5358" max="5358" width="56.140625" style="6" customWidth="1"/>
    <col min="5359" max="5359" width="0.7109375" style="6" customWidth="1"/>
    <col min="5360" max="5360" width="9.140625" style="6" customWidth="1"/>
    <col min="5361" max="5361" width="6" style="6" customWidth="1"/>
    <col min="5362" max="5362" width="0.7109375" style="6" customWidth="1"/>
    <col min="5363" max="5363" width="7.140625" style="6" customWidth="1"/>
    <col min="5364" max="5364" width="6.5703125" style="6" customWidth="1"/>
    <col min="5365" max="5365" width="0.7109375" style="6" customWidth="1"/>
    <col min="5366" max="5366" width="7.85546875" style="6" customWidth="1"/>
    <col min="5367" max="5367" width="10.5703125" style="6" customWidth="1"/>
    <col min="5368" max="5368" width="0.7109375" style="6" customWidth="1"/>
    <col min="5369" max="5610" width="11.42578125" style="6"/>
    <col min="5611" max="5611" width="0.7109375" style="6" customWidth="1"/>
    <col min="5612" max="5612" width="15.140625" style="6" customWidth="1"/>
    <col min="5613" max="5613" width="0.7109375" style="6" customWidth="1"/>
    <col min="5614" max="5614" width="56.140625" style="6" customWidth="1"/>
    <col min="5615" max="5615" width="0.7109375" style="6" customWidth="1"/>
    <col min="5616" max="5616" width="9.140625" style="6" customWidth="1"/>
    <col min="5617" max="5617" width="6" style="6" customWidth="1"/>
    <col min="5618" max="5618" width="0.7109375" style="6" customWidth="1"/>
    <col min="5619" max="5619" width="7.140625" style="6" customWidth="1"/>
    <col min="5620" max="5620" width="6.5703125" style="6" customWidth="1"/>
    <col min="5621" max="5621" width="0.7109375" style="6" customWidth="1"/>
    <col min="5622" max="5622" width="7.85546875" style="6" customWidth="1"/>
    <col min="5623" max="5623" width="10.5703125" style="6" customWidth="1"/>
    <col min="5624" max="5624" width="0.7109375" style="6" customWidth="1"/>
    <col min="5625" max="5866" width="11.42578125" style="6"/>
    <col min="5867" max="5867" width="0.7109375" style="6" customWidth="1"/>
    <col min="5868" max="5868" width="15.140625" style="6" customWidth="1"/>
    <col min="5869" max="5869" width="0.7109375" style="6" customWidth="1"/>
    <col min="5870" max="5870" width="56.140625" style="6" customWidth="1"/>
    <col min="5871" max="5871" width="0.7109375" style="6" customWidth="1"/>
    <col min="5872" max="5872" width="9.140625" style="6" customWidth="1"/>
    <col min="5873" max="5873" width="6" style="6" customWidth="1"/>
    <col min="5874" max="5874" width="0.7109375" style="6" customWidth="1"/>
    <col min="5875" max="5875" width="7.140625" style="6" customWidth="1"/>
    <col min="5876" max="5876" width="6.5703125" style="6" customWidth="1"/>
    <col min="5877" max="5877" width="0.7109375" style="6" customWidth="1"/>
    <col min="5878" max="5878" width="7.85546875" style="6" customWidth="1"/>
    <col min="5879" max="5879" width="10.5703125" style="6" customWidth="1"/>
    <col min="5880" max="5880" width="0.7109375" style="6" customWidth="1"/>
    <col min="5881" max="6122" width="11.42578125" style="6"/>
    <col min="6123" max="6123" width="0.7109375" style="6" customWidth="1"/>
    <col min="6124" max="6124" width="15.140625" style="6" customWidth="1"/>
    <col min="6125" max="6125" width="0.7109375" style="6" customWidth="1"/>
    <col min="6126" max="6126" width="56.140625" style="6" customWidth="1"/>
    <col min="6127" max="6127" width="0.7109375" style="6" customWidth="1"/>
    <col min="6128" max="6128" width="9.140625" style="6" customWidth="1"/>
    <col min="6129" max="6129" width="6" style="6" customWidth="1"/>
    <col min="6130" max="6130" width="0.7109375" style="6" customWidth="1"/>
    <col min="6131" max="6131" width="7.140625" style="6" customWidth="1"/>
    <col min="6132" max="6132" width="6.5703125" style="6" customWidth="1"/>
    <col min="6133" max="6133" width="0.7109375" style="6" customWidth="1"/>
    <col min="6134" max="6134" width="7.85546875" style="6" customWidth="1"/>
    <col min="6135" max="6135" width="10.5703125" style="6" customWidth="1"/>
    <col min="6136" max="6136" width="0.7109375" style="6" customWidth="1"/>
    <col min="6137" max="6378" width="11.42578125" style="6"/>
    <col min="6379" max="6379" width="0.7109375" style="6" customWidth="1"/>
    <col min="6380" max="6380" width="15.140625" style="6" customWidth="1"/>
    <col min="6381" max="6381" width="0.7109375" style="6" customWidth="1"/>
    <col min="6382" max="6382" width="56.140625" style="6" customWidth="1"/>
    <col min="6383" max="6383" width="0.7109375" style="6" customWidth="1"/>
    <col min="6384" max="6384" width="9.140625" style="6" customWidth="1"/>
    <col min="6385" max="6385" width="6" style="6" customWidth="1"/>
    <col min="6386" max="6386" width="0.7109375" style="6" customWidth="1"/>
    <col min="6387" max="6387" width="7.140625" style="6" customWidth="1"/>
    <col min="6388" max="6388" width="6.5703125" style="6" customWidth="1"/>
    <col min="6389" max="6389" width="0.7109375" style="6" customWidth="1"/>
    <col min="6390" max="6390" width="7.85546875" style="6" customWidth="1"/>
    <col min="6391" max="6391" width="10.5703125" style="6" customWidth="1"/>
    <col min="6392" max="6392" width="0.7109375" style="6" customWidth="1"/>
    <col min="6393" max="6634" width="11.42578125" style="6"/>
    <col min="6635" max="6635" width="0.7109375" style="6" customWidth="1"/>
    <col min="6636" max="6636" width="15.140625" style="6" customWidth="1"/>
    <col min="6637" max="6637" width="0.7109375" style="6" customWidth="1"/>
    <col min="6638" max="6638" width="56.140625" style="6" customWidth="1"/>
    <col min="6639" max="6639" width="0.7109375" style="6" customWidth="1"/>
    <col min="6640" max="6640" width="9.140625" style="6" customWidth="1"/>
    <col min="6641" max="6641" width="6" style="6" customWidth="1"/>
    <col min="6642" max="6642" width="0.7109375" style="6" customWidth="1"/>
    <col min="6643" max="6643" width="7.140625" style="6" customWidth="1"/>
    <col min="6644" max="6644" width="6.5703125" style="6" customWidth="1"/>
    <col min="6645" max="6645" width="0.7109375" style="6" customWidth="1"/>
    <col min="6646" max="6646" width="7.85546875" style="6" customWidth="1"/>
    <col min="6647" max="6647" width="10.5703125" style="6" customWidth="1"/>
    <col min="6648" max="6648" width="0.7109375" style="6" customWidth="1"/>
    <col min="6649" max="6890" width="11.42578125" style="6"/>
    <col min="6891" max="6891" width="0.7109375" style="6" customWidth="1"/>
    <col min="6892" max="6892" width="15.140625" style="6" customWidth="1"/>
    <col min="6893" max="6893" width="0.7109375" style="6" customWidth="1"/>
    <col min="6894" max="6894" width="56.140625" style="6" customWidth="1"/>
    <col min="6895" max="6895" width="0.7109375" style="6" customWidth="1"/>
    <col min="6896" max="6896" width="9.140625" style="6" customWidth="1"/>
    <col min="6897" max="6897" width="6" style="6" customWidth="1"/>
    <col min="6898" max="6898" width="0.7109375" style="6" customWidth="1"/>
    <col min="6899" max="6899" width="7.140625" style="6" customWidth="1"/>
    <col min="6900" max="6900" width="6.5703125" style="6" customWidth="1"/>
    <col min="6901" max="6901" width="0.7109375" style="6" customWidth="1"/>
    <col min="6902" max="6902" width="7.85546875" style="6" customWidth="1"/>
    <col min="6903" max="6903" width="10.5703125" style="6" customWidth="1"/>
    <col min="6904" max="6904" width="0.7109375" style="6" customWidth="1"/>
    <col min="6905" max="7146" width="11.42578125" style="6"/>
    <col min="7147" max="7147" width="0.7109375" style="6" customWidth="1"/>
    <col min="7148" max="7148" width="15.140625" style="6" customWidth="1"/>
    <col min="7149" max="7149" width="0.7109375" style="6" customWidth="1"/>
    <col min="7150" max="7150" width="56.140625" style="6" customWidth="1"/>
    <col min="7151" max="7151" width="0.7109375" style="6" customWidth="1"/>
    <col min="7152" max="7152" width="9.140625" style="6" customWidth="1"/>
    <col min="7153" max="7153" width="6" style="6" customWidth="1"/>
    <col min="7154" max="7154" width="0.7109375" style="6" customWidth="1"/>
    <col min="7155" max="7155" width="7.140625" style="6" customWidth="1"/>
    <col min="7156" max="7156" width="6.5703125" style="6" customWidth="1"/>
    <col min="7157" max="7157" width="0.7109375" style="6" customWidth="1"/>
    <col min="7158" max="7158" width="7.85546875" style="6" customWidth="1"/>
    <col min="7159" max="7159" width="10.5703125" style="6" customWidth="1"/>
    <col min="7160" max="7160" width="0.7109375" style="6" customWidth="1"/>
    <col min="7161" max="7402" width="11.42578125" style="6"/>
    <col min="7403" max="7403" width="0.7109375" style="6" customWidth="1"/>
    <col min="7404" max="7404" width="15.140625" style="6" customWidth="1"/>
    <col min="7405" max="7405" width="0.7109375" style="6" customWidth="1"/>
    <col min="7406" max="7406" width="56.140625" style="6" customWidth="1"/>
    <col min="7407" max="7407" width="0.7109375" style="6" customWidth="1"/>
    <col min="7408" max="7408" width="9.140625" style="6" customWidth="1"/>
    <col min="7409" max="7409" width="6" style="6" customWidth="1"/>
    <col min="7410" max="7410" width="0.7109375" style="6" customWidth="1"/>
    <col min="7411" max="7411" width="7.140625" style="6" customWidth="1"/>
    <col min="7412" max="7412" width="6.5703125" style="6" customWidth="1"/>
    <col min="7413" max="7413" width="0.7109375" style="6" customWidth="1"/>
    <col min="7414" max="7414" width="7.85546875" style="6" customWidth="1"/>
    <col min="7415" max="7415" width="10.5703125" style="6" customWidth="1"/>
    <col min="7416" max="7416" width="0.7109375" style="6" customWidth="1"/>
    <col min="7417" max="7658" width="11.42578125" style="6"/>
    <col min="7659" max="7659" width="0.7109375" style="6" customWidth="1"/>
    <col min="7660" max="7660" width="15.140625" style="6" customWidth="1"/>
    <col min="7661" max="7661" width="0.7109375" style="6" customWidth="1"/>
    <col min="7662" max="7662" width="56.140625" style="6" customWidth="1"/>
    <col min="7663" max="7663" width="0.7109375" style="6" customWidth="1"/>
    <col min="7664" max="7664" width="9.140625" style="6" customWidth="1"/>
    <col min="7665" max="7665" width="6" style="6" customWidth="1"/>
    <col min="7666" max="7666" width="0.7109375" style="6" customWidth="1"/>
    <col min="7667" max="7667" width="7.140625" style="6" customWidth="1"/>
    <col min="7668" max="7668" width="6.5703125" style="6" customWidth="1"/>
    <col min="7669" max="7669" width="0.7109375" style="6" customWidth="1"/>
    <col min="7670" max="7670" width="7.85546875" style="6" customWidth="1"/>
    <col min="7671" max="7671" width="10.5703125" style="6" customWidth="1"/>
    <col min="7672" max="7672" width="0.7109375" style="6" customWidth="1"/>
    <col min="7673" max="7914" width="11.42578125" style="6"/>
    <col min="7915" max="7915" width="0.7109375" style="6" customWidth="1"/>
    <col min="7916" max="7916" width="15.140625" style="6" customWidth="1"/>
    <col min="7917" max="7917" width="0.7109375" style="6" customWidth="1"/>
    <col min="7918" max="7918" width="56.140625" style="6" customWidth="1"/>
    <col min="7919" max="7919" width="0.7109375" style="6" customWidth="1"/>
    <col min="7920" max="7920" width="9.140625" style="6" customWidth="1"/>
    <col min="7921" max="7921" width="6" style="6" customWidth="1"/>
    <col min="7922" max="7922" width="0.7109375" style="6" customWidth="1"/>
    <col min="7923" max="7923" width="7.140625" style="6" customWidth="1"/>
    <col min="7924" max="7924" width="6.5703125" style="6" customWidth="1"/>
    <col min="7925" max="7925" width="0.7109375" style="6" customWidth="1"/>
    <col min="7926" max="7926" width="7.85546875" style="6" customWidth="1"/>
    <col min="7927" max="7927" width="10.5703125" style="6" customWidth="1"/>
    <col min="7928" max="7928" width="0.7109375" style="6" customWidth="1"/>
    <col min="7929" max="8170" width="11.42578125" style="6"/>
    <col min="8171" max="8171" width="0.7109375" style="6" customWidth="1"/>
    <col min="8172" max="8172" width="15.140625" style="6" customWidth="1"/>
    <col min="8173" max="8173" width="0.7109375" style="6" customWidth="1"/>
    <col min="8174" max="8174" width="56.140625" style="6" customWidth="1"/>
    <col min="8175" max="8175" width="0.7109375" style="6" customWidth="1"/>
    <col min="8176" max="8176" width="9.140625" style="6" customWidth="1"/>
    <col min="8177" max="8177" width="6" style="6" customWidth="1"/>
    <col min="8178" max="8178" width="0.7109375" style="6" customWidth="1"/>
    <col min="8179" max="8179" width="7.140625" style="6" customWidth="1"/>
    <col min="8180" max="8180" width="6.5703125" style="6" customWidth="1"/>
    <col min="8181" max="8181" width="0.7109375" style="6" customWidth="1"/>
    <col min="8182" max="8182" width="7.85546875" style="6" customWidth="1"/>
    <col min="8183" max="8183" width="10.5703125" style="6" customWidth="1"/>
    <col min="8184" max="8184" width="0.7109375" style="6" customWidth="1"/>
    <col min="8185" max="8426" width="11.42578125" style="6"/>
    <col min="8427" max="8427" width="0.7109375" style="6" customWidth="1"/>
    <col min="8428" max="8428" width="15.140625" style="6" customWidth="1"/>
    <col min="8429" max="8429" width="0.7109375" style="6" customWidth="1"/>
    <col min="8430" max="8430" width="56.140625" style="6" customWidth="1"/>
    <col min="8431" max="8431" width="0.7109375" style="6" customWidth="1"/>
    <col min="8432" max="8432" width="9.140625" style="6" customWidth="1"/>
    <col min="8433" max="8433" width="6" style="6" customWidth="1"/>
    <col min="8434" max="8434" width="0.7109375" style="6" customWidth="1"/>
    <col min="8435" max="8435" width="7.140625" style="6" customWidth="1"/>
    <col min="8436" max="8436" width="6.5703125" style="6" customWidth="1"/>
    <col min="8437" max="8437" width="0.7109375" style="6" customWidth="1"/>
    <col min="8438" max="8438" width="7.85546875" style="6" customWidth="1"/>
    <col min="8439" max="8439" width="10.5703125" style="6" customWidth="1"/>
    <col min="8440" max="8440" width="0.7109375" style="6" customWidth="1"/>
    <col min="8441" max="8682" width="11.42578125" style="6"/>
    <col min="8683" max="8683" width="0.7109375" style="6" customWidth="1"/>
    <col min="8684" max="8684" width="15.140625" style="6" customWidth="1"/>
    <col min="8685" max="8685" width="0.7109375" style="6" customWidth="1"/>
    <col min="8686" max="8686" width="56.140625" style="6" customWidth="1"/>
    <col min="8687" max="8687" width="0.7109375" style="6" customWidth="1"/>
    <col min="8688" max="8688" width="9.140625" style="6" customWidth="1"/>
    <col min="8689" max="8689" width="6" style="6" customWidth="1"/>
    <col min="8690" max="8690" width="0.7109375" style="6" customWidth="1"/>
    <col min="8691" max="8691" width="7.140625" style="6" customWidth="1"/>
    <col min="8692" max="8692" width="6.5703125" style="6" customWidth="1"/>
    <col min="8693" max="8693" width="0.7109375" style="6" customWidth="1"/>
    <col min="8694" max="8694" width="7.85546875" style="6" customWidth="1"/>
    <col min="8695" max="8695" width="10.5703125" style="6" customWidth="1"/>
    <col min="8696" max="8696" width="0.7109375" style="6" customWidth="1"/>
    <col min="8697" max="8938" width="11.42578125" style="6"/>
    <col min="8939" max="8939" width="0.7109375" style="6" customWidth="1"/>
    <col min="8940" max="8940" width="15.140625" style="6" customWidth="1"/>
    <col min="8941" max="8941" width="0.7109375" style="6" customWidth="1"/>
    <col min="8942" max="8942" width="56.140625" style="6" customWidth="1"/>
    <col min="8943" max="8943" width="0.7109375" style="6" customWidth="1"/>
    <col min="8944" max="8944" width="9.140625" style="6" customWidth="1"/>
    <col min="8945" max="8945" width="6" style="6" customWidth="1"/>
    <col min="8946" max="8946" width="0.7109375" style="6" customWidth="1"/>
    <col min="8947" max="8947" width="7.140625" style="6" customWidth="1"/>
    <col min="8948" max="8948" width="6.5703125" style="6" customWidth="1"/>
    <col min="8949" max="8949" width="0.7109375" style="6" customWidth="1"/>
    <col min="8950" max="8950" width="7.85546875" style="6" customWidth="1"/>
    <col min="8951" max="8951" width="10.5703125" style="6" customWidth="1"/>
    <col min="8952" max="8952" width="0.7109375" style="6" customWidth="1"/>
    <col min="8953" max="9194" width="11.42578125" style="6"/>
    <col min="9195" max="9195" width="0.7109375" style="6" customWidth="1"/>
    <col min="9196" max="9196" width="15.140625" style="6" customWidth="1"/>
    <col min="9197" max="9197" width="0.7109375" style="6" customWidth="1"/>
    <col min="9198" max="9198" width="56.140625" style="6" customWidth="1"/>
    <col min="9199" max="9199" width="0.7109375" style="6" customWidth="1"/>
    <col min="9200" max="9200" width="9.140625" style="6" customWidth="1"/>
    <col min="9201" max="9201" width="6" style="6" customWidth="1"/>
    <col min="9202" max="9202" width="0.7109375" style="6" customWidth="1"/>
    <col min="9203" max="9203" width="7.140625" style="6" customWidth="1"/>
    <col min="9204" max="9204" width="6.5703125" style="6" customWidth="1"/>
    <col min="9205" max="9205" width="0.7109375" style="6" customWidth="1"/>
    <col min="9206" max="9206" width="7.85546875" style="6" customWidth="1"/>
    <col min="9207" max="9207" width="10.5703125" style="6" customWidth="1"/>
    <col min="9208" max="9208" width="0.7109375" style="6" customWidth="1"/>
    <col min="9209" max="9450" width="11.42578125" style="6"/>
    <col min="9451" max="9451" width="0.7109375" style="6" customWidth="1"/>
    <col min="9452" max="9452" width="15.140625" style="6" customWidth="1"/>
    <col min="9453" max="9453" width="0.7109375" style="6" customWidth="1"/>
    <col min="9454" max="9454" width="56.140625" style="6" customWidth="1"/>
    <col min="9455" max="9455" width="0.7109375" style="6" customWidth="1"/>
    <col min="9456" max="9456" width="9.140625" style="6" customWidth="1"/>
    <col min="9457" max="9457" width="6" style="6" customWidth="1"/>
    <col min="9458" max="9458" width="0.7109375" style="6" customWidth="1"/>
    <col min="9459" max="9459" width="7.140625" style="6" customWidth="1"/>
    <col min="9460" max="9460" width="6.5703125" style="6" customWidth="1"/>
    <col min="9461" max="9461" width="0.7109375" style="6" customWidth="1"/>
    <col min="9462" max="9462" width="7.85546875" style="6" customWidth="1"/>
    <col min="9463" max="9463" width="10.5703125" style="6" customWidth="1"/>
    <col min="9464" max="9464" width="0.7109375" style="6" customWidth="1"/>
    <col min="9465" max="9706" width="11.42578125" style="6"/>
    <col min="9707" max="9707" width="0.7109375" style="6" customWidth="1"/>
    <col min="9708" max="9708" width="15.140625" style="6" customWidth="1"/>
    <col min="9709" max="9709" width="0.7109375" style="6" customWidth="1"/>
    <col min="9710" max="9710" width="56.140625" style="6" customWidth="1"/>
    <col min="9711" max="9711" width="0.7109375" style="6" customWidth="1"/>
    <col min="9712" max="9712" width="9.140625" style="6" customWidth="1"/>
    <col min="9713" max="9713" width="6" style="6" customWidth="1"/>
    <col min="9714" max="9714" width="0.7109375" style="6" customWidth="1"/>
    <col min="9715" max="9715" width="7.140625" style="6" customWidth="1"/>
    <col min="9716" max="9716" width="6.5703125" style="6" customWidth="1"/>
    <col min="9717" max="9717" width="0.7109375" style="6" customWidth="1"/>
    <col min="9718" max="9718" width="7.85546875" style="6" customWidth="1"/>
    <col min="9719" max="9719" width="10.5703125" style="6" customWidth="1"/>
    <col min="9720" max="9720" width="0.7109375" style="6" customWidth="1"/>
    <col min="9721" max="9962" width="11.42578125" style="6"/>
    <col min="9963" max="9963" width="0.7109375" style="6" customWidth="1"/>
    <col min="9964" max="9964" width="15.140625" style="6" customWidth="1"/>
    <col min="9965" max="9965" width="0.7109375" style="6" customWidth="1"/>
    <col min="9966" max="9966" width="56.140625" style="6" customWidth="1"/>
    <col min="9967" max="9967" width="0.7109375" style="6" customWidth="1"/>
    <col min="9968" max="9968" width="9.140625" style="6" customWidth="1"/>
    <col min="9969" max="9969" width="6" style="6" customWidth="1"/>
    <col min="9970" max="9970" width="0.7109375" style="6" customWidth="1"/>
    <col min="9971" max="9971" width="7.140625" style="6" customWidth="1"/>
    <col min="9972" max="9972" width="6.5703125" style="6" customWidth="1"/>
    <col min="9973" max="9973" width="0.7109375" style="6" customWidth="1"/>
    <col min="9974" max="9974" width="7.85546875" style="6" customWidth="1"/>
    <col min="9975" max="9975" width="10.5703125" style="6" customWidth="1"/>
    <col min="9976" max="9976" width="0.7109375" style="6" customWidth="1"/>
    <col min="9977" max="10218" width="11.42578125" style="6"/>
    <col min="10219" max="10219" width="0.7109375" style="6" customWidth="1"/>
    <col min="10220" max="10220" width="15.140625" style="6" customWidth="1"/>
    <col min="10221" max="10221" width="0.7109375" style="6" customWidth="1"/>
    <col min="10222" max="10222" width="56.140625" style="6" customWidth="1"/>
    <col min="10223" max="10223" width="0.7109375" style="6" customWidth="1"/>
    <col min="10224" max="10224" width="9.140625" style="6" customWidth="1"/>
    <col min="10225" max="10225" width="6" style="6" customWidth="1"/>
    <col min="10226" max="10226" width="0.7109375" style="6" customWidth="1"/>
    <col min="10227" max="10227" width="7.140625" style="6" customWidth="1"/>
    <col min="10228" max="10228" width="6.5703125" style="6" customWidth="1"/>
    <col min="10229" max="10229" width="0.7109375" style="6" customWidth="1"/>
    <col min="10230" max="10230" width="7.85546875" style="6" customWidth="1"/>
    <col min="10231" max="10231" width="10.5703125" style="6" customWidth="1"/>
    <col min="10232" max="10232" width="0.7109375" style="6" customWidth="1"/>
    <col min="10233" max="10474" width="11.42578125" style="6"/>
    <col min="10475" max="10475" width="0.7109375" style="6" customWidth="1"/>
    <col min="10476" max="10476" width="15.140625" style="6" customWidth="1"/>
    <col min="10477" max="10477" width="0.7109375" style="6" customWidth="1"/>
    <col min="10478" max="10478" width="56.140625" style="6" customWidth="1"/>
    <col min="10479" max="10479" width="0.7109375" style="6" customWidth="1"/>
    <col min="10480" max="10480" width="9.140625" style="6" customWidth="1"/>
    <col min="10481" max="10481" width="6" style="6" customWidth="1"/>
    <col min="10482" max="10482" width="0.7109375" style="6" customWidth="1"/>
    <col min="10483" max="10483" width="7.140625" style="6" customWidth="1"/>
    <col min="10484" max="10484" width="6.5703125" style="6" customWidth="1"/>
    <col min="10485" max="10485" width="0.7109375" style="6" customWidth="1"/>
    <col min="10486" max="10486" width="7.85546875" style="6" customWidth="1"/>
    <col min="10487" max="10487" width="10.5703125" style="6" customWidth="1"/>
    <col min="10488" max="10488" width="0.7109375" style="6" customWidth="1"/>
    <col min="10489" max="10730" width="11.42578125" style="6"/>
    <col min="10731" max="10731" width="0.7109375" style="6" customWidth="1"/>
    <col min="10732" max="10732" width="15.140625" style="6" customWidth="1"/>
    <col min="10733" max="10733" width="0.7109375" style="6" customWidth="1"/>
    <col min="10734" max="10734" width="56.140625" style="6" customWidth="1"/>
    <col min="10735" max="10735" width="0.7109375" style="6" customWidth="1"/>
    <col min="10736" max="10736" width="9.140625" style="6" customWidth="1"/>
    <col min="10737" max="10737" width="6" style="6" customWidth="1"/>
    <col min="10738" max="10738" width="0.7109375" style="6" customWidth="1"/>
    <col min="10739" max="10739" width="7.140625" style="6" customWidth="1"/>
    <col min="10740" max="10740" width="6.5703125" style="6" customWidth="1"/>
    <col min="10741" max="10741" width="0.7109375" style="6" customWidth="1"/>
    <col min="10742" max="10742" width="7.85546875" style="6" customWidth="1"/>
    <col min="10743" max="10743" width="10.5703125" style="6" customWidth="1"/>
    <col min="10744" max="10744" width="0.7109375" style="6" customWidth="1"/>
    <col min="10745" max="10986" width="11.42578125" style="6"/>
    <col min="10987" max="10987" width="0.7109375" style="6" customWidth="1"/>
    <col min="10988" max="10988" width="15.140625" style="6" customWidth="1"/>
    <col min="10989" max="10989" width="0.7109375" style="6" customWidth="1"/>
    <col min="10990" max="10990" width="56.140625" style="6" customWidth="1"/>
    <col min="10991" max="10991" width="0.7109375" style="6" customWidth="1"/>
    <col min="10992" max="10992" width="9.140625" style="6" customWidth="1"/>
    <col min="10993" max="10993" width="6" style="6" customWidth="1"/>
    <col min="10994" max="10994" width="0.7109375" style="6" customWidth="1"/>
    <col min="10995" max="10995" width="7.140625" style="6" customWidth="1"/>
    <col min="10996" max="10996" width="6.5703125" style="6" customWidth="1"/>
    <col min="10997" max="10997" width="0.7109375" style="6" customWidth="1"/>
    <col min="10998" max="10998" width="7.85546875" style="6" customWidth="1"/>
    <col min="10999" max="10999" width="10.5703125" style="6" customWidth="1"/>
    <col min="11000" max="11000" width="0.7109375" style="6" customWidth="1"/>
    <col min="11001" max="11242" width="11.42578125" style="6"/>
    <col min="11243" max="11243" width="0.7109375" style="6" customWidth="1"/>
    <col min="11244" max="11244" width="15.140625" style="6" customWidth="1"/>
    <col min="11245" max="11245" width="0.7109375" style="6" customWidth="1"/>
    <col min="11246" max="11246" width="56.140625" style="6" customWidth="1"/>
    <col min="11247" max="11247" width="0.7109375" style="6" customWidth="1"/>
    <col min="11248" max="11248" width="9.140625" style="6" customWidth="1"/>
    <col min="11249" max="11249" width="6" style="6" customWidth="1"/>
    <col min="11250" max="11250" width="0.7109375" style="6" customWidth="1"/>
    <col min="11251" max="11251" width="7.140625" style="6" customWidth="1"/>
    <col min="11252" max="11252" width="6.5703125" style="6" customWidth="1"/>
    <col min="11253" max="11253" width="0.7109375" style="6" customWidth="1"/>
    <col min="11254" max="11254" width="7.85546875" style="6" customWidth="1"/>
    <col min="11255" max="11255" width="10.5703125" style="6" customWidth="1"/>
    <col min="11256" max="11256" width="0.7109375" style="6" customWidth="1"/>
    <col min="11257" max="11498" width="11.42578125" style="6"/>
    <col min="11499" max="11499" width="0.7109375" style="6" customWidth="1"/>
    <col min="11500" max="11500" width="15.140625" style="6" customWidth="1"/>
    <col min="11501" max="11501" width="0.7109375" style="6" customWidth="1"/>
    <col min="11502" max="11502" width="56.140625" style="6" customWidth="1"/>
    <col min="11503" max="11503" width="0.7109375" style="6" customWidth="1"/>
    <col min="11504" max="11504" width="9.140625" style="6" customWidth="1"/>
    <col min="11505" max="11505" width="6" style="6" customWidth="1"/>
    <col min="11506" max="11506" width="0.7109375" style="6" customWidth="1"/>
    <col min="11507" max="11507" width="7.140625" style="6" customWidth="1"/>
    <col min="11508" max="11508" width="6.5703125" style="6" customWidth="1"/>
    <col min="11509" max="11509" width="0.7109375" style="6" customWidth="1"/>
    <col min="11510" max="11510" width="7.85546875" style="6" customWidth="1"/>
    <col min="11511" max="11511" width="10.5703125" style="6" customWidth="1"/>
    <col min="11512" max="11512" width="0.7109375" style="6" customWidth="1"/>
    <col min="11513" max="11754" width="11.42578125" style="6"/>
    <col min="11755" max="11755" width="0.7109375" style="6" customWidth="1"/>
    <col min="11756" max="11756" width="15.140625" style="6" customWidth="1"/>
    <col min="11757" max="11757" width="0.7109375" style="6" customWidth="1"/>
    <col min="11758" max="11758" width="56.140625" style="6" customWidth="1"/>
    <col min="11759" max="11759" width="0.7109375" style="6" customWidth="1"/>
    <col min="11760" max="11760" width="9.140625" style="6" customWidth="1"/>
    <col min="11761" max="11761" width="6" style="6" customWidth="1"/>
    <col min="11762" max="11762" width="0.7109375" style="6" customWidth="1"/>
    <col min="11763" max="11763" width="7.140625" style="6" customWidth="1"/>
    <col min="11764" max="11764" width="6.5703125" style="6" customWidth="1"/>
    <col min="11765" max="11765" width="0.7109375" style="6" customWidth="1"/>
    <col min="11766" max="11766" width="7.85546875" style="6" customWidth="1"/>
    <col min="11767" max="11767" width="10.5703125" style="6" customWidth="1"/>
    <col min="11768" max="11768" width="0.7109375" style="6" customWidth="1"/>
    <col min="11769" max="12010" width="11.42578125" style="6"/>
    <col min="12011" max="12011" width="0.7109375" style="6" customWidth="1"/>
    <col min="12012" max="12012" width="15.140625" style="6" customWidth="1"/>
    <col min="12013" max="12013" width="0.7109375" style="6" customWidth="1"/>
    <col min="12014" max="12014" width="56.140625" style="6" customWidth="1"/>
    <col min="12015" max="12015" width="0.7109375" style="6" customWidth="1"/>
    <col min="12016" max="12016" width="9.140625" style="6" customWidth="1"/>
    <col min="12017" max="12017" width="6" style="6" customWidth="1"/>
    <col min="12018" max="12018" width="0.7109375" style="6" customWidth="1"/>
    <col min="12019" max="12019" width="7.140625" style="6" customWidth="1"/>
    <col min="12020" max="12020" width="6.5703125" style="6" customWidth="1"/>
    <col min="12021" max="12021" width="0.7109375" style="6" customWidth="1"/>
    <col min="12022" max="12022" width="7.85546875" style="6" customWidth="1"/>
    <col min="12023" max="12023" width="10.5703125" style="6" customWidth="1"/>
    <col min="12024" max="12024" width="0.7109375" style="6" customWidth="1"/>
    <col min="12025" max="12266" width="11.42578125" style="6"/>
    <col min="12267" max="12267" width="0.7109375" style="6" customWidth="1"/>
    <col min="12268" max="12268" width="15.140625" style="6" customWidth="1"/>
    <col min="12269" max="12269" width="0.7109375" style="6" customWidth="1"/>
    <col min="12270" max="12270" width="56.140625" style="6" customWidth="1"/>
    <col min="12271" max="12271" width="0.7109375" style="6" customWidth="1"/>
    <col min="12272" max="12272" width="9.140625" style="6" customWidth="1"/>
    <col min="12273" max="12273" width="6" style="6" customWidth="1"/>
    <col min="12274" max="12274" width="0.7109375" style="6" customWidth="1"/>
    <col min="12275" max="12275" width="7.140625" style="6" customWidth="1"/>
    <col min="12276" max="12276" width="6.5703125" style="6" customWidth="1"/>
    <col min="12277" max="12277" width="0.7109375" style="6" customWidth="1"/>
    <col min="12278" max="12278" width="7.85546875" style="6" customWidth="1"/>
    <col min="12279" max="12279" width="10.5703125" style="6" customWidth="1"/>
    <col min="12280" max="12280" width="0.7109375" style="6" customWidth="1"/>
    <col min="12281" max="12522" width="11.42578125" style="6"/>
    <col min="12523" max="12523" width="0.7109375" style="6" customWidth="1"/>
    <col min="12524" max="12524" width="15.140625" style="6" customWidth="1"/>
    <col min="12525" max="12525" width="0.7109375" style="6" customWidth="1"/>
    <col min="12526" max="12526" width="56.140625" style="6" customWidth="1"/>
    <col min="12527" max="12527" width="0.7109375" style="6" customWidth="1"/>
    <col min="12528" max="12528" width="9.140625" style="6" customWidth="1"/>
    <col min="12529" max="12529" width="6" style="6" customWidth="1"/>
    <col min="12530" max="12530" width="0.7109375" style="6" customWidth="1"/>
    <col min="12531" max="12531" width="7.140625" style="6" customWidth="1"/>
    <col min="12532" max="12532" width="6.5703125" style="6" customWidth="1"/>
    <col min="12533" max="12533" width="0.7109375" style="6" customWidth="1"/>
    <col min="12534" max="12534" width="7.85546875" style="6" customWidth="1"/>
    <col min="12535" max="12535" width="10.5703125" style="6" customWidth="1"/>
    <col min="12536" max="12536" width="0.7109375" style="6" customWidth="1"/>
    <col min="12537" max="12778" width="11.42578125" style="6"/>
    <col min="12779" max="12779" width="0.7109375" style="6" customWidth="1"/>
    <col min="12780" max="12780" width="15.140625" style="6" customWidth="1"/>
    <col min="12781" max="12781" width="0.7109375" style="6" customWidth="1"/>
    <col min="12782" max="12782" width="56.140625" style="6" customWidth="1"/>
    <col min="12783" max="12783" width="0.7109375" style="6" customWidth="1"/>
    <col min="12784" max="12784" width="9.140625" style="6" customWidth="1"/>
    <col min="12785" max="12785" width="6" style="6" customWidth="1"/>
    <col min="12786" max="12786" width="0.7109375" style="6" customWidth="1"/>
    <col min="12787" max="12787" width="7.140625" style="6" customWidth="1"/>
    <col min="12788" max="12788" width="6.5703125" style="6" customWidth="1"/>
    <col min="12789" max="12789" width="0.7109375" style="6" customWidth="1"/>
    <col min="12790" max="12790" width="7.85546875" style="6" customWidth="1"/>
    <col min="12791" max="12791" width="10.5703125" style="6" customWidth="1"/>
    <col min="12792" max="12792" width="0.7109375" style="6" customWidth="1"/>
    <col min="12793" max="13034" width="11.42578125" style="6"/>
    <col min="13035" max="13035" width="0.7109375" style="6" customWidth="1"/>
    <col min="13036" max="13036" width="15.140625" style="6" customWidth="1"/>
    <col min="13037" max="13037" width="0.7109375" style="6" customWidth="1"/>
    <col min="13038" max="13038" width="56.140625" style="6" customWidth="1"/>
    <col min="13039" max="13039" width="0.7109375" style="6" customWidth="1"/>
    <col min="13040" max="13040" width="9.140625" style="6" customWidth="1"/>
    <col min="13041" max="13041" width="6" style="6" customWidth="1"/>
    <col min="13042" max="13042" width="0.7109375" style="6" customWidth="1"/>
    <col min="13043" max="13043" width="7.140625" style="6" customWidth="1"/>
    <col min="13044" max="13044" width="6.5703125" style="6" customWidth="1"/>
    <col min="13045" max="13045" width="0.7109375" style="6" customWidth="1"/>
    <col min="13046" max="13046" width="7.85546875" style="6" customWidth="1"/>
    <col min="13047" max="13047" width="10.5703125" style="6" customWidth="1"/>
    <col min="13048" max="13048" width="0.7109375" style="6" customWidth="1"/>
    <col min="13049" max="13290" width="11.42578125" style="6"/>
    <col min="13291" max="13291" width="0.7109375" style="6" customWidth="1"/>
    <col min="13292" max="13292" width="15.140625" style="6" customWidth="1"/>
    <col min="13293" max="13293" width="0.7109375" style="6" customWidth="1"/>
    <col min="13294" max="13294" width="56.140625" style="6" customWidth="1"/>
    <col min="13295" max="13295" width="0.7109375" style="6" customWidth="1"/>
    <col min="13296" max="13296" width="9.140625" style="6" customWidth="1"/>
    <col min="13297" max="13297" width="6" style="6" customWidth="1"/>
    <col min="13298" max="13298" width="0.7109375" style="6" customWidth="1"/>
    <col min="13299" max="13299" width="7.140625" style="6" customWidth="1"/>
    <col min="13300" max="13300" width="6.5703125" style="6" customWidth="1"/>
    <col min="13301" max="13301" width="0.7109375" style="6" customWidth="1"/>
    <col min="13302" max="13302" width="7.85546875" style="6" customWidth="1"/>
    <col min="13303" max="13303" width="10.5703125" style="6" customWidth="1"/>
    <col min="13304" max="13304" width="0.7109375" style="6" customWidth="1"/>
    <col min="13305" max="13546" width="11.42578125" style="6"/>
    <col min="13547" max="13547" width="0.7109375" style="6" customWidth="1"/>
    <col min="13548" max="13548" width="15.140625" style="6" customWidth="1"/>
    <col min="13549" max="13549" width="0.7109375" style="6" customWidth="1"/>
    <col min="13550" max="13550" width="56.140625" style="6" customWidth="1"/>
    <col min="13551" max="13551" width="0.7109375" style="6" customWidth="1"/>
    <col min="13552" max="13552" width="9.140625" style="6" customWidth="1"/>
    <col min="13553" max="13553" width="6" style="6" customWidth="1"/>
    <col min="13554" max="13554" width="0.7109375" style="6" customWidth="1"/>
    <col min="13555" max="13555" width="7.140625" style="6" customWidth="1"/>
    <col min="13556" max="13556" width="6.5703125" style="6" customWidth="1"/>
    <col min="13557" max="13557" width="0.7109375" style="6" customWidth="1"/>
    <col min="13558" max="13558" width="7.85546875" style="6" customWidth="1"/>
    <col min="13559" max="13559" width="10.5703125" style="6" customWidth="1"/>
    <col min="13560" max="13560" width="0.7109375" style="6" customWidth="1"/>
    <col min="13561" max="16384" width="11.42578125" style="6"/>
  </cols>
  <sheetData>
    <row r="1" spans="1:10" ht="15" customHeight="1" x14ac:dyDescent="0.25">
      <c r="A1" s="1" t="s">
        <v>0</v>
      </c>
      <c r="B1" s="2" t="s">
        <v>220</v>
      </c>
      <c r="C1" s="55"/>
      <c r="D1" s="4"/>
      <c r="E1" s="4"/>
      <c r="F1" s="4"/>
      <c r="G1" s="5"/>
      <c r="J1" s="7" t="s">
        <v>1</v>
      </c>
    </row>
    <row r="2" spans="1:10" ht="15" customHeight="1" x14ac:dyDescent="0.25">
      <c r="A2" s="8" t="s">
        <v>2</v>
      </c>
      <c r="B2" s="9" t="s">
        <v>226</v>
      </c>
      <c r="C2" s="56"/>
      <c r="D2" s="11"/>
      <c r="E2" s="11"/>
      <c r="F2" s="11"/>
      <c r="G2" s="12"/>
      <c r="J2" s="13" t="s">
        <v>4</v>
      </c>
    </row>
    <row r="3" spans="1:10" ht="15" customHeight="1" x14ac:dyDescent="0.25">
      <c r="A3" s="8" t="s">
        <v>5</v>
      </c>
      <c r="B3" s="9" t="s">
        <v>231</v>
      </c>
      <c r="C3" s="56"/>
      <c r="D3" s="11"/>
      <c r="E3" s="11"/>
      <c r="F3" s="11"/>
      <c r="G3" s="12"/>
      <c r="J3" s="7" t="s">
        <v>6</v>
      </c>
    </row>
    <row r="4" spans="1:10" ht="15" customHeight="1" x14ac:dyDescent="0.25">
      <c r="A4" s="14" t="s">
        <v>7</v>
      </c>
      <c r="B4" s="15">
        <v>0</v>
      </c>
      <c r="C4" s="57"/>
      <c r="D4" s="17"/>
      <c r="E4" s="17"/>
      <c r="F4" s="17"/>
      <c r="G4" s="58"/>
      <c r="J4" s="7" t="s">
        <v>8</v>
      </c>
    </row>
    <row r="5" spans="1:10" ht="30" customHeight="1" x14ac:dyDescent="0.25">
      <c r="A5" s="1192" t="s">
        <v>2879</v>
      </c>
      <c r="B5" s="1193"/>
      <c r="C5" s="1193"/>
      <c r="D5" s="1193"/>
      <c r="E5" s="1193"/>
      <c r="F5" s="1193"/>
      <c r="G5" s="1194"/>
      <c r="J5" s="7" t="s">
        <v>9</v>
      </c>
    </row>
    <row r="6" spans="1:10" ht="18" customHeight="1" x14ac:dyDescent="0.25">
      <c r="A6" s="91" t="s">
        <v>10</v>
      </c>
      <c r="B6" s="60" t="s">
        <v>11</v>
      </c>
      <c r="C6" s="1214" t="s">
        <v>55</v>
      </c>
      <c r="D6" s="1214"/>
      <c r="E6" s="1215"/>
      <c r="F6" s="60" t="s">
        <v>12</v>
      </c>
      <c r="G6" s="61"/>
      <c r="J6" s="7" t="s">
        <v>13</v>
      </c>
    </row>
    <row r="7" spans="1:10" ht="15" x14ac:dyDescent="0.25">
      <c r="A7" s="24" t="s">
        <v>56</v>
      </c>
      <c r="B7" s="25"/>
      <c r="C7" s="1216"/>
      <c r="D7" s="1216"/>
      <c r="E7" s="1217"/>
      <c r="F7" s="63"/>
      <c r="G7" s="64" t="s">
        <v>33</v>
      </c>
      <c r="J7" s="35" t="s">
        <v>20</v>
      </c>
    </row>
    <row r="8" spans="1:10" ht="15" x14ac:dyDescent="0.25">
      <c r="A8" s="93" t="s">
        <v>18</v>
      </c>
      <c r="B8" s="33"/>
      <c r="C8" s="33" t="s">
        <v>57</v>
      </c>
      <c r="D8" s="65"/>
      <c r="E8" s="65"/>
      <c r="F8" s="33"/>
      <c r="G8" s="66"/>
      <c r="J8" s="6" t="s">
        <v>17</v>
      </c>
    </row>
    <row r="9" spans="1:10" ht="15" x14ac:dyDescent="0.25">
      <c r="A9" s="1218" t="s">
        <v>10</v>
      </c>
      <c r="B9" s="1218" t="s">
        <v>21</v>
      </c>
      <c r="C9" s="1218" t="s">
        <v>22</v>
      </c>
      <c r="D9" s="1219" t="s">
        <v>35</v>
      </c>
      <c r="E9" s="1219" t="s">
        <v>36</v>
      </c>
      <c r="F9" s="94" t="s">
        <v>28</v>
      </c>
      <c r="G9" s="95" t="s">
        <v>28</v>
      </c>
    </row>
    <row r="10" spans="1:10" ht="30.75" customHeight="1" x14ac:dyDescent="0.25">
      <c r="A10" s="1218"/>
      <c r="B10" s="1218"/>
      <c r="C10" s="1218"/>
      <c r="D10" s="1219"/>
      <c r="E10" s="1219"/>
      <c r="F10" s="96" t="s">
        <v>29</v>
      </c>
      <c r="G10" s="41" t="s">
        <v>30</v>
      </c>
    </row>
    <row r="11" spans="1:10" ht="28.5" x14ac:dyDescent="0.25">
      <c r="A11" s="98">
        <v>4720</v>
      </c>
      <c r="B11" s="99" t="s">
        <v>58</v>
      </c>
      <c r="C11" s="100" t="s">
        <v>59</v>
      </c>
      <c r="D11" s="101" t="s">
        <v>60</v>
      </c>
      <c r="E11" s="102">
        <v>7.3000000000000001E-3</v>
      </c>
      <c r="F11" s="103">
        <f>COTAÇÃOBRITA!D13</f>
        <v>135</v>
      </c>
      <c r="G11" s="103">
        <f t="shared" ref="G11:G22" si="0">TRUNC(E11*F11,2)</f>
        <v>0.98</v>
      </c>
    </row>
    <row r="12" spans="1:10" ht="28.5" x14ac:dyDescent="0.25">
      <c r="A12" s="98">
        <v>4721</v>
      </c>
      <c r="B12" s="99" t="s">
        <v>58</v>
      </c>
      <c r="C12" s="100" t="s">
        <v>61</v>
      </c>
      <c r="D12" s="101" t="s">
        <v>60</v>
      </c>
      <c r="E12" s="102">
        <v>1.4999999999999999E-2</v>
      </c>
      <c r="F12" s="103">
        <f>COTAÇÃOBRITA!D18</f>
        <v>135</v>
      </c>
      <c r="G12" s="103">
        <f t="shared" si="0"/>
        <v>2.02</v>
      </c>
    </row>
    <row r="13" spans="1:10" ht="42.75" x14ac:dyDescent="0.25">
      <c r="A13" s="48">
        <v>6879</v>
      </c>
      <c r="B13" s="71" t="s">
        <v>1</v>
      </c>
      <c r="C13" s="44" t="s">
        <v>2905</v>
      </c>
      <c r="D13" s="46" t="s">
        <v>2898</v>
      </c>
      <c r="E13" s="97">
        <v>8.0000000000000004E-4</v>
      </c>
      <c r="F13" s="47">
        <v>210.87</v>
      </c>
      <c r="G13" s="47">
        <f t="shared" si="0"/>
        <v>0.16</v>
      </c>
    </row>
    <row r="14" spans="1:10" ht="42.75" x14ac:dyDescent="0.25">
      <c r="A14" s="48">
        <v>6880</v>
      </c>
      <c r="B14" s="71" t="s">
        <v>1</v>
      </c>
      <c r="C14" s="44" t="s">
        <v>2906</v>
      </c>
      <c r="D14" s="46" t="s">
        <v>2900</v>
      </c>
      <c r="E14" s="97">
        <v>1.9E-3</v>
      </c>
      <c r="F14" s="47">
        <v>84.75</v>
      </c>
      <c r="G14" s="47">
        <f t="shared" si="0"/>
        <v>0.16</v>
      </c>
    </row>
    <row r="15" spans="1:10" ht="28.5" x14ac:dyDescent="0.25">
      <c r="A15" s="48">
        <v>7030</v>
      </c>
      <c r="B15" s="71" t="s">
        <v>1</v>
      </c>
      <c r="C15" s="44" t="s">
        <v>2907</v>
      </c>
      <c r="D15" s="46" t="s">
        <v>2898</v>
      </c>
      <c r="E15" s="97">
        <v>2.7000000000000001E-3</v>
      </c>
      <c r="F15" s="47">
        <v>264.02</v>
      </c>
      <c r="G15" s="47">
        <f t="shared" si="0"/>
        <v>0.71</v>
      </c>
    </row>
    <row r="16" spans="1:10" ht="28.5" x14ac:dyDescent="0.25">
      <c r="A16" s="48"/>
      <c r="B16" s="71" t="s">
        <v>17</v>
      </c>
      <c r="C16" s="44" t="s">
        <v>62</v>
      </c>
      <c r="D16" s="46" t="s">
        <v>53</v>
      </c>
      <c r="E16" s="97">
        <v>3.5</v>
      </c>
      <c r="F16" s="47"/>
      <c r="G16" s="47">
        <f t="shared" si="0"/>
        <v>0</v>
      </c>
    </row>
    <row r="17" spans="1:7" ht="57" x14ac:dyDescent="0.25">
      <c r="A17" s="48">
        <v>83362</v>
      </c>
      <c r="B17" s="71" t="s">
        <v>1</v>
      </c>
      <c r="C17" s="44" t="s">
        <v>2901</v>
      </c>
      <c r="D17" s="46" t="s">
        <v>2898</v>
      </c>
      <c r="E17" s="97">
        <v>8.9999999999999998E-4</v>
      </c>
      <c r="F17" s="47">
        <v>274.87</v>
      </c>
      <c r="G17" s="47">
        <f t="shared" si="0"/>
        <v>0.24</v>
      </c>
    </row>
    <row r="18" spans="1:7" x14ac:dyDescent="0.25">
      <c r="A18" s="48">
        <v>88316</v>
      </c>
      <c r="B18" s="71" t="s">
        <v>1</v>
      </c>
      <c r="C18" s="44" t="s">
        <v>2893</v>
      </c>
      <c r="D18" s="46" t="s">
        <v>2890</v>
      </c>
      <c r="E18" s="97">
        <v>2.1499999999999998E-2</v>
      </c>
      <c r="F18" s="47">
        <v>20.32</v>
      </c>
      <c r="G18" s="47">
        <f t="shared" si="0"/>
        <v>0.43</v>
      </c>
    </row>
    <row r="19" spans="1:7" ht="28.5" x14ac:dyDescent="0.25">
      <c r="A19" s="48">
        <v>89035</v>
      </c>
      <c r="B19" s="71" t="s">
        <v>1</v>
      </c>
      <c r="C19" s="44" t="s">
        <v>2902</v>
      </c>
      <c r="D19" s="46" t="s">
        <v>2898</v>
      </c>
      <c r="E19" s="97">
        <v>5.0000000000000001E-4</v>
      </c>
      <c r="F19" s="47">
        <v>120.32</v>
      </c>
      <c r="G19" s="47">
        <f t="shared" si="0"/>
        <v>0.06</v>
      </c>
    </row>
    <row r="20" spans="1:7" ht="28.5" x14ac:dyDescent="0.25">
      <c r="A20" s="48">
        <v>89036</v>
      </c>
      <c r="B20" s="71" t="s">
        <v>1</v>
      </c>
      <c r="C20" s="44" t="s">
        <v>2903</v>
      </c>
      <c r="D20" s="46" t="s">
        <v>2900</v>
      </c>
      <c r="E20" s="97">
        <v>2.2000000000000001E-3</v>
      </c>
      <c r="F20" s="47">
        <v>39.049999999999997</v>
      </c>
      <c r="G20" s="47">
        <f t="shared" si="0"/>
        <v>0.08</v>
      </c>
    </row>
    <row r="21" spans="1:7" ht="57" x14ac:dyDescent="0.25">
      <c r="A21" s="48">
        <v>91386</v>
      </c>
      <c r="B21" s="71" t="s">
        <v>1</v>
      </c>
      <c r="C21" s="44" t="s">
        <v>2908</v>
      </c>
      <c r="D21" s="46" t="s">
        <v>2898</v>
      </c>
      <c r="E21" s="97">
        <v>5.0000000000000001E-4</v>
      </c>
      <c r="F21" s="47">
        <v>268.27999999999997</v>
      </c>
      <c r="G21" s="47">
        <f t="shared" si="0"/>
        <v>0.13</v>
      </c>
    </row>
    <row r="22" spans="1:7" ht="57" x14ac:dyDescent="0.25">
      <c r="A22" s="48">
        <v>91486</v>
      </c>
      <c r="B22" s="71" t="s">
        <v>1</v>
      </c>
      <c r="C22" s="44" t="s">
        <v>2904</v>
      </c>
      <c r="D22" s="46" t="s">
        <v>2900</v>
      </c>
      <c r="E22" s="97">
        <v>1.8E-3</v>
      </c>
      <c r="F22" s="47">
        <v>70.760000000000005</v>
      </c>
      <c r="G22" s="47">
        <f t="shared" si="0"/>
        <v>0.12</v>
      </c>
    </row>
    <row r="23" spans="1:7" ht="15" x14ac:dyDescent="0.25">
      <c r="A23" s="1205" t="s">
        <v>31</v>
      </c>
      <c r="B23" s="1205"/>
      <c r="C23" s="1205"/>
      <c r="D23" s="1205"/>
      <c r="E23" s="1205"/>
      <c r="F23" s="1205"/>
      <c r="G23" s="52">
        <f>SUM(G11:G22)</f>
        <v>5.09</v>
      </c>
    </row>
    <row r="26" spans="1:7" x14ac:dyDescent="0.25">
      <c r="A26" s="53"/>
      <c r="B26" s="53"/>
      <c r="D26" s="6"/>
      <c r="E26" s="6"/>
      <c r="F26" s="6"/>
      <c r="G26" s="6"/>
    </row>
    <row r="27" spans="1:7" s="53" customFormat="1" x14ac:dyDescent="0.25">
      <c r="C27" s="6"/>
      <c r="D27" s="6"/>
      <c r="E27" s="6"/>
      <c r="F27" s="6"/>
      <c r="G27" s="6"/>
    </row>
    <row r="28" spans="1:7" s="53" customFormat="1" x14ac:dyDescent="0.25">
      <c r="C28" s="6"/>
    </row>
    <row r="29" spans="1:7" s="53" customFormat="1" x14ac:dyDescent="0.25">
      <c r="C29" s="6"/>
    </row>
    <row r="30" spans="1:7" x14ac:dyDescent="0.25">
      <c r="A30" s="53"/>
      <c r="B30" s="53"/>
    </row>
    <row r="31" spans="1:7" s="53" customFormat="1" x14ac:dyDescent="0.25">
      <c r="C31" s="6"/>
      <c r="D31" s="6"/>
      <c r="E31" s="6"/>
      <c r="F31" s="6"/>
      <c r="G31" s="6"/>
    </row>
    <row r="32" spans="1:7" s="53" customFormat="1" x14ac:dyDescent="0.25">
      <c r="C32" s="6"/>
    </row>
    <row r="33" spans="1:7" x14ac:dyDescent="0.25">
      <c r="A33" s="53"/>
      <c r="B33" s="53"/>
    </row>
    <row r="34" spans="1:7" x14ac:dyDescent="0.25">
      <c r="A34" s="53"/>
      <c r="B34" s="53"/>
      <c r="D34" s="6"/>
      <c r="E34" s="6"/>
      <c r="F34" s="6"/>
      <c r="G34" s="6"/>
    </row>
    <row r="35" spans="1:7" x14ac:dyDescent="0.25">
      <c r="A35" s="53"/>
      <c r="B35" s="53"/>
      <c r="D35" s="6"/>
      <c r="E35" s="6"/>
      <c r="F35" s="6"/>
      <c r="G35" s="6"/>
    </row>
    <row r="36" spans="1:7" x14ac:dyDescent="0.25">
      <c r="A36" s="53"/>
      <c r="B36" s="53"/>
      <c r="D36" s="6"/>
      <c r="E36" s="6"/>
      <c r="F36" s="6"/>
      <c r="G36" s="6"/>
    </row>
    <row r="37" spans="1:7" x14ac:dyDescent="0.25">
      <c r="A37" s="53"/>
      <c r="B37" s="53"/>
      <c r="D37" s="6"/>
      <c r="E37" s="6"/>
      <c r="F37" s="6"/>
      <c r="G37" s="6"/>
    </row>
    <row r="38" spans="1:7" x14ac:dyDescent="0.25">
      <c r="A38" s="53"/>
      <c r="B38" s="53"/>
      <c r="D38" s="6"/>
      <c r="E38" s="6"/>
      <c r="F38" s="6"/>
      <c r="G38" s="6"/>
    </row>
    <row r="39" spans="1:7" x14ac:dyDescent="0.25">
      <c r="A39" s="53"/>
      <c r="B39" s="53"/>
      <c r="D39" s="6"/>
      <c r="E39" s="6"/>
      <c r="F39" s="6"/>
      <c r="G39" s="6"/>
    </row>
    <row r="40" spans="1:7" x14ac:dyDescent="0.25">
      <c r="A40" s="53"/>
      <c r="B40" s="53"/>
      <c r="D40" s="6"/>
      <c r="E40" s="6"/>
      <c r="F40" s="6"/>
      <c r="G40" s="6"/>
    </row>
  </sheetData>
  <mergeCells count="8">
    <mergeCell ref="A23:F23"/>
    <mergeCell ref="A5:G5"/>
    <mergeCell ref="C6:E7"/>
    <mergeCell ref="A9:A10"/>
    <mergeCell ref="B9:B10"/>
    <mergeCell ref="C9:C10"/>
    <mergeCell ref="D9:D10"/>
    <mergeCell ref="E9:E10"/>
  </mergeCells>
  <dataValidations disablePrompts="1" count="2">
    <dataValidation type="list" allowBlank="1" showInputMessage="1" showErrorMessage="1" sqref="B11:B12" xr:uid="{EAFB52D8-D0B7-499B-B7F9-A04BD1DD3134}">
      <formula1>$J$1:$J$9</formula1>
    </dataValidation>
    <dataValidation type="list" allowBlank="1" showInputMessage="1" showErrorMessage="1" sqref="B13:B22" xr:uid="{828A5FD6-8581-48AB-8E73-46BB7C120983}">
      <formula1>$J$1:$J$8</formula1>
    </dataValidation>
  </dataValidations>
  <printOptions horizontalCentered="1"/>
  <pageMargins left="0.59055118110236227" right="0.59055118110236227" top="1.7716535433070868" bottom="0.78740157480314965" header="0" footer="0"/>
  <pageSetup paperSize="9" scale="70" orientation="landscape" r:id="rId1"/>
  <headerFooter scaleWithDoc="0">
    <oddHeader>&amp;L&amp;G</oddHeader>
    <oddFooter>&amp;C&amp;"-,Negrito"&amp;12DIONI CAETANEO DE OLIVEIRA
&amp;"-,Regular"ENGENHEIRO CIVIL - CREA /MT 40957
DEPARTAMENTO DE ENGENHARIA</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5808B-6AC0-4097-9CC9-18DE12AFED73}">
  <sheetPr>
    <tabColor rgb="FF0070C0"/>
    <pageSetUpPr fitToPage="1"/>
  </sheetPr>
  <dimension ref="A1:J33"/>
  <sheetViews>
    <sheetView showGridLines="0" view="pageLayout" zoomScaleNormal="85" zoomScaleSheetLayoutView="100" workbookViewId="0">
      <selection activeCell="O59" sqref="O59"/>
    </sheetView>
  </sheetViews>
  <sheetFormatPr defaultColWidth="11.42578125" defaultRowHeight="14.25" x14ac:dyDescent="0.25"/>
  <cols>
    <col min="1" max="1" width="15.140625" style="6" customWidth="1"/>
    <col min="2" max="2" width="16.5703125" style="6" customWidth="1"/>
    <col min="3" max="3" width="73" style="6" customWidth="1"/>
    <col min="4" max="4" width="14.140625" style="53" customWidth="1"/>
    <col min="5" max="5" width="17" style="53" bestFit="1" customWidth="1"/>
    <col min="6" max="7" width="15.7109375" style="53" customWidth="1"/>
    <col min="8" max="8" width="14.28515625" style="6" customWidth="1"/>
    <col min="9" max="9" width="11.42578125" style="6"/>
    <col min="10" max="10" width="25.5703125" style="6" bestFit="1" customWidth="1"/>
    <col min="11" max="234" width="11.42578125" style="6"/>
    <col min="235" max="235" width="0.7109375" style="6" customWidth="1"/>
    <col min="236" max="236" width="15.140625" style="6" customWidth="1"/>
    <col min="237" max="237" width="0.7109375" style="6" customWidth="1"/>
    <col min="238" max="238" width="56.140625" style="6" customWidth="1"/>
    <col min="239" max="239" width="0.7109375" style="6" customWidth="1"/>
    <col min="240" max="240" width="9.140625" style="6" customWidth="1"/>
    <col min="241" max="241" width="6" style="6" customWidth="1"/>
    <col min="242" max="242" width="0.7109375" style="6" customWidth="1"/>
    <col min="243" max="243" width="7.140625" style="6" customWidth="1"/>
    <col min="244" max="244" width="6.5703125" style="6" customWidth="1"/>
    <col min="245" max="245" width="0.7109375" style="6" customWidth="1"/>
    <col min="246" max="246" width="7.85546875" style="6" customWidth="1"/>
    <col min="247" max="247" width="10.5703125" style="6" customWidth="1"/>
    <col min="248" max="248" width="0.7109375" style="6" customWidth="1"/>
    <col min="249" max="490" width="11.42578125" style="6"/>
    <col min="491" max="491" width="0.7109375" style="6" customWidth="1"/>
    <col min="492" max="492" width="15.140625" style="6" customWidth="1"/>
    <col min="493" max="493" width="0.7109375" style="6" customWidth="1"/>
    <col min="494" max="494" width="56.140625" style="6" customWidth="1"/>
    <col min="495" max="495" width="0.7109375" style="6" customWidth="1"/>
    <col min="496" max="496" width="9.140625" style="6" customWidth="1"/>
    <col min="497" max="497" width="6" style="6" customWidth="1"/>
    <col min="498" max="498" width="0.7109375" style="6" customWidth="1"/>
    <col min="499" max="499" width="7.140625" style="6" customWidth="1"/>
    <col min="500" max="500" width="6.5703125" style="6" customWidth="1"/>
    <col min="501" max="501" width="0.7109375" style="6" customWidth="1"/>
    <col min="502" max="502" width="7.85546875" style="6" customWidth="1"/>
    <col min="503" max="503" width="10.5703125" style="6" customWidth="1"/>
    <col min="504" max="504" width="0.7109375" style="6" customWidth="1"/>
    <col min="505" max="746" width="11.42578125" style="6"/>
    <col min="747" max="747" width="0.7109375" style="6" customWidth="1"/>
    <col min="748" max="748" width="15.140625" style="6" customWidth="1"/>
    <col min="749" max="749" width="0.7109375" style="6" customWidth="1"/>
    <col min="750" max="750" width="56.140625" style="6" customWidth="1"/>
    <col min="751" max="751" width="0.7109375" style="6" customWidth="1"/>
    <col min="752" max="752" width="9.140625" style="6" customWidth="1"/>
    <col min="753" max="753" width="6" style="6" customWidth="1"/>
    <col min="754" max="754" width="0.7109375" style="6" customWidth="1"/>
    <col min="755" max="755" width="7.140625" style="6" customWidth="1"/>
    <col min="756" max="756" width="6.5703125" style="6" customWidth="1"/>
    <col min="757" max="757" width="0.7109375" style="6" customWidth="1"/>
    <col min="758" max="758" width="7.85546875" style="6" customWidth="1"/>
    <col min="759" max="759" width="10.5703125" style="6" customWidth="1"/>
    <col min="760" max="760" width="0.7109375" style="6" customWidth="1"/>
    <col min="761" max="1002" width="11.42578125" style="6"/>
    <col min="1003" max="1003" width="0.7109375" style="6" customWidth="1"/>
    <col min="1004" max="1004" width="15.140625" style="6" customWidth="1"/>
    <col min="1005" max="1005" width="0.7109375" style="6" customWidth="1"/>
    <col min="1006" max="1006" width="56.140625" style="6" customWidth="1"/>
    <col min="1007" max="1007" width="0.7109375" style="6" customWidth="1"/>
    <col min="1008" max="1008" width="9.140625" style="6" customWidth="1"/>
    <col min="1009" max="1009" width="6" style="6" customWidth="1"/>
    <col min="1010" max="1010" width="0.7109375" style="6" customWidth="1"/>
    <col min="1011" max="1011" width="7.140625" style="6" customWidth="1"/>
    <col min="1012" max="1012" width="6.5703125" style="6" customWidth="1"/>
    <col min="1013" max="1013" width="0.7109375" style="6" customWidth="1"/>
    <col min="1014" max="1014" width="7.85546875" style="6" customWidth="1"/>
    <col min="1015" max="1015" width="10.5703125" style="6" customWidth="1"/>
    <col min="1016" max="1016" width="0.7109375" style="6" customWidth="1"/>
    <col min="1017" max="1258" width="11.42578125" style="6"/>
    <col min="1259" max="1259" width="0.7109375" style="6" customWidth="1"/>
    <col min="1260" max="1260" width="15.140625" style="6" customWidth="1"/>
    <col min="1261" max="1261" width="0.7109375" style="6" customWidth="1"/>
    <col min="1262" max="1262" width="56.140625" style="6" customWidth="1"/>
    <col min="1263" max="1263" width="0.7109375" style="6" customWidth="1"/>
    <col min="1264" max="1264" width="9.140625" style="6" customWidth="1"/>
    <col min="1265" max="1265" width="6" style="6" customWidth="1"/>
    <col min="1266" max="1266" width="0.7109375" style="6" customWidth="1"/>
    <col min="1267" max="1267" width="7.140625" style="6" customWidth="1"/>
    <col min="1268" max="1268" width="6.5703125" style="6" customWidth="1"/>
    <col min="1269" max="1269" width="0.7109375" style="6" customWidth="1"/>
    <col min="1270" max="1270" width="7.85546875" style="6" customWidth="1"/>
    <col min="1271" max="1271" width="10.5703125" style="6" customWidth="1"/>
    <col min="1272" max="1272" width="0.7109375" style="6" customWidth="1"/>
    <col min="1273" max="1514" width="11.42578125" style="6"/>
    <col min="1515" max="1515" width="0.7109375" style="6" customWidth="1"/>
    <col min="1516" max="1516" width="15.140625" style="6" customWidth="1"/>
    <col min="1517" max="1517" width="0.7109375" style="6" customWidth="1"/>
    <col min="1518" max="1518" width="56.140625" style="6" customWidth="1"/>
    <col min="1519" max="1519" width="0.7109375" style="6" customWidth="1"/>
    <col min="1520" max="1520" width="9.140625" style="6" customWidth="1"/>
    <col min="1521" max="1521" width="6" style="6" customWidth="1"/>
    <col min="1522" max="1522" width="0.7109375" style="6" customWidth="1"/>
    <col min="1523" max="1523" width="7.140625" style="6" customWidth="1"/>
    <col min="1524" max="1524" width="6.5703125" style="6" customWidth="1"/>
    <col min="1525" max="1525" width="0.7109375" style="6" customWidth="1"/>
    <col min="1526" max="1526" width="7.85546875" style="6" customWidth="1"/>
    <col min="1527" max="1527" width="10.5703125" style="6" customWidth="1"/>
    <col min="1528" max="1528" width="0.7109375" style="6" customWidth="1"/>
    <col min="1529" max="1770" width="11.42578125" style="6"/>
    <col min="1771" max="1771" width="0.7109375" style="6" customWidth="1"/>
    <col min="1772" max="1772" width="15.140625" style="6" customWidth="1"/>
    <col min="1773" max="1773" width="0.7109375" style="6" customWidth="1"/>
    <col min="1774" max="1774" width="56.140625" style="6" customWidth="1"/>
    <col min="1775" max="1775" width="0.7109375" style="6" customWidth="1"/>
    <col min="1776" max="1776" width="9.140625" style="6" customWidth="1"/>
    <col min="1777" max="1777" width="6" style="6" customWidth="1"/>
    <col min="1778" max="1778" width="0.7109375" style="6" customWidth="1"/>
    <col min="1779" max="1779" width="7.140625" style="6" customWidth="1"/>
    <col min="1780" max="1780" width="6.5703125" style="6" customWidth="1"/>
    <col min="1781" max="1781" width="0.7109375" style="6" customWidth="1"/>
    <col min="1782" max="1782" width="7.85546875" style="6" customWidth="1"/>
    <col min="1783" max="1783" width="10.5703125" style="6" customWidth="1"/>
    <col min="1784" max="1784" width="0.7109375" style="6" customWidth="1"/>
    <col min="1785" max="2026" width="11.42578125" style="6"/>
    <col min="2027" max="2027" width="0.7109375" style="6" customWidth="1"/>
    <col min="2028" max="2028" width="15.140625" style="6" customWidth="1"/>
    <col min="2029" max="2029" width="0.7109375" style="6" customWidth="1"/>
    <col min="2030" max="2030" width="56.140625" style="6" customWidth="1"/>
    <col min="2031" max="2031" width="0.7109375" style="6" customWidth="1"/>
    <col min="2032" max="2032" width="9.140625" style="6" customWidth="1"/>
    <col min="2033" max="2033" width="6" style="6" customWidth="1"/>
    <col min="2034" max="2034" width="0.7109375" style="6" customWidth="1"/>
    <col min="2035" max="2035" width="7.140625" style="6" customWidth="1"/>
    <col min="2036" max="2036" width="6.5703125" style="6" customWidth="1"/>
    <col min="2037" max="2037" width="0.7109375" style="6" customWidth="1"/>
    <col min="2038" max="2038" width="7.85546875" style="6" customWidth="1"/>
    <col min="2039" max="2039" width="10.5703125" style="6" customWidth="1"/>
    <col min="2040" max="2040" width="0.7109375" style="6" customWidth="1"/>
    <col min="2041" max="2282" width="11.42578125" style="6"/>
    <col min="2283" max="2283" width="0.7109375" style="6" customWidth="1"/>
    <col min="2284" max="2284" width="15.140625" style="6" customWidth="1"/>
    <col min="2285" max="2285" width="0.7109375" style="6" customWidth="1"/>
    <col min="2286" max="2286" width="56.140625" style="6" customWidth="1"/>
    <col min="2287" max="2287" width="0.7109375" style="6" customWidth="1"/>
    <col min="2288" max="2288" width="9.140625" style="6" customWidth="1"/>
    <col min="2289" max="2289" width="6" style="6" customWidth="1"/>
    <col min="2290" max="2290" width="0.7109375" style="6" customWidth="1"/>
    <col min="2291" max="2291" width="7.140625" style="6" customWidth="1"/>
    <col min="2292" max="2292" width="6.5703125" style="6" customWidth="1"/>
    <col min="2293" max="2293" width="0.7109375" style="6" customWidth="1"/>
    <col min="2294" max="2294" width="7.85546875" style="6" customWidth="1"/>
    <col min="2295" max="2295" width="10.5703125" style="6" customWidth="1"/>
    <col min="2296" max="2296" width="0.7109375" style="6" customWidth="1"/>
    <col min="2297" max="2538" width="11.42578125" style="6"/>
    <col min="2539" max="2539" width="0.7109375" style="6" customWidth="1"/>
    <col min="2540" max="2540" width="15.140625" style="6" customWidth="1"/>
    <col min="2541" max="2541" width="0.7109375" style="6" customWidth="1"/>
    <col min="2542" max="2542" width="56.140625" style="6" customWidth="1"/>
    <col min="2543" max="2543" width="0.7109375" style="6" customWidth="1"/>
    <col min="2544" max="2544" width="9.140625" style="6" customWidth="1"/>
    <col min="2545" max="2545" width="6" style="6" customWidth="1"/>
    <col min="2546" max="2546" width="0.7109375" style="6" customWidth="1"/>
    <col min="2547" max="2547" width="7.140625" style="6" customWidth="1"/>
    <col min="2548" max="2548" width="6.5703125" style="6" customWidth="1"/>
    <col min="2549" max="2549" width="0.7109375" style="6" customWidth="1"/>
    <col min="2550" max="2550" width="7.85546875" style="6" customWidth="1"/>
    <col min="2551" max="2551" width="10.5703125" style="6" customWidth="1"/>
    <col min="2552" max="2552" width="0.7109375" style="6" customWidth="1"/>
    <col min="2553" max="2794" width="11.42578125" style="6"/>
    <col min="2795" max="2795" width="0.7109375" style="6" customWidth="1"/>
    <col min="2796" max="2796" width="15.140625" style="6" customWidth="1"/>
    <col min="2797" max="2797" width="0.7109375" style="6" customWidth="1"/>
    <col min="2798" max="2798" width="56.140625" style="6" customWidth="1"/>
    <col min="2799" max="2799" width="0.7109375" style="6" customWidth="1"/>
    <col min="2800" max="2800" width="9.140625" style="6" customWidth="1"/>
    <col min="2801" max="2801" width="6" style="6" customWidth="1"/>
    <col min="2802" max="2802" width="0.7109375" style="6" customWidth="1"/>
    <col min="2803" max="2803" width="7.140625" style="6" customWidth="1"/>
    <col min="2804" max="2804" width="6.5703125" style="6" customWidth="1"/>
    <col min="2805" max="2805" width="0.7109375" style="6" customWidth="1"/>
    <col min="2806" max="2806" width="7.85546875" style="6" customWidth="1"/>
    <col min="2807" max="2807" width="10.5703125" style="6" customWidth="1"/>
    <col min="2808" max="2808" width="0.7109375" style="6" customWidth="1"/>
    <col min="2809" max="3050" width="11.42578125" style="6"/>
    <col min="3051" max="3051" width="0.7109375" style="6" customWidth="1"/>
    <col min="3052" max="3052" width="15.140625" style="6" customWidth="1"/>
    <col min="3053" max="3053" width="0.7109375" style="6" customWidth="1"/>
    <col min="3054" max="3054" width="56.140625" style="6" customWidth="1"/>
    <col min="3055" max="3055" width="0.7109375" style="6" customWidth="1"/>
    <col min="3056" max="3056" width="9.140625" style="6" customWidth="1"/>
    <col min="3057" max="3057" width="6" style="6" customWidth="1"/>
    <col min="3058" max="3058" width="0.7109375" style="6" customWidth="1"/>
    <col min="3059" max="3059" width="7.140625" style="6" customWidth="1"/>
    <col min="3060" max="3060" width="6.5703125" style="6" customWidth="1"/>
    <col min="3061" max="3061" width="0.7109375" style="6" customWidth="1"/>
    <col min="3062" max="3062" width="7.85546875" style="6" customWidth="1"/>
    <col min="3063" max="3063" width="10.5703125" style="6" customWidth="1"/>
    <col min="3064" max="3064" width="0.7109375" style="6" customWidth="1"/>
    <col min="3065" max="3306" width="11.42578125" style="6"/>
    <col min="3307" max="3307" width="0.7109375" style="6" customWidth="1"/>
    <col min="3308" max="3308" width="15.140625" style="6" customWidth="1"/>
    <col min="3309" max="3309" width="0.7109375" style="6" customWidth="1"/>
    <col min="3310" max="3310" width="56.140625" style="6" customWidth="1"/>
    <col min="3311" max="3311" width="0.7109375" style="6" customWidth="1"/>
    <col min="3312" max="3312" width="9.140625" style="6" customWidth="1"/>
    <col min="3313" max="3313" width="6" style="6" customWidth="1"/>
    <col min="3314" max="3314" width="0.7109375" style="6" customWidth="1"/>
    <col min="3315" max="3315" width="7.140625" style="6" customWidth="1"/>
    <col min="3316" max="3316" width="6.5703125" style="6" customWidth="1"/>
    <col min="3317" max="3317" width="0.7109375" style="6" customWidth="1"/>
    <col min="3318" max="3318" width="7.85546875" style="6" customWidth="1"/>
    <col min="3319" max="3319" width="10.5703125" style="6" customWidth="1"/>
    <col min="3320" max="3320" width="0.7109375" style="6" customWidth="1"/>
    <col min="3321" max="3562" width="11.42578125" style="6"/>
    <col min="3563" max="3563" width="0.7109375" style="6" customWidth="1"/>
    <col min="3564" max="3564" width="15.140625" style="6" customWidth="1"/>
    <col min="3565" max="3565" width="0.7109375" style="6" customWidth="1"/>
    <col min="3566" max="3566" width="56.140625" style="6" customWidth="1"/>
    <col min="3567" max="3567" width="0.7109375" style="6" customWidth="1"/>
    <col min="3568" max="3568" width="9.140625" style="6" customWidth="1"/>
    <col min="3569" max="3569" width="6" style="6" customWidth="1"/>
    <col min="3570" max="3570" width="0.7109375" style="6" customWidth="1"/>
    <col min="3571" max="3571" width="7.140625" style="6" customWidth="1"/>
    <col min="3572" max="3572" width="6.5703125" style="6" customWidth="1"/>
    <col min="3573" max="3573" width="0.7109375" style="6" customWidth="1"/>
    <col min="3574" max="3574" width="7.85546875" style="6" customWidth="1"/>
    <col min="3575" max="3575" width="10.5703125" style="6" customWidth="1"/>
    <col min="3576" max="3576" width="0.7109375" style="6" customWidth="1"/>
    <col min="3577" max="3818" width="11.42578125" style="6"/>
    <col min="3819" max="3819" width="0.7109375" style="6" customWidth="1"/>
    <col min="3820" max="3820" width="15.140625" style="6" customWidth="1"/>
    <col min="3821" max="3821" width="0.7109375" style="6" customWidth="1"/>
    <col min="3822" max="3822" width="56.140625" style="6" customWidth="1"/>
    <col min="3823" max="3823" width="0.7109375" style="6" customWidth="1"/>
    <col min="3824" max="3824" width="9.140625" style="6" customWidth="1"/>
    <col min="3825" max="3825" width="6" style="6" customWidth="1"/>
    <col min="3826" max="3826" width="0.7109375" style="6" customWidth="1"/>
    <col min="3827" max="3827" width="7.140625" style="6" customWidth="1"/>
    <col min="3828" max="3828" width="6.5703125" style="6" customWidth="1"/>
    <col min="3829" max="3829" width="0.7109375" style="6" customWidth="1"/>
    <col min="3830" max="3830" width="7.85546875" style="6" customWidth="1"/>
    <col min="3831" max="3831" width="10.5703125" style="6" customWidth="1"/>
    <col min="3832" max="3832" width="0.7109375" style="6" customWidth="1"/>
    <col min="3833" max="4074" width="11.42578125" style="6"/>
    <col min="4075" max="4075" width="0.7109375" style="6" customWidth="1"/>
    <col min="4076" max="4076" width="15.140625" style="6" customWidth="1"/>
    <col min="4077" max="4077" width="0.7109375" style="6" customWidth="1"/>
    <col min="4078" max="4078" width="56.140625" style="6" customWidth="1"/>
    <col min="4079" max="4079" width="0.7109375" style="6" customWidth="1"/>
    <col min="4080" max="4080" width="9.140625" style="6" customWidth="1"/>
    <col min="4081" max="4081" width="6" style="6" customWidth="1"/>
    <col min="4082" max="4082" width="0.7109375" style="6" customWidth="1"/>
    <col min="4083" max="4083" width="7.140625" style="6" customWidth="1"/>
    <col min="4084" max="4084" width="6.5703125" style="6" customWidth="1"/>
    <col min="4085" max="4085" width="0.7109375" style="6" customWidth="1"/>
    <col min="4086" max="4086" width="7.85546875" style="6" customWidth="1"/>
    <col min="4087" max="4087" width="10.5703125" style="6" customWidth="1"/>
    <col min="4088" max="4088" width="0.7109375" style="6" customWidth="1"/>
    <col min="4089" max="4330" width="11.42578125" style="6"/>
    <col min="4331" max="4331" width="0.7109375" style="6" customWidth="1"/>
    <col min="4332" max="4332" width="15.140625" style="6" customWidth="1"/>
    <col min="4333" max="4333" width="0.7109375" style="6" customWidth="1"/>
    <col min="4334" max="4334" width="56.140625" style="6" customWidth="1"/>
    <col min="4335" max="4335" width="0.7109375" style="6" customWidth="1"/>
    <col min="4336" max="4336" width="9.140625" style="6" customWidth="1"/>
    <col min="4337" max="4337" width="6" style="6" customWidth="1"/>
    <col min="4338" max="4338" width="0.7109375" style="6" customWidth="1"/>
    <col min="4339" max="4339" width="7.140625" style="6" customWidth="1"/>
    <col min="4340" max="4340" width="6.5703125" style="6" customWidth="1"/>
    <col min="4341" max="4341" width="0.7109375" style="6" customWidth="1"/>
    <col min="4342" max="4342" width="7.85546875" style="6" customWidth="1"/>
    <col min="4343" max="4343" width="10.5703125" style="6" customWidth="1"/>
    <col min="4344" max="4344" width="0.7109375" style="6" customWidth="1"/>
    <col min="4345" max="4586" width="11.42578125" style="6"/>
    <col min="4587" max="4587" width="0.7109375" style="6" customWidth="1"/>
    <col min="4588" max="4588" width="15.140625" style="6" customWidth="1"/>
    <col min="4589" max="4589" width="0.7109375" style="6" customWidth="1"/>
    <col min="4590" max="4590" width="56.140625" style="6" customWidth="1"/>
    <col min="4591" max="4591" width="0.7109375" style="6" customWidth="1"/>
    <col min="4592" max="4592" width="9.140625" style="6" customWidth="1"/>
    <col min="4593" max="4593" width="6" style="6" customWidth="1"/>
    <col min="4594" max="4594" width="0.7109375" style="6" customWidth="1"/>
    <col min="4595" max="4595" width="7.140625" style="6" customWidth="1"/>
    <col min="4596" max="4596" width="6.5703125" style="6" customWidth="1"/>
    <col min="4597" max="4597" width="0.7109375" style="6" customWidth="1"/>
    <col min="4598" max="4598" width="7.85546875" style="6" customWidth="1"/>
    <col min="4599" max="4599" width="10.5703125" style="6" customWidth="1"/>
    <col min="4600" max="4600" width="0.7109375" style="6" customWidth="1"/>
    <col min="4601" max="4842" width="11.42578125" style="6"/>
    <col min="4843" max="4843" width="0.7109375" style="6" customWidth="1"/>
    <col min="4844" max="4844" width="15.140625" style="6" customWidth="1"/>
    <col min="4845" max="4845" width="0.7109375" style="6" customWidth="1"/>
    <col min="4846" max="4846" width="56.140625" style="6" customWidth="1"/>
    <col min="4847" max="4847" width="0.7109375" style="6" customWidth="1"/>
    <col min="4848" max="4848" width="9.140625" style="6" customWidth="1"/>
    <col min="4849" max="4849" width="6" style="6" customWidth="1"/>
    <col min="4850" max="4850" width="0.7109375" style="6" customWidth="1"/>
    <col min="4851" max="4851" width="7.140625" style="6" customWidth="1"/>
    <col min="4852" max="4852" width="6.5703125" style="6" customWidth="1"/>
    <col min="4853" max="4853" width="0.7109375" style="6" customWidth="1"/>
    <col min="4854" max="4854" width="7.85546875" style="6" customWidth="1"/>
    <col min="4855" max="4855" width="10.5703125" style="6" customWidth="1"/>
    <col min="4856" max="4856" width="0.7109375" style="6" customWidth="1"/>
    <col min="4857" max="5098" width="11.42578125" style="6"/>
    <col min="5099" max="5099" width="0.7109375" style="6" customWidth="1"/>
    <col min="5100" max="5100" width="15.140625" style="6" customWidth="1"/>
    <col min="5101" max="5101" width="0.7109375" style="6" customWidth="1"/>
    <col min="5102" max="5102" width="56.140625" style="6" customWidth="1"/>
    <col min="5103" max="5103" width="0.7109375" style="6" customWidth="1"/>
    <col min="5104" max="5104" width="9.140625" style="6" customWidth="1"/>
    <col min="5105" max="5105" width="6" style="6" customWidth="1"/>
    <col min="5106" max="5106" width="0.7109375" style="6" customWidth="1"/>
    <col min="5107" max="5107" width="7.140625" style="6" customWidth="1"/>
    <col min="5108" max="5108" width="6.5703125" style="6" customWidth="1"/>
    <col min="5109" max="5109" width="0.7109375" style="6" customWidth="1"/>
    <col min="5110" max="5110" width="7.85546875" style="6" customWidth="1"/>
    <col min="5111" max="5111" width="10.5703125" style="6" customWidth="1"/>
    <col min="5112" max="5112" width="0.7109375" style="6" customWidth="1"/>
    <col min="5113" max="5354" width="11.42578125" style="6"/>
    <col min="5355" max="5355" width="0.7109375" style="6" customWidth="1"/>
    <col min="5356" max="5356" width="15.140625" style="6" customWidth="1"/>
    <col min="5357" max="5357" width="0.7109375" style="6" customWidth="1"/>
    <col min="5358" max="5358" width="56.140625" style="6" customWidth="1"/>
    <col min="5359" max="5359" width="0.7109375" style="6" customWidth="1"/>
    <col min="5360" max="5360" width="9.140625" style="6" customWidth="1"/>
    <col min="5361" max="5361" width="6" style="6" customWidth="1"/>
    <col min="5362" max="5362" width="0.7109375" style="6" customWidth="1"/>
    <col min="5363" max="5363" width="7.140625" style="6" customWidth="1"/>
    <col min="5364" max="5364" width="6.5703125" style="6" customWidth="1"/>
    <col min="5365" max="5365" width="0.7109375" style="6" customWidth="1"/>
    <col min="5366" max="5366" width="7.85546875" style="6" customWidth="1"/>
    <col min="5367" max="5367" width="10.5703125" style="6" customWidth="1"/>
    <col min="5368" max="5368" width="0.7109375" style="6" customWidth="1"/>
    <col min="5369" max="5610" width="11.42578125" style="6"/>
    <col min="5611" max="5611" width="0.7109375" style="6" customWidth="1"/>
    <col min="5612" max="5612" width="15.140625" style="6" customWidth="1"/>
    <col min="5613" max="5613" width="0.7109375" style="6" customWidth="1"/>
    <col min="5614" max="5614" width="56.140625" style="6" customWidth="1"/>
    <col min="5615" max="5615" width="0.7109375" style="6" customWidth="1"/>
    <col min="5616" max="5616" width="9.140625" style="6" customWidth="1"/>
    <col min="5617" max="5617" width="6" style="6" customWidth="1"/>
    <col min="5618" max="5618" width="0.7109375" style="6" customWidth="1"/>
    <col min="5619" max="5619" width="7.140625" style="6" customWidth="1"/>
    <col min="5620" max="5620" width="6.5703125" style="6" customWidth="1"/>
    <col min="5621" max="5621" width="0.7109375" style="6" customWidth="1"/>
    <col min="5622" max="5622" width="7.85546875" style="6" customWidth="1"/>
    <col min="5623" max="5623" width="10.5703125" style="6" customWidth="1"/>
    <col min="5624" max="5624" width="0.7109375" style="6" customWidth="1"/>
    <col min="5625" max="5866" width="11.42578125" style="6"/>
    <col min="5867" max="5867" width="0.7109375" style="6" customWidth="1"/>
    <col min="5868" max="5868" width="15.140625" style="6" customWidth="1"/>
    <col min="5869" max="5869" width="0.7109375" style="6" customWidth="1"/>
    <col min="5870" max="5870" width="56.140625" style="6" customWidth="1"/>
    <col min="5871" max="5871" width="0.7109375" style="6" customWidth="1"/>
    <col min="5872" max="5872" width="9.140625" style="6" customWidth="1"/>
    <col min="5873" max="5873" width="6" style="6" customWidth="1"/>
    <col min="5874" max="5874" width="0.7109375" style="6" customWidth="1"/>
    <col min="5875" max="5875" width="7.140625" style="6" customWidth="1"/>
    <col min="5876" max="5876" width="6.5703125" style="6" customWidth="1"/>
    <col min="5877" max="5877" width="0.7109375" style="6" customWidth="1"/>
    <col min="5878" max="5878" width="7.85546875" style="6" customWidth="1"/>
    <col min="5879" max="5879" width="10.5703125" style="6" customWidth="1"/>
    <col min="5880" max="5880" width="0.7109375" style="6" customWidth="1"/>
    <col min="5881" max="6122" width="11.42578125" style="6"/>
    <col min="6123" max="6123" width="0.7109375" style="6" customWidth="1"/>
    <col min="6124" max="6124" width="15.140625" style="6" customWidth="1"/>
    <col min="6125" max="6125" width="0.7109375" style="6" customWidth="1"/>
    <col min="6126" max="6126" width="56.140625" style="6" customWidth="1"/>
    <col min="6127" max="6127" width="0.7109375" style="6" customWidth="1"/>
    <col min="6128" max="6128" width="9.140625" style="6" customWidth="1"/>
    <col min="6129" max="6129" width="6" style="6" customWidth="1"/>
    <col min="6130" max="6130" width="0.7109375" style="6" customWidth="1"/>
    <col min="6131" max="6131" width="7.140625" style="6" customWidth="1"/>
    <col min="6132" max="6132" width="6.5703125" style="6" customWidth="1"/>
    <col min="6133" max="6133" width="0.7109375" style="6" customWidth="1"/>
    <col min="6134" max="6134" width="7.85546875" style="6" customWidth="1"/>
    <col min="6135" max="6135" width="10.5703125" style="6" customWidth="1"/>
    <col min="6136" max="6136" width="0.7109375" style="6" customWidth="1"/>
    <col min="6137" max="6378" width="11.42578125" style="6"/>
    <col min="6379" max="6379" width="0.7109375" style="6" customWidth="1"/>
    <col min="6380" max="6380" width="15.140625" style="6" customWidth="1"/>
    <col min="6381" max="6381" width="0.7109375" style="6" customWidth="1"/>
    <col min="6382" max="6382" width="56.140625" style="6" customWidth="1"/>
    <col min="6383" max="6383" width="0.7109375" style="6" customWidth="1"/>
    <col min="6384" max="6384" width="9.140625" style="6" customWidth="1"/>
    <col min="6385" max="6385" width="6" style="6" customWidth="1"/>
    <col min="6386" max="6386" width="0.7109375" style="6" customWidth="1"/>
    <col min="6387" max="6387" width="7.140625" style="6" customWidth="1"/>
    <col min="6388" max="6388" width="6.5703125" style="6" customWidth="1"/>
    <col min="6389" max="6389" width="0.7109375" style="6" customWidth="1"/>
    <col min="6390" max="6390" width="7.85546875" style="6" customWidth="1"/>
    <col min="6391" max="6391" width="10.5703125" style="6" customWidth="1"/>
    <col min="6392" max="6392" width="0.7109375" style="6" customWidth="1"/>
    <col min="6393" max="6634" width="11.42578125" style="6"/>
    <col min="6635" max="6635" width="0.7109375" style="6" customWidth="1"/>
    <col min="6636" max="6636" width="15.140625" style="6" customWidth="1"/>
    <col min="6637" max="6637" width="0.7109375" style="6" customWidth="1"/>
    <col min="6638" max="6638" width="56.140625" style="6" customWidth="1"/>
    <col min="6639" max="6639" width="0.7109375" style="6" customWidth="1"/>
    <col min="6640" max="6640" width="9.140625" style="6" customWidth="1"/>
    <col min="6641" max="6641" width="6" style="6" customWidth="1"/>
    <col min="6642" max="6642" width="0.7109375" style="6" customWidth="1"/>
    <col min="6643" max="6643" width="7.140625" style="6" customWidth="1"/>
    <col min="6644" max="6644" width="6.5703125" style="6" customWidth="1"/>
    <col min="6645" max="6645" width="0.7109375" style="6" customWidth="1"/>
    <col min="6646" max="6646" width="7.85546875" style="6" customWidth="1"/>
    <col min="6647" max="6647" width="10.5703125" style="6" customWidth="1"/>
    <col min="6648" max="6648" width="0.7109375" style="6" customWidth="1"/>
    <col min="6649" max="6890" width="11.42578125" style="6"/>
    <col min="6891" max="6891" width="0.7109375" style="6" customWidth="1"/>
    <col min="6892" max="6892" width="15.140625" style="6" customWidth="1"/>
    <col min="6893" max="6893" width="0.7109375" style="6" customWidth="1"/>
    <col min="6894" max="6894" width="56.140625" style="6" customWidth="1"/>
    <col min="6895" max="6895" width="0.7109375" style="6" customWidth="1"/>
    <col min="6896" max="6896" width="9.140625" style="6" customWidth="1"/>
    <col min="6897" max="6897" width="6" style="6" customWidth="1"/>
    <col min="6898" max="6898" width="0.7109375" style="6" customWidth="1"/>
    <col min="6899" max="6899" width="7.140625" style="6" customWidth="1"/>
    <col min="6900" max="6900" width="6.5703125" style="6" customWidth="1"/>
    <col min="6901" max="6901" width="0.7109375" style="6" customWidth="1"/>
    <col min="6902" max="6902" width="7.85546875" style="6" customWidth="1"/>
    <col min="6903" max="6903" width="10.5703125" style="6" customWidth="1"/>
    <col min="6904" max="6904" width="0.7109375" style="6" customWidth="1"/>
    <col min="6905" max="7146" width="11.42578125" style="6"/>
    <col min="7147" max="7147" width="0.7109375" style="6" customWidth="1"/>
    <col min="7148" max="7148" width="15.140625" style="6" customWidth="1"/>
    <col min="7149" max="7149" width="0.7109375" style="6" customWidth="1"/>
    <col min="7150" max="7150" width="56.140625" style="6" customWidth="1"/>
    <col min="7151" max="7151" width="0.7109375" style="6" customWidth="1"/>
    <col min="7152" max="7152" width="9.140625" style="6" customWidth="1"/>
    <col min="7153" max="7153" width="6" style="6" customWidth="1"/>
    <col min="7154" max="7154" width="0.7109375" style="6" customWidth="1"/>
    <col min="7155" max="7155" width="7.140625" style="6" customWidth="1"/>
    <col min="7156" max="7156" width="6.5703125" style="6" customWidth="1"/>
    <col min="7157" max="7157" width="0.7109375" style="6" customWidth="1"/>
    <col min="7158" max="7158" width="7.85546875" style="6" customWidth="1"/>
    <col min="7159" max="7159" width="10.5703125" style="6" customWidth="1"/>
    <col min="7160" max="7160" width="0.7109375" style="6" customWidth="1"/>
    <col min="7161" max="7402" width="11.42578125" style="6"/>
    <col min="7403" max="7403" width="0.7109375" style="6" customWidth="1"/>
    <col min="7404" max="7404" width="15.140625" style="6" customWidth="1"/>
    <col min="7405" max="7405" width="0.7109375" style="6" customWidth="1"/>
    <col min="7406" max="7406" width="56.140625" style="6" customWidth="1"/>
    <col min="7407" max="7407" width="0.7109375" style="6" customWidth="1"/>
    <col min="7408" max="7408" width="9.140625" style="6" customWidth="1"/>
    <col min="7409" max="7409" width="6" style="6" customWidth="1"/>
    <col min="7410" max="7410" width="0.7109375" style="6" customWidth="1"/>
    <col min="7411" max="7411" width="7.140625" style="6" customWidth="1"/>
    <col min="7412" max="7412" width="6.5703125" style="6" customWidth="1"/>
    <col min="7413" max="7413" width="0.7109375" style="6" customWidth="1"/>
    <col min="7414" max="7414" width="7.85546875" style="6" customWidth="1"/>
    <col min="7415" max="7415" width="10.5703125" style="6" customWidth="1"/>
    <col min="7416" max="7416" width="0.7109375" style="6" customWidth="1"/>
    <col min="7417" max="7658" width="11.42578125" style="6"/>
    <col min="7659" max="7659" width="0.7109375" style="6" customWidth="1"/>
    <col min="7660" max="7660" width="15.140625" style="6" customWidth="1"/>
    <col min="7661" max="7661" width="0.7109375" style="6" customWidth="1"/>
    <col min="7662" max="7662" width="56.140625" style="6" customWidth="1"/>
    <col min="7663" max="7663" width="0.7109375" style="6" customWidth="1"/>
    <col min="7664" max="7664" width="9.140625" style="6" customWidth="1"/>
    <col min="7665" max="7665" width="6" style="6" customWidth="1"/>
    <col min="7666" max="7666" width="0.7109375" style="6" customWidth="1"/>
    <col min="7667" max="7667" width="7.140625" style="6" customWidth="1"/>
    <col min="7668" max="7668" width="6.5703125" style="6" customWidth="1"/>
    <col min="7669" max="7669" width="0.7109375" style="6" customWidth="1"/>
    <col min="7670" max="7670" width="7.85546875" style="6" customWidth="1"/>
    <col min="7671" max="7671" width="10.5703125" style="6" customWidth="1"/>
    <col min="7672" max="7672" width="0.7109375" style="6" customWidth="1"/>
    <col min="7673" max="7914" width="11.42578125" style="6"/>
    <col min="7915" max="7915" width="0.7109375" style="6" customWidth="1"/>
    <col min="7916" max="7916" width="15.140625" style="6" customWidth="1"/>
    <col min="7917" max="7917" width="0.7109375" style="6" customWidth="1"/>
    <col min="7918" max="7918" width="56.140625" style="6" customWidth="1"/>
    <col min="7919" max="7919" width="0.7109375" style="6" customWidth="1"/>
    <col min="7920" max="7920" width="9.140625" style="6" customWidth="1"/>
    <col min="7921" max="7921" width="6" style="6" customWidth="1"/>
    <col min="7922" max="7922" width="0.7109375" style="6" customWidth="1"/>
    <col min="7923" max="7923" width="7.140625" style="6" customWidth="1"/>
    <col min="7924" max="7924" width="6.5703125" style="6" customWidth="1"/>
    <col min="7925" max="7925" width="0.7109375" style="6" customWidth="1"/>
    <col min="7926" max="7926" width="7.85546875" style="6" customWidth="1"/>
    <col min="7927" max="7927" width="10.5703125" style="6" customWidth="1"/>
    <col min="7928" max="7928" width="0.7109375" style="6" customWidth="1"/>
    <col min="7929" max="8170" width="11.42578125" style="6"/>
    <col min="8171" max="8171" width="0.7109375" style="6" customWidth="1"/>
    <col min="8172" max="8172" width="15.140625" style="6" customWidth="1"/>
    <col min="8173" max="8173" width="0.7109375" style="6" customWidth="1"/>
    <col min="8174" max="8174" width="56.140625" style="6" customWidth="1"/>
    <col min="8175" max="8175" width="0.7109375" style="6" customWidth="1"/>
    <col min="8176" max="8176" width="9.140625" style="6" customWidth="1"/>
    <col min="8177" max="8177" width="6" style="6" customWidth="1"/>
    <col min="8178" max="8178" width="0.7109375" style="6" customWidth="1"/>
    <col min="8179" max="8179" width="7.140625" style="6" customWidth="1"/>
    <col min="8180" max="8180" width="6.5703125" style="6" customWidth="1"/>
    <col min="8181" max="8181" width="0.7109375" style="6" customWidth="1"/>
    <col min="8182" max="8182" width="7.85546875" style="6" customWidth="1"/>
    <col min="8183" max="8183" width="10.5703125" style="6" customWidth="1"/>
    <col min="8184" max="8184" width="0.7109375" style="6" customWidth="1"/>
    <col min="8185" max="8426" width="11.42578125" style="6"/>
    <col min="8427" max="8427" width="0.7109375" style="6" customWidth="1"/>
    <col min="8428" max="8428" width="15.140625" style="6" customWidth="1"/>
    <col min="8429" max="8429" width="0.7109375" style="6" customWidth="1"/>
    <col min="8430" max="8430" width="56.140625" style="6" customWidth="1"/>
    <col min="8431" max="8431" width="0.7109375" style="6" customWidth="1"/>
    <col min="8432" max="8432" width="9.140625" style="6" customWidth="1"/>
    <col min="8433" max="8433" width="6" style="6" customWidth="1"/>
    <col min="8434" max="8434" width="0.7109375" style="6" customWidth="1"/>
    <col min="8435" max="8435" width="7.140625" style="6" customWidth="1"/>
    <col min="8436" max="8436" width="6.5703125" style="6" customWidth="1"/>
    <col min="8437" max="8437" width="0.7109375" style="6" customWidth="1"/>
    <col min="8438" max="8438" width="7.85546875" style="6" customWidth="1"/>
    <col min="8439" max="8439" width="10.5703125" style="6" customWidth="1"/>
    <col min="8440" max="8440" width="0.7109375" style="6" customWidth="1"/>
    <col min="8441" max="8682" width="11.42578125" style="6"/>
    <col min="8683" max="8683" width="0.7109375" style="6" customWidth="1"/>
    <col min="8684" max="8684" width="15.140625" style="6" customWidth="1"/>
    <col min="8685" max="8685" width="0.7109375" style="6" customWidth="1"/>
    <col min="8686" max="8686" width="56.140625" style="6" customWidth="1"/>
    <col min="8687" max="8687" width="0.7109375" style="6" customWidth="1"/>
    <col min="8688" max="8688" width="9.140625" style="6" customWidth="1"/>
    <col min="8689" max="8689" width="6" style="6" customWidth="1"/>
    <col min="8690" max="8690" width="0.7109375" style="6" customWidth="1"/>
    <col min="8691" max="8691" width="7.140625" style="6" customWidth="1"/>
    <col min="8692" max="8692" width="6.5703125" style="6" customWidth="1"/>
    <col min="8693" max="8693" width="0.7109375" style="6" customWidth="1"/>
    <col min="8694" max="8694" width="7.85546875" style="6" customWidth="1"/>
    <col min="8695" max="8695" width="10.5703125" style="6" customWidth="1"/>
    <col min="8696" max="8696" width="0.7109375" style="6" customWidth="1"/>
    <col min="8697" max="8938" width="11.42578125" style="6"/>
    <col min="8939" max="8939" width="0.7109375" style="6" customWidth="1"/>
    <col min="8940" max="8940" width="15.140625" style="6" customWidth="1"/>
    <col min="8941" max="8941" width="0.7109375" style="6" customWidth="1"/>
    <col min="8942" max="8942" width="56.140625" style="6" customWidth="1"/>
    <col min="8943" max="8943" width="0.7109375" style="6" customWidth="1"/>
    <col min="8944" max="8944" width="9.140625" style="6" customWidth="1"/>
    <col min="8945" max="8945" width="6" style="6" customWidth="1"/>
    <col min="8946" max="8946" width="0.7109375" style="6" customWidth="1"/>
    <col min="8947" max="8947" width="7.140625" style="6" customWidth="1"/>
    <col min="8948" max="8948" width="6.5703125" style="6" customWidth="1"/>
    <col min="8949" max="8949" width="0.7109375" style="6" customWidth="1"/>
    <col min="8950" max="8950" width="7.85546875" style="6" customWidth="1"/>
    <col min="8951" max="8951" width="10.5703125" style="6" customWidth="1"/>
    <col min="8952" max="8952" width="0.7109375" style="6" customWidth="1"/>
    <col min="8953" max="9194" width="11.42578125" style="6"/>
    <col min="9195" max="9195" width="0.7109375" style="6" customWidth="1"/>
    <col min="9196" max="9196" width="15.140625" style="6" customWidth="1"/>
    <col min="9197" max="9197" width="0.7109375" style="6" customWidth="1"/>
    <col min="9198" max="9198" width="56.140625" style="6" customWidth="1"/>
    <col min="9199" max="9199" width="0.7109375" style="6" customWidth="1"/>
    <col min="9200" max="9200" width="9.140625" style="6" customWidth="1"/>
    <col min="9201" max="9201" width="6" style="6" customWidth="1"/>
    <col min="9202" max="9202" width="0.7109375" style="6" customWidth="1"/>
    <col min="9203" max="9203" width="7.140625" style="6" customWidth="1"/>
    <col min="9204" max="9204" width="6.5703125" style="6" customWidth="1"/>
    <col min="9205" max="9205" width="0.7109375" style="6" customWidth="1"/>
    <col min="9206" max="9206" width="7.85546875" style="6" customWidth="1"/>
    <col min="9207" max="9207" width="10.5703125" style="6" customWidth="1"/>
    <col min="9208" max="9208" width="0.7109375" style="6" customWidth="1"/>
    <col min="9209" max="9450" width="11.42578125" style="6"/>
    <col min="9451" max="9451" width="0.7109375" style="6" customWidth="1"/>
    <col min="9452" max="9452" width="15.140625" style="6" customWidth="1"/>
    <col min="9453" max="9453" width="0.7109375" style="6" customWidth="1"/>
    <col min="9454" max="9454" width="56.140625" style="6" customWidth="1"/>
    <col min="9455" max="9455" width="0.7109375" style="6" customWidth="1"/>
    <col min="9456" max="9456" width="9.140625" style="6" customWidth="1"/>
    <col min="9457" max="9457" width="6" style="6" customWidth="1"/>
    <col min="9458" max="9458" width="0.7109375" style="6" customWidth="1"/>
    <col min="9459" max="9459" width="7.140625" style="6" customWidth="1"/>
    <col min="9460" max="9460" width="6.5703125" style="6" customWidth="1"/>
    <col min="9461" max="9461" width="0.7109375" style="6" customWidth="1"/>
    <col min="9462" max="9462" width="7.85546875" style="6" customWidth="1"/>
    <col min="9463" max="9463" width="10.5703125" style="6" customWidth="1"/>
    <col min="9464" max="9464" width="0.7109375" style="6" customWidth="1"/>
    <col min="9465" max="9706" width="11.42578125" style="6"/>
    <col min="9707" max="9707" width="0.7109375" style="6" customWidth="1"/>
    <col min="9708" max="9708" width="15.140625" style="6" customWidth="1"/>
    <col min="9709" max="9709" width="0.7109375" style="6" customWidth="1"/>
    <col min="9710" max="9710" width="56.140625" style="6" customWidth="1"/>
    <col min="9711" max="9711" width="0.7109375" style="6" customWidth="1"/>
    <col min="9712" max="9712" width="9.140625" style="6" customWidth="1"/>
    <col min="9713" max="9713" width="6" style="6" customWidth="1"/>
    <col min="9714" max="9714" width="0.7109375" style="6" customWidth="1"/>
    <col min="9715" max="9715" width="7.140625" style="6" customWidth="1"/>
    <col min="9716" max="9716" width="6.5703125" style="6" customWidth="1"/>
    <col min="9717" max="9717" width="0.7109375" style="6" customWidth="1"/>
    <col min="9718" max="9718" width="7.85546875" style="6" customWidth="1"/>
    <col min="9719" max="9719" width="10.5703125" style="6" customWidth="1"/>
    <col min="9720" max="9720" width="0.7109375" style="6" customWidth="1"/>
    <col min="9721" max="9962" width="11.42578125" style="6"/>
    <col min="9963" max="9963" width="0.7109375" style="6" customWidth="1"/>
    <col min="9964" max="9964" width="15.140625" style="6" customWidth="1"/>
    <col min="9965" max="9965" width="0.7109375" style="6" customWidth="1"/>
    <col min="9966" max="9966" width="56.140625" style="6" customWidth="1"/>
    <col min="9967" max="9967" width="0.7109375" style="6" customWidth="1"/>
    <col min="9968" max="9968" width="9.140625" style="6" customWidth="1"/>
    <col min="9969" max="9969" width="6" style="6" customWidth="1"/>
    <col min="9970" max="9970" width="0.7109375" style="6" customWidth="1"/>
    <col min="9971" max="9971" width="7.140625" style="6" customWidth="1"/>
    <col min="9972" max="9972" width="6.5703125" style="6" customWidth="1"/>
    <col min="9973" max="9973" width="0.7109375" style="6" customWidth="1"/>
    <col min="9974" max="9974" width="7.85546875" style="6" customWidth="1"/>
    <col min="9975" max="9975" width="10.5703125" style="6" customWidth="1"/>
    <col min="9976" max="9976" width="0.7109375" style="6" customWidth="1"/>
    <col min="9977" max="10218" width="11.42578125" style="6"/>
    <col min="10219" max="10219" width="0.7109375" style="6" customWidth="1"/>
    <col min="10220" max="10220" width="15.140625" style="6" customWidth="1"/>
    <col min="10221" max="10221" width="0.7109375" style="6" customWidth="1"/>
    <col min="10222" max="10222" width="56.140625" style="6" customWidth="1"/>
    <col min="10223" max="10223" width="0.7109375" style="6" customWidth="1"/>
    <col min="10224" max="10224" width="9.140625" style="6" customWidth="1"/>
    <col min="10225" max="10225" width="6" style="6" customWidth="1"/>
    <col min="10226" max="10226" width="0.7109375" style="6" customWidth="1"/>
    <col min="10227" max="10227" width="7.140625" style="6" customWidth="1"/>
    <col min="10228" max="10228" width="6.5703125" style="6" customWidth="1"/>
    <col min="10229" max="10229" width="0.7109375" style="6" customWidth="1"/>
    <col min="10230" max="10230" width="7.85546875" style="6" customWidth="1"/>
    <col min="10231" max="10231" width="10.5703125" style="6" customWidth="1"/>
    <col min="10232" max="10232" width="0.7109375" style="6" customWidth="1"/>
    <col min="10233" max="10474" width="11.42578125" style="6"/>
    <col min="10475" max="10475" width="0.7109375" style="6" customWidth="1"/>
    <col min="10476" max="10476" width="15.140625" style="6" customWidth="1"/>
    <col min="10477" max="10477" width="0.7109375" style="6" customWidth="1"/>
    <col min="10478" max="10478" width="56.140625" style="6" customWidth="1"/>
    <col min="10479" max="10479" width="0.7109375" style="6" customWidth="1"/>
    <col min="10480" max="10480" width="9.140625" style="6" customWidth="1"/>
    <col min="10481" max="10481" width="6" style="6" customWidth="1"/>
    <col min="10482" max="10482" width="0.7109375" style="6" customWidth="1"/>
    <col min="10483" max="10483" width="7.140625" style="6" customWidth="1"/>
    <col min="10484" max="10484" width="6.5703125" style="6" customWidth="1"/>
    <col min="10485" max="10485" width="0.7109375" style="6" customWidth="1"/>
    <col min="10486" max="10486" width="7.85546875" style="6" customWidth="1"/>
    <col min="10487" max="10487" width="10.5703125" style="6" customWidth="1"/>
    <col min="10488" max="10488" width="0.7109375" style="6" customWidth="1"/>
    <col min="10489" max="10730" width="11.42578125" style="6"/>
    <col min="10731" max="10731" width="0.7109375" style="6" customWidth="1"/>
    <col min="10732" max="10732" width="15.140625" style="6" customWidth="1"/>
    <col min="10733" max="10733" width="0.7109375" style="6" customWidth="1"/>
    <col min="10734" max="10734" width="56.140625" style="6" customWidth="1"/>
    <col min="10735" max="10735" width="0.7109375" style="6" customWidth="1"/>
    <col min="10736" max="10736" width="9.140625" style="6" customWidth="1"/>
    <col min="10737" max="10737" width="6" style="6" customWidth="1"/>
    <col min="10738" max="10738" width="0.7109375" style="6" customWidth="1"/>
    <col min="10739" max="10739" width="7.140625" style="6" customWidth="1"/>
    <col min="10740" max="10740" width="6.5703125" style="6" customWidth="1"/>
    <col min="10741" max="10741" width="0.7109375" style="6" customWidth="1"/>
    <col min="10742" max="10742" width="7.85546875" style="6" customWidth="1"/>
    <col min="10743" max="10743" width="10.5703125" style="6" customWidth="1"/>
    <col min="10744" max="10744" width="0.7109375" style="6" customWidth="1"/>
    <col min="10745" max="10986" width="11.42578125" style="6"/>
    <col min="10987" max="10987" width="0.7109375" style="6" customWidth="1"/>
    <col min="10988" max="10988" width="15.140625" style="6" customWidth="1"/>
    <col min="10989" max="10989" width="0.7109375" style="6" customWidth="1"/>
    <col min="10990" max="10990" width="56.140625" style="6" customWidth="1"/>
    <col min="10991" max="10991" width="0.7109375" style="6" customWidth="1"/>
    <col min="10992" max="10992" width="9.140625" style="6" customWidth="1"/>
    <col min="10993" max="10993" width="6" style="6" customWidth="1"/>
    <col min="10994" max="10994" width="0.7109375" style="6" customWidth="1"/>
    <col min="10995" max="10995" width="7.140625" style="6" customWidth="1"/>
    <col min="10996" max="10996" width="6.5703125" style="6" customWidth="1"/>
    <col min="10997" max="10997" width="0.7109375" style="6" customWidth="1"/>
    <col min="10998" max="10998" width="7.85546875" style="6" customWidth="1"/>
    <col min="10999" max="10999" width="10.5703125" style="6" customWidth="1"/>
    <col min="11000" max="11000" width="0.7109375" style="6" customWidth="1"/>
    <col min="11001" max="11242" width="11.42578125" style="6"/>
    <col min="11243" max="11243" width="0.7109375" style="6" customWidth="1"/>
    <col min="11244" max="11244" width="15.140625" style="6" customWidth="1"/>
    <col min="11245" max="11245" width="0.7109375" style="6" customWidth="1"/>
    <col min="11246" max="11246" width="56.140625" style="6" customWidth="1"/>
    <col min="11247" max="11247" width="0.7109375" style="6" customWidth="1"/>
    <col min="11248" max="11248" width="9.140625" style="6" customWidth="1"/>
    <col min="11249" max="11249" width="6" style="6" customWidth="1"/>
    <col min="11250" max="11250" width="0.7109375" style="6" customWidth="1"/>
    <col min="11251" max="11251" width="7.140625" style="6" customWidth="1"/>
    <col min="11252" max="11252" width="6.5703125" style="6" customWidth="1"/>
    <col min="11253" max="11253" width="0.7109375" style="6" customWidth="1"/>
    <col min="11254" max="11254" width="7.85546875" style="6" customWidth="1"/>
    <col min="11255" max="11255" width="10.5703125" style="6" customWidth="1"/>
    <col min="11256" max="11256" width="0.7109375" style="6" customWidth="1"/>
    <col min="11257" max="11498" width="11.42578125" style="6"/>
    <col min="11499" max="11499" width="0.7109375" style="6" customWidth="1"/>
    <col min="11500" max="11500" width="15.140625" style="6" customWidth="1"/>
    <col min="11501" max="11501" width="0.7109375" style="6" customWidth="1"/>
    <col min="11502" max="11502" width="56.140625" style="6" customWidth="1"/>
    <col min="11503" max="11503" width="0.7109375" style="6" customWidth="1"/>
    <col min="11504" max="11504" width="9.140625" style="6" customWidth="1"/>
    <col min="11505" max="11505" width="6" style="6" customWidth="1"/>
    <col min="11506" max="11506" width="0.7109375" style="6" customWidth="1"/>
    <col min="11507" max="11507" width="7.140625" style="6" customWidth="1"/>
    <col min="11508" max="11508" width="6.5703125" style="6" customWidth="1"/>
    <col min="11509" max="11509" width="0.7109375" style="6" customWidth="1"/>
    <col min="11510" max="11510" width="7.85546875" style="6" customWidth="1"/>
    <col min="11511" max="11511" width="10.5703125" style="6" customWidth="1"/>
    <col min="11512" max="11512" width="0.7109375" style="6" customWidth="1"/>
    <col min="11513" max="11754" width="11.42578125" style="6"/>
    <col min="11755" max="11755" width="0.7109375" style="6" customWidth="1"/>
    <col min="11756" max="11756" width="15.140625" style="6" customWidth="1"/>
    <col min="11757" max="11757" width="0.7109375" style="6" customWidth="1"/>
    <col min="11758" max="11758" width="56.140625" style="6" customWidth="1"/>
    <col min="11759" max="11759" width="0.7109375" style="6" customWidth="1"/>
    <col min="11760" max="11760" width="9.140625" style="6" customWidth="1"/>
    <col min="11761" max="11761" width="6" style="6" customWidth="1"/>
    <col min="11762" max="11762" width="0.7109375" style="6" customWidth="1"/>
    <col min="11763" max="11763" width="7.140625" style="6" customWidth="1"/>
    <col min="11764" max="11764" width="6.5703125" style="6" customWidth="1"/>
    <col min="11765" max="11765" width="0.7109375" style="6" customWidth="1"/>
    <col min="11766" max="11766" width="7.85546875" style="6" customWidth="1"/>
    <col min="11767" max="11767" width="10.5703125" style="6" customWidth="1"/>
    <col min="11768" max="11768" width="0.7109375" style="6" customWidth="1"/>
    <col min="11769" max="12010" width="11.42578125" style="6"/>
    <col min="12011" max="12011" width="0.7109375" style="6" customWidth="1"/>
    <col min="12012" max="12012" width="15.140625" style="6" customWidth="1"/>
    <col min="12013" max="12013" width="0.7109375" style="6" customWidth="1"/>
    <col min="12014" max="12014" width="56.140625" style="6" customWidth="1"/>
    <col min="12015" max="12015" width="0.7109375" style="6" customWidth="1"/>
    <col min="12016" max="12016" width="9.140625" style="6" customWidth="1"/>
    <col min="12017" max="12017" width="6" style="6" customWidth="1"/>
    <col min="12018" max="12018" width="0.7109375" style="6" customWidth="1"/>
    <col min="12019" max="12019" width="7.140625" style="6" customWidth="1"/>
    <col min="12020" max="12020" width="6.5703125" style="6" customWidth="1"/>
    <col min="12021" max="12021" width="0.7109375" style="6" customWidth="1"/>
    <col min="12022" max="12022" width="7.85546875" style="6" customWidth="1"/>
    <col min="12023" max="12023" width="10.5703125" style="6" customWidth="1"/>
    <col min="12024" max="12024" width="0.7109375" style="6" customWidth="1"/>
    <col min="12025" max="12266" width="11.42578125" style="6"/>
    <col min="12267" max="12267" width="0.7109375" style="6" customWidth="1"/>
    <col min="12268" max="12268" width="15.140625" style="6" customWidth="1"/>
    <col min="12269" max="12269" width="0.7109375" style="6" customWidth="1"/>
    <col min="12270" max="12270" width="56.140625" style="6" customWidth="1"/>
    <col min="12271" max="12271" width="0.7109375" style="6" customWidth="1"/>
    <col min="12272" max="12272" width="9.140625" style="6" customWidth="1"/>
    <col min="12273" max="12273" width="6" style="6" customWidth="1"/>
    <col min="12274" max="12274" width="0.7109375" style="6" customWidth="1"/>
    <col min="12275" max="12275" width="7.140625" style="6" customWidth="1"/>
    <col min="12276" max="12276" width="6.5703125" style="6" customWidth="1"/>
    <col min="12277" max="12277" width="0.7109375" style="6" customWidth="1"/>
    <col min="12278" max="12278" width="7.85546875" style="6" customWidth="1"/>
    <col min="12279" max="12279" width="10.5703125" style="6" customWidth="1"/>
    <col min="12280" max="12280" width="0.7109375" style="6" customWidth="1"/>
    <col min="12281" max="12522" width="11.42578125" style="6"/>
    <col min="12523" max="12523" width="0.7109375" style="6" customWidth="1"/>
    <col min="12524" max="12524" width="15.140625" style="6" customWidth="1"/>
    <col min="12525" max="12525" width="0.7109375" style="6" customWidth="1"/>
    <col min="12526" max="12526" width="56.140625" style="6" customWidth="1"/>
    <col min="12527" max="12527" width="0.7109375" style="6" customWidth="1"/>
    <col min="12528" max="12528" width="9.140625" style="6" customWidth="1"/>
    <col min="12529" max="12529" width="6" style="6" customWidth="1"/>
    <col min="12530" max="12530" width="0.7109375" style="6" customWidth="1"/>
    <col min="12531" max="12531" width="7.140625" style="6" customWidth="1"/>
    <col min="12532" max="12532" width="6.5703125" style="6" customWidth="1"/>
    <col min="12533" max="12533" width="0.7109375" style="6" customWidth="1"/>
    <col min="12534" max="12534" width="7.85546875" style="6" customWidth="1"/>
    <col min="12535" max="12535" width="10.5703125" style="6" customWidth="1"/>
    <col min="12536" max="12536" width="0.7109375" style="6" customWidth="1"/>
    <col min="12537" max="12778" width="11.42578125" style="6"/>
    <col min="12779" max="12779" width="0.7109375" style="6" customWidth="1"/>
    <col min="12780" max="12780" width="15.140625" style="6" customWidth="1"/>
    <col min="12781" max="12781" width="0.7109375" style="6" customWidth="1"/>
    <col min="12782" max="12782" width="56.140625" style="6" customWidth="1"/>
    <col min="12783" max="12783" width="0.7109375" style="6" customWidth="1"/>
    <col min="12784" max="12784" width="9.140625" style="6" customWidth="1"/>
    <col min="12785" max="12785" width="6" style="6" customWidth="1"/>
    <col min="12786" max="12786" width="0.7109375" style="6" customWidth="1"/>
    <col min="12787" max="12787" width="7.140625" style="6" customWidth="1"/>
    <col min="12788" max="12788" width="6.5703125" style="6" customWidth="1"/>
    <col min="12789" max="12789" width="0.7109375" style="6" customWidth="1"/>
    <col min="12790" max="12790" width="7.85546875" style="6" customWidth="1"/>
    <col min="12791" max="12791" width="10.5703125" style="6" customWidth="1"/>
    <col min="12792" max="12792" width="0.7109375" style="6" customWidth="1"/>
    <col min="12793" max="13034" width="11.42578125" style="6"/>
    <col min="13035" max="13035" width="0.7109375" style="6" customWidth="1"/>
    <col min="13036" max="13036" width="15.140625" style="6" customWidth="1"/>
    <col min="13037" max="13037" width="0.7109375" style="6" customWidth="1"/>
    <col min="13038" max="13038" width="56.140625" style="6" customWidth="1"/>
    <col min="13039" max="13039" width="0.7109375" style="6" customWidth="1"/>
    <col min="13040" max="13040" width="9.140625" style="6" customWidth="1"/>
    <col min="13041" max="13041" width="6" style="6" customWidth="1"/>
    <col min="13042" max="13042" width="0.7109375" style="6" customWidth="1"/>
    <col min="13043" max="13043" width="7.140625" style="6" customWidth="1"/>
    <col min="13044" max="13044" width="6.5703125" style="6" customWidth="1"/>
    <col min="13045" max="13045" width="0.7109375" style="6" customWidth="1"/>
    <col min="13046" max="13046" width="7.85546875" style="6" customWidth="1"/>
    <col min="13047" max="13047" width="10.5703125" style="6" customWidth="1"/>
    <col min="13048" max="13048" width="0.7109375" style="6" customWidth="1"/>
    <col min="13049" max="13290" width="11.42578125" style="6"/>
    <col min="13291" max="13291" width="0.7109375" style="6" customWidth="1"/>
    <col min="13292" max="13292" width="15.140625" style="6" customWidth="1"/>
    <col min="13293" max="13293" width="0.7109375" style="6" customWidth="1"/>
    <col min="13294" max="13294" width="56.140625" style="6" customWidth="1"/>
    <col min="13295" max="13295" width="0.7109375" style="6" customWidth="1"/>
    <col min="13296" max="13296" width="9.140625" style="6" customWidth="1"/>
    <col min="13297" max="13297" width="6" style="6" customWidth="1"/>
    <col min="13298" max="13298" width="0.7109375" style="6" customWidth="1"/>
    <col min="13299" max="13299" width="7.140625" style="6" customWidth="1"/>
    <col min="13300" max="13300" width="6.5703125" style="6" customWidth="1"/>
    <col min="13301" max="13301" width="0.7109375" style="6" customWidth="1"/>
    <col min="13302" max="13302" width="7.85546875" style="6" customWidth="1"/>
    <col min="13303" max="13303" width="10.5703125" style="6" customWidth="1"/>
    <col min="13304" max="13304" width="0.7109375" style="6" customWidth="1"/>
    <col min="13305" max="13546" width="11.42578125" style="6"/>
    <col min="13547" max="13547" width="0.7109375" style="6" customWidth="1"/>
    <col min="13548" max="13548" width="15.140625" style="6" customWidth="1"/>
    <col min="13549" max="13549" width="0.7109375" style="6" customWidth="1"/>
    <col min="13550" max="13550" width="56.140625" style="6" customWidth="1"/>
    <col min="13551" max="13551" width="0.7109375" style="6" customWidth="1"/>
    <col min="13552" max="13552" width="9.140625" style="6" customWidth="1"/>
    <col min="13553" max="13553" width="6" style="6" customWidth="1"/>
    <col min="13554" max="13554" width="0.7109375" style="6" customWidth="1"/>
    <col min="13555" max="13555" width="7.140625" style="6" customWidth="1"/>
    <col min="13556" max="13556" width="6.5703125" style="6" customWidth="1"/>
    <col min="13557" max="13557" width="0.7109375" style="6" customWidth="1"/>
    <col min="13558" max="13558" width="7.85546875" style="6" customWidth="1"/>
    <col min="13559" max="13559" width="10.5703125" style="6" customWidth="1"/>
    <col min="13560" max="13560" width="0.7109375" style="6" customWidth="1"/>
    <col min="13561" max="16384" width="11.42578125" style="6"/>
  </cols>
  <sheetData>
    <row r="1" spans="1:10" ht="19.5" customHeight="1" x14ac:dyDescent="0.25">
      <c r="A1" s="1" t="s">
        <v>0</v>
      </c>
      <c r="B1" s="2" t="s">
        <v>220</v>
      </c>
      <c r="C1" s="55"/>
      <c r="D1" s="4"/>
      <c r="E1" s="4"/>
      <c r="F1" s="4"/>
      <c r="G1" s="5"/>
      <c r="J1" s="7" t="s">
        <v>1</v>
      </c>
    </row>
    <row r="2" spans="1:10" ht="19.5" customHeight="1" x14ac:dyDescent="0.25">
      <c r="A2" s="8" t="s">
        <v>2</v>
      </c>
      <c r="B2" s="9" t="s">
        <v>226</v>
      </c>
      <c r="C2" s="56"/>
      <c r="D2" s="11"/>
      <c r="E2" s="11"/>
      <c r="F2" s="11"/>
      <c r="G2" s="12"/>
      <c r="J2" s="13" t="s">
        <v>4</v>
      </c>
    </row>
    <row r="3" spans="1:10" ht="19.5" customHeight="1" x14ac:dyDescent="0.25">
      <c r="A3" s="8" t="s">
        <v>5</v>
      </c>
      <c r="B3" s="9" t="s">
        <v>231</v>
      </c>
      <c r="C3" s="56"/>
      <c r="D3" s="11"/>
      <c r="E3" s="11"/>
      <c r="F3" s="11"/>
      <c r="G3" s="12"/>
      <c r="J3" s="7" t="s">
        <v>6</v>
      </c>
    </row>
    <row r="4" spans="1:10" ht="19.5" customHeight="1" x14ac:dyDescent="0.25">
      <c r="A4" s="14" t="s">
        <v>7</v>
      </c>
      <c r="B4" s="15">
        <v>0</v>
      </c>
      <c r="C4" s="57"/>
      <c r="D4" s="17"/>
      <c r="E4" s="17"/>
      <c r="F4" s="17"/>
      <c r="G4" s="58"/>
      <c r="J4" s="7" t="s">
        <v>8</v>
      </c>
    </row>
    <row r="5" spans="1:10" ht="30" customHeight="1" x14ac:dyDescent="0.25">
      <c r="A5" s="1192" t="s">
        <v>2879</v>
      </c>
      <c r="B5" s="1193"/>
      <c r="C5" s="1193"/>
      <c r="D5" s="1193"/>
      <c r="E5" s="1193"/>
      <c r="F5" s="1193"/>
      <c r="G5" s="1194"/>
      <c r="J5" s="7" t="s">
        <v>9</v>
      </c>
    </row>
    <row r="6" spans="1:10" ht="18" customHeight="1" x14ac:dyDescent="0.25">
      <c r="A6" s="91" t="s">
        <v>10</v>
      </c>
      <c r="B6" s="60" t="s">
        <v>11</v>
      </c>
      <c r="C6" s="1214" t="s">
        <v>63</v>
      </c>
      <c r="D6" s="1214"/>
      <c r="E6" s="1215"/>
      <c r="F6" s="60" t="s">
        <v>12</v>
      </c>
      <c r="G6" s="61"/>
      <c r="J6" s="7" t="s">
        <v>13</v>
      </c>
    </row>
    <row r="7" spans="1:10" ht="24.95" customHeight="1" x14ac:dyDescent="0.25">
      <c r="A7" s="24" t="s">
        <v>64</v>
      </c>
      <c r="B7" s="25"/>
      <c r="C7" s="1216"/>
      <c r="D7" s="1216"/>
      <c r="E7" s="1217"/>
      <c r="F7" s="63"/>
      <c r="G7" s="64" t="s">
        <v>33</v>
      </c>
      <c r="J7" s="35" t="s">
        <v>20</v>
      </c>
    </row>
    <row r="8" spans="1:10" ht="21" customHeight="1" x14ac:dyDescent="0.25">
      <c r="A8" s="93" t="s">
        <v>18</v>
      </c>
      <c r="B8" s="33"/>
      <c r="C8" s="33" t="s">
        <v>65</v>
      </c>
      <c r="D8" s="65"/>
      <c r="E8" s="65"/>
      <c r="F8" s="33"/>
      <c r="G8" s="66"/>
      <c r="J8" s="6" t="s">
        <v>17</v>
      </c>
    </row>
    <row r="9" spans="1:10" ht="21" customHeight="1" x14ac:dyDescent="0.25">
      <c r="A9" s="1218" t="s">
        <v>10</v>
      </c>
      <c r="B9" s="1218" t="s">
        <v>21</v>
      </c>
      <c r="C9" s="1218" t="s">
        <v>22</v>
      </c>
      <c r="D9" s="1219" t="s">
        <v>35</v>
      </c>
      <c r="E9" s="1219" t="s">
        <v>36</v>
      </c>
      <c r="F9" s="94" t="s">
        <v>28</v>
      </c>
      <c r="G9" s="95" t="s">
        <v>28</v>
      </c>
      <c r="J9" s="6" t="s">
        <v>58</v>
      </c>
    </row>
    <row r="10" spans="1:10" ht="30" customHeight="1" x14ac:dyDescent="0.25">
      <c r="A10" s="1218"/>
      <c r="B10" s="1218"/>
      <c r="C10" s="1218"/>
      <c r="D10" s="1219"/>
      <c r="E10" s="1219"/>
      <c r="F10" s="96" t="s">
        <v>29</v>
      </c>
      <c r="G10" s="41" t="s">
        <v>30</v>
      </c>
    </row>
    <row r="11" spans="1:10" x14ac:dyDescent="0.25">
      <c r="A11" s="48">
        <v>34357</v>
      </c>
      <c r="B11" s="71" t="s">
        <v>4</v>
      </c>
      <c r="C11" s="72" t="s">
        <v>2909</v>
      </c>
      <c r="D11" s="46" t="s">
        <v>342</v>
      </c>
      <c r="E11" s="73">
        <v>0.33</v>
      </c>
      <c r="F11" s="46">
        <v>6.63</v>
      </c>
      <c r="G11" s="47">
        <f>TRUNC(E11*F11,2)</f>
        <v>2.1800000000000002</v>
      </c>
    </row>
    <row r="12" spans="1:10" x14ac:dyDescent="0.25">
      <c r="A12" s="48">
        <v>34353</v>
      </c>
      <c r="B12" s="71" t="s">
        <v>4</v>
      </c>
      <c r="C12" s="72" t="s">
        <v>2910</v>
      </c>
      <c r="D12" s="46" t="s">
        <v>342</v>
      </c>
      <c r="E12" s="73">
        <v>4</v>
      </c>
      <c r="F12" s="46">
        <v>2.1</v>
      </c>
      <c r="G12" s="47">
        <f>TRUNC(E12*F12,2)</f>
        <v>8.4</v>
      </c>
    </row>
    <row r="13" spans="1:10" ht="28.5" x14ac:dyDescent="0.25">
      <c r="A13" s="48">
        <v>36178</v>
      </c>
      <c r="B13" s="71" t="s">
        <v>4</v>
      </c>
      <c r="C13" s="72" t="s">
        <v>2911</v>
      </c>
      <c r="D13" s="46" t="s">
        <v>349</v>
      </c>
      <c r="E13" s="73">
        <v>6.56</v>
      </c>
      <c r="F13" s="46">
        <v>17.82</v>
      </c>
      <c r="G13" s="47">
        <f>TRUNC(E13*F13,2)</f>
        <v>116.89</v>
      </c>
    </row>
    <row r="14" spans="1:10" x14ac:dyDescent="0.25">
      <c r="A14" s="48">
        <v>88309</v>
      </c>
      <c r="B14" s="71" t="s">
        <v>1</v>
      </c>
      <c r="C14" s="72" t="s">
        <v>2912</v>
      </c>
      <c r="D14" s="46" t="s">
        <v>2890</v>
      </c>
      <c r="E14" s="73">
        <v>0.5</v>
      </c>
      <c r="F14" s="46">
        <v>25.62</v>
      </c>
      <c r="G14" s="47">
        <f>TRUNC(E14*F14,2)</f>
        <v>12.81</v>
      </c>
    </row>
    <row r="15" spans="1:10" x14ac:dyDescent="0.25">
      <c r="A15" s="48">
        <v>88316</v>
      </c>
      <c r="B15" s="71" t="s">
        <v>1</v>
      </c>
      <c r="C15" s="72" t="s">
        <v>2893</v>
      </c>
      <c r="D15" s="46" t="s">
        <v>2890</v>
      </c>
      <c r="E15" s="73">
        <v>1.2</v>
      </c>
      <c r="F15" s="46">
        <v>20.32</v>
      </c>
      <c r="G15" s="47">
        <f>TRUNC(E15*F15,2)</f>
        <v>24.38</v>
      </c>
    </row>
    <row r="16" spans="1:10" ht="15" x14ac:dyDescent="0.25">
      <c r="A16" s="1205" t="s">
        <v>31</v>
      </c>
      <c r="B16" s="1205"/>
      <c r="C16" s="1205"/>
      <c r="D16" s="1205"/>
      <c r="E16" s="1205"/>
      <c r="F16" s="1205"/>
      <c r="G16" s="52">
        <f>SUM(G11:G15)</f>
        <v>164.66</v>
      </c>
    </row>
    <row r="19" spans="1:7" x14ac:dyDescent="0.25">
      <c r="A19" s="53"/>
      <c r="B19" s="53"/>
      <c r="D19" s="6"/>
      <c r="E19" s="6"/>
      <c r="F19" s="6"/>
      <c r="G19" s="6"/>
    </row>
    <row r="20" spans="1:7" s="53" customFormat="1" x14ac:dyDescent="0.25">
      <c r="C20" s="6"/>
      <c r="D20" s="6"/>
      <c r="E20" s="6"/>
      <c r="F20" s="6"/>
      <c r="G20" s="6"/>
    </row>
    <row r="21" spans="1:7" s="53" customFormat="1" x14ac:dyDescent="0.25">
      <c r="C21" s="6"/>
    </row>
    <row r="22" spans="1:7" s="53" customFormat="1" x14ac:dyDescent="0.25">
      <c r="C22" s="6"/>
    </row>
    <row r="23" spans="1:7" x14ac:dyDescent="0.25">
      <c r="A23" s="53"/>
      <c r="B23" s="53"/>
    </row>
    <row r="24" spans="1:7" s="53" customFormat="1" x14ac:dyDescent="0.25">
      <c r="C24" s="6"/>
      <c r="D24" s="6"/>
      <c r="E24" s="6"/>
      <c r="F24" s="6"/>
      <c r="G24" s="6"/>
    </row>
    <row r="25" spans="1:7" s="53" customFormat="1" x14ac:dyDescent="0.25">
      <c r="C25" s="6"/>
    </row>
    <row r="26" spans="1:7" x14ac:dyDescent="0.25">
      <c r="A26" s="53"/>
      <c r="B26" s="53"/>
    </row>
    <row r="27" spans="1:7" x14ac:dyDescent="0.25">
      <c r="A27" s="53"/>
      <c r="B27" s="53"/>
      <c r="D27" s="6"/>
      <c r="E27" s="6"/>
      <c r="F27" s="6"/>
      <c r="G27" s="6"/>
    </row>
    <row r="28" spans="1:7" x14ac:dyDescent="0.25">
      <c r="A28" s="53"/>
      <c r="B28" s="53"/>
      <c r="D28" s="6"/>
      <c r="E28" s="6"/>
      <c r="F28" s="6"/>
      <c r="G28" s="6"/>
    </row>
    <row r="29" spans="1:7" x14ac:dyDescent="0.25">
      <c r="A29" s="53"/>
      <c r="B29" s="53"/>
      <c r="D29" s="6"/>
      <c r="E29" s="6"/>
      <c r="F29" s="6"/>
      <c r="G29" s="6"/>
    </row>
    <row r="30" spans="1:7" x14ac:dyDescent="0.25">
      <c r="A30" s="53"/>
      <c r="B30" s="53"/>
      <c r="D30" s="6"/>
      <c r="E30" s="6"/>
      <c r="F30" s="6"/>
      <c r="G30" s="6"/>
    </row>
    <row r="31" spans="1:7" x14ac:dyDescent="0.25">
      <c r="A31" s="53"/>
      <c r="B31" s="53"/>
      <c r="D31" s="6"/>
      <c r="E31" s="6"/>
      <c r="F31" s="6"/>
      <c r="G31" s="6"/>
    </row>
    <row r="32" spans="1:7" x14ac:dyDescent="0.25">
      <c r="A32" s="53"/>
      <c r="B32" s="53"/>
      <c r="D32" s="6"/>
      <c r="E32" s="6"/>
      <c r="F32" s="6"/>
      <c r="G32" s="6"/>
    </row>
    <row r="33" spans="1:7" x14ac:dyDescent="0.25">
      <c r="A33" s="53"/>
      <c r="B33" s="53"/>
      <c r="D33" s="6"/>
      <c r="E33" s="6"/>
      <c r="F33" s="6"/>
      <c r="G33" s="6"/>
    </row>
  </sheetData>
  <mergeCells count="8">
    <mergeCell ref="A16:F16"/>
    <mergeCell ref="A5:G5"/>
    <mergeCell ref="C6:E7"/>
    <mergeCell ref="A9:A10"/>
    <mergeCell ref="B9:B10"/>
    <mergeCell ref="C9:C10"/>
    <mergeCell ref="D9:D10"/>
    <mergeCell ref="E9:E10"/>
  </mergeCells>
  <dataValidations disablePrompts="1" count="1">
    <dataValidation type="list" allowBlank="1" showInputMessage="1" showErrorMessage="1" sqref="B11:B15" xr:uid="{56959E5E-83E1-41E3-92D6-2AC6C0A59326}">
      <formula1>$J$1:$J$9</formula1>
    </dataValidation>
  </dataValidations>
  <printOptions horizontalCentered="1"/>
  <pageMargins left="0.59055118110236227" right="0.59055118110236227" top="1.7716535433070868" bottom="0.78740157480314965" header="0" footer="0"/>
  <pageSetup paperSize="9" scale="61" orientation="landscape" r:id="rId1"/>
  <headerFooter scaleWithDoc="0">
    <oddHeader>&amp;L&amp;G</oddHeader>
    <oddFooter>&amp;C&amp;"-,Negrito"&amp;12DIONI CAETANEO DE OLIVEIRA
&amp;"-,Regular"ENGENHEIRO CIVIL - CREA /MT 40957
DEPARTAMENTO DE ENGENHARIA</oddFooter>
  </headerFooter>
  <colBreaks count="1" manualBreakCount="1">
    <brk id="7"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09D45-4608-4A21-B736-CBE3CE7B12A2}">
  <sheetPr>
    <tabColor theme="4" tint="-0.499984740745262"/>
  </sheetPr>
  <dimension ref="A1:Q45"/>
  <sheetViews>
    <sheetView showGridLines="0" view="pageLayout" topLeftCell="A44" zoomScaleNormal="95" zoomScaleSheetLayoutView="85" workbookViewId="0">
      <selection activeCell="H51" sqref="H51"/>
    </sheetView>
  </sheetViews>
  <sheetFormatPr defaultRowHeight="12.75" x14ac:dyDescent="0.2"/>
  <cols>
    <col min="1" max="1" width="15.85546875" style="158" customWidth="1"/>
    <col min="2" max="2" width="28.85546875" style="158" customWidth="1"/>
    <col min="3" max="3" width="15.28515625" style="158" customWidth="1"/>
    <col min="4" max="4" width="10" style="158" customWidth="1"/>
    <col min="5" max="5" width="12" style="158" customWidth="1"/>
    <col min="6" max="8" width="12.85546875" style="158" customWidth="1"/>
    <col min="9" max="9" width="11.85546875" style="158" customWidth="1"/>
    <col min="10" max="10" width="13.28515625" style="158" customWidth="1"/>
    <col min="11" max="11" width="14.5703125" style="158" customWidth="1"/>
    <col min="12" max="12" width="12.42578125" style="158" customWidth="1"/>
    <col min="13" max="13" width="2.7109375" style="158" customWidth="1"/>
    <col min="14" max="256" width="9.140625" style="158"/>
    <col min="257" max="257" width="15.85546875" style="158" customWidth="1"/>
    <col min="258" max="258" width="28.85546875" style="158" customWidth="1"/>
    <col min="259" max="259" width="10.42578125" style="158" customWidth="1"/>
    <col min="260" max="260" width="10" style="158" customWidth="1"/>
    <col min="261" max="261" width="12" style="158" customWidth="1"/>
    <col min="262" max="264" width="12.85546875" style="158" customWidth="1"/>
    <col min="265" max="265" width="11.85546875" style="158" customWidth="1"/>
    <col min="266" max="266" width="13.28515625" style="158" customWidth="1"/>
    <col min="267" max="267" width="14.5703125" style="158" customWidth="1"/>
    <col min="268" max="268" width="12.42578125" style="158" customWidth="1"/>
    <col min="269" max="269" width="2.7109375" style="158" customWidth="1"/>
    <col min="270" max="512" width="9.140625" style="158"/>
    <col min="513" max="513" width="15.85546875" style="158" customWidth="1"/>
    <col min="514" max="514" width="28.85546875" style="158" customWidth="1"/>
    <col min="515" max="515" width="10.42578125" style="158" customWidth="1"/>
    <col min="516" max="516" width="10" style="158" customWidth="1"/>
    <col min="517" max="517" width="12" style="158" customWidth="1"/>
    <col min="518" max="520" width="12.85546875" style="158" customWidth="1"/>
    <col min="521" max="521" width="11.85546875" style="158" customWidth="1"/>
    <col min="522" max="522" width="13.28515625" style="158" customWidth="1"/>
    <col min="523" max="523" width="14.5703125" style="158" customWidth="1"/>
    <col min="524" max="524" width="12.42578125" style="158" customWidth="1"/>
    <col min="525" max="525" width="2.7109375" style="158" customWidth="1"/>
    <col min="526" max="768" width="9.140625" style="158"/>
    <col min="769" max="769" width="15.85546875" style="158" customWidth="1"/>
    <col min="770" max="770" width="28.85546875" style="158" customWidth="1"/>
    <col min="771" max="771" width="10.42578125" style="158" customWidth="1"/>
    <col min="772" max="772" width="10" style="158" customWidth="1"/>
    <col min="773" max="773" width="12" style="158" customWidth="1"/>
    <col min="774" max="776" width="12.85546875" style="158" customWidth="1"/>
    <col min="777" max="777" width="11.85546875" style="158" customWidth="1"/>
    <col min="778" max="778" width="13.28515625" style="158" customWidth="1"/>
    <col min="779" max="779" width="14.5703125" style="158" customWidth="1"/>
    <col min="780" max="780" width="12.42578125" style="158" customWidth="1"/>
    <col min="781" max="781" width="2.7109375" style="158" customWidth="1"/>
    <col min="782" max="1024" width="9.140625" style="158"/>
    <col min="1025" max="1025" width="15.85546875" style="158" customWidth="1"/>
    <col min="1026" max="1026" width="28.85546875" style="158" customWidth="1"/>
    <col min="1027" max="1027" width="10.42578125" style="158" customWidth="1"/>
    <col min="1028" max="1028" width="10" style="158" customWidth="1"/>
    <col min="1029" max="1029" width="12" style="158" customWidth="1"/>
    <col min="1030" max="1032" width="12.85546875" style="158" customWidth="1"/>
    <col min="1033" max="1033" width="11.85546875" style="158" customWidth="1"/>
    <col min="1034" max="1034" width="13.28515625" style="158" customWidth="1"/>
    <col min="1035" max="1035" width="14.5703125" style="158" customWidth="1"/>
    <col min="1036" max="1036" width="12.42578125" style="158" customWidth="1"/>
    <col min="1037" max="1037" width="2.7109375" style="158" customWidth="1"/>
    <col min="1038" max="1280" width="9.140625" style="158"/>
    <col min="1281" max="1281" width="15.85546875" style="158" customWidth="1"/>
    <col min="1282" max="1282" width="28.85546875" style="158" customWidth="1"/>
    <col min="1283" max="1283" width="10.42578125" style="158" customWidth="1"/>
    <col min="1284" max="1284" width="10" style="158" customWidth="1"/>
    <col min="1285" max="1285" width="12" style="158" customWidth="1"/>
    <col min="1286" max="1288" width="12.85546875" style="158" customWidth="1"/>
    <col min="1289" max="1289" width="11.85546875" style="158" customWidth="1"/>
    <col min="1290" max="1290" width="13.28515625" style="158" customWidth="1"/>
    <col min="1291" max="1291" width="14.5703125" style="158" customWidth="1"/>
    <col min="1292" max="1292" width="12.42578125" style="158" customWidth="1"/>
    <col min="1293" max="1293" width="2.7109375" style="158" customWidth="1"/>
    <col min="1294" max="1536" width="9.140625" style="158"/>
    <col min="1537" max="1537" width="15.85546875" style="158" customWidth="1"/>
    <col min="1538" max="1538" width="28.85546875" style="158" customWidth="1"/>
    <col min="1539" max="1539" width="10.42578125" style="158" customWidth="1"/>
    <col min="1540" max="1540" width="10" style="158" customWidth="1"/>
    <col min="1541" max="1541" width="12" style="158" customWidth="1"/>
    <col min="1542" max="1544" width="12.85546875" style="158" customWidth="1"/>
    <col min="1545" max="1545" width="11.85546875" style="158" customWidth="1"/>
    <col min="1546" max="1546" width="13.28515625" style="158" customWidth="1"/>
    <col min="1547" max="1547" width="14.5703125" style="158" customWidth="1"/>
    <col min="1548" max="1548" width="12.42578125" style="158" customWidth="1"/>
    <col min="1549" max="1549" width="2.7109375" style="158" customWidth="1"/>
    <col min="1550" max="1792" width="9.140625" style="158"/>
    <col min="1793" max="1793" width="15.85546875" style="158" customWidth="1"/>
    <col min="1794" max="1794" width="28.85546875" style="158" customWidth="1"/>
    <col min="1795" max="1795" width="10.42578125" style="158" customWidth="1"/>
    <col min="1796" max="1796" width="10" style="158" customWidth="1"/>
    <col min="1797" max="1797" width="12" style="158" customWidth="1"/>
    <col min="1798" max="1800" width="12.85546875" style="158" customWidth="1"/>
    <col min="1801" max="1801" width="11.85546875" style="158" customWidth="1"/>
    <col min="1802" max="1802" width="13.28515625" style="158" customWidth="1"/>
    <col min="1803" max="1803" width="14.5703125" style="158" customWidth="1"/>
    <col min="1804" max="1804" width="12.42578125" style="158" customWidth="1"/>
    <col min="1805" max="1805" width="2.7109375" style="158" customWidth="1"/>
    <col min="1806" max="2048" width="9.140625" style="158"/>
    <col min="2049" max="2049" width="15.85546875" style="158" customWidth="1"/>
    <col min="2050" max="2050" width="28.85546875" style="158" customWidth="1"/>
    <col min="2051" max="2051" width="10.42578125" style="158" customWidth="1"/>
    <col min="2052" max="2052" width="10" style="158" customWidth="1"/>
    <col min="2053" max="2053" width="12" style="158" customWidth="1"/>
    <col min="2054" max="2056" width="12.85546875" style="158" customWidth="1"/>
    <col min="2057" max="2057" width="11.85546875" style="158" customWidth="1"/>
    <col min="2058" max="2058" width="13.28515625" style="158" customWidth="1"/>
    <col min="2059" max="2059" width="14.5703125" style="158" customWidth="1"/>
    <col min="2060" max="2060" width="12.42578125" style="158" customWidth="1"/>
    <col min="2061" max="2061" width="2.7109375" style="158" customWidth="1"/>
    <col min="2062" max="2304" width="9.140625" style="158"/>
    <col min="2305" max="2305" width="15.85546875" style="158" customWidth="1"/>
    <col min="2306" max="2306" width="28.85546875" style="158" customWidth="1"/>
    <col min="2307" max="2307" width="10.42578125" style="158" customWidth="1"/>
    <col min="2308" max="2308" width="10" style="158" customWidth="1"/>
    <col min="2309" max="2309" width="12" style="158" customWidth="1"/>
    <col min="2310" max="2312" width="12.85546875" style="158" customWidth="1"/>
    <col min="2313" max="2313" width="11.85546875" style="158" customWidth="1"/>
    <col min="2314" max="2314" width="13.28515625" style="158" customWidth="1"/>
    <col min="2315" max="2315" width="14.5703125" style="158" customWidth="1"/>
    <col min="2316" max="2316" width="12.42578125" style="158" customWidth="1"/>
    <col min="2317" max="2317" width="2.7109375" style="158" customWidth="1"/>
    <col min="2318" max="2560" width="9.140625" style="158"/>
    <col min="2561" max="2561" width="15.85546875" style="158" customWidth="1"/>
    <col min="2562" max="2562" width="28.85546875" style="158" customWidth="1"/>
    <col min="2563" max="2563" width="10.42578125" style="158" customWidth="1"/>
    <col min="2564" max="2564" width="10" style="158" customWidth="1"/>
    <col min="2565" max="2565" width="12" style="158" customWidth="1"/>
    <col min="2566" max="2568" width="12.85546875" style="158" customWidth="1"/>
    <col min="2569" max="2569" width="11.85546875" style="158" customWidth="1"/>
    <col min="2570" max="2570" width="13.28515625" style="158" customWidth="1"/>
    <col min="2571" max="2571" width="14.5703125" style="158" customWidth="1"/>
    <col min="2572" max="2572" width="12.42578125" style="158" customWidth="1"/>
    <col min="2573" max="2573" width="2.7109375" style="158" customWidth="1"/>
    <col min="2574" max="2816" width="9.140625" style="158"/>
    <col min="2817" max="2817" width="15.85546875" style="158" customWidth="1"/>
    <col min="2818" max="2818" width="28.85546875" style="158" customWidth="1"/>
    <col min="2819" max="2819" width="10.42578125" style="158" customWidth="1"/>
    <col min="2820" max="2820" width="10" style="158" customWidth="1"/>
    <col min="2821" max="2821" width="12" style="158" customWidth="1"/>
    <col min="2822" max="2824" width="12.85546875" style="158" customWidth="1"/>
    <col min="2825" max="2825" width="11.85546875" style="158" customWidth="1"/>
    <col min="2826" max="2826" width="13.28515625" style="158" customWidth="1"/>
    <col min="2827" max="2827" width="14.5703125" style="158" customWidth="1"/>
    <col min="2828" max="2828" width="12.42578125" style="158" customWidth="1"/>
    <col min="2829" max="2829" width="2.7109375" style="158" customWidth="1"/>
    <col min="2830" max="3072" width="9.140625" style="158"/>
    <col min="3073" max="3073" width="15.85546875" style="158" customWidth="1"/>
    <col min="3074" max="3074" width="28.85546875" style="158" customWidth="1"/>
    <col min="3075" max="3075" width="10.42578125" style="158" customWidth="1"/>
    <col min="3076" max="3076" width="10" style="158" customWidth="1"/>
    <col min="3077" max="3077" width="12" style="158" customWidth="1"/>
    <col min="3078" max="3080" width="12.85546875" style="158" customWidth="1"/>
    <col min="3081" max="3081" width="11.85546875" style="158" customWidth="1"/>
    <col min="3082" max="3082" width="13.28515625" style="158" customWidth="1"/>
    <col min="3083" max="3083" width="14.5703125" style="158" customWidth="1"/>
    <col min="3084" max="3084" width="12.42578125" style="158" customWidth="1"/>
    <col min="3085" max="3085" width="2.7109375" style="158" customWidth="1"/>
    <col min="3086" max="3328" width="9.140625" style="158"/>
    <col min="3329" max="3329" width="15.85546875" style="158" customWidth="1"/>
    <col min="3330" max="3330" width="28.85546875" style="158" customWidth="1"/>
    <col min="3331" max="3331" width="10.42578125" style="158" customWidth="1"/>
    <col min="3332" max="3332" width="10" style="158" customWidth="1"/>
    <col min="3333" max="3333" width="12" style="158" customWidth="1"/>
    <col min="3334" max="3336" width="12.85546875" style="158" customWidth="1"/>
    <col min="3337" max="3337" width="11.85546875" style="158" customWidth="1"/>
    <col min="3338" max="3338" width="13.28515625" style="158" customWidth="1"/>
    <col min="3339" max="3339" width="14.5703125" style="158" customWidth="1"/>
    <col min="3340" max="3340" width="12.42578125" style="158" customWidth="1"/>
    <col min="3341" max="3341" width="2.7109375" style="158" customWidth="1"/>
    <col min="3342" max="3584" width="9.140625" style="158"/>
    <col min="3585" max="3585" width="15.85546875" style="158" customWidth="1"/>
    <col min="3586" max="3586" width="28.85546875" style="158" customWidth="1"/>
    <col min="3587" max="3587" width="10.42578125" style="158" customWidth="1"/>
    <col min="3588" max="3588" width="10" style="158" customWidth="1"/>
    <col min="3589" max="3589" width="12" style="158" customWidth="1"/>
    <col min="3590" max="3592" width="12.85546875" style="158" customWidth="1"/>
    <col min="3593" max="3593" width="11.85546875" style="158" customWidth="1"/>
    <col min="3594" max="3594" width="13.28515625" style="158" customWidth="1"/>
    <col min="3595" max="3595" width="14.5703125" style="158" customWidth="1"/>
    <col min="3596" max="3596" width="12.42578125" style="158" customWidth="1"/>
    <col min="3597" max="3597" width="2.7109375" style="158" customWidth="1"/>
    <col min="3598" max="3840" width="9.140625" style="158"/>
    <col min="3841" max="3841" width="15.85546875" style="158" customWidth="1"/>
    <col min="3842" max="3842" width="28.85546875" style="158" customWidth="1"/>
    <col min="3843" max="3843" width="10.42578125" style="158" customWidth="1"/>
    <col min="3844" max="3844" width="10" style="158" customWidth="1"/>
    <col min="3845" max="3845" width="12" style="158" customWidth="1"/>
    <col min="3846" max="3848" width="12.85546875" style="158" customWidth="1"/>
    <col min="3849" max="3849" width="11.85546875" style="158" customWidth="1"/>
    <col min="3850" max="3850" width="13.28515625" style="158" customWidth="1"/>
    <col min="3851" max="3851" width="14.5703125" style="158" customWidth="1"/>
    <col min="3852" max="3852" width="12.42578125" style="158" customWidth="1"/>
    <col min="3853" max="3853" width="2.7109375" style="158" customWidth="1"/>
    <col min="3854" max="4096" width="9.140625" style="158"/>
    <col min="4097" max="4097" width="15.85546875" style="158" customWidth="1"/>
    <col min="4098" max="4098" width="28.85546875" style="158" customWidth="1"/>
    <col min="4099" max="4099" width="10.42578125" style="158" customWidth="1"/>
    <col min="4100" max="4100" width="10" style="158" customWidth="1"/>
    <col min="4101" max="4101" width="12" style="158" customWidth="1"/>
    <col min="4102" max="4104" width="12.85546875" style="158" customWidth="1"/>
    <col min="4105" max="4105" width="11.85546875" style="158" customWidth="1"/>
    <col min="4106" max="4106" width="13.28515625" style="158" customWidth="1"/>
    <col min="4107" max="4107" width="14.5703125" style="158" customWidth="1"/>
    <col min="4108" max="4108" width="12.42578125" style="158" customWidth="1"/>
    <col min="4109" max="4109" width="2.7109375" style="158" customWidth="1"/>
    <col min="4110" max="4352" width="9.140625" style="158"/>
    <col min="4353" max="4353" width="15.85546875" style="158" customWidth="1"/>
    <col min="4354" max="4354" width="28.85546875" style="158" customWidth="1"/>
    <col min="4355" max="4355" width="10.42578125" style="158" customWidth="1"/>
    <col min="4356" max="4356" width="10" style="158" customWidth="1"/>
    <col min="4357" max="4357" width="12" style="158" customWidth="1"/>
    <col min="4358" max="4360" width="12.85546875" style="158" customWidth="1"/>
    <col min="4361" max="4361" width="11.85546875" style="158" customWidth="1"/>
    <col min="4362" max="4362" width="13.28515625" style="158" customWidth="1"/>
    <col min="4363" max="4363" width="14.5703125" style="158" customWidth="1"/>
    <col min="4364" max="4364" width="12.42578125" style="158" customWidth="1"/>
    <col min="4365" max="4365" width="2.7109375" style="158" customWidth="1"/>
    <col min="4366" max="4608" width="9.140625" style="158"/>
    <col min="4609" max="4609" width="15.85546875" style="158" customWidth="1"/>
    <col min="4610" max="4610" width="28.85546875" style="158" customWidth="1"/>
    <col min="4611" max="4611" width="10.42578125" style="158" customWidth="1"/>
    <col min="4612" max="4612" width="10" style="158" customWidth="1"/>
    <col min="4613" max="4613" width="12" style="158" customWidth="1"/>
    <col min="4614" max="4616" width="12.85546875" style="158" customWidth="1"/>
    <col min="4617" max="4617" width="11.85546875" style="158" customWidth="1"/>
    <col min="4618" max="4618" width="13.28515625" style="158" customWidth="1"/>
    <col min="4619" max="4619" width="14.5703125" style="158" customWidth="1"/>
    <col min="4620" max="4620" width="12.42578125" style="158" customWidth="1"/>
    <col min="4621" max="4621" width="2.7109375" style="158" customWidth="1"/>
    <col min="4622" max="4864" width="9.140625" style="158"/>
    <col min="4865" max="4865" width="15.85546875" style="158" customWidth="1"/>
    <col min="4866" max="4866" width="28.85546875" style="158" customWidth="1"/>
    <col min="4867" max="4867" width="10.42578125" style="158" customWidth="1"/>
    <col min="4868" max="4868" width="10" style="158" customWidth="1"/>
    <col min="4869" max="4869" width="12" style="158" customWidth="1"/>
    <col min="4870" max="4872" width="12.85546875" style="158" customWidth="1"/>
    <col min="4873" max="4873" width="11.85546875" style="158" customWidth="1"/>
    <col min="4874" max="4874" width="13.28515625" style="158" customWidth="1"/>
    <col min="4875" max="4875" width="14.5703125" style="158" customWidth="1"/>
    <col min="4876" max="4876" width="12.42578125" style="158" customWidth="1"/>
    <col min="4877" max="4877" width="2.7109375" style="158" customWidth="1"/>
    <col min="4878" max="5120" width="9.140625" style="158"/>
    <col min="5121" max="5121" width="15.85546875" style="158" customWidth="1"/>
    <col min="5122" max="5122" width="28.85546875" style="158" customWidth="1"/>
    <col min="5123" max="5123" width="10.42578125" style="158" customWidth="1"/>
    <col min="5124" max="5124" width="10" style="158" customWidth="1"/>
    <col min="5125" max="5125" width="12" style="158" customWidth="1"/>
    <col min="5126" max="5128" width="12.85546875" style="158" customWidth="1"/>
    <col min="5129" max="5129" width="11.85546875" style="158" customWidth="1"/>
    <col min="5130" max="5130" width="13.28515625" style="158" customWidth="1"/>
    <col min="5131" max="5131" width="14.5703125" style="158" customWidth="1"/>
    <col min="5132" max="5132" width="12.42578125" style="158" customWidth="1"/>
    <col min="5133" max="5133" width="2.7109375" style="158" customWidth="1"/>
    <col min="5134" max="5376" width="9.140625" style="158"/>
    <col min="5377" max="5377" width="15.85546875" style="158" customWidth="1"/>
    <col min="5378" max="5378" width="28.85546875" style="158" customWidth="1"/>
    <col min="5379" max="5379" width="10.42578125" style="158" customWidth="1"/>
    <col min="5380" max="5380" width="10" style="158" customWidth="1"/>
    <col min="5381" max="5381" width="12" style="158" customWidth="1"/>
    <col min="5382" max="5384" width="12.85546875" style="158" customWidth="1"/>
    <col min="5385" max="5385" width="11.85546875" style="158" customWidth="1"/>
    <col min="5386" max="5386" width="13.28515625" style="158" customWidth="1"/>
    <col min="5387" max="5387" width="14.5703125" style="158" customWidth="1"/>
    <col min="5388" max="5388" width="12.42578125" style="158" customWidth="1"/>
    <col min="5389" max="5389" width="2.7109375" style="158" customWidth="1"/>
    <col min="5390" max="5632" width="9.140625" style="158"/>
    <col min="5633" max="5633" width="15.85546875" style="158" customWidth="1"/>
    <col min="5634" max="5634" width="28.85546875" style="158" customWidth="1"/>
    <col min="5635" max="5635" width="10.42578125" style="158" customWidth="1"/>
    <col min="5636" max="5636" width="10" style="158" customWidth="1"/>
    <col min="5637" max="5637" width="12" style="158" customWidth="1"/>
    <col min="5638" max="5640" width="12.85546875" style="158" customWidth="1"/>
    <col min="5641" max="5641" width="11.85546875" style="158" customWidth="1"/>
    <col min="5642" max="5642" width="13.28515625" style="158" customWidth="1"/>
    <col min="5643" max="5643" width="14.5703125" style="158" customWidth="1"/>
    <col min="5644" max="5644" width="12.42578125" style="158" customWidth="1"/>
    <col min="5645" max="5645" width="2.7109375" style="158" customWidth="1"/>
    <col min="5646" max="5888" width="9.140625" style="158"/>
    <col min="5889" max="5889" width="15.85546875" style="158" customWidth="1"/>
    <col min="5890" max="5890" width="28.85546875" style="158" customWidth="1"/>
    <col min="5891" max="5891" width="10.42578125" style="158" customWidth="1"/>
    <col min="5892" max="5892" width="10" style="158" customWidth="1"/>
    <col min="5893" max="5893" width="12" style="158" customWidth="1"/>
    <col min="5894" max="5896" width="12.85546875" style="158" customWidth="1"/>
    <col min="5897" max="5897" width="11.85546875" style="158" customWidth="1"/>
    <col min="5898" max="5898" width="13.28515625" style="158" customWidth="1"/>
    <col min="5899" max="5899" width="14.5703125" style="158" customWidth="1"/>
    <col min="5900" max="5900" width="12.42578125" style="158" customWidth="1"/>
    <col min="5901" max="5901" width="2.7109375" style="158" customWidth="1"/>
    <col min="5902" max="6144" width="9.140625" style="158"/>
    <col min="6145" max="6145" width="15.85546875" style="158" customWidth="1"/>
    <col min="6146" max="6146" width="28.85546875" style="158" customWidth="1"/>
    <col min="6147" max="6147" width="10.42578125" style="158" customWidth="1"/>
    <col min="6148" max="6148" width="10" style="158" customWidth="1"/>
    <col min="6149" max="6149" width="12" style="158" customWidth="1"/>
    <col min="6150" max="6152" width="12.85546875" style="158" customWidth="1"/>
    <col min="6153" max="6153" width="11.85546875" style="158" customWidth="1"/>
    <col min="6154" max="6154" width="13.28515625" style="158" customWidth="1"/>
    <col min="6155" max="6155" width="14.5703125" style="158" customWidth="1"/>
    <col min="6156" max="6156" width="12.42578125" style="158" customWidth="1"/>
    <col min="6157" max="6157" width="2.7109375" style="158" customWidth="1"/>
    <col min="6158" max="6400" width="9.140625" style="158"/>
    <col min="6401" max="6401" width="15.85546875" style="158" customWidth="1"/>
    <col min="6402" max="6402" width="28.85546875" style="158" customWidth="1"/>
    <col min="6403" max="6403" width="10.42578125" style="158" customWidth="1"/>
    <col min="6404" max="6404" width="10" style="158" customWidth="1"/>
    <col min="6405" max="6405" width="12" style="158" customWidth="1"/>
    <col min="6406" max="6408" width="12.85546875" style="158" customWidth="1"/>
    <col min="6409" max="6409" width="11.85546875" style="158" customWidth="1"/>
    <col min="6410" max="6410" width="13.28515625" style="158" customWidth="1"/>
    <col min="6411" max="6411" width="14.5703125" style="158" customWidth="1"/>
    <col min="6412" max="6412" width="12.42578125" style="158" customWidth="1"/>
    <col min="6413" max="6413" width="2.7109375" style="158" customWidth="1"/>
    <col min="6414" max="6656" width="9.140625" style="158"/>
    <col min="6657" max="6657" width="15.85546875" style="158" customWidth="1"/>
    <col min="6658" max="6658" width="28.85546875" style="158" customWidth="1"/>
    <col min="6659" max="6659" width="10.42578125" style="158" customWidth="1"/>
    <col min="6660" max="6660" width="10" style="158" customWidth="1"/>
    <col min="6661" max="6661" width="12" style="158" customWidth="1"/>
    <col min="6662" max="6664" width="12.85546875" style="158" customWidth="1"/>
    <col min="6665" max="6665" width="11.85546875" style="158" customWidth="1"/>
    <col min="6666" max="6666" width="13.28515625" style="158" customWidth="1"/>
    <col min="6667" max="6667" width="14.5703125" style="158" customWidth="1"/>
    <col min="6668" max="6668" width="12.42578125" style="158" customWidth="1"/>
    <col min="6669" max="6669" width="2.7109375" style="158" customWidth="1"/>
    <col min="6670" max="6912" width="9.140625" style="158"/>
    <col min="6913" max="6913" width="15.85546875" style="158" customWidth="1"/>
    <col min="6914" max="6914" width="28.85546875" style="158" customWidth="1"/>
    <col min="6915" max="6915" width="10.42578125" style="158" customWidth="1"/>
    <col min="6916" max="6916" width="10" style="158" customWidth="1"/>
    <col min="6917" max="6917" width="12" style="158" customWidth="1"/>
    <col min="6918" max="6920" width="12.85546875" style="158" customWidth="1"/>
    <col min="6921" max="6921" width="11.85546875" style="158" customWidth="1"/>
    <col min="6922" max="6922" width="13.28515625" style="158" customWidth="1"/>
    <col min="6923" max="6923" width="14.5703125" style="158" customWidth="1"/>
    <col min="6924" max="6924" width="12.42578125" style="158" customWidth="1"/>
    <col min="6925" max="6925" width="2.7109375" style="158" customWidth="1"/>
    <col min="6926" max="7168" width="9.140625" style="158"/>
    <col min="7169" max="7169" width="15.85546875" style="158" customWidth="1"/>
    <col min="7170" max="7170" width="28.85546875" style="158" customWidth="1"/>
    <col min="7171" max="7171" width="10.42578125" style="158" customWidth="1"/>
    <col min="7172" max="7172" width="10" style="158" customWidth="1"/>
    <col min="7173" max="7173" width="12" style="158" customWidth="1"/>
    <col min="7174" max="7176" width="12.85546875" style="158" customWidth="1"/>
    <col min="7177" max="7177" width="11.85546875" style="158" customWidth="1"/>
    <col min="7178" max="7178" width="13.28515625" style="158" customWidth="1"/>
    <col min="7179" max="7179" width="14.5703125" style="158" customWidth="1"/>
    <col min="7180" max="7180" width="12.42578125" style="158" customWidth="1"/>
    <col min="7181" max="7181" width="2.7109375" style="158" customWidth="1"/>
    <col min="7182" max="7424" width="9.140625" style="158"/>
    <col min="7425" max="7425" width="15.85546875" style="158" customWidth="1"/>
    <col min="7426" max="7426" width="28.85546875" style="158" customWidth="1"/>
    <col min="7427" max="7427" width="10.42578125" style="158" customWidth="1"/>
    <col min="7428" max="7428" width="10" style="158" customWidth="1"/>
    <col min="7429" max="7429" width="12" style="158" customWidth="1"/>
    <col min="7430" max="7432" width="12.85546875" style="158" customWidth="1"/>
    <col min="7433" max="7433" width="11.85546875" style="158" customWidth="1"/>
    <col min="7434" max="7434" width="13.28515625" style="158" customWidth="1"/>
    <col min="7435" max="7435" width="14.5703125" style="158" customWidth="1"/>
    <col min="7436" max="7436" width="12.42578125" style="158" customWidth="1"/>
    <col min="7437" max="7437" width="2.7109375" style="158" customWidth="1"/>
    <col min="7438" max="7680" width="9.140625" style="158"/>
    <col min="7681" max="7681" width="15.85546875" style="158" customWidth="1"/>
    <col min="7682" max="7682" width="28.85546875" style="158" customWidth="1"/>
    <col min="7683" max="7683" width="10.42578125" style="158" customWidth="1"/>
    <col min="7684" max="7684" width="10" style="158" customWidth="1"/>
    <col min="7685" max="7685" width="12" style="158" customWidth="1"/>
    <col min="7686" max="7688" width="12.85546875" style="158" customWidth="1"/>
    <col min="7689" max="7689" width="11.85546875" style="158" customWidth="1"/>
    <col min="7690" max="7690" width="13.28515625" style="158" customWidth="1"/>
    <col min="7691" max="7691" width="14.5703125" style="158" customWidth="1"/>
    <col min="7692" max="7692" width="12.42578125" style="158" customWidth="1"/>
    <col min="7693" max="7693" width="2.7109375" style="158" customWidth="1"/>
    <col min="7694" max="7936" width="9.140625" style="158"/>
    <col min="7937" max="7937" width="15.85546875" style="158" customWidth="1"/>
    <col min="7938" max="7938" width="28.85546875" style="158" customWidth="1"/>
    <col min="7939" max="7939" width="10.42578125" style="158" customWidth="1"/>
    <col min="7940" max="7940" width="10" style="158" customWidth="1"/>
    <col min="7941" max="7941" width="12" style="158" customWidth="1"/>
    <col min="7942" max="7944" width="12.85546875" style="158" customWidth="1"/>
    <col min="7945" max="7945" width="11.85546875" style="158" customWidth="1"/>
    <col min="7946" max="7946" width="13.28515625" style="158" customWidth="1"/>
    <col min="7947" max="7947" width="14.5703125" style="158" customWidth="1"/>
    <col min="7948" max="7948" width="12.42578125" style="158" customWidth="1"/>
    <col min="7949" max="7949" width="2.7109375" style="158" customWidth="1"/>
    <col min="7950" max="8192" width="9.140625" style="158"/>
    <col min="8193" max="8193" width="15.85546875" style="158" customWidth="1"/>
    <col min="8194" max="8194" width="28.85546875" style="158" customWidth="1"/>
    <col min="8195" max="8195" width="10.42578125" style="158" customWidth="1"/>
    <col min="8196" max="8196" width="10" style="158" customWidth="1"/>
    <col min="8197" max="8197" width="12" style="158" customWidth="1"/>
    <col min="8198" max="8200" width="12.85546875" style="158" customWidth="1"/>
    <col min="8201" max="8201" width="11.85546875" style="158" customWidth="1"/>
    <col min="8202" max="8202" width="13.28515625" style="158" customWidth="1"/>
    <col min="8203" max="8203" width="14.5703125" style="158" customWidth="1"/>
    <col min="8204" max="8204" width="12.42578125" style="158" customWidth="1"/>
    <col min="8205" max="8205" width="2.7109375" style="158" customWidth="1"/>
    <col min="8206" max="8448" width="9.140625" style="158"/>
    <col min="8449" max="8449" width="15.85546875" style="158" customWidth="1"/>
    <col min="8450" max="8450" width="28.85546875" style="158" customWidth="1"/>
    <col min="8451" max="8451" width="10.42578125" style="158" customWidth="1"/>
    <col min="8452" max="8452" width="10" style="158" customWidth="1"/>
    <col min="8453" max="8453" width="12" style="158" customWidth="1"/>
    <col min="8454" max="8456" width="12.85546875" style="158" customWidth="1"/>
    <col min="8457" max="8457" width="11.85546875" style="158" customWidth="1"/>
    <col min="8458" max="8458" width="13.28515625" style="158" customWidth="1"/>
    <col min="8459" max="8459" width="14.5703125" style="158" customWidth="1"/>
    <col min="8460" max="8460" width="12.42578125" style="158" customWidth="1"/>
    <col min="8461" max="8461" width="2.7109375" style="158" customWidth="1"/>
    <col min="8462" max="8704" width="9.140625" style="158"/>
    <col min="8705" max="8705" width="15.85546875" style="158" customWidth="1"/>
    <col min="8706" max="8706" width="28.85546875" style="158" customWidth="1"/>
    <col min="8707" max="8707" width="10.42578125" style="158" customWidth="1"/>
    <col min="8708" max="8708" width="10" style="158" customWidth="1"/>
    <col min="8709" max="8709" width="12" style="158" customWidth="1"/>
    <col min="8710" max="8712" width="12.85546875" style="158" customWidth="1"/>
    <col min="8713" max="8713" width="11.85546875" style="158" customWidth="1"/>
    <col min="8714" max="8714" width="13.28515625" style="158" customWidth="1"/>
    <col min="8715" max="8715" width="14.5703125" style="158" customWidth="1"/>
    <col min="8716" max="8716" width="12.42578125" style="158" customWidth="1"/>
    <col min="8717" max="8717" width="2.7109375" style="158" customWidth="1"/>
    <col min="8718" max="8960" width="9.140625" style="158"/>
    <col min="8961" max="8961" width="15.85546875" style="158" customWidth="1"/>
    <col min="8962" max="8962" width="28.85546875" style="158" customWidth="1"/>
    <col min="8963" max="8963" width="10.42578125" style="158" customWidth="1"/>
    <col min="8964" max="8964" width="10" style="158" customWidth="1"/>
    <col min="8965" max="8965" width="12" style="158" customWidth="1"/>
    <col min="8966" max="8968" width="12.85546875" style="158" customWidth="1"/>
    <col min="8969" max="8969" width="11.85546875" style="158" customWidth="1"/>
    <col min="8970" max="8970" width="13.28515625" style="158" customWidth="1"/>
    <col min="8971" max="8971" width="14.5703125" style="158" customWidth="1"/>
    <col min="8972" max="8972" width="12.42578125" style="158" customWidth="1"/>
    <col min="8973" max="8973" width="2.7109375" style="158" customWidth="1"/>
    <col min="8974" max="9216" width="9.140625" style="158"/>
    <col min="9217" max="9217" width="15.85546875" style="158" customWidth="1"/>
    <col min="9218" max="9218" width="28.85546875" style="158" customWidth="1"/>
    <col min="9219" max="9219" width="10.42578125" style="158" customWidth="1"/>
    <col min="9220" max="9220" width="10" style="158" customWidth="1"/>
    <col min="9221" max="9221" width="12" style="158" customWidth="1"/>
    <col min="9222" max="9224" width="12.85546875" style="158" customWidth="1"/>
    <col min="9225" max="9225" width="11.85546875" style="158" customWidth="1"/>
    <col min="9226" max="9226" width="13.28515625" style="158" customWidth="1"/>
    <col min="9227" max="9227" width="14.5703125" style="158" customWidth="1"/>
    <col min="9228" max="9228" width="12.42578125" style="158" customWidth="1"/>
    <col min="9229" max="9229" width="2.7109375" style="158" customWidth="1"/>
    <col min="9230" max="9472" width="9.140625" style="158"/>
    <col min="9473" max="9473" width="15.85546875" style="158" customWidth="1"/>
    <col min="9474" max="9474" width="28.85546875" style="158" customWidth="1"/>
    <col min="9475" max="9475" width="10.42578125" style="158" customWidth="1"/>
    <col min="9476" max="9476" width="10" style="158" customWidth="1"/>
    <col min="9477" max="9477" width="12" style="158" customWidth="1"/>
    <col min="9478" max="9480" width="12.85546875" style="158" customWidth="1"/>
    <col min="9481" max="9481" width="11.85546875" style="158" customWidth="1"/>
    <col min="9482" max="9482" width="13.28515625" style="158" customWidth="1"/>
    <col min="9483" max="9483" width="14.5703125" style="158" customWidth="1"/>
    <col min="9484" max="9484" width="12.42578125" style="158" customWidth="1"/>
    <col min="9485" max="9485" width="2.7109375" style="158" customWidth="1"/>
    <col min="9486" max="9728" width="9.140625" style="158"/>
    <col min="9729" max="9729" width="15.85546875" style="158" customWidth="1"/>
    <col min="9730" max="9730" width="28.85546875" style="158" customWidth="1"/>
    <col min="9731" max="9731" width="10.42578125" style="158" customWidth="1"/>
    <col min="9732" max="9732" width="10" style="158" customWidth="1"/>
    <col min="9733" max="9733" width="12" style="158" customWidth="1"/>
    <col min="9734" max="9736" width="12.85546875" style="158" customWidth="1"/>
    <col min="9737" max="9737" width="11.85546875" style="158" customWidth="1"/>
    <col min="9738" max="9738" width="13.28515625" style="158" customWidth="1"/>
    <col min="9739" max="9739" width="14.5703125" style="158" customWidth="1"/>
    <col min="9740" max="9740" width="12.42578125" style="158" customWidth="1"/>
    <col min="9741" max="9741" width="2.7109375" style="158" customWidth="1"/>
    <col min="9742" max="9984" width="9.140625" style="158"/>
    <col min="9985" max="9985" width="15.85546875" style="158" customWidth="1"/>
    <col min="9986" max="9986" width="28.85546875" style="158" customWidth="1"/>
    <col min="9987" max="9987" width="10.42578125" style="158" customWidth="1"/>
    <col min="9988" max="9988" width="10" style="158" customWidth="1"/>
    <col min="9989" max="9989" width="12" style="158" customWidth="1"/>
    <col min="9990" max="9992" width="12.85546875" style="158" customWidth="1"/>
    <col min="9993" max="9993" width="11.85546875" style="158" customWidth="1"/>
    <col min="9994" max="9994" width="13.28515625" style="158" customWidth="1"/>
    <col min="9995" max="9995" width="14.5703125" style="158" customWidth="1"/>
    <col min="9996" max="9996" width="12.42578125" style="158" customWidth="1"/>
    <col min="9997" max="9997" width="2.7109375" style="158" customWidth="1"/>
    <col min="9998" max="10240" width="9.140625" style="158"/>
    <col min="10241" max="10241" width="15.85546875" style="158" customWidth="1"/>
    <col min="10242" max="10242" width="28.85546875" style="158" customWidth="1"/>
    <col min="10243" max="10243" width="10.42578125" style="158" customWidth="1"/>
    <col min="10244" max="10244" width="10" style="158" customWidth="1"/>
    <col min="10245" max="10245" width="12" style="158" customWidth="1"/>
    <col min="10246" max="10248" width="12.85546875" style="158" customWidth="1"/>
    <col min="10249" max="10249" width="11.85546875" style="158" customWidth="1"/>
    <col min="10250" max="10250" width="13.28515625" style="158" customWidth="1"/>
    <col min="10251" max="10251" width="14.5703125" style="158" customWidth="1"/>
    <col min="10252" max="10252" width="12.42578125" style="158" customWidth="1"/>
    <col min="10253" max="10253" width="2.7109375" style="158" customWidth="1"/>
    <col min="10254" max="10496" width="9.140625" style="158"/>
    <col min="10497" max="10497" width="15.85546875" style="158" customWidth="1"/>
    <col min="10498" max="10498" width="28.85546875" style="158" customWidth="1"/>
    <col min="10499" max="10499" width="10.42578125" style="158" customWidth="1"/>
    <col min="10500" max="10500" width="10" style="158" customWidth="1"/>
    <col min="10501" max="10501" width="12" style="158" customWidth="1"/>
    <col min="10502" max="10504" width="12.85546875" style="158" customWidth="1"/>
    <col min="10505" max="10505" width="11.85546875" style="158" customWidth="1"/>
    <col min="10506" max="10506" width="13.28515625" style="158" customWidth="1"/>
    <col min="10507" max="10507" width="14.5703125" style="158" customWidth="1"/>
    <col min="10508" max="10508" width="12.42578125" style="158" customWidth="1"/>
    <col min="10509" max="10509" width="2.7109375" style="158" customWidth="1"/>
    <col min="10510" max="10752" width="9.140625" style="158"/>
    <col min="10753" max="10753" width="15.85546875" style="158" customWidth="1"/>
    <col min="10754" max="10754" width="28.85546875" style="158" customWidth="1"/>
    <col min="10755" max="10755" width="10.42578125" style="158" customWidth="1"/>
    <col min="10756" max="10756" width="10" style="158" customWidth="1"/>
    <col min="10757" max="10757" width="12" style="158" customWidth="1"/>
    <col min="10758" max="10760" width="12.85546875" style="158" customWidth="1"/>
    <col min="10761" max="10761" width="11.85546875" style="158" customWidth="1"/>
    <col min="10762" max="10762" width="13.28515625" style="158" customWidth="1"/>
    <col min="10763" max="10763" width="14.5703125" style="158" customWidth="1"/>
    <col min="10764" max="10764" width="12.42578125" style="158" customWidth="1"/>
    <col min="10765" max="10765" width="2.7109375" style="158" customWidth="1"/>
    <col min="10766" max="11008" width="9.140625" style="158"/>
    <col min="11009" max="11009" width="15.85546875" style="158" customWidth="1"/>
    <col min="11010" max="11010" width="28.85546875" style="158" customWidth="1"/>
    <col min="11011" max="11011" width="10.42578125" style="158" customWidth="1"/>
    <col min="11012" max="11012" width="10" style="158" customWidth="1"/>
    <col min="11013" max="11013" width="12" style="158" customWidth="1"/>
    <col min="11014" max="11016" width="12.85546875" style="158" customWidth="1"/>
    <col min="11017" max="11017" width="11.85546875" style="158" customWidth="1"/>
    <col min="11018" max="11018" width="13.28515625" style="158" customWidth="1"/>
    <col min="11019" max="11019" width="14.5703125" style="158" customWidth="1"/>
    <col min="11020" max="11020" width="12.42578125" style="158" customWidth="1"/>
    <col min="11021" max="11021" width="2.7109375" style="158" customWidth="1"/>
    <col min="11022" max="11264" width="9.140625" style="158"/>
    <col min="11265" max="11265" width="15.85546875" style="158" customWidth="1"/>
    <col min="11266" max="11266" width="28.85546875" style="158" customWidth="1"/>
    <col min="11267" max="11267" width="10.42578125" style="158" customWidth="1"/>
    <col min="11268" max="11268" width="10" style="158" customWidth="1"/>
    <col min="11269" max="11269" width="12" style="158" customWidth="1"/>
    <col min="11270" max="11272" width="12.85546875" style="158" customWidth="1"/>
    <col min="11273" max="11273" width="11.85546875" style="158" customWidth="1"/>
    <col min="11274" max="11274" width="13.28515625" style="158" customWidth="1"/>
    <col min="11275" max="11275" width="14.5703125" style="158" customWidth="1"/>
    <col min="11276" max="11276" width="12.42578125" style="158" customWidth="1"/>
    <col min="11277" max="11277" width="2.7109375" style="158" customWidth="1"/>
    <col min="11278" max="11520" width="9.140625" style="158"/>
    <col min="11521" max="11521" width="15.85546875" style="158" customWidth="1"/>
    <col min="11522" max="11522" width="28.85546875" style="158" customWidth="1"/>
    <col min="11523" max="11523" width="10.42578125" style="158" customWidth="1"/>
    <col min="11524" max="11524" width="10" style="158" customWidth="1"/>
    <col min="11525" max="11525" width="12" style="158" customWidth="1"/>
    <col min="11526" max="11528" width="12.85546875" style="158" customWidth="1"/>
    <col min="11529" max="11529" width="11.85546875" style="158" customWidth="1"/>
    <col min="11530" max="11530" width="13.28515625" style="158" customWidth="1"/>
    <col min="11531" max="11531" width="14.5703125" style="158" customWidth="1"/>
    <col min="11532" max="11532" width="12.42578125" style="158" customWidth="1"/>
    <col min="11533" max="11533" width="2.7109375" style="158" customWidth="1"/>
    <col min="11534" max="11776" width="9.140625" style="158"/>
    <col min="11777" max="11777" width="15.85546875" style="158" customWidth="1"/>
    <col min="11778" max="11778" width="28.85546875" style="158" customWidth="1"/>
    <col min="11779" max="11779" width="10.42578125" style="158" customWidth="1"/>
    <col min="11780" max="11780" width="10" style="158" customWidth="1"/>
    <col min="11781" max="11781" width="12" style="158" customWidth="1"/>
    <col min="11782" max="11784" width="12.85546875" style="158" customWidth="1"/>
    <col min="11785" max="11785" width="11.85546875" style="158" customWidth="1"/>
    <col min="11786" max="11786" width="13.28515625" style="158" customWidth="1"/>
    <col min="11787" max="11787" width="14.5703125" style="158" customWidth="1"/>
    <col min="11788" max="11788" width="12.42578125" style="158" customWidth="1"/>
    <col min="11789" max="11789" width="2.7109375" style="158" customWidth="1"/>
    <col min="11790" max="12032" width="9.140625" style="158"/>
    <col min="12033" max="12033" width="15.85546875" style="158" customWidth="1"/>
    <col min="12034" max="12034" width="28.85546875" style="158" customWidth="1"/>
    <col min="12035" max="12035" width="10.42578125" style="158" customWidth="1"/>
    <col min="12036" max="12036" width="10" style="158" customWidth="1"/>
    <col min="12037" max="12037" width="12" style="158" customWidth="1"/>
    <col min="12038" max="12040" width="12.85546875" style="158" customWidth="1"/>
    <col min="12041" max="12041" width="11.85546875" style="158" customWidth="1"/>
    <col min="12042" max="12042" width="13.28515625" style="158" customWidth="1"/>
    <col min="12043" max="12043" width="14.5703125" style="158" customWidth="1"/>
    <col min="12044" max="12044" width="12.42578125" style="158" customWidth="1"/>
    <col min="12045" max="12045" width="2.7109375" style="158" customWidth="1"/>
    <col min="12046" max="12288" width="9.140625" style="158"/>
    <col min="12289" max="12289" width="15.85546875" style="158" customWidth="1"/>
    <col min="12290" max="12290" width="28.85546875" style="158" customWidth="1"/>
    <col min="12291" max="12291" width="10.42578125" style="158" customWidth="1"/>
    <col min="12292" max="12292" width="10" style="158" customWidth="1"/>
    <col min="12293" max="12293" width="12" style="158" customWidth="1"/>
    <col min="12294" max="12296" width="12.85546875" style="158" customWidth="1"/>
    <col min="12297" max="12297" width="11.85546875" style="158" customWidth="1"/>
    <col min="12298" max="12298" width="13.28515625" style="158" customWidth="1"/>
    <col min="12299" max="12299" width="14.5703125" style="158" customWidth="1"/>
    <col min="12300" max="12300" width="12.42578125" style="158" customWidth="1"/>
    <col min="12301" max="12301" width="2.7109375" style="158" customWidth="1"/>
    <col min="12302" max="12544" width="9.140625" style="158"/>
    <col min="12545" max="12545" width="15.85546875" style="158" customWidth="1"/>
    <col min="12546" max="12546" width="28.85546875" style="158" customWidth="1"/>
    <col min="12547" max="12547" width="10.42578125" style="158" customWidth="1"/>
    <col min="12548" max="12548" width="10" style="158" customWidth="1"/>
    <col min="12549" max="12549" width="12" style="158" customWidth="1"/>
    <col min="12550" max="12552" width="12.85546875" style="158" customWidth="1"/>
    <col min="12553" max="12553" width="11.85546875" style="158" customWidth="1"/>
    <col min="12554" max="12554" width="13.28515625" style="158" customWidth="1"/>
    <col min="12555" max="12555" width="14.5703125" style="158" customWidth="1"/>
    <col min="12556" max="12556" width="12.42578125" style="158" customWidth="1"/>
    <col min="12557" max="12557" width="2.7109375" style="158" customWidth="1"/>
    <col min="12558" max="12800" width="9.140625" style="158"/>
    <col min="12801" max="12801" width="15.85546875" style="158" customWidth="1"/>
    <col min="12802" max="12802" width="28.85546875" style="158" customWidth="1"/>
    <col min="12803" max="12803" width="10.42578125" style="158" customWidth="1"/>
    <col min="12804" max="12804" width="10" style="158" customWidth="1"/>
    <col min="12805" max="12805" width="12" style="158" customWidth="1"/>
    <col min="12806" max="12808" width="12.85546875" style="158" customWidth="1"/>
    <col min="12809" max="12809" width="11.85546875" style="158" customWidth="1"/>
    <col min="12810" max="12810" width="13.28515625" style="158" customWidth="1"/>
    <col min="12811" max="12811" width="14.5703125" style="158" customWidth="1"/>
    <col min="12812" max="12812" width="12.42578125" style="158" customWidth="1"/>
    <col min="12813" max="12813" width="2.7109375" style="158" customWidth="1"/>
    <col min="12814" max="13056" width="9.140625" style="158"/>
    <col min="13057" max="13057" width="15.85546875" style="158" customWidth="1"/>
    <col min="13058" max="13058" width="28.85546875" style="158" customWidth="1"/>
    <col min="13059" max="13059" width="10.42578125" style="158" customWidth="1"/>
    <col min="13060" max="13060" width="10" style="158" customWidth="1"/>
    <col min="13061" max="13061" width="12" style="158" customWidth="1"/>
    <col min="13062" max="13064" width="12.85546875" style="158" customWidth="1"/>
    <col min="13065" max="13065" width="11.85546875" style="158" customWidth="1"/>
    <col min="13066" max="13066" width="13.28515625" style="158" customWidth="1"/>
    <col min="13067" max="13067" width="14.5703125" style="158" customWidth="1"/>
    <col min="13068" max="13068" width="12.42578125" style="158" customWidth="1"/>
    <col min="13069" max="13069" width="2.7109375" style="158" customWidth="1"/>
    <col min="13070" max="13312" width="9.140625" style="158"/>
    <col min="13313" max="13313" width="15.85546875" style="158" customWidth="1"/>
    <col min="13314" max="13314" width="28.85546875" style="158" customWidth="1"/>
    <col min="13315" max="13315" width="10.42578125" style="158" customWidth="1"/>
    <col min="13316" max="13316" width="10" style="158" customWidth="1"/>
    <col min="13317" max="13317" width="12" style="158" customWidth="1"/>
    <col min="13318" max="13320" width="12.85546875" style="158" customWidth="1"/>
    <col min="13321" max="13321" width="11.85546875" style="158" customWidth="1"/>
    <col min="13322" max="13322" width="13.28515625" style="158" customWidth="1"/>
    <col min="13323" max="13323" width="14.5703125" style="158" customWidth="1"/>
    <col min="13324" max="13324" width="12.42578125" style="158" customWidth="1"/>
    <col min="13325" max="13325" width="2.7109375" style="158" customWidth="1"/>
    <col min="13326" max="13568" width="9.140625" style="158"/>
    <col min="13569" max="13569" width="15.85546875" style="158" customWidth="1"/>
    <col min="13570" max="13570" width="28.85546875" style="158" customWidth="1"/>
    <col min="13571" max="13571" width="10.42578125" style="158" customWidth="1"/>
    <col min="13572" max="13572" width="10" style="158" customWidth="1"/>
    <col min="13573" max="13573" width="12" style="158" customWidth="1"/>
    <col min="13574" max="13576" width="12.85546875" style="158" customWidth="1"/>
    <col min="13577" max="13577" width="11.85546875" style="158" customWidth="1"/>
    <col min="13578" max="13578" width="13.28515625" style="158" customWidth="1"/>
    <col min="13579" max="13579" width="14.5703125" style="158" customWidth="1"/>
    <col min="13580" max="13580" width="12.42578125" style="158" customWidth="1"/>
    <col min="13581" max="13581" width="2.7109375" style="158" customWidth="1"/>
    <col min="13582" max="13824" width="9.140625" style="158"/>
    <col min="13825" max="13825" width="15.85546875" style="158" customWidth="1"/>
    <col min="13826" max="13826" width="28.85546875" style="158" customWidth="1"/>
    <col min="13827" max="13827" width="10.42578125" style="158" customWidth="1"/>
    <col min="13828" max="13828" width="10" style="158" customWidth="1"/>
    <col min="13829" max="13829" width="12" style="158" customWidth="1"/>
    <col min="13830" max="13832" width="12.85546875" style="158" customWidth="1"/>
    <col min="13833" max="13833" width="11.85546875" style="158" customWidth="1"/>
    <col min="13834" max="13834" width="13.28515625" style="158" customWidth="1"/>
    <col min="13835" max="13835" width="14.5703125" style="158" customWidth="1"/>
    <col min="13836" max="13836" width="12.42578125" style="158" customWidth="1"/>
    <col min="13837" max="13837" width="2.7109375" style="158" customWidth="1"/>
    <col min="13838" max="14080" width="9.140625" style="158"/>
    <col min="14081" max="14081" width="15.85546875" style="158" customWidth="1"/>
    <col min="14082" max="14082" width="28.85546875" style="158" customWidth="1"/>
    <col min="14083" max="14083" width="10.42578125" style="158" customWidth="1"/>
    <col min="14084" max="14084" width="10" style="158" customWidth="1"/>
    <col min="14085" max="14085" width="12" style="158" customWidth="1"/>
    <col min="14086" max="14088" width="12.85546875" style="158" customWidth="1"/>
    <col min="14089" max="14089" width="11.85546875" style="158" customWidth="1"/>
    <col min="14090" max="14090" width="13.28515625" style="158" customWidth="1"/>
    <col min="14091" max="14091" width="14.5703125" style="158" customWidth="1"/>
    <col min="14092" max="14092" width="12.42578125" style="158" customWidth="1"/>
    <col min="14093" max="14093" width="2.7109375" style="158" customWidth="1"/>
    <col min="14094" max="14336" width="9.140625" style="158"/>
    <col min="14337" max="14337" width="15.85546875" style="158" customWidth="1"/>
    <col min="14338" max="14338" width="28.85546875" style="158" customWidth="1"/>
    <col min="14339" max="14339" width="10.42578125" style="158" customWidth="1"/>
    <col min="14340" max="14340" width="10" style="158" customWidth="1"/>
    <col min="14341" max="14341" width="12" style="158" customWidth="1"/>
    <col min="14342" max="14344" width="12.85546875" style="158" customWidth="1"/>
    <col min="14345" max="14345" width="11.85546875" style="158" customWidth="1"/>
    <col min="14346" max="14346" width="13.28515625" style="158" customWidth="1"/>
    <col min="14347" max="14347" width="14.5703125" style="158" customWidth="1"/>
    <col min="14348" max="14348" width="12.42578125" style="158" customWidth="1"/>
    <col min="14349" max="14349" width="2.7109375" style="158" customWidth="1"/>
    <col min="14350" max="14592" width="9.140625" style="158"/>
    <col min="14593" max="14593" width="15.85546875" style="158" customWidth="1"/>
    <col min="14594" max="14594" width="28.85546875" style="158" customWidth="1"/>
    <col min="14595" max="14595" width="10.42578125" style="158" customWidth="1"/>
    <col min="14596" max="14596" width="10" style="158" customWidth="1"/>
    <col min="14597" max="14597" width="12" style="158" customWidth="1"/>
    <col min="14598" max="14600" width="12.85546875" style="158" customWidth="1"/>
    <col min="14601" max="14601" width="11.85546875" style="158" customWidth="1"/>
    <col min="14602" max="14602" width="13.28515625" style="158" customWidth="1"/>
    <col min="14603" max="14603" width="14.5703125" style="158" customWidth="1"/>
    <col min="14604" max="14604" width="12.42578125" style="158" customWidth="1"/>
    <col min="14605" max="14605" width="2.7109375" style="158" customWidth="1"/>
    <col min="14606" max="14848" width="9.140625" style="158"/>
    <col min="14849" max="14849" width="15.85546875" style="158" customWidth="1"/>
    <col min="14850" max="14850" width="28.85546875" style="158" customWidth="1"/>
    <col min="14851" max="14851" width="10.42578125" style="158" customWidth="1"/>
    <col min="14852" max="14852" width="10" style="158" customWidth="1"/>
    <col min="14853" max="14853" width="12" style="158" customWidth="1"/>
    <col min="14854" max="14856" width="12.85546875" style="158" customWidth="1"/>
    <col min="14857" max="14857" width="11.85546875" style="158" customWidth="1"/>
    <col min="14858" max="14858" width="13.28515625" style="158" customWidth="1"/>
    <col min="14859" max="14859" width="14.5703125" style="158" customWidth="1"/>
    <col min="14860" max="14860" width="12.42578125" style="158" customWidth="1"/>
    <col min="14861" max="14861" width="2.7109375" style="158" customWidth="1"/>
    <col min="14862" max="15104" width="9.140625" style="158"/>
    <col min="15105" max="15105" width="15.85546875" style="158" customWidth="1"/>
    <col min="15106" max="15106" width="28.85546875" style="158" customWidth="1"/>
    <col min="15107" max="15107" width="10.42578125" style="158" customWidth="1"/>
    <col min="15108" max="15108" width="10" style="158" customWidth="1"/>
    <col min="15109" max="15109" width="12" style="158" customWidth="1"/>
    <col min="15110" max="15112" width="12.85546875" style="158" customWidth="1"/>
    <col min="15113" max="15113" width="11.85546875" style="158" customWidth="1"/>
    <col min="15114" max="15114" width="13.28515625" style="158" customWidth="1"/>
    <col min="15115" max="15115" width="14.5703125" style="158" customWidth="1"/>
    <col min="15116" max="15116" width="12.42578125" style="158" customWidth="1"/>
    <col min="15117" max="15117" width="2.7109375" style="158" customWidth="1"/>
    <col min="15118" max="15360" width="9.140625" style="158"/>
    <col min="15361" max="15361" width="15.85546875" style="158" customWidth="1"/>
    <col min="15362" max="15362" width="28.85546875" style="158" customWidth="1"/>
    <col min="15363" max="15363" width="10.42578125" style="158" customWidth="1"/>
    <col min="15364" max="15364" width="10" style="158" customWidth="1"/>
    <col min="15365" max="15365" width="12" style="158" customWidth="1"/>
    <col min="15366" max="15368" width="12.85546875" style="158" customWidth="1"/>
    <col min="15369" max="15369" width="11.85546875" style="158" customWidth="1"/>
    <col min="15370" max="15370" width="13.28515625" style="158" customWidth="1"/>
    <col min="15371" max="15371" width="14.5703125" style="158" customWidth="1"/>
    <col min="15372" max="15372" width="12.42578125" style="158" customWidth="1"/>
    <col min="15373" max="15373" width="2.7109375" style="158" customWidth="1"/>
    <col min="15374" max="15616" width="9.140625" style="158"/>
    <col min="15617" max="15617" width="15.85546875" style="158" customWidth="1"/>
    <col min="15618" max="15618" width="28.85546875" style="158" customWidth="1"/>
    <col min="15619" max="15619" width="10.42578125" style="158" customWidth="1"/>
    <col min="15620" max="15620" width="10" style="158" customWidth="1"/>
    <col min="15621" max="15621" width="12" style="158" customWidth="1"/>
    <col min="15622" max="15624" width="12.85546875" style="158" customWidth="1"/>
    <col min="15625" max="15625" width="11.85546875" style="158" customWidth="1"/>
    <col min="15626" max="15626" width="13.28515625" style="158" customWidth="1"/>
    <col min="15627" max="15627" width="14.5703125" style="158" customWidth="1"/>
    <col min="15628" max="15628" width="12.42578125" style="158" customWidth="1"/>
    <col min="15629" max="15629" width="2.7109375" style="158" customWidth="1"/>
    <col min="15630" max="15872" width="9.140625" style="158"/>
    <col min="15873" max="15873" width="15.85546875" style="158" customWidth="1"/>
    <col min="15874" max="15874" width="28.85546875" style="158" customWidth="1"/>
    <col min="15875" max="15875" width="10.42578125" style="158" customWidth="1"/>
    <col min="15876" max="15876" width="10" style="158" customWidth="1"/>
    <col min="15877" max="15877" width="12" style="158" customWidth="1"/>
    <col min="15878" max="15880" width="12.85546875" style="158" customWidth="1"/>
    <col min="15881" max="15881" width="11.85546875" style="158" customWidth="1"/>
    <col min="15882" max="15882" width="13.28515625" style="158" customWidth="1"/>
    <col min="15883" max="15883" width="14.5703125" style="158" customWidth="1"/>
    <col min="15884" max="15884" width="12.42578125" style="158" customWidth="1"/>
    <col min="15885" max="15885" width="2.7109375" style="158" customWidth="1"/>
    <col min="15886" max="16128" width="9.140625" style="158"/>
    <col min="16129" max="16129" width="15.85546875" style="158" customWidth="1"/>
    <col min="16130" max="16130" width="28.85546875" style="158" customWidth="1"/>
    <col min="16131" max="16131" width="10.42578125" style="158" customWidth="1"/>
    <col min="16132" max="16132" width="10" style="158" customWidth="1"/>
    <col min="16133" max="16133" width="12" style="158" customWidth="1"/>
    <col min="16134" max="16136" width="12.85546875" style="158" customWidth="1"/>
    <col min="16137" max="16137" width="11.85546875" style="158" customWidth="1"/>
    <col min="16138" max="16138" width="13.28515625" style="158" customWidth="1"/>
    <col min="16139" max="16139" width="14.5703125" style="158" customWidth="1"/>
    <col min="16140" max="16140" width="12.42578125" style="158" customWidth="1"/>
    <col min="16141" max="16141" width="2.7109375" style="158" customWidth="1"/>
    <col min="16142" max="16384" width="9.140625" style="158"/>
  </cols>
  <sheetData>
    <row r="1" spans="1:16" ht="21" customHeight="1" x14ac:dyDescent="0.2">
      <c r="A1" s="1296" t="s">
        <v>110</v>
      </c>
      <c r="B1" s="1297"/>
      <c r="C1" s="1297"/>
      <c r="D1" s="1297"/>
      <c r="E1" s="1297"/>
      <c r="F1" s="1297"/>
      <c r="G1" s="1297"/>
      <c r="H1" s="1297"/>
      <c r="I1" s="1297"/>
      <c r="J1" s="1297"/>
      <c r="K1" s="1297"/>
      <c r="L1" s="1298"/>
    </row>
    <row r="2" spans="1:16" ht="19.5" customHeight="1" x14ac:dyDescent="0.2">
      <c r="A2" s="159" t="s">
        <v>111</v>
      </c>
      <c r="B2" s="160"/>
      <c r="C2" s="160"/>
      <c r="D2" s="160"/>
      <c r="E2" s="161" t="s">
        <v>112</v>
      </c>
      <c r="F2" s="160" t="s">
        <v>113</v>
      </c>
      <c r="G2" s="160"/>
      <c r="H2" s="161" t="s">
        <v>114</v>
      </c>
      <c r="I2" s="162">
        <v>3.5150000000000001E-2</v>
      </c>
      <c r="J2" s="161"/>
      <c r="K2" s="163"/>
      <c r="L2" s="164"/>
    </row>
    <row r="3" spans="1:16" ht="21" customHeight="1" x14ac:dyDescent="0.2">
      <c r="A3" s="165" t="s">
        <v>115</v>
      </c>
      <c r="B3" s="166" t="s">
        <v>116</v>
      </c>
      <c r="C3" s="167"/>
      <c r="D3" s="167"/>
      <c r="E3" s="167"/>
      <c r="F3" s="167"/>
      <c r="G3" s="167"/>
      <c r="H3" s="167"/>
      <c r="I3" s="167"/>
      <c r="J3" s="168" t="s">
        <v>117</v>
      </c>
      <c r="K3" s="169">
        <v>230.19</v>
      </c>
      <c r="L3" s="170" t="s">
        <v>118</v>
      </c>
    </row>
    <row r="4" spans="1:16" ht="14.25" customHeight="1" x14ac:dyDescent="0.2">
      <c r="A4" s="1225" t="s">
        <v>119</v>
      </c>
      <c r="B4" s="1227" t="s">
        <v>120</v>
      </c>
      <c r="C4" s="172"/>
      <c r="D4" s="1227" t="s">
        <v>121</v>
      </c>
      <c r="E4" s="1227" t="s">
        <v>122</v>
      </c>
      <c r="F4" s="1230"/>
      <c r="G4" s="1249" t="s">
        <v>123</v>
      </c>
      <c r="H4" s="1229"/>
      <c r="I4" s="1250"/>
      <c r="J4" s="1249" t="s">
        <v>124</v>
      </c>
      <c r="K4" s="1229"/>
      <c r="L4" s="1250"/>
    </row>
    <row r="5" spans="1:16" ht="12.75" customHeight="1" x14ac:dyDescent="0.2">
      <c r="A5" s="1299"/>
      <c r="B5" s="1300"/>
      <c r="C5" s="177"/>
      <c r="D5" s="1300"/>
      <c r="E5" s="1228"/>
      <c r="F5" s="1231"/>
      <c r="G5" s="1249" t="s">
        <v>125</v>
      </c>
      <c r="H5" s="1250"/>
      <c r="I5" s="173" t="s">
        <v>28</v>
      </c>
      <c r="J5" s="1249" t="s">
        <v>125</v>
      </c>
      <c r="K5" s="1229"/>
      <c r="L5" s="179" t="s">
        <v>28</v>
      </c>
    </row>
    <row r="6" spans="1:16" ht="12.75" customHeight="1" x14ac:dyDescent="0.2">
      <c r="A6" s="1226"/>
      <c r="B6" s="1228"/>
      <c r="C6" s="181"/>
      <c r="D6" s="1228"/>
      <c r="E6" s="178" t="s">
        <v>126</v>
      </c>
      <c r="F6" s="178" t="s">
        <v>127</v>
      </c>
      <c r="G6" s="180" t="s">
        <v>128</v>
      </c>
      <c r="H6" s="178" t="s">
        <v>129</v>
      </c>
      <c r="I6" s="182" t="s">
        <v>29</v>
      </c>
      <c r="J6" s="180" t="s">
        <v>128</v>
      </c>
      <c r="K6" s="178" t="s">
        <v>129</v>
      </c>
      <c r="L6" s="183" t="s">
        <v>29</v>
      </c>
    </row>
    <row r="7" spans="1:16" ht="26.25" customHeight="1" x14ac:dyDescent="0.2">
      <c r="A7" s="184" t="s">
        <v>95</v>
      </c>
      <c r="B7" s="1266" t="s">
        <v>418</v>
      </c>
      <c r="C7" s="1266"/>
      <c r="D7" s="186">
        <v>1</v>
      </c>
      <c r="E7" s="187">
        <v>1</v>
      </c>
      <c r="F7" s="187">
        <v>0</v>
      </c>
      <c r="G7" s="184">
        <v>314.16250000000002</v>
      </c>
      <c r="H7" s="188">
        <v>141.3065</v>
      </c>
      <c r="I7" s="189">
        <f>TRUNC(D7*((E7*G7)+(H7*F7)),4)</f>
        <v>314.16250000000002</v>
      </c>
      <c r="J7" s="184">
        <v>310.75470000000001</v>
      </c>
      <c r="K7" s="190">
        <v>137.89869999999999</v>
      </c>
      <c r="L7" s="191">
        <f>TRUNC(D7*((E7*J7)+(K7*F7)),4)</f>
        <v>310.75470000000001</v>
      </c>
      <c r="P7" s="158" t="s">
        <v>130</v>
      </c>
    </row>
    <row r="8" spans="1:16" x14ac:dyDescent="0.2">
      <c r="A8" s="184"/>
      <c r="B8" s="192"/>
      <c r="C8" s="193"/>
      <c r="D8" s="186"/>
      <c r="E8" s="187"/>
      <c r="F8" s="187"/>
      <c r="G8" s="184"/>
      <c r="H8" s="188"/>
      <c r="I8" s="189"/>
      <c r="J8" s="184"/>
      <c r="K8" s="188"/>
      <c r="L8" s="191"/>
    </row>
    <row r="9" spans="1:16" x14ac:dyDescent="0.2">
      <c r="A9" s="184"/>
      <c r="B9" s="192"/>
      <c r="C9" s="193"/>
      <c r="D9" s="186"/>
      <c r="E9" s="187"/>
      <c r="F9" s="187"/>
      <c r="G9" s="184"/>
      <c r="H9" s="188"/>
      <c r="I9" s="189"/>
      <c r="J9" s="184"/>
      <c r="K9" s="188"/>
      <c r="L9" s="191"/>
    </row>
    <row r="10" spans="1:16" x14ac:dyDescent="0.2">
      <c r="A10" s="184"/>
      <c r="B10" s="192"/>
      <c r="C10" s="193"/>
      <c r="D10" s="186"/>
      <c r="E10" s="187"/>
      <c r="F10" s="187"/>
      <c r="G10" s="184"/>
      <c r="H10" s="188"/>
      <c r="I10" s="189"/>
      <c r="J10" s="184"/>
      <c r="K10" s="188"/>
      <c r="L10" s="191"/>
    </row>
    <row r="11" spans="1:16" ht="15" customHeight="1" x14ac:dyDescent="0.2">
      <c r="A11" s="1221" t="s">
        <v>131</v>
      </c>
      <c r="B11" s="1222"/>
      <c r="C11" s="1222"/>
      <c r="D11" s="1222"/>
      <c r="E11" s="1222"/>
      <c r="F11" s="1222"/>
      <c r="G11" s="1222"/>
      <c r="H11" s="1295"/>
      <c r="I11" s="194">
        <f>SUM(I7:I10)</f>
        <v>314.16250000000002</v>
      </c>
      <c r="J11" s="195"/>
      <c r="K11" s="196"/>
      <c r="L11" s="197">
        <f>SUM(L7:L10)</f>
        <v>310.75470000000001</v>
      </c>
      <c r="N11" s="198"/>
    </row>
    <row r="12" spans="1:16" ht="15" customHeight="1" x14ac:dyDescent="0.2">
      <c r="A12" s="1225" t="s">
        <v>132</v>
      </c>
      <c r="B12" s="1227" t="s">
        <v>133</v>
      </c>
      <c r="C12" s="199"/>
      <c r="D12" s="1227" t="s">
        <v>121</v>
      </c>
      <c r="E12" s="1227" t="s">
        <v>27</v>
      </c>
      <c r="F12" s="199"/>
      <c r="G12" s="1249" t="s">
        <v>123</v>
      </c>
      <c r="H12" s="1229"/>
      <c r="I12" s="1250"/>
      <c r="J12" s="1249" t="s">
        <v>124</v>
      </c>
      <c r="K12" s="1229"/>
      <c r="L12" s="1250"/>
      <c r="N12" s="198"/>
    </row>
    <row r="13" spans="1:16" ht="15" customHeight="1" x14ac:dyDescent="0.2">
      <c r="A13" s="1226"/>
      <c r="B13" s="1228"/>
      <c r="C13" s="181"/>
      <c r="D13" s="1228"/>
      <c r="E13" s="1228"/>
      <c r="F13" s="200"/>
      <c r="G13" s="180" t="s">
        <v>134</v>
      </c>
      <c r="H13" s="1228" t="s">
        <v>135</v>
      </c>
      <c r="I13" s="1231"/>
      <c r="J13" s="180" t="s">
        <v>134</v>
      </c>
      <c r="K13" s="1228" t="s">
        <v>135</v>
      </c>
      <c r="L13" s="1231"/>
    </row>
    <row r="14" spans="1:16" ht="15" customHeight="1" x14ac:dyDescent="0.2">
      <c r="A14" s="201" t="s">
        <v>136</v>
      </c>
      <c r="B14" s="202" t="s">
        <v>2964</v>
      </c>
      <c r="C14" s="203"/>
      <c r="D14" s="204">
        <v>1</v>
      </c>
      <c r="E14" s="205" t="s">
        <v>2890</v>
      </c>
      <c r="F14" s="206"/>
      <c r="G14" s="207">
        <v>23.134599999999999</v>
      </c>
      <c r="H14" s="1279">
        <f>TRUNC(G14*D14,4)</f>
        <v>23.134599999999999</v>
      </c>
      <c r="I14" s="1280"/>
      <c r="J14" s="207">
        <v>21.025300000000001</v>
      </c>
      <c r="K14" s="1279">
        <f>TRUNC(J14*D14,4)</f>
        <v>21.025300000000001</v>
      </c>
      <c r="L14" s="1280"/>
    </row>
    <row r="15" spans="1:16" ht="15" customHeight="1" x14ac:dyDescent="0.2">
      <c r="A15" s="208"/>
      <c r="B15" s="209"/>
      <c r="C15" s="210"/>
      <c r="D15" s="211"/>
      <c r="E15" s="212"/>
      <c r="G15" s="213"/>
      <c r="H15" s="1270"/>
      <c r="I15" s="1271"/>
      <c r="J15" s="213"/>
      <c r="K15" s="1270"/>
      <c r="L15" s="1271"/>
    </row>
    <row r="16" spans="1:16" ht="15" customHeight="1" x14ac:dyDescent="0.2">
      <c r="A16" s="208"/>
      <c r="B16" s="209"/>
      <c r="C16" s="210"/>
      <c r="D16" s="211"/>
      <c r="E16" s="212"/>
      <c r="G16" s="213"/>
      <c r="H16" s="1270"/>
      <c r="I16" s="1271"/>
      <c r="J16" s="213"/>
      <c r="K16" s="1270"/>
      <c r="L16" s="1271"/>
    </row>
    <row r="17" spans="1:17" ht="15" customHeight="1" x14ac:dyDescent="0.2">
      <c r="A17" s="208"/>
      <c r="B17" s="209"/>
      <c r="C17" s="210"/>
      <c r="D17" s="211"/>
      <c r="E17" s="212"/>
      <c r="G17" s="213"/>
      <c r="H17" s="1289"/>
      <c r="I17" s="1290"/>
      <c r="J17" s="213"/>
      <c r="K17" s="1270"/>
      <c r="L17" s="1271"/>
    </row>
    <row r="18" spans="1:17" ht="15" customHeight="1" x14ac:dyDescent="0.2">
      <c r="A18" s="1291" t="s">
        <v>137</v>
      </c>
      <c r="B18" s="1292"/>
      <c r="C18" s="1292"/>
      <c r="D18" s="1292"/>
      <c r="E18" s="1292"/>
      <c r="F18" s="1292"/>
      <c r="G18" s="1292"/>
      <c r="H18" s="1293">
        <f>SUM(H14:I17)</f>
        <v>23.134599999999999</v>
      </c>
      <c r="I18" s="1293"/>
      <c r="J18" s="214"/>
      <c r="K18" s="1293">
        <f>SUM(K14:L17)</f>
        <v>21.025300000000001</v>
      </c>
      <c r="L18" s="1294"/>
    </row>
    <row r="19" spans="1:17" ht="15" customHeight="1" x14ac:dyDescent="0.2">
      <c r="A19" s="1281" t="s">
        <v>138</v>
      </c>
      <c r="B19" s="1282"/>
      <c r="C19" s="1282"/>
      <c r="D19" s="1282"/>
      <c r="E19" s="1282"/>
      <c r="F19" s="1282"/>
      <c r="G19" s="1282"/>
      <c r="H19" s="1283">
        <f>H18+I11</f>
        <v>337.2971</v>
      </c>
      <c r="I19" s="1283"/>
      <c r="J19" s="215"/>
      <c r="K19" s="1283">
        <f>K18+L11</f>
        <v>331.78000000000003</v>
      </c>
      <c r="L19" s="1284"/>
    </row>
    <row r="20" spans="1:17" ht="15" customHeight="1" x14ac:dyDescent="0.2">
      <c r="A20" s="1285" t="s">
        <v>139</v>
      </c>
      <c r="B20" s="1286"/>
      <c r="C20" s="1286"/>
      <c r="D20" s="1286"/>
      <c r="E20" s="1286"/>
      <c r="F20" s="1286"/>
      <c r="G20" s="1286"/>
      <c r="H20" s="1287">
        <f>(H18+I11)/K3</f>
        <v>1.4652986663191276</v>
      </c>
      <c r="I20" s="1288"/>
      <c r="J20" s="216"/>
      <c r="K20" s="1287">
        <f>(K18+L11)/K3</f>
        <v>1.4413310743299015</v>
      </c>
      <c r="L20" s="1288"/>
    </row>
    <row r="21" spans="1:17" ht="15" customHeight="1" x14ac:dyDescent="0.2">
      <c r="A21" s="1274" t="s">
        <v>140</v>
      </c>
      <c r="B21" s="1275"/>
      <c r="C21" s="1275"/>
      <c r="D21" s="1275"/>
      <c r="E21" s="1275"/>
      <c r="F21" s="1275"/>
      <c r="G21" s="1275"/>
      <c r="H21" s="1276">
        <f>TRUNC(H20*I2,4)</f>
        <v>5.1499999999999997E-2</v>
      </c>
      <c r="I21" s="1277"/>
      <c r="J21" s="217"/>
      <c r="K21" s="1276">
        <f>TRUNC(K20*I2,4)</f>
        <v>5.0599999999999999E-2</v>
      </c>
      <c r="L21" s="1277"/>
    </row>
    <row r="22" spans="1:17" ht="15" customHeight="1" x14ac:dyDescent="0.2">
      <c r="A22" s="174" t="s">
        <v>141</v>
      </c>
      <c r="B22" s="175" t="s">
        <v>142</v>
      </c>
      <c r="C22" s="218"/>
      <c r="D22" s="175" t="s">
        <v>121</v>
      </c>
      <c r="E22" s="175" t="s">
        <v>143</v>
      </c>
      <c r="F22" s="218"/>
      <c r="G22" s="219"/>
      <c r="H22" s="219" t="s">
        <v>144</v>
      </c>
      <c r="I22" s="219"/>
      <c r="J22" s="175"/>
      <c r="K22" s="1229" t="s">
        <v>145</v>
      </c>
      <c r="L22" s="1250"/>
      <c r="M22" s="220"/>
    </row>
    <row r="23" spans="1:17" ht="12" customHeight="1" x14ac:dyDescent="0.2">
      <c r="A23" s="221"/>
      <c r="B23" s="202"/>
      <c r="C23" s="222"/>
      <c r="D23" s="223"/>
      <c r="E23" s="224"/>
      <c r="F23" s="222"/>
      <c r="G23" s="1278"/>
      <c r="H23" s="1278"/>
      <c r="I23" s="1278"/>
      <c r="J23" s="171"/>
      <c r="K23" s="1279"/>
      <c r="L23" s="1280"/>
      <c r="M23" s="220"/>
      <c r="O23" s="158" t="s">
        <v>146</v>
      </c>
    </row>
    <row r="24" spans="1:17" ht="12" hidden="1" customHeight="1" x14ac:dyDescent="0.2">
      <c r="A24" s="225"/>
      <c r="B24" s="209"/>
      <c r="C24" s="226"/>
      <c r="D24" s="186"/>
      <c r="E24" s="188"/>
      <c r="F24" s="226"/>
      <c r="G24" s="1269"/>
      <c r="H24" s="1269"/>
      <c r="I24" s="1269"/>
      <c r="J24" s="176"/>
      <c r="K24" s="1270"/>
      <c r="L24" s="1271"/>
      <c r="M24" s="220"/>
    </row>
    <row r="25" spans="1:17" ht="12" customHeight="1" x14ac:dyDescent="0.2">
      <c r="A25" s="225"/>
      <c r="B25" s="209"/>
      <c r="C25" s="226"/>
      <c r="D25" s="186"/>
      <c r="E25" s="188"/>
      <c r="F25" s="226"/>
      <c r="G25" s="1269"/>
      <c r="H25" s="1269"/>
      <c r="I25" s="1269"/>
      <c r="J25" s="176"/>
      <c r="K25" s="1270"/>
      <c r="L25" s="1271"/>
      <c r="M25" s="220"/>
    </row>
    <row r="26" spans="1:17" ht="15" customHeight="1" x14ac:dyDescent="0.2">
      <c r="A26" s="1221" t="s">
        <v>147</v>
      </c>
      <c r="B26" s="1222"/>
      <c r="C26" s="1222"/>
      <c r="D26" s="1222"/>
      <c r="E26" s="1222"/>
      <c r="F26" s="1222"/>
      <c r="G26" s="1222"/>
      <c r="H26" s="1222"/>
      <c r="I26" s="1222"/>
      <c r="J26" s="1222"/>
      <c r="K26" s="1272">
        <f>SUM(K23:L25)</f>
        <v>0</v>
      </c>
      <c r="L26" s="1273"/>
      <c r="M26" s="227"/>
    </row>
    <row r="27" spans="1:17" ht="12" customHeight="1" x14ac:dyDescent="0.2">
      <c r="A27" s="1225" t="s">
        <v>148</v>
      </c>
      <c r="B27" s="1227" t="s">
        <v>149</v>
      </c>
      <c r="C27" s="199"/>
      <c r="D27" s="1227"/>
      <c r="E27" s="1227" t="s">
        <v>121</v>
      </c>
      <c r="F27" s="1230" t="s">
        <v>143</v>
      </c>
      <c r="G27" s="1249" t="s">
        <v>123</v>
      </c>
      <c r="H27" s="1229"/>
      <c r="I27" s="1250"/>
      <c r="J27" s="1249" t="s">
        <v>124</v>
      </c>
      <c r="K27" s="1229"/>
      <c r="L27" s="1250"/>
      <c r="M27" s="227"/>
    </row>
    <row r="28" spans="1:17" ht="15" customHeight="1" x14ac:dyDescent="0.2">
      <c r="A28" s="1226"/>
      <c r="B28" s="1228"/>
      <c r="C28" s="181"/>
      <c r="D28" s="1228"/>
      <c r="E28" s="1228"/>
      <c r="F28" s="1231"/>
      <c r="G28" s="180" t="s">
        <v>145</v>
      </c>
      <c r="H28" s="1228" t="s">
        <v>150</v>
      </c>
      <c r="I28" s="1231"/>
      <c r="J28" s="180" t="s">
        <v>145</v>
      </c>
      <c r="K28" s="1228" t="s">
        <v>150</v>
      </c>
      <c r="L28" s="1231"/>
      <c r="M28" s="227"/>
    </row>
    <row r="29" spans="1:17" x14ac:dyDescent="0.2">
      <c r="A29" s="221"/>
      <c r="B29" s="1266"/>
      <c r="C29" s="1266"/>
      <c r="D29" s="224"/>
      <c r="E29" s="223"/>
      <c r="F29" s="224"/>
      <c r="G29" s="228"/>
      <c r="H29" s="1267"/>
      <c r="I29" s="1267"/>
      <c r="J29" s="207"/>
      <c r="K29" s="1267"/>
      <c r="L29" s="1268"/>
      <c r="M29" s="227"/>
      <c r="Q29" s="158">
        <v>1109671</v>
      </c>
    </row>
    <row r="30" spans="1:17" ht="0.75" customHeight="1" x14ac:dyDescent="0.2">
      <c r="A30" s="184"/>
      <c r="B30" s="1260"/>
      <c r="C30" s="1260"/>
      <c r="D30" s="188"/>
      <c r="E30" s="186"/>
      <c r="F30" s="188"/>
      <c r="G30" s="190"/>
      <c r="H30" s="1261"/>
      <c r="I30" s="1262"/>
      <c r="J30" s="213"/>
      <c r="K30" s="1261"/>
      <c r="L30" s="1262"/>
      <c r="M30" s="227"/>
      <c r="Q30" s="158">
        <v>1106165</v>
      </c>
    </row>
    <row r="31" spans="1:17" hidden="1" x14ac:dyDescent="0.2">
      <c r="A31" s="229"/>
      <c r="B31" s="1263"/>
      <c r="C31" s="1263"/>
      <c r="D31" s="231"/>
      <c r="E31" s="232"/>
      <c r="F31" s="231"/>
      <c r="G31" s="233"/>
      <c r="H31" s="1264"/>
      <c r="I31" s="1265"/>
      <c r="J31" s="234"/>
      <c r="K31" s="1264"/>
      <c r="L31" s="1265"/>
      <c r="M31" s="227"/>
      <c r="Q31" s="158">
        <v>3103302</v>
      </c>
    </row>
    <row r="32" spans="1:17" x14ac:dyDescent="0.2">
      <c r="A32" s="1253" t="s">
        <v>151</v>
      </c>
      <c r="B32" s="1254"/>
      <c r="C32" s="1254"/>
      <c r="D32" s="1254"/>
      <c r="E32" s="1254"/>
      <c r="F32" s="1254"/>
      <c r="G32" s="1254"/>
      <c r="H32" s="1255">
        <f>SUM(H29:I31)</f>
        <v>0</v>
      </c>
      <c r="I32" s="1255"/>
      <c r="J32" s="235"/>
      <c r="K32" s="1256">
        <f>SUM(K29:L31)</f>
        <v>0</v>
      </c>
      <c r="L32" s="1257"/>
      <c r="M32" s="227"/>
    </row>
    <row r="33" spans="1:13" x14ac:dyDescent="0.2">
      <c r="A33" s="1221" t="s">
        <v>152</v>
      </c>
      <c r="B33" s="1222"/>
      <c r="C33" s="1222"/>
      <c r="D33" s="1222"/>
      <c r="E33" s="1222"/>
      <c r="F33" s="1222"/>
      <c r="G33" s="1222"/>
      <c r="H33" s="1223">
        <f>H20+K26+H32+H21</f>
        <v>1.5167986663191277</v>
      </c>
      <c r="I33" s="1223"/>
      <c r="J33" s="236"/>
      <c r="K33" s="1258">
        <f>K20+K26+K32+K21</f>
        <v>1.4919310743299015</v>
      </c>
      <c r="L33" s="1259"/>
      <c r="M33" s="227"/>
    </row>
    <row r="34" spans="1:13" ht="15" customHeight="1" x14ac:dyDescent="0.2">
      <c r="A34" s="1225" t="s">
        <v>153</v>
      </c>
      <c r="B34" s="1227" t="s">
        <v>154</v>
      </c>
      <c r="C34" s="199"/>
      <c r="D34" s="1227" t="s">
        <v>155</v>
      </c>
      <c r="E34" s="1227" t="s">
        <v>121</v>
      </c>
      <c r="F34" s="1230" t="s">
        <v>143</v>
      </c>
      <c r="G34" s="1249" t="s">
        <v>123</v>
      </c>
      <c r="H34" s="1229"/>
      <c r="I34" s="1250"/>
      <c r="J34" s="1249" t="s">
        <v>124</v>
      </c>
      <c r="K34" s="1229"/>
      <c r="L34" s="1250"/>
      <c r="M34" s="227"/>
    </row>
    <row r="35" spans="1:13" ht="15" customHeight="1" x14ac:dyDescent="0.2">
      <c r="A35" s="1226"/>
      <c r="B35" s="1228"/>
      <c r="C35" s="181"/>
      <c r="D35" s="1228"/>
      <c r="E35" s="1228"/>
      <c r="F35" s="1231"/>
      <c r="G35" s="180" t="s">
        <v>145</v>
      </c>
      <c r="H35" s="1228" t="s">
        <v>150</v>
      </c>
      <c r="I35" s="1231"/>
      <c r="J35" s="180" t="s">
        <v>145</v>
      </c>
      <c r="K35" s="1228" t="s">
        <v>150</v>
      </c>
      <c r="L35" s="1231"/>
      <c r="M35" s="227"/>
    </row>
    <row r="36" spans="1:13" ht="15" customHeight="1" x14ac:dyDescent="0.2">
      <c r="A36" s="221"/>
      <c r="B36" s="202"/>
      <c r="C36" s="202"/>
      <c r="D36" s="237"/>
      <c r="E36" s="204"/>
      <c r="F36" s="237"/>
      <c r="G36" s="238"/>
      <c r="H36" s="1251"/>
      <c r="I36" s="1252"/>
      <c r="J36" s="239"/>
      <c r="K36" s="1251"/>
      <c r="L36" s="1252"/>
      <c r="M36" s="227"/>
    </row>
    <row r="37" spans="1:13" ht="12" customHeight="1" x14ac:dyDescent="0.2">
      <c r="A37" s="184"/>
      <c r="B37" s="209"/>
      <c r="C37" s="209"/>
      <c r="D37" s="240"/>
      <c r="E37" s="241"/>
      <c r="F37" s="240"/>
      <c r="G37" s="242"/>
      <c r="H37" s="1247"/>
      <c r="I37" s="1248"/>
      <c r="J37" s="243"/>
      <c r="K37" s="1247"/>
      <c r="L37" s="1248"/>
      <c r="M37" s="227"/>
    </row>
    <row r="38" spans="1:13" ht="12" customHeight="1" x14ac:dyDescent="0.2">
      <c r="A38" s="1221" t="s">
        <v>156</v>
      </c>
      <c r="B38" s="1222"/>
      <c r="C38" s="1222"/>
      <c r="D38" s="1222"/>
      <c r="E38" s="1222"/>
      <c r="F38" s="1222"/>
      <c r="G38" s="1222"/>
      <c r="H38" s="1223">
        <f>SUM(H36:I37)</f>
        <v>0</v>
      </c>
      <c r="I38" s="1224"/>
      <c r="J38" s="244"/>
      <c r="K38" s="1223">
        <f>SUM(K36:L37)</f>
        <v>0</v>
      </c>
      <c r="L38" s="1224"/>
      <c r="M38" s="227"/>
    </row>
    <row r="39" spans="1:13" ht="15" customHeight="1" x14ac:dyDescent="0.2">
      <c r="A39" s="1225" t="s">
        <v>157</v>
      </c>
      <c r="B39" s="1227" t="s">
        <v>158</v>
      </c>
      <c r="C39" s="199"/>
      <c r="D39" s="222"/>
      <c r="E39" s="1227" t="s">
        <v>121</v>
      </c>
      <c r="F39" s="1227" t="s">
        <v>143</v>
      </c>
      <c r="G39" s="1229" t="s">
        <v>159</v>
      </c>
      <c r="H39" s="1229"/>
      <c r="I39" s="1229"/>
      <c r="J39" s="1227" t="s">
        <v>145</v>
      </c>
      <c r="K39" s="1227"/>
      <c r="L39" s="1230"/>
      <c r="M39" s="227"/>
    </row>
    <row r="40" spans="1:13" ht="15" customHeight="1" x14ac:dyDescent="0.2">
      <c r="A40" s="1226"/>
      <c r="B40" s="1228"/>
      <c r="C40" s="181"/>
      <c r="D40" s="200"/>
      <c r="E40" s="1228"/>
      <c r="F40" s="1228"/>
      <c r="G40" s="178" t="s">
        <v>160</v>
      </c>
      <c r="H40" s="178" t="s">
        <v>161</v>
      </c>
      <c r="I40" s="178" t="s">
        <v>162</v>
      </c>
      <c r="J40" s="1228"/>
      <c r="K40" s="1228"/>
      <c r="L40" s="1231"/>
      <c r="M40" s="227"/>
    </row>
    <row r="41" spans="1:13" x14ac:dyDescent="0.2">
      <c r="A41" s="221"/>
      <c r="B41" s="202"/>
      <c r="C41" s="245"/>
      <c r="D41" s="222"/>
      <c r="E41" s="204"/>
      <c r="F41" s="237"/>
      <c r="G41" s="224"/>
      <c r="H41" s="224"/>
      <c r="I41" s="224"/>
      <c r="J41" s="171"/>
      <c r="K41" s="171"/>
      <c r="L41" s="173"/>
      <c r="M41" s="227"/>
    </row>
    <row r="42" spans="1:13" x14ac:dyDescent="0.2">
      <c r="A42" s="184"/>
      <c r="B42" s="209"/>
      <c r="C42" s="246"/>
      <c r="E42" s="241"/>
      <c r="F42" s="240"/>
      <c r="G42" s="188"/>
      <c r="H42" s="188"/>
      <c r="I42" s="188"/>
      <c r="J42" s="247"/>
      <c r="K42" s="248"/>
      <c r="L42" s="249"/>
      <c r="M42" s="227"/>
    </row>
    <row r="43" spans="1:13" x14ac:dyDescent="0.2">
      <c r="A43" s="1232" t="s">
        <v>163</v>
      </c>
      <c r="B43" s="1233"/>
      <c r="C43" s="1233"/>
      <c r="D43" s="1233"/>
      <c r="E43" s="1233"/>
      <c r="F43" s="1234"/>
      <c r="G43" s="1238" t="s">
        <v>123</v>
      </c>
      <c r="H43" s="1239"/>
      <c r="I43" s="1240"/>
      <c r="J43" s="1238" t="s">
        <v>124</v>
      </c>
      <c r="K43" s="1239"/>
      <c r="L43" s="1240"/>
      <c r="M43" s="227"/>
    </row>
    <row r="44" spans="1:13" x14ac:dyDescent="0.2">
      <c r="A44" s="1235"/>
      <c r="B44" s="1236"/>
      <c r="C44" s="1236"/>
      <c r="D44" s="1236"/>
      <c r="E44" s="1236"/>
      <c r="F44" s="1237"/>
      <c r="G44" s="1241">
        <f>TRUNC(H38+H33,2)</f>
        <v>1.51</v>
      </c>
      <c r="H44" s="1242"/>
      <c r="I44" s="1243"/>
      <c r="J44" s="1244">
        <f>TRUNC(K38+K33,2)</f>
        <v>1.49</v>
      </c>
      <c r="K44" s="1245"/>
      <c r="L44" s="1246"/>
    </row>
    <row r="45" spans="1:13" x14ac:dyDescent="0.2">
      <c r="A45" s="1220" t="s">
        <v>164</v>
      </c>
      <c r="B45" s="1220"/>
      <c r="C45" s="1220"/>
      <c r="D45" s="1220"/>
      <c r="E45" s="1220"/>
      <c r="F45" s="1220"/>
      <c r="G45" s="1220"/>
      <c r="H45" s="1220"/>
      <c r="I45" s="1220"/>
      <c r="J45" s="1220"/>
      <c r="K45" s="1220"/>
      <c r="L45" s="1220"/>
    </row>
  </sheetData>
  <mergeCells count="100">
    <mergeCell ref="A1:L1"/>
    <mergeCell ref="A4:A6"/>
    <mergeCell ref="B4:B6"/>
    <mergeCell ref="D4:D6"/>
    <mergeCell ref="E4:F5"/>
    <mergeCell ref="G4:I4"/>
    <mergeCell ref="J4:L4"/>
    <mergeCell ref="G5:H5"/>
    <mergeCell ref="J5:K5"/>
    <mergeCell ref="H15:I15"/>
    <mergeCell ref="K15:L15"/>
    <mergeCell ref="B7:C7"/>
    <mergeCell ref="A11:H11"/>
    <mergeCell ref="A12:A13"/>
    <mergeCell ref="B12:B13"/>
    <mergeCell ref="D12:D13"/>
    <mergeCell ref="E12:E13"/>
    <mergeCell ref="G12:I12"/>
    <mergeCell ref="J12:L12"/>
    <mergeCell ref="H13:I13"/>
    <mergeCell ref="K13:L13"/>
    <mergeCell ref="H14:I14"/>
    <mergeCell ref="K14:L14"/>
    <mergeCell ref="H16:I16"/>
    <mergeCell ref="K16:L16"/>
    <mergeCell ref="H17:I17"/>
    <mergeCell ref="K17:L17"/>
    <mergeCell ref="A18:G18"/>
    <mergeCell ref="H18:I18"/>
    <mergeCell ref="K18:L18"/>
    <mergeCell ref="A19:G19"/>
    <mergeCell ref="H19:I19"/>
    <mergeCell ref="K19:L19"/>
    <mergeCell ref="A20:G20"/>
    <mergeCell ref="H20:I20"/>
    <mergeCell ref="K20:L20"/>
    <mergeCell ref="A21:G21"/>
    <mergeCell ref="H21:I21"/>
    <mergeCell ref="K21:L21"/>
    <mergeCell ref="K22:L22"/>
    <mergeCell ref="G23:I23"/>
    <mergeCell ref="K23:L23"/>
    <mergeCell ref="G24:I24"/>
    <mergeCell ref="K24:L24"/>
    <mergeCell ref="G25:I25"/>
    <mergeCell ref="K25:L25"/>
    <mergeCell ref="A26:J26"/>
    <mergeCell ref="K26:L26"/>
    <mergeCell ref="A27:A28"/>
    <mergeCell ref="B27:B28"/>
    <mergeCell ref="D27:D28"/>
    <mergeCell ref="E27:E28"/>
    <mergeCell ref="F27:F28"/>
    <mergeCell ref="J27:L27"/>
    <mergeCell ref="H28:I28"/>
    <mergeCell ref="K28:L28"/>
    <mergeCell ref="B29:C29"/>
    <mergeCell ref="H29:I29"/>
    <mergeCell ref="K29:L29"/>
    <mergeCell ref="G27:I27"/>
    <mergeCell ref="B30:C30"/>
    <mergeCell ref="H30:I30"/>
    <mergeCell ref="K30:L30"/>
    <mergeCell ref="B31:C31"/>
    <mergeCell ref="H31:I31"/>
    <mergeCell ref="K31:L31"/>
    <mergeCell ref="A32:G32"/>
    <mergeCell ref="H32:I32"/>
    <mergeCell ref="K32:L32"/>
    <mergeCell ref="A33:G33"/>
    <mergeCell ref="H33:I33"/>
    <mergeCell ref="K33:L33"/>
    <mergeCell ref="H37:I37"/>
    <mergeCell ref="K37:L37"/>
    <mergeCell ref="A34:A35"/>
    <mergeCell ref="B34:B35"/>
    <mergeCell ref="D34:D35"/>
    <mergeCell ref="E34:E35"/>
    <mergeCell ref="F34:F35"/>
    <mergeCell ref="G34:I34"/>
    <mergeCell ref="J34:L34"/>
    <mergeCell ref="H35:I35"/>
    <mergeCell ref="K35:L35"/>
    <mergeCell ref="H36:I36"/>
    <mergeCell ref="K36:L36"/>
    <mergeCell ref="A45:L45"/>
    <mergeCell ref="A38:G38"/>
    <mergeCell ref="H38:I38"/>
    <mergeCell ref="K38:L38"/>
    <mergeCell ref="A39:A40"/>
    <mergeCell ref="B39:B40"/>
    <mergeCell ref="E39:E40"/>
    <mergeCell ref="F39:F40"/>
    <mergeCell ref="G39:I39"/>
    <mergeCell ref="J39:L40"/>
    <mergeCell ref="A43:F44"/>
    <mergeCell ref="G43:I43"/>
    <mergeCell ref="J43:L43"/>
    <mergeCell ref="G44:I44"/>
    <mergeCell ref="J44:L44"/>
  </mergeCells>
  <dataValidations disablePrompts="1" count="1">
    <dataValidation type="list" allowBlank="1" showInputMessage="1" showErrorMessage="1" sqref="B22 B12:B19 B26" xr:uid="{4FC227F3-28BE-47E4-B367-3F4556269EED}">
      <formula1>$L$1:$L$11</formula1>
    </dataValidation>
  </dataValidations>
  <printOptions horizontalCentered="1"/>
  <pageMargins left="0.39370078740157483" right="0.39370078740157483" top="1.6929133858267718" bottom="0.78740157480314965" header="0" footer="0"/>
  <pageSetup paperSize="9" scale="60" firstPageNumber="41" fitToHeight="100" orientation="landscape" useFirstPageNumber="1" r:id="rId1"/>
  <headerFooter scaleWithDoc="0">
    <oddHeader>&amp;L&amp;G</oddHeader>
    <oddFooter>&amp;C&amp;"-,Negrito"&amp;12DIONI CAETANEO DE OLIVEIRA
&amp;"-,Regular"ENGENHEIRO CIVIL - CREA /MT 40957
DEPARTAMENTO DE ENGENHARIA</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35D81-72C3-4861-BC53-E8CD8A0EA049}">
  <sheetPr>
    <tabColor theme="4" tint="-0.499984740745262"/>
  </sheetPr>
  <dimension ref="A1:R34"/>
  <sheetViews>
    <sheetView showGridLines="0" view="pageLayout" zoomScaleNormal="95" zoomScaleSheetLayoutView="110" workbookViewId="0">
      <selection activeCell="H7" sqref="H7"/>
    </sheetView>
  </sheetViews>
  <sheetFormatPr defaultRowHeight="12.75" x14ac:dyDescent="0.2"/>
  <cols>
    <col min="1" max="1" width="15.85546875" style="158" customWidth="1"/>
    <col min="2" max="2" width="28.85546875" style="158" customWidth="1"/>
    <col min="3" max="3" width="14.140625" style="158" customWidth="1"/>
    <col min="4" max="4" width="10" style="158" customWidth="1"/>
    <col min="5" max="5" width="12" style="158" customWidth="1"/>
    <col min="6" max="8" width="12.85546875" style="158" customWidth="1"/>
    <col min="9" max="9" width="11.85546875" style="158" customWidth="1"/>
    <col min="10" max="10" width="13.28515625" style="158" customWidth="1"/>
    <col min="11" max="11" width="14.5703125" style="158" customWidth="1"/>
    <col min="12" max="12" width="12.42578125" style="158" customWidth="1"/>
    <col min="13" max="13" width="2.7109375" style="158" customWidth="1"/>
    <col min="14" max="256" width="9.140625" style="158"/>
    <col min="257" max="257" width="15.85546875" style="158" customWidth="1"/>
    <col min="258" max="258" width="28.85546875" style="158" customWidth="1"/>
    <col min="259" max="259" width="10.42578125" style="158" customWidth="1"/>
    <col min="260" max="260" width="10" style="158" customWidth="1"/>
    <col min="261" max="261" width="12" style="158" customWidth="1"/>
    <col min="262" max="264" width="12.85546875" style="158" customWidth="1"/>
    <col min="265" max="265" width="11.85546875" style="158" customWidth="1"/>
    <col min="266" max="266" width="13.28515625" style="158" customWidth="1"/>
    <col min="267" max="267" width="14.5703125" style="158" customWidth="1"/>
    <col min="268" max="268" width="12.42578125" style="158" customWidth="1"/>
    <col min="269" max="269" width="2.7109375" style="158" customWidth="1"/>
    <col min="270" max="512" width="9.140625" style="158"/>
    <col min="513" max="513" width="15.85546875" style="158" customWidth="1"/>
    <col min="514" max="514" width="28.85546875" style="158" customWidth="1"/>
    <col min="515" max="515" width="10.42578125" style="158" customWidth="1"/>
    <col min="516" max="516" width="10" style="158" customWidth="1"/>
    <col min="517" max="517" width="12" style="158" customWidth="1"/>
    <col min="518" max="520" width="12.85546875" style="158" customWidth="1"/>
    <col min="521" max="521" width="11.85546875" style="158" customWidth="1"/>
    <col min="522" max="522" width="13.28515625" style="158" customWidth="1"/>
    <col min="523" max="523" width="14.5703125" style="158" customWidth="1"/>
    <col min="524" max="524" width="12.42578125" style="158" customWidth="1"/>
    <col min="525" max="525" width="2.7109375" style="158" customWidth="1"/>
    <col min="526" max="768" width="9.140625" style="158"/>
    <col min="769" max="769" width="15.85546875" style="158" customWidth="1"/>
    <col min="770" max="770" width="28.85546875" style="158" customWidth="1"/>
    <col min="771" max="771" width="10.42578125" style="158" customWidth="1"/>
    <col min="772" max="772" width="10" style="158" customWidth="1"/>
    <col min="773" max="773" width="12" style="158" customWidth="1"/>
    <col min="774" max="776" width="12.85546875" style="158" customWidth="1"/>
    <col min="777" max="777" width="11.85546875" style="158" customWidth="1"/>
    <col min="778" max="778" width="13.28515625" style="158" customWidth="1"/>
    <col min="779" max="779" width="14.5703125" style="158" customWidth="1"/>
    <col min="780" max="780" width="12.42578125" style="158" customWidth="1"/>
    <col min="781" max="781" width="2.7109375" style="158" customWidth="1"/>
    <col min="782" max="1024" width="9.140625" style="158"/>
    <col min="1025" max="1025" width="15.85546875" style="158" customWidth="1"/>
    <col min="1026" max="1026" width="28.85546875" style="158" customWidth="1"/>
    <col min="1027" max="1027" width="10.42578125" style="158" customWidth="1"/>
    <col min="1028" max="1028" width="10" style="158" customWidth="1"/>
    <col min="1029" max="1029" width="12" style="158" customWidth="1"/>
    <col min="1030" max="1032" width="12.85546875" style="158" customWidth="1"/>
    <col min="1033" max="1033" width="11.85546875" style="158" customWidth="1"/>
    <col min="1034" max="1034" width="13.28515625" style="158" customWidth="1"/>
    <col min="1035" max="1035" width="14.5703125" style="158" customWidth="1"/>
    <col min="1036" max="1036" width="12.42578125" style="158" customWidth="1"/>
    <col min="1037" max="1037" width="2.7109375" style="158" customWidth="1"/>
    <col min="1038" max="1280" width="9.140625" style="158"/>
    <col min="1281" max="1281" width="15.85546875" style="158" customWidth="1"/>
    <col min="1282" max="1282" width="28.85546875" style="158" customWidth="1"/>
    <col min="1283" max="1283" width="10.42578125" style="158" customWidth="1"/>
    <col min="1284" max="1284" width="10" style="158" customWidth="1"/>
    <col min="1285" max="1285" width="12" style="158" customWidth="1"/>
    <col min="1286" max="1288" width="12.85546875" style="158" customWidth="1"/>
    <col min="1289" max="1289" width="11.85546875" style="158" customWidth="1"/>
    <col min="1290" max="1290" width="13.28515625" style="158" customWidth="1"/>
    <col min="1291" max="1291" width="14.5703125" style="158" customWidth="1"/>
    <col min="1292" max="1292" width="12.42578125" style="158" customWidth="1"/>
    <col min="1293" max="1293" width="2.7109375" style="158" customWidth="1"/>
    <col min="1294" max="1536" width="9.140625" style="158"/>
    <col min="1537" max="1537" width="15.85546875" style="158" customWidth="1"/>
    <col min="1538" max="1538" width="28.85546875" style="158" customWidth="1"/>
    <col min="1539" max="1539" width="10.42578125" style="158" customWidth="1"/>
    <col min="1540" max="1540" width="10" style="158" customWidth="1"/>
    <col min="1541" max="1541" width="12" style="158" customWidth="1"/>
    <col min="1542" max="1544" width="12.85546875" style="158" customWidth="1"/>
    <col min="1545" max="1545" width="11.85546875" style="158" customWidth="1"/>
    <col min="1546" max="1546" width="13.28515625" style="158" customWidth="1"/>
    <col min="1547" max="1547" width="14.5703125" style="158" customWidth="1"/>
    <col min="1548" max="1548" width="12.42578125" style="158" customWidth="1"/>
    <col min="1549" max="1549" width="2.7109375" style="158" customWidth="1"/>
    <col min="1550" max="1792" width="9.140625" style="158"/>
    <col min="1793" max="1793" width="15.85546875" style="158" customWidth="1"/>
    <col min="1794" max="1794" width="28.85546875" style="158" customWidth="1"/>
    <col min="1795" max="1795" width="10.42578125" style="158" customWidth="1"/>
    <col min="1796" max="1796" width="10" style="158" customWidth="1"/>
    <col min="1797" max="1797" width="12" style="158" customWidth="1"/>
    <col min="1798" max="1800" width="12.85546875" style="158" customWidth="1"/>
    <col min="1801" max="1801" width="11.85546875" style="158" customWidth="1"/>
    <col min="1802" max="1802" width="13.28515625" style="158" customWidth="1"/>
    <col min="1803" max="1803" width="14.5703125" style="158" customWidth="1"/>
    <col min="1804" max="1804" width="12.42578125" style="158" customWidth="1"/>
    <col min="1805" max="1805" width="2.7109375" style="158" customWidth="1"/>
    <col min="1806" max="2048" width="9.140625" style="158"/>
    <col min="2049" max="2049" width="15.85546875" style="158" customWidth="1"/>
    <col min="2050" max="2050" width="28.85546875" style="158" customWidth="1"/>
    <col min="2051" max="2051" width="10.42578125" style="158" customWidth="1"/>
    <col min="2052" max="2052" width="10" style="158" customWidth="1"/>
    <col min="2053" max="2053" width="12" style="158" customWidth="1"/>
    <col min="2054" max="2056" width="12.85546875" style="158" customWidth="1"/>
    <col min="2057" max="2057" width="11.85546875" style="158" customWidth="1"/>
    <col min="2058" max="2058" width="13.28515625" style="158" customWidth="1"/>
    <col min="2059" max="2059" width="14.5703125" style="158" customWidth="1"/>
    <col min="2060" max="2060" width="12.42578125" style="158" customWidth="1"/>
    <col min="2061" max="2061" width="2.7109375" style="158" customWidth="1"/>
    <col min="2062" max="2304" width="9.140625" style="158"/>
    <col min="2305" max="2305" width="15.85546875" style="158" customWidth="1"/>
    <col min="2306" max="2306" width="28.85546875" style="158" customWidth="1"/>
    <col min="2307" max="2307" width="10.42578125" style="158" customWidth="1"/>
    <col min="2308" max="2308" width="10" style="158" customWidth="1"/>
    <col min="2309" max="2309" width="12" style="158" customWidth="1"/>
    <col min="2310" max="2312" width="12.85546875" style="158" customWidth="1"/>
    <col min="2313" max="2313" width="11.85546875" style="158" customWidth="1"/>
    <col min="2314" max="2314" width="13.28515625" style="158" customWidth="1"/>
    <col min="2315" max="2315" width="14.5703125" style="158" customWidth="1"/>
    <col min="2316" max="2316" width="12.42578125" style="158" customWidth="1"/>
    <col min="2317" max="2317" width="2.7109375" style="158" customWidth="1"/>
    <col min="2318" max="2560" width="9.140625" style="158"/>
    <col min="2561" max="2561" width="15.85546875" style="158" customWidth="1"/>
    <col min="2562" max="2562" width="28.85546875" style="158" customWidth="1"/>
    <col min="2563" max="2563" width="10.42578125" style="158" customWidth="1"/>
    <col min="2564" max="2564" width="10" style="158" customWidth="1"/>
    <col min="2565" max="2565" width="12" style="158" customWidth="1"/>
    <col min="2566" max="2568" width="12.85546875" style="158" customWidth="1"/>
    <col min="2569" max="2569" width="11.85546875" style="158" customWidth="1"/>
    <col min="2570" max="2570" width="13.28515625" style="158" customWidth="1"/>
    <col min="2571" max="2571" width="14.5703125" style="158" customWidth="1"/>
    <col min="2572" max="2572" width="12.42578125" style="158" customWidth="1"/>
    <col min="2573" max="2573" width="2.7109375" style="158" customWidth="1"/>
    <col min="2574" max="2816" width="9.140625" style="158"/>
    <col min="2817" max="2817" width="15.85546875" style="158" customWidth="1"/>
    <col min="2818" max="2818" width="28.85546875" style="158" customWidth="1"/>
    <col min="2819" max="2819" width="10.42578125" style="158" customWidth="1"/>
    <col min="2820" max="2820" width="10" style="158" customWidth="1"/>
    <col min="2821" max="2821" width="12" style="158" customWidth="1"/>
    <col min="2822" max="2824" width="12.85546875" style="158" customWidth="1"/>
    <col min="2825" max="2825" width="11.85546875" style="158" customWidth="1"/>
    <col min="2826" max="2826" width="13.28515625" style="158" customWidth="1"/>
    <col min="2827" max="2827" width="14.5703125" style="158" customWidth="1"/>
    <col min="2828" max="2828" width="12.42578125" style="158" customWidth="1"/>
    <col min="2829" max="2829" width="2.7109375" style="158" customWidth="1"/>
    <col min="2830" max="3072" width="9.140625" style="158"/>
    <col min="3073" max="3073" width="15.85546875" style="158" customWidth="1"/>
    <col min="3074" max="3074" width="28.85546875" style="158" customWidth="1"/>
    <col min="3075" max="3075" width="10.42578125" style="158" customWidth="1"/>
    <col min="3076" max="3076" width="10" style="158" customWidth="1"/>
    <col min="3077" max="3077" width="12" style="158" customWidth="1"/>
    <col min="3078" max="3080" width="12.85546875" style="158" customWidth="1"/>
    <col min="3081" max="3081" width="11.85546875" style="158" customWidth="1"/>
    <col min="3082" max="3082" width="13.28515625" style="158" customWidth="1"/>
    <col min="3083" max="3083" width="14.5703125" style="158" customWidth="1"/>
    <col min="3084" max="3084" width="12.42578125" style="158" customWidth="1"/>
    <col min="3085" max="3085" width="2.7109375" style="158" customWidth="1"/>
    <col min="3086" max="3328" width="9.140625" style="158"/>
    <col min="3329" max="3329" width="15.85546875" style="158" customWidth="1"/>
    <col min="3330" max="3330" width="28.85546875" style="158" customWidth="1"/>
    <col min="3331" max="3331" width="10.42578125" style="158" customWidth="1"/>
    <col min="3332" max="3332" width="10" style="158" customWidth="1"/>
    <col min="3333" max="3333" width="12" style="158" customWidth="1"/>
    <col min="3334" max="3336" width="12.85546875" style="158" customWidth="1"/>
    <col min="3337" max="3337" width="11.85546875" style="158" customWidth="1"/>
    <col min="3338" max="3338" width="13.28515625" style="158" customWidth="1"/>
    <col min="3339" max="3339" width="14.5703125" style="158" customWidth="1"/>
    <col min="3340" max="3340" width="12.42578125" style="158" customWidth="1"/>
    <col min="3341" max="3341" width="2.7109375" style="158" customWidth="1"/>
    <col min="3342" max="3584" width="9.140625" style="158"/>
    <col min="3585" max="3585" width="15.85546875" style="158" customWidth="1"/>
    <col min="3586" max="3586" width="28.85546875" style="158" customWidth="1"/>
    <col min="3587" max="3587" width="10.42578125" style="158" customWidth="1"/>
    <col min="3588" max="3588" width="10" style="158" customWidth="1"/>
    <col min="3589" max="3589" width="12" style="158" customWidth="1"/>
    <col min="3590" max="3592" width="12.85546875" style="158" customWidth="1"/>
    <col min="3593" max="3593" width="11.85546875" style="158" customWidth="1"/>
    <col min="3594" max="3594" width="13.28515625" style="158" customWidth="1"/>
    <col min="3595" max="3595" width="14.5703125" style="158" customWidth="1"/>
    <col min="3596" max="3596" width="12.42578125" style="158" customWidth="1"/>
    <col min="3597" max="3597" width="2.7109375" style="158" customWidth="1"/>
    <col min="3598" max="3840" width="9.140625" style="158"/>
    <col min="3841" max="3841" width="15.85546875" style="158" customWidth="1"/>
    <col min="3842" max="3842" width="28.85546875" style="158" customWidth="1"/>
    <col min="3843" max="3843" width="10.42578125" style="158" customWidth="1"/>
    <col min="3844" max="3844" width="10" style="158" customWidth="1"/>
    <col min="3845" max="3845" width="12" style="158" customWidth="1"/>
    <col min="3846" max="3848" width="12.85546875" style="158" customWidth="1"/>
    <col min="3849" max="3849" width="11.85546875" style="158" customWidth="1"/>
    <col min="3850" max="3850" width="13.28515625" style="158" customWidth="1"/>
    <col min="3851" max="3851" width="14.5703125" style="158" customWidth="1"/>
    <col min="3852" max="3852" width="12.42578125" style="158" customWidth="1"/>
    <col min="3853" max="3853" width="2.7109375" style="158" customWidth="1"/>
    <col min="3854" max="4096" width="9.140625" style="158"/>
    <col min="4097" max="4097" width="15.85546875" style="158" customWidth="1"/>
    <col min="4098" max="4098" width="28.85546875" style="158" customWidth="1"/>
    <col min="4099" max="4099" width="10.42578125" style="158" customWidth="1"/>
    <col min="4100" max="4100" width="10" style="158" customWidth="1"/>
    <col min="4101" max="4101" width="12" style="158" customWidth="1"/>
    <col min="4102" max="4104" width="12.85546875" style="158" customWidth="1"/>
    <col min="4105" max="4105" width="11.85546875" style="158" customWidth="1"/>
    <col min="4106" max="4106" width="13.28515625" style="158" customWidth="1"/>
    <col min="4107" max="4107" width="14.5703125" style="158" customWidth="1"/>
    <col min="4108" max="4108" width="12.42578125" style="158" customWidth="1"/>
    <col min="4109" max="4109" width="2.7109375" style="158" customWidth="1"/>
    <col min="4110" max="4352" width="9.140625" style="158"/>
    <col min="4353" max="4353" width="15.85546875" style="158" customWidth="1"/>
    <col min="4354" max="4354" width="28.85546875" style="158" customWidth="1"/>
    <col min="4355" max="4355" width="10.42578125" style="158" customWidth="1"/>
    <col min="4356" max="4356" width="10" style="158" customWidth="1"/>
    <col min="4357" max="4357" width="12" style="158" customWidth="1"/>
    <col min="4358" max="4360" width="12.85546875" style="158" customWidth="1"/>
    <col min="4361" max="4361" width="11.85546875" style="158" customWidth="1"/>
    <col min="4362" max="4362" width="13.28515625" style="158" customWidth="1"/>
    <col min="4363" max="4363" width="14.5703125" style="158" customWidth="1"/>
    <col min="4364" max="4364" width="12.42578125" style="158" customWidth="1"/>
    <col min="4365" max="4365" width="2.7109375" style="158" customWidth="1"/>
    <col min="4366" max="4608" width="9.140625" style="158"/>
    <col min="4609" max="4609" width="15.85546875" style="158" customWidth="1"/>
    <col min="4610" max="4610" width="28.85546875" style="158" customWidth="1"/>
    <col min="4611" max="4611" width="10.42578125" style="158" customWidth="1"/>
    <col min="4612" max="4612" width="10" style="158" customWidth="1"/>
    <col min="4613" max="4613" width="12" style="158" customWidth="1"/>
    <col min="4614" max="4616" width="12.85546875" style="158" customWidth="1"/>
    <col min="4617" max="4617" width="11.85546875" style="158" customWidth="1"/>
    <col min="4618" max="4618" width="13.28515625" style="158" customWidth="1"/>
    <col min="4619" max="4619" width="14.5703125" style="158" customWidth="1"/>
    <col min="4620" max="4620" width="12.42578125" style="158" customWidth="1"/>
    <col min="4621" max="4621" width="2.7109375" style="158" customWidth="1"/>
    <col min="4622" max="4864" width="9.140625" style="158"/>
    <col min="4865" max="4865" width="15.85546875" style="158" customWidth="1"/>
    <col min="4866" max="4866" width="28.85546875" style="158" customWidth="1"/>
    <col min="4867" max="4867" width="10.42578125" style="158" customWidth="1"/>
    <col min="4868" max="4868" width="10" style="158" customWidth="1"/>
    <col min="4869" max="4869" width="12" style="158" customWidth="1"/>
    <col min="4870" max="4872" width="12.85546875" style="158" customWidth="1"/>
    <col min="4873" max="4873" width="11.85546875" style="158" customWidth="1"/>
    <col min="4874" max="4874" width="13.28515625" style="158" customWidth="1"/>
    <col min="4875" max="4875" width="14.5703125" style="158" customWidth="1"/>
    <col min="4876" max="4876" width="12.42578125" style="158" customWidth="1"/>
    <col min="4877" max="4877" width="2.7109375" style="158" customWidth="1"/>
    <col min="4878" max="5120" width="9.140625" style="158"/>
    <col min="5121" max="5121" width="15.85546875" style="158" customWidth="1"/>
    <col min="5122" max="5122" width="28.85546875" style="158" customWidth="1"/>
    <col min="5123" max="5123" width="10.42578125" style="158" customWidth="1"/>
    <col min="5124" max="5124" width="10" style="158" customWidth="1"/>
    <col min="5125" max="5125" width="12" style="158" customWidth="1"/>
    <col min="5126" max="5128" width="12.85546875" style="158" customWidth="1"/>
    <col min="5129" max="5129" width="11.85546875" style="158" customWidth="1"/>
    <col min="5130" max="5130" width="13.28515625" style="158" customWidth="1"/>
    <col min="5131" max="5131" width="14.5703125" style="158" customWidth="1"/>
    <col min="5132" max="5132" width="12.42578125" style="158" customWidth="1"/>
    <col min="5133" max="5133" width="2.7109375" style="158" customWidth="1"/>
    <col min="5134" max="5376" width="9.140625" style="158"/>
    <col min="5377" max="5377" width="15.85546875" style="158" customWidth="1"/>
    <col min="5378" max="5378" width="28.85546875" style="158" customWidth="1"/>
    <col min="5379" max="5379" width="10.42578125" style="158" customWidth="1"/>
    <col min="5380" max="5380" width="10" style="158" customWidth="1"/>
    <col min="5381" max="5381" width="12" style="158" customWidth="1"/>
    <col min="5382" max="5384" width="12.85546875" style="158" customWidth="1"/>
    <col min="5385" max="5385" width="11.85546875" style="158" customWidth="1"/>
    <col min="5386" max="5386" width="13.28515625" style="158" customWidth="1"/>
    <col min="5387" max="5387" width="14.5703125" style="158" customWidth="1"/>
    <col min="5388" max="5388" width="12.42578125" style="158" customWidth="1"/>
    <col min="5389" max="5389" width="2.7109375" style="158" customWidth="1"/>
    <col min="5390" max="5632" width="9.140625" style="158"/>
    <col min="5633" max="5633" width="15.85546875" style="158" customWidth="1"/>
    <col min="5634" max="5634" width="28.85546875" style="158" customWidth="1"/>
    <col min="5635" max="5635" width="10.42578125" style="158" customWidth="1"/>
    <col min="5636" max="5636" width="10" style="158" customWidth="1"/>
    <col min="5637" max="5637" width="12" style="158" customWidth="1"/>
    <col min="5638" max="5640" width="12.85546875" style="158" customWidth="1"/>
    <col min="5641" max="5641" width="11.85546875" style="158" customWidth="1"/>
    <col min="5642" max="5642" width="13.28515625" style="158" customWidth="1"/>
    <col min="5643" max="5643" width="14.5703125" style="158" customWidth="1"/>
    <col min="5644" max="5644" width="12.42578125" style="158" customWidth="1"/>
    <col min="5645" max="5645" width="2.7109375" style="158" customWidth="1"/>
    <col min="5646" max="5888" width="9.140625" style="158"/>
    <col min="5889" max="5889" width="15.85546875" style="158" customWidth="1"/>
    <col min="5890" max="5890" width="28.85546875" style="158" customWidth="1"/>
    <col min="5891" max="5891" width="10.42578125" style="158" customWidth="1"/>
    <col min="5892" max="5892" width="10" style="158" customWidth="1"/>
    <col min="5893" max="5893" width="12" style="158" customWidth="1"/>
    <col min="5894" max="5896" width="12.85546875" style="158" customWidth="1"/>
    <col min="5897" max="5897" width="11.85546875" style="158" customWidth="1"/>
    <col min="5898" max="5898" width="13.28515625" style="158" customWidth="1"/>
    <col min="5899" max="5899" width="14.5703125" style="158" customWidth="1"/>
    <col min="5900" max="5900" width="12.42578125" style="158" customWidth="1"/>
    <col min="5901" max="5901" width="2.7109375" style="158" customWidth="1"/>
    <col min="5902" max="6144" width="9.140625" style="158"/>
    <col min="6145" max="6145" width="15.85546875" style="158" customWidth="1"/>
    <col min="6146" max="6146" width="28.85546875" style="158" customWidth="1"/>
    <col min="6147" max="6147" width="10.42578125" style="158" customWidth="1"/>
    <col min="6148" max="6148" width="10" style="158" customWidth="1"/>
    <col min="6149" max="6149" width="12" style="158" customWidth="1"/>
    <col min="6150" max="6152" width="12.85546875" style="158" customWidth="1"/>
    <col min="6153" max="6153" width="11.85546875" style="158" customWidth="1"/>
    <col min="6154" max="6154" width="13.28515625" style="158" customWidth="1"/>
    <col min="6155" max="6155" width="14.5703125" style="158" customWidth="1"/>
    <col min="6156" max="6156" width="12.42578125" style="158" customWidth="1"/>
    <col min="6157" max="6157" width="2.7109375" style="158" customWidth="1"/>
    <col min="6158" max="6400" width="9.140625" style="158"/>
    <col min="6401" max="6401" width="15.85546875" style="158" customWidth="1"/>
    <col min="6402" max="6402" width="28.85546875" style="158" customWidth="1"/>
    <col min="6403" max="6403" width="10.42578125" style="158" customWidth="1"/>
    <col min="6404" max="6404" width="10" style="158" customWidth="1"/>
    <col min="6405" max="6405" width="12" style="158" customWidth="1"/>
    <col min="6406" max="6408" width="12.85546875" style="158" customWidth="1"/>
    <col min="6409" max="6409" width="11.85546875" style="158" customWidth="1"/>
    <col min="6410" max="6410" width="13.28515625" style="158" customWidth="1"/>
    <col min="6411" max="6411" width="14.5703125" style="158" customWidth="1"/>
    <col min="6412" max="6412" width="12.42578125" style="158" customWidth="1"/>
    <col min="6413" max="6413" width="2.7109375" style="158" customWidth="1"/>
    <col min="6414" max="6656" width="9.140625" style="158"/>
    <col min="6657" max="6657" width="15.85546875" style="158" customWidth="1"/>
    <col min="6658" max="6658" width="28.85546875" style="158" customWidth="1"/>
    <col min="6659" max="6659" width="10.42578125" style="158" customWidth="1"/>
    <col min="6660" max="6660" width="10" style="158" customWidth="1"/>
    <col min="6661" max="6661" width="12" style="158" customWidth="1"/>
    <col min="6662" max="6664" width="12.85546875" style="158" customWidth="1"/>
    <col min="6665" max="6665" width="11.85546875" style="158" customWidth="1"/>
    <col min="6666" max="6666" width="13.28515625" style="158" customWidth="1"/>
    <col min="6667" max="6667" width="14.5703125" style="158" customWidth="1"/>
    <col min="6668" max="6668" width="12.42578125" style="158" customWidth="1"/>
    <col min="6669" max="6669" width="2.7109375" style="158" customWidth="1"/>
    <col min="6670" max="6912" width="9.140625" style="158"/>
    <col min="6913" max="6913" width="15.85546875" style="158" customWidth="1"/>
    <col min="6914" max="6914" width="28.85546875" style="158" customWidth="1"/>
    <col min="6915" max="6915" width="10.42578125" style="158" customWidth="1"/>
    <col min="6916" max="6916" width="10" style="158" customWidth="1"/>
    <col min="6917" max="6917" width="12" style="158" customWidth="1"/>
    <col min="6918" max="6920" width="12.85546875" style="158" customWidth="1"/>
    <col min="6921" max="6921" width="11.85546875" style="158" customWidth="1"/>
    <col min="6922" max="6922" width="13.28515625" style="158" customWidth="1"/>
    <col min="6923" max="6923" width="14.5703125" style="158" customWidth="1"/>
    <col min="6924" max="6924" width="12.42578125" style="158" customWidth="1"/>
    <col min="6925" max="6925" width="2.7109375" style="158" customWidth="1"/>
    <col min="6926" max="7168" width="9.140625" style="158"/>
    <col min="7169" max="7169" width="15.85546875" style="158" customWidth="1"/>
    <col min="7170" max="7170" width="28.85546875" style="158" customWidth="1"/>
    <col min="7171" max="7171" width="10.42578125" style="158" customWidth="1"/>
    <col min="7172" max="7172" width="10" style="158" customWidth="1"/>
    <col min="7173" max="7173" width="12" style="158" customWidth="1"/>
    <col min="7174" max="7176" width="12.85546875" style="158" customWidth="1"/>
    <col min="7177" max="7177" width="11.85546875" style="158" customWidth="1"/>
    <col min="7178" max="7178" width="13.28515625" style="158" customWidth="1"/>
    <col min="7179" max="7179" width="14.5703125" style="158" customWidth="1"/>
    <col min="7180" max="7180" width="12.42578125" style="158" customWidth="1"/>
    <col min="7181" max="7181" width="2.7109375" style="158" customWidth="1"/>
    <col min="7182" max="7424" width="9.140625" style="158"/>
    <col min="7425" max="7425" width="15.85546875" style="158" customWidth="1"/>
    <col min="7426" max="7426" width="28.85546875" style="158" customWidth="1"/>
    <col min="7427" max="7427" width="10.42578125" style="158" customWidth="1"/>
    <col min="7428" max="7428" width="10" style="158" customWidth="1"/>
    <col min="7429" max="7429" width="12" style="158" customWidth="1"/>
    <col min="7430" max="7432" width="12.85546875" style="158" customWidth="1"/>
    <col min="7433" max="7433" width="11.85546875" style="158" customWidth="1"/>
    <col min="7434" max="7434" width="13.28515625" style="158" customWidth="1"/>
    <col min="7435" max="7435" width="14.5703125" style="158" customWidth="1"/>
    <col min="7436" max="7436" width="12.42578125" style="158" customWidth="1"/>
    <col min="7437" max="7437" width="2.7109375" style="158" customWidth="1"/>
    <col min="7438" max="7680" width="9.140625" style="158"/>
    <col min="7681" max="7681" width="15.85546875" style="158" customWidth="1"/>
    <col min="7682" max="7682" width="28.85546875" style="158" customWidth="1"/>
    <col min="7683" max="7683" width="10.42578125" style="158" customWidth="1"/>
    <col min="7684" max="7684" width="10" style="158" customWidth="1"/>
    <col min="7685" max="7685" width="12" style="158" customWidth="1"/>
    <col min="7686" max="7688" width="12.85546875" style="158" customWidth="1"/>
    <col min="7689" max="7689" width="11.85546875" style="158" customWidth="1"/>
    <col min="7690" max="7690" width="13.28515625" style="158" customWidth="1"/>
    <col min="7691" max="7691" width="14.5703125" style="158" customWidth="1"/>
    <col min="7692" max="7692" width="12.42578125" style="158" customWidth="1"/>
    <col min="7693" max="7693" width="2.7109375" style="158" customWidth="1"/>
    <col min="7694" max="7936" width="9.140625" style="158"/>
    <col min="7937" max="7937" width="15.85546875" style="158" customWidth="1"/>
    <col min="7938" max="7938" width="28.85546875" style="158" customWidth="1"/>
    <col min="7939" max="7939" width="10.42578125" style="158" customWidth="1"/>
    <col min="7940" max="7940" width="10" style="158" customWidth="1"/>
    <col min="7941" max="7941" width="12" style="158" customWidth="1"/>
    <col min="7942" max="7944" width="12.85546875" style="158" customWidth="1"/>
    <col min="7945" max="7945" width="11.85546875" style="158" customWidth="1"/>
    <col min="7946" max="7946" width="13.28515625" style="158" customWidth="1"/>
    <col min="7947" max="7947" width="14.5703125" style="158" customWidth="1"/>
    <col min="7948" max="7948" width="12.42578125" style="158" customWidth="1"/>
    <col min="7949" max="7949" width="2.7109375" style="158" customWidth="1"/>
    <col min="7950" max="8192" width="9.140625" style="158"/>
    <col min="8193" max="8193" width="15.85546875" style="158" customWidth="1"/>
    <col min="8194" max="8194" width="28.85546875" style="158" customWidth="1"/>
    <col min="8195" max="8195" width="10.42578125" style="158" customWidth="1"/>
    <col min="8196" max="8196" width="10" style="158" customWidth="1"/>
    <col min="8197" max="8197" width="12" style="158" customWidth="1"/>
    <col min="8198" max="8200" width="12.85546875" style="158" customWidth="1"/>
    <col min="8201" max="8201" width="11.85546875" style="158" customWidth="1"/>
    <col min="8202" max="8202" width="13.28515625" style="158" customWidth="1"/>
    <col min="8203" max="8203" width="14.5703125" style="158" customWidth="1"/>
    <col min="8204" max="8204" width="12.42578125" style="158" customWidth="1"/>
    <col min="8205" max="8205" width="2.7109375" style="158" customWidth="1"/>
    <col min="8206" max="8448" width="9.140625" style="158"/>
    <col min="8449" max="8449" width="15.85546875" style="158" customWidth="1"/>
    <col min="8450" max="8450" width="28.85546875" style="158" customWidth="1"/>
    <col min="8451" max="8451" width="10.42578125" style="158" customWidth="1"/>
    <col min="8452" max="8452" width="10" style="158" customWidth="1"/>
    <col min="8453" max="8453" width="12" style="158" customWidth="1"/>
    <col min="8454" max="8456" width="12.85546875" style="158" customWidth="1"/>
    <col min="8457" max="8457" width="11.85546875" style="158" customWidth="1"/>
    <col min="8458" max="8458" width="13.28515625" style="158" customWidth="1"/>
    <col min="8459" max="8459" width="14.5703125" style="158" customWidth="1"/>
    <col min="8460" max="8460" width="12.42578125" style="158" customWidth="1"/>
    <col min="8461" max="8461" width="2.7109375" style="158" customWidth="1"/>
    <col min="8462" max="8704" width="9.140625" style="158"/>
    <col min="8705" max="8705" width="15.85546875" style="158" customWidth="1"/>
    <col min="8706" max="8706" width="28.85546875" style="158" customWidth="1"/>
    <col min="8707" max="8707" width="10.42578125" style="158" customWidth="1"/>
    <col min="8708" max="8708" width="10" style="158" customWidth="1"/>
    <col min="8709" max="8709" width="12" style="158" customWidth="1"/>
    <col min="8710" max="8712" width="12.85546875" style="158" customWidth="1"/>
    <col min="8713" max="8713" width="11.85546875" style="158" customWidth="1"/>
    <col min="8714" max="8714" width="13.28515625" style="158" customWidth="1"/>
    <col min="8715" max="8715" width="14.5703125" style="158" customWidth="1"/>
    <col min="8716" max="8716" width="12.42578125" style="158" customWidth="1"/>
    <col min="8717" max="8717" width="2.7109375" style="158" customWidth="1"/>
    <col min="8718" max="8960" width="9.140625" style="158"/>
    <col min="8961" max="8961" width="15.85546875" style="158" customWidth="1"/>
    <col min="8962" max="8962" width="28.85546875" style="158" customWidth="1"/>
    <col min="8963" max="8963" width="10.42578125" style="158" customWidth="1"/>
    <col min="8964" max="8964" width="10" style="158" customWidth="1"/>
    <col min="8965" max="8965" width="12" style="158" customWidth="1"/>
    <col min="8966" max="8968" width="12.85546875" style="158" customWidth="1"/>
    <col min="8969" max="8969" width="11.85546875" style="158" customWidth="1"/>
    <col min="8970" max="8970" width="13.28515625" style="158" customWidth="1"/>
    <col min="8971" max="8971" width="14.5703125" style="158" customWidth="1"/>
    <col min="8972" max="8972" width="12.42578125" style="158" customWidth="1"/>
    <col min="8973" max="8973" width="2.7109375" style="158" customWidth="1"/>
    <col min="8974" max="9216" width="9.140625" style="158"/>
    <col min="9217" max="9217" width="15.85546875" style="158" customWidth="1"/>
    <col min="9218" max="9218" width="28.85546875" style="158" customWidth="1"/>
    <col min="9219" max="9219" width="10.42578125" style="158" customWidth="1"/>
    <col min="9220" max="9220" width="10" style="158" customWidth="1"/>
    <col min="9221" max="9221" width="12" style="158" customWidth="1"/>
    <col min="9222" max="9224" width="12.85546875" style="158" customWidth="1"/>
    <col min="9225" max="9225" width="11.85546875" style="158" customWidth="1"/>
    <col min="9226" max="9226" width="13.28515625" style="158" customWidth="1"/>
    <col min="9227" max="9227" width="14.5703125" style="158" customWidth="1"/>
    <col min="9228" max="9228" width="12.42578125" style="158" customWidth="1"/>
    <col min="9229" max="9229" width="2.7109375" style="158" customWidth="1"/>
    <col min="9230" max="9472" width="9.140625" style="158"/>
    <col min="9473" max="9473" width="15.85546875" style="158" customWidth="1"/>
    <col min="9474" max="9474" width="28.85546875" style="158" customWidth="1"/>
    <col min="9475" max="9475" width="10.42578125" style="158" customWidth="1"/>
    <col min="9476" max="9476" width="10" style="158" customWidth="1"/>
    <col min="9477" max="9477" width="12" style="158" customWidth="1"/>
    <col min="9478" max="9480" width="12.85546875" style="158" customWidth="1"/>
    <col min="9481" max="9481" width="11.85546875" style="158" customWidth="1"/>
    <col min="9482" max="9482" width="13.28515625" style="158" customWidth="1"/>
    <col min="9483" max="9483" width="14.5703125" style="158" customWidth="1"/>
    <col min="9484" max="9484" width="12.42578125" style="158" customWidth="1"/>
    <col min="9485" max="9485" width="2.7109375" style="158" customWidth="1"/>
    <col min="9486" max="9728" width="9.140625" style="158"/>
    <col min="9729" max="9729" width="15.85546875" style="158" customWidth="1"/>
    <col min="9730" max="9730" width="28.85546875" style="158" customWidth="1"/>
    <col min="9731" max="9731" width="10.42578125" style="158" customWidth="1"/>
    <col min="9732" max="9732" width="10" style="158" customWidth="1"/>
    <col min="9733" max="9733" width="12" style="158" customWidth="1"/>
    <col min="9734" max="9736" width="12.85546875" style="158" customWidth="1"/>
    <col min="9737" max="9737" width="11.85546875" style="158" customWidth="1"/>
    <col min="9738" max="9738" width="13.28515625" style="158" customWidth="1"/>
    <col min="9739" max="9739" width="14.5703125" style="158" customWidth="1"/>
    <col min="9740" max="9740" width="12.42578125" style="158" customWidth="1"/>
    <col min="9741" max="9741" width="2.7109375" style="158" customWidth="1"/>
    <col min="9742" max="9984" width="9.140625" style="158"/>
    <col min="9985" max="9985" width="15.85546875" style="158" customWidth="1"/>
    <col min="9986" max="9986" width="28.85546875" style="158" customWidth="1"/>
    <col min="9987" max="9987" width="10.42578125" style="158" customWidth="1"/>
    <col min="9988" max="9988" width="10" style="158" customWidth="1"/>
    <col min="9989" max="9989" width="12" style="158" customWidth="1"/>
    <col min="9990" max="9992" width="12.85546875" style="158" customWidth="1"/>
    <col min="9993" max="9993" width="11.85546875" style="158" customWidth="1"/>
    <col min="9994" max="9994" width="13.28515625" style="158" customWidth="1"/>
    <col min="9995" max="9995" width="14.5703125" style="158" customWidth="1"/>
    <col min="9996" max="9996" width="12.42578125" style="158" customWidth="1"/>
    <col min="9997" max="9997" width="2.7109375" style="158" customWidth="1"/>
    <col min="9998" max="10240" width="9.140625" style="158"/>
    <col min="10241" max="10241" width="15.85546875" style="158" customWidth="1"/>
    <col min="10242" max="10242" width="28.85546875" style="158" customWidth="1"/>
    <col min="10243" max="10243" width="10.42578125" style="158" customWidth="1"/>
    <col min="10244" max="10244" width="10" style="158" customWidth="1"/>
    <col min="10245" max="10245" width="12" style="158" customWidth="1"/>
    <col min="10246" max="10248" width="12.85546875" style="158" customWidth="1"/>
    <col min="10249" max="10249" width="11.85546875" style="158" customWidth="1"/>
    <col min="10250" max="10250" width="13.28515625" style="158" customWidth="1"/>
    <col min="10251" max="10251" width="14.5703125" style="158" customWidth="1"/>
    <col min="10252" max="10252" width="12.42578125" style="158" customWidth="1"/>
    <col min="10253" max="10253" width="2.7109375" style="158" customWidth="1"/>
    <col min="10254" max="10496" width="9.140625" style="158"/>
    <col min="10497" max="10497" width="15.85546875" style="158" customWidth="1"/>
    <col min="10498" max="10498" width="28.85546875" style="158" customWidth="1"/>
    <col min="10499" max="10499" width="10.42578125" style="158" customWidth="1"/>
    <col min="10500" max="10500" width="10" style="158" customWidth="1"/>
    <col min="10501" max="10501" width="12" style="158" customWidth="1"/>
    <col min="10502" max="10504" width="12.85546875" style="158" customWidth="1"/>
    <col min="10505" max="10505" width="11.85546875" style="158" customWidth="1"/>
    <col min="10506" max="10506" width="13.28515625" style="158" customWidth="1"/>
    <col min="10507" max="10507" width="14.5703125" style="158" customWidth="1"/>
    <col min="10508" max="10508" width="12.42578125" style="158" customWidth="1"/>
    <col min="10509" max="10509" width="2.7109375" style="158" customWidth="1"/>
    <col min="10510" max="10752" width="9.140625" style="158"/>
    <col min="10753" max="10753" width="15.85546875" style="158" customWidth="1"/>
    <col min="10754" max="10754" width="28.85546875" style="158" customWidth="1"/>
    <col min="10755" max="10755" width="10.42578125" style="158" customWidth="1"/>
    <col min="10756" max="10756" width="10" style="158" customWidth="1"/>
    <col min="10757" max="10757" width="12" style="158" customWidth="1"/>
    <col min="10758" max="10760" width="12.85546875" style="158" customWidth="1"/>
    <col min="10761" max="10761" width="11.85546875" style="158" customWidth="1"/>
    <col min="10762" max="10762" width="13.28515625" style="158" customWidth="1"/>
    <col min="10763" max="10763" width="14.5703125" style="158" customWidth="1"/>
    <col min="10764" max="10764" width="12.42578125" style="158" customWidth="1"/>
    <col min="10765" max="10765" width="2.7109375" style="158" customWidth="1"/>
    <col min="10766" max="11008" width="9.140625" style="158"/>
    <col min="11009" max="11009" width="15.85546875" style="158" customWidth="1"/>
    <col min="11010" max="11010" width="28.85546875" style="158" customWidth="1"/>
    <col min="11011" max="11011" width="10.42578125" style="158" customWidth="1"/>
    <col min="11012" max="11012" width="10" style="158" customWidth="1"/>
    <col min="11013" max="11013" width="12" style="158" customWidth="1"/>
    <col min="11014" max="11016" width="12.85546875" style="158" customWidth="1"/>
    <col min="11017" max="11017" width="11.85546875" style="158" customWidth="1"/>
    <col min="11018" max="11018" width="13.28515625" style="158" customWidth="1"/>
    <col min="11019" max="11019" width="14.5703125" style="158" customWidth="1"/>
    <col min="11020" max="11020" width="12.42578125" style="158" customWidth="1"/>
    <col min="11021" max="11021" width="2.7109375" style="158" customWidth="1"/>
    <col min="11022" max="11264" width="9.140625" style="158"/>
    <col min="11265" max="11265" width="15.85546875" style="158" customWidth="1"/>
    <col min="11266" max="11266" width="28.85546875" style="158" customWidth="1"/>
    <col min="11267" max="11267" width="10.42578125" style="158" customWidth="1"/>
    <col min="11268" max="11268" width="10" style="158" customWidth="1"/>
    <col min="11269" max="11269" width="12" style="158" customWidth="1"/>
    <col min="11270" max="11272" width="12.85546875" style="158" customWidth="1"/>
    <col min="11273" max="11273" width="11.85546875" style="158" customWidth="1"/>
    <col min="11274" max="11274" width="13.28515625" style="158" customWidth="1"/>
    <col min="11275" max="11275" width="14.5703125" style="158" customWidth="1"/>
    <col min="11276" max="11276" width="12.42578125" style="158" customWidth="1"/>
    <col min="11277" max="11277" width="2.7109375" style="158" customWidth="1"/>
    <col min="11278" max="11520" width="9.140625" style="158"/>
    <col min="11521" max="11521" width="15.85546875" style="158" customWidth="1"/>
    <col min="11522" max="11522" width="28.85546875" style="158" customWidth="1"/>
    <col min="11523" max="11523" width="10.42578125" style="158" customWidth="1"/>
    <col min="11524" max="11524" width="10" style="158" customWidth="1"/>
    <col min="11525" max="11525" width="12" style="158" customWidth="1"/>
    <col min="11526" max="11528" width="12.85546875" style="158" customWidth="1"/>
    <col min="11529" max="11529" width="11.85546875" style="158" customWidth="1"/>
    <col min="11530" max="11530" width="13.28515625" style="158" customWidth="1"/>
    <col min="11531" max="11531" width="14.5703125" style="158" customWidth="1"/>
    <col min="11532" max="11532" width="12.42578125" style="158" customWidth="1"/>
    <col min="11533" max="11533" width="2.7109375" style="158" customWidth="1"/>
    <col min="11534" max="11776" width="9.140625" style="158"/>
    <col min="11777" max="11777" width="15.85546875" style="158" customWidth="1"/>
    <col min="11778" max="11778" width="28.85546875" style="158" customWidth="1"/>
    <col min="11779" max="11779" width="10.42578125" style="158" customWidth="1"/>
    <col min="11780" max="11780" width="10" style="158" customWidth="1"/>
    <col min="11781" max="11781" width="12" style="158" customWidth="1"/>
    <col min="11782" max="11784" width="12.85546875" style="158" customWidth="1"/>
    <col min="11785" max="11785" width="11.85546875" style="158" customWidth="1"/>
    <col min="11786" max="11786" width="13.28515625" style="158" customWidth="1"/>
    <col min="11787" max="11787" width="14.5703125" style="158" customWidth="1"/>
    <col min="11788" max="11788" width="12.42578125" style="158" customWidth="1"/>
    <col min="11789" max="11789" width="2.7109375" style="158" customWidth="1"/>
    <col min="11790" max="12032" width="9.140625" style="158"/>
    <col min="12033" max="12033" width="15.85546875" style="158" customWidth="1"/>
    <col min="12034" max="12034" width="28.85546875" style="158" customWidth="1"/>
    <col min="12035" max="12035" width="10.42578125" style="158" customWidth="1"/>
    <col min="12036" max="12036" width="10" style="158" customWidth="1"/>
    <col min="12037" max="12037" width="12" style="158" customWidth="1"/>
    <col min="12038" max="12040" width="12.85546875" style="158" customWidth="1"/>
    <col min="12041" max="12041" width="11.85546875" style="158" customWidth="1"/>
    <col min="12042" max="12042" width="13.28515625" style="158" customWidth="1"/>
    <col min="12043" max="12043" width="14.5703125" style="158" customWidth="1"/>
    <col min="12044" max="12044" width="12.42578125" style="158" customWidth="1"/>
    <col min="12045" max="12045" width="2.7109375" style="158" customWidth="1"/>
    <col min="12046" max="12288" width="9.140625" style="158"/>
    <col min="12289" max="12289" width="15.85546875" style="158" customWidth="1"/>
    <col min="12290" max="12290" width="28.85546875" style="158" customWidth="1"/>
    <col min="12291" max="12291" width="10.42578125" style="158" customWidth="1"/>
    <col min="12292" max="12292" width="10" style="158" customWidth="1"/>
    <col min="12293" max="12293" width="12" style="158" customWidth="1"/>
    <col min="12294" max="12296" width="12.85546875" style="158" customWidth="1"/>
    <col min="12297" max="12297" width="11.85546875" style="158" customWidth="1"/>
    <col min="12298" max="12298" width="13.28515625" style="158" customWidth="1"/>
    <col min="12299" max="12299" width="14.5703125" style="158" customWidth="1"/>
    <col min="12300" max="12300" width="12.42578125" style="158" customWidth="1"/>
    <col min="12301" max="12301" width="2.7109375" style="158" customWidth="1"/>
    <col min="12302" max="12544" width="9.140625" style="158"/>
    <col min="12545" max="12545" width="15.85546875" style="158" customWidth="1"/>
    <col min="12546" max="12546" width="28.85546875" style="158" customWidth="1"/>
    <col min="12547" max="12547" width="10.42578125" style="158" customWidth="1"/>
    <col min="12548" max="12548" width="10" style="158" customWidth="1"/>
    <col min="12549" max="12549" width="12" style="158" customWidth="1"/>
    <col min="12550" max="12552" width="12.85546875" style="158" customWidth="1"/>
    <col min="12553" max="12553" width="11.85546875" style="158" customWidth="1"/>
    <col min="12554" max="12554" width="13.28515625" style="158" customWidth="1"/>
    <col min="12555" max="12555" width="14.5703125" style="158" customWidth="1"/>
    <col min="12556" max="12556" width="12.42578125" style="158" customWidth="1"/>
    <col min="12557" max="12557" width="2.7109375" style="158" customWidth="1"/>
    <col min="12558" max="12800" width="9.140625" style="158"/>
    <col min="12801" max="12801" width="15.85546875" style="158" customWidth="1"/>
    <col min="12802" max="12802" width="28.85546875" style="158" customWidth="1"/>
    <col min="12803" max="12803" width="10.42578125" style="158" customWidth="1"/>
    <col min="12804" max="12804" width="10" style="158" customWidth="1"/>
    <col min="12805" max="12805" width="12" style="158" customWidth="1"/>
    <col min="12806" max="12808" width="12.85546875" style="158" customWidth="1"/>
    <col min="12809" max="12809" width="11.85546875" style="158" customWidth="1"/>
    <col min="12810" max="12810" width="13.28515625" style="158" customWidth="1"/>
    <col min="12811" max="12811" width="14.5703125" style="158" customWidth="1"/>
    <col min="12812" max="12812" width="12.42578125" style="158" customWidth="1"/>
    <col min="12813" max="12813" width="2.7109375" style="158" customWidth="1"/>
    <col min="12814" max="13056" width="9.140625" style="158"/>
    <col min="13057" max="13057" width="15.85546875" style="158" customWidth="1"/>
    <col min="13058" max="13058" width="28.85546875" style="158" customWidth="1"/>
    <col min="13059" max="13059" width="10.42578125" style="158" customWidth="1"/>
    <col min="13060" max="13060" width="10" style="158" customWidth="1"/>
    <col min="13061" max="13061" width="12" style="158" customWidth="1"/>
    <col min="13062" max="13064" width="12.85546875" style="158" customWidth="1"/>
    <col min="13065" max="13065" width="11.85546875" style="158" customWidth="1"/>
    <col min="13066" max="13066" width="13.28515625" style="158" customWidth="1"/>
    <col min="13067" max="13067" width="14.5703125" style="158" customWidth="1"/>
    <col min="13068" max="13068" width="12.42578125" style="158" customWidth="1"/>
    <col min="13069" max="13069" width="2.7109375" style="158" customWidth="1"/>
    <col min="13070" max="13312" width="9.140625" style="158"/>
    <col min="13313" max="13313" width="15.85546875" style="158" customWidth="1"/>
    <col min="13314" max="13314" width="28.85546875" style="158" customWidth="1"/>
    <col min="13315" max="13315" width="10.42578125" style="158" customWidth="1"/>
    <col min="13316" max="13316" width="10" style="158" customWidth="1"/>
    <col min="13317" max="13317" width="12" style="158" customWidth="1"/>
    <col min="13318" max="13320" width="12.85546875" style="158" customWidth="1"/>
    <col min="13321" max="13321" width="11.85546875" style="158" customWidth="1"/>
    <col min="13322" max="13322" width="13.28515625" style="158" customWidth="1"/>
    <col min="13323" max="13323" width="14.5703125" style="158" customWidth="1"/>
    <col min="13324" max="13324" width="12.42578125" style="158" customWidth="1"/>
    <col min="13325" max="13325" width="2.7109375" style="158" customWidth="1"/>
    <col min="13326" max="13568" width="9.140625" style="158"/>
    <col min="13569" max="13569" width="15.85546875" style="158" customWidth="1"/>
    <col min="13570" max="13570" width="28.85546875" style="158" customWidth="1"/>
    <col min="13571" max="13571" width="10.42578125" style="158" customWidth="1"/>
    <col min="13572" max="13572" width="10" style="158" customWidth="1"/>
    <col min="13573" max="13573" width="12" style="158" customWidth="1"/>
    <col min="13574" max="13576" width="12.85546875" style="158" customWidth="1"/>
    <col min="13577" max="13577" width="11.85546875" style="158" customWidth="1"/>
    <col min="13578" max="13578" width="13.28515625" style="158" customWidth="1"/>
    <col min="13579" max="13579" width="14.5703125" style="158" customWidth="1"/>
    <col min="13580" max="13580" width="12.42578125" style="158" customWidth="1"/>
    <col min="13581" max="13581" width="2.7109375" style="158" customWidth="1"/>
    <col min="13582" max="13824" width="9.140625" style="158"/>
    <col min="13825" max="13825" width="15.85546875" style="158" customWidth="1"/>
    <col min="13826" max="13826" width="28.85546875" style="158" customWidth="1"/>
    <col min="13827" max="13827" width="10.42578125" style="158" customWidth="1"/>
    <col min="13828" max="13828" width="10" style="158" customWidth="1"/>
    <col min="13829" max="13829" width="12" style="158" customWidth="1"/>
    <col min="13830" max="13832" width="12.85546875" style="158" customWidth="1"/>
    <col min="13833" max="13833" width="11.85546875" style="158" customWidth="1"/>
    <col min="13834" max="13834" width="13.28515625" style="158" customWidth="1"/>
    <col min="13835" max="13835" width="14.5703125" style="158" customWidth="1"/>
    <col min="13836" max="13836" width="12.42578125" style="158" customWidth="1"/>
    <col min="13837" max="13837" width="2.7109375" style="158" customWidth="1"/>
    <col min="13838" max="14080" width="9.140625" style="158"/>
    <col min="14081" max="14081" width="15.85546875" style="158" customWidth="1"/>
    <col min="14082" max="14082" width="28.85546875" style="158" customWidth="1"/>
    <col min="14083" max="14083" width="10.42578125" style="158" customWidth="1"/>
    <col min="14084" max="14084" width="10" style="158" customWidth="1"/>
    <col min="14085" max="14085" width="12" style="158" customWidth="1"/>
    <col min="14086" max="14088" width="12.85546875" style="158" customWidth="1"/>
    <col min="14089" max="14089" width="11.85546875" style="158" customWidth="1"/>
    <col min="14090" max="14090" width="13.28515625" style="158" customWidth="1"/>
    <col min="14091" max="14091" width="14.5703125" style="158" customWidth="1"/>
    <col min="14092" max="14092" width="12.42578125" style="158" customWidth="1"/>
    <col min="14093" max="14093" width="2.7109375" style="158" customWidth="1"/>
    <col min="14094" max="14336" width="9.140625" style="158"/>
    <col min="14337" max="14337" width="15.85546875" style="158" customWidth="1"/>
    <col min="14338" max="14338" width="28.85546875" style="158" customWidth="1"/>
    <col min="14339" max="14339" width="10.42578125" style="158" customWidth="1"/>
    <col min="14340" max="14340" width="10" style="158" customWidth="1"/>
    <col min="14341" max="14341" width="12" style="158" customWidth="1"/>
    <col min="14342" max="14344" width="12.85546875" style="158" customWidth="1"/>
    <col min="14345" max="14345" width="11.85546875" style="158" customWidth="1"/>
    <col min="14346" max="14346" width="13.28515625" style="158" customWidth="1"/>
    <col min="14347" max="14347" width="14.5703125" style="158" customWidth="1"/>
    <col min="14348" max="14348" width="12.42578125" style="158" customWidth="1"/>
    <col min="14349" max="14349" width="2.7109375" style="158" customWidth="1"/>
    <col min="14350" max="14592" width="9.140625" style="158"/>
    <col min="14593" max="14593" width="15.85546875" style="158" customWidth="1"/>
    <col min="14594" max="14594" width="28.85546875" style="158" customWidth="1"/>
    <col min="14595" max="14595" width="10.42578125" style="158" customWidth="1"/>
    <col min="14596" max="14596" width="10" style="158" customWidth="1"/>
    <col min="14597" max="14597" width="12" style="158" customWidth="1"/>
    <col min="14598" max="14600" width="12.85546875" style="158" customWidth="1"/>
    <col min="14601" max="14601" width="11.85546875" style="158" customWidth="1"/>
    <col min="14602" max="14602" width="13.28515625" style="158" customWidth="1"/>
    <col min="14603" max="14603" width="14.5703125" style="158" customWidth="1"/>
    <col min="14604" max="14604" width="12.42578125" style="158" customWidth="1"/>
    <col min="14605" max="14605" width="2.7109375" style="158" customWidth="1"/>
    <col min="14606" max="14848" width="9.140625" style="158"/>
    <col min="14849" max="14849" width="15.85546875" style="158" customWidth="1"/>
    <col min="14850" max="14850" width="28.85546875" style="158" customWidth="1"/>
    <col min="14851" max="14851" width="10.42578125" style="158" customWidth="1"/>
    <col min="14852" max="14852" width="10" style="158" customWidth="1"/>
    <col min="14853" max="14853" width="12" style="158" customWidth="1"/>
    <col min="14854" max="14856" width="12.85546875" style="158" customWidth="1"/>
    <col min="14857" max="14857" width="11.85546875" style="158" customWidth="1"/>
    <col min="14858" max="14858" width="13.28515625" style="158" customWidth="1"/>
    <col min="14859" max="14859" width="14.5703125" style="158" customWidth="1"/>
    <col min="14860" max="14860" width="12.42578125" style="158" customWidth="1"/>
    <col min="14861" max="14861" width="2.7109375" style="158" customWidth="1"/>
    <col min="14862" max="15104" width="9.140625" style="158"/>
    <col min="15105" max="15105" width="15.85546875" style="158" customWidth="1"/>
    <col min="15106" max="15106" width="28.85546875" style="158" customWidth="1"/>
    <col min="15107" max="15107" width="10.42578125" style="158" customWidth="1"/>
    <col min="15108" max="15108" width="10" style="158" customWidth="1"/>
    <col min="15109" max="15109" width="12" style="158" customWidth="1"/>
    <col min="15110" max="15112" width="12.85546875" style="158" customWidth="1"/>
    <col min="15113" max="15113" width="11.85546875" style="158" customWidth="1"/>
    <col min="15114" max="15114" width="13.28515625" style="158" customWidth="1"/>
    <col min="15115" max="15115" width="14.5703125" style="158" customWidth="1"/>
    <col min="15116" max="15116" width="12.42578125" style="158" customWidth="1"/>
    <col min="15117" max="15117" width="2.7109375" style="158" customWidth="1"/>
    <col min="15118" max="15360" width="9.140625" style="158"/>
    <col min="15361" max="15361" width="15.85546875" style="158" customWidth="1"/>
    <col min="15362" max="15362" width="28.85546875" style="158" customWidth="1"/>
    <col min="15363" max="15363" width="10.42578125" style="158" customWidth="1"/>
    <col min="15364" max="15364" width="10" style="158" customWidth="1"/>
    <col min="15365" max="15365" width="12" style="158" customWidth="1"/>
    <col min="15366" max="15368" width="12.85546875" style="158" customWidth="1"/>
    <col min="15369" max="15369" width="11.85546875" style="158" customWidth="1"/>
    <col min="15370" max="15370" width="13.28515625" style="158" customWidth="1"/>
    <col min="15371" max="15371" width="14.5703125" style="158" customWidth="1"/>
    <col min="15372" max="15372" width="12.42578125" style="158" customWidth="1"/>
    <col min="15373" max="15373" width="2.7109375" style="158" customWidth="1"/>
    <col min="15374" max="15616" width="9.140625" style="158"/>
    <col min="15617" max="15617" width="15.85546875" style="158" customWidth="1"/>
    <col min="15618" max="15618" width="28.85546875" style="158" customWidth="1"/>
    <col min="15619" max="15619" width="10.42578125" style="158" customWidth="1"/>
    <col min="15620" max="15620" width="10" style="158" customWidth="1"/>
    <col min="15621" max="15621" width="12" style="158" customWidth="1"/>
    <col min="15622" max="15624" width="12.85546875" style="158" customWidth="1"/>
    <col min="15625" max="15625" width="11.85546875" style="158" customWidth="1"/>
    <col min="15626" max="15626" width="13.28515625" style="158" customWidth="1"/>
    <col min="15627" max="15627" width="14.5703125" style="158" customWidth="1"/>
    <col min="15628" max="15628" width="12.42578125" style="158" customWidth="1"/>
    <col min="15629" max="15629" width="2.7109375" style="158" customWidth="1"/>
    <col min="15630" max="15872" width="9.140625" style="158"/>
    <col min="15873" max="15873" width="15.85546875" style="158" customWidth="1"/>
    <col min="15874" max="15874" width="28.85546875" style="158" customWidth="1"/>
    <col min="15875" max="15875" width="10.42578125" style="158" customWidth="1"/>
    <col min="15876" max="15876" width="10" style="158" customWidth="1"/>
    <col min="15877" max="15877" width="12" style="158" customWidth="1"/>
    <col min="15878" max="15880" width="12.85546875" style="158" customWidth="1"/>
    <col min="15881" max="15881" width="11.85546875" style="158" customWidth="1"/>
    <col min="15882" max="15882" width="13.28515625" style="158" customWidth="1"/>
    <col min="15883" max="15883" width="14.5703125" style="158" customWidth="1"/>
    <col min="15884" max="15884" width="12.42578125" style="158" customWidth="1"/>
    <col min="15885" max="15885" width="2.7109375" style="158" customWidth="1"/>
    <col min="15886" max="16128" width="9.140625" style="158"/>
    <col min="16129" max="16129" width="15.85546875" style="158" customWidth="1"/>
    <col min="16130" max="16130" width="28.85546875" style="158" customWidth="1"/>
    <col min="16131" max="16131" width="10.42578125" style="158" customWidth="1"/>
    <col min="16132" max="16132" width="10" style="158" customWidth="1"/>
    <col min="16133" max="16133" width="12" style="158" customWidth="1"/>
    <col min="16134" max="16136" width="12.85546875" style="158" customWidth="1"/>
    <col min="16137" max="16137" width="11.85546875" style="158" customWidth="1"/>
    <col min="16138" max="16138" width="13.28515625" style="158" customWidth="1"/>
    <col min="16139" max="16139" width="14.5703125" style="158" customWidth="1"/>
    <col min="16140" max="16140" width="12.42578125" style="158" customWidth="1"/>
    <col min="16141" max="16141" width="2.7109375" style="158" customWidth="1"/>
    <col min="16142" max="16384" width="9.140625" style="158"/>
  </cols>
  <sheetData>
    <row r="1" spans="1:18" ht="21" customHeight="1" x14ac:dyDescent="0.2">
      <c r="A1" s="1296" t="s">
        <v>110</v>
      </c>
      <c r="B1" s="1297"/>
      <c r="C1" s="1297"/>
      <c r="D1" s="1297"/>
      <c r="E1" s="1297"/>
      <c r="F1" s="1297"/>
      <c r="G1" s="1297"/>
      <c r="H1" s="1297"/>
      <c r="I1" s="1297"/>
      <c r="J1" s="1297"/>
      <c r="K1" s="1297"/>
      <c r="L1" s="1298"/>
    </row>
    <row r="2" spans="1:18" ht="19.5" customHeight="1" x14ac:dyDescent="0.2">
      <c r="A2" s="159" t="s">
        <v>111</v>
      </c>
      <c r="B2" s="160"/>
      <c r="C2" s="160"/>
      <c r="D2" s="160"/>
      <c r="E2" s="161" t="s">
        <v>112</v>
      </c>
      <c r="F2" s="160" t="s">
        <v>113</v>
      </c>
      <c r="G2" s="160"/>
      <c r="H2" s="160"/>
      <c r="I2" s="250"/>
      <c r="J2" s="161"/>
      <c r="K2" s="163"/>
      <c r="L2" s="164"/>
    </row>
    <row r="3" spans="1:18" ht="21" customHeight="1" x14ac:dyDescent="0.2">
      <c r="A3" s="159">
        <v>5914354</v>
      </c>
      <c r="B3" s="1319" t="s">
        <v>2952</v>
      </c>
      <c r="C3" s="1319"/>
      <c r="D3" s="1319"/>
      <c r="E3" s="1319"/>
      <c r="F3" s="1319"/>
      <c r="G3" s="1319"/>
      <c r="H3" s="1319"/>
      <c r="I3" s="1319"/>
      <c r="J3" s="168" t="s">
        <v>117</v>
      </c>
      <c r="K3" s="251">
        <v>431.6</v>
      </c>
      <c r="L3" s="170" t="s">
        <v>247</v>
      </c>
    </row>
    <row r="4" spans="1:18" ht="14.25" customHeight="1" x14ac:dyDescent="0.2">
      <c r="A4" s="1225" t="s">
        <v>119</v>
      </c>
      <c r="B4" s="1227" t="s">
        <v>120</v>
      </c>
      <c r="C4" s="172"/>
      <c r="D4" s="1227" t="s">
        <v>121</v>
      </c>
      <c r="E4" s="1227" t="s">
        <v>122</v>
      </c>
      <c r="F4" s="1230"/>
      <c r="G4" s="1249" t="s">
        <v>123</v>
      </c>
      <c r="H4" s="1229"/>
      <c r="I4" s="1250"/>
      <c r="J4" s="1249" t="s">
        <v>124</v>
      </c>
      <c r="K4" s="1229"/>
      <c r="L4" s="1250"/>
    </row>
    <row r="5" spans="1:18" ht="12.75" customHeight="1" x14ac:dyDescent="0.2">
      <c r="A5" s="1299"/>
      <c r="B5" s="1300"/>
      <c r="C5" s="177"/>
      <c r="D5" s="1300"/>
      <c r="E5" s="1228"/>
      <c r="F5" s="1231"/>
      <c r="G5" s="1249" t="s">
        <v>125</v>
      </c>
      <c r="H5" s="1250"/>
      <c r="I5" s="173" t="s">
        <v>28</v>
      </c>
      <c r="J5" s="1249" t="s">
        <v>125</v>
      </c>
      <c r="K5" s="1229"/>
      <c r="L5" s="179" t="s">
        <v>28</v>
      </c>
    </row>
    <row r="6" spans="1:18" ht="12.75" customHeight="1" x14ac:dyDescent="0.2">
      <c r="A6" s="1226"/>
      <c r="B6" s="1228"/>
      <c r="C6" s="181"/>
      <c r="D6" s="1228"/>
      <c r="E6" s="178" t="s">
        <v>126</v>
      </c>
      <c r="F6" s="178" t="s">
        <v>127</v>
      </c>
      <c r="G6" s="180" t="s">
        <v>128</v>
      </c>
      <c r="H6" s="178" t="s">
        <v>129</v>
      </c>
      <c r="I6" s="182" t="s">
        <v>29</v>
      </c>
      <c r="J6" s="180" t="s">
        <v>128</v>
      </c>
      <c r="K6" s="178" t="s">
        <v>129</v>
      </c>
      <c r="L6" s="183" t="s">
        <v>29</v>
      </c>
    </row>
    <row r="7" spans="1:18" ht="23.25" customHeight="1" x14ac:dyDescent="0.2">
      <c r="A7" s="184" t="s">
        <v>165</v>
      </c>
      <c r="B7" s="1266" t="s">
        <v>425</v>
      </c>
      <c r="C7" s="1266"/>
      <c r="D7" s="187">
        <v>3</v>
      </c>
      <c r="E7" s="187">
        <v>0.84</v>
      </c>
      <c r="F7" s="187">
        <f>1-E7</f>
        <v>0.16000000000000003</v>
      </c>
      <c r="G7" s="252">
        <v>298.07209999999998</v>
      </c>
      <c r="H7" s="253">
        <v>90.493700000000004</v>
      </c>
      <c r="I7" s="254">
        <f>TRUNC(D7*((E7*G7)+(H7*F7)),4)</f>
        <v>794.57860000000005</v>
      </c>
      <c r="J7" s="252">
        <v>295.13900000000001</v>
      </c>
      <c r="K7" s="253">
        <v>87.560599999999994</v>
      </c>
      <c r="L7" s="255">
        <f>TRUNC(D7*((E7*J7)+(K7*F7)),4)</f>
        <v>785.77930000000003</v>
      </c>
    </row>
    <row r="8" spans="1:18" ht="12.75" customHeight="1" x14ac:dyDescent="0.2">
      <c r="A8" s="1253" t="s">
        <v>131</v>
      </c>
      <c r="B8" s="1254"/>
      <c r="C8" s="1254"/>
      <c r="D8" s="1254"/>
      <c r="E8" s="1254"/>
      <c r="F8" s="1254"/>
      <c r="G8" s="1254"/>
      <c r="H8" s="219"/>
      <c r="I8" s="256">
        <f>SUM(I7:I7)</f>
        <v>794.57860000000005</v>
      </c>
      <c r="J8" s="257"/>
      <c r="K8" s="258"/>
      <c r="L8" s="259">
        <f>SUM(L7:L7)</f>
        <v>785.77930000000003</v>
      </c>
      <c r="N8" s="198"/>
    </row>
    <row r="9" spans="1:18" ht="12.75" customHeight="1" x14ac:dyDescent="0.2">
      <c r="A9" s="1225" t="s">
        <v>132</v>
      </c>
      <c r="B9" s="1227" t="s">
        <v>133</v>
      </c>
      <c r="C9" s="199"/>
      <c r="D9" s="1227" t="s">
        <v>121</v>
      </c>
      <c r="E9" s="1227" t="s">
        <v>27</v>
      </c>
      <c r="F9" s="199"/>
      <c r="G9" s="1249" t="s">
        <v>123</v>
      </c>
      <c r="H9" s="1229"/>
      <c r="I9" s="1250"/>
      <c r="J9" s="1249" t="s">
        <v>124</v>
      </c>
      <c r="K9" s="1229"/>
      <c r="L9" s="1250"/>
      <c r="N9" s="198"/>
    </row>
    <row r="10" spans="1:18" ht="12.75" customHeight="1" x14ac:dyDescent="0.2">
      <c r="A10" s="1226"/>
      <c r="B10" s="1228"/>
      <c r="C10" s="181"/>
      <c r="D10" s="1228"/>
      <c r="E10" s="1228"/>
      <c r="F10" s="200"/>
      <c r="G10" s="180" t="s">
        <v>134</v>
      </c>
      <c r="H10" s="1228" t="s">
        <v>135</v>
      </c>
      <c r="I10" s="1231"/>
      <c r="J10" s="180" t="s">
        <v>134</v>
      </c>
      <c r="K10" s="1228" t="s">
        <v>135</v>
      </c>
      <c r="L10" s="1231"/>
    </row>
    <row r="11" spans="1:18" ht="12.75" customHeight="1" x14ac:dyDescent="0.2">
      <c r="A11" s="260"/>
      <c r="B11" s="209"/>
      <c r="C11" s="261"/>
      <c r="D11" s="212"/>
      <c r="E11" s="212"/>
      <c r="F11" s="226"/>
      <c r="G11" s="252"/>
      <c r="H11" s="1317"/>
      <c r="I11" s="1318"/>
      <c r="J11" s="252"/>
      <c r="K11" s="1317"/>
      <c r="L11" s="1318"/>
    </row>
    <row r="12" spans="1:18" ht="12.75" customHeight="1" x14ac:dyDescent="0.2">
      <c r="A12" s="1253" t="s">
        <v>137</v>
      </c>
      <c r="B12" s="1254"/>
      <c r="C12" s="1254"/>
      <c r="D12" s="1254"/>
      <c r="E12" s="1254"/>
      <c r="F12" s="1254"/>
      <c r="G12" s="1254"/>
      <c r="H12" s="1315">
        <f>SUM(H11:I11)</f>
        <v>0</v>
      </c>
      <c r="I12" s="1315"/>
      <c r="J12" s="262"/>
      <c r="K12" s="1315">
        <f>SUM(K11:L11)</f>
        <v>0</v>
      </c>
      <c r="L12" s="1316"/>
      <c r="Q12" s="1266"/>
      <c r="R12" s="1266"/>
    </row>
    <row r="13" spans="1:18" x14ac:dyDescent="0.2">
      <c r="A13" s="1285" t="s">
        <v>139</v>
      </c>
      <c r="B13" s="1286"/>
      <c r="C13" s="1286"/>
      <c r="D13" s="1286"/>
      <c r="E13" s="1286"/>
      <c r="F13" s="1310"/>
      <c r="G13" s="1249" t="s">
        <v>123</v>
      </c>
      <c r="H13" s="1229"/>
      <c r="I13" s="1250"/>
      <c r="J13" s="1249" t="s">
        <v>124</v>
      </c>
      <c r="K13" s="1229"/>
      <c r="L13" s="1250"/>
    </row>
    <row r="14" spans="1:18" x14ac:dyDescent="0.2">
      <c r="A14" s="1311"/>
      <c r="B14" s="1312"/>
      <c r="C14" s="1312"/>
      <c r="D14" s="1312"/>
      <c r="E14" s="1312"/>
      <c r="F14" s="1313"/>
      <c r="G14" s="1314">
        <f>(H12+I8)/K3</f>
        <v>1.841006950880445</v>
      </c>
      <c r="H14" s="1255"/>
      <c r="I14" s="1305"/>
      <c r="J14" s="1314">
        <f>(K12+L8)/K3</f>
        <v>1.8206193234476367</v>
      </c>
      <c r="K14" s="1255"/>
      <c r="L14" s="1305"/>
    </row>
    <row r="15" spans="1:18" ht="15" customHeight="1" x14ac:dyDescent="0.2">
      <c r="A15" s="174" t="s">
        <v>141</v>
      </c>
      <c r="B15" s="175" t="s">
        <v>142</v>
      </c>
      <c r="C15" s="218"/>
      <c r="D15" s="175" t="s">
        <v>121</v>
      </c>
      <c r="E15" s="175" t="s">
        <v>143</v>
      </c>
      <c r="F15" s="218"/>
      <c r="G15" s="219"/>
      <c r="H15" s="219" t="s">
        <v>144</v>
      </c>
      <c r="I15" s="219"/>
      <c r="J15" s="175"/>
      <c r="K15" s="1229" t="s">
        <v>145</v>
      </c>
      <c r="L15" s="1250"/>
      <c r="M15" s="220"/>
    </row>
    <row r="16" spans="1:18" ht="14.25" customHeight="1" x14ac:dyDescent="0.2">
      <c r="A16" s="263"/>
      <c r="B16" s="264"/>
      <c r="C16" s="218"/>
      <c r="D16" s="264"/>
      <c r="E16" s="264"/>
      <c r="F16" s="218"/>
      <c r="G16" s="1306"/>
      <c r="H16" s="1306"/>
      <c r="I16" s="1306"/>
      <c r="J16" s="264"/>
      <c r="K16" s="1306"/>
      <c r="L16" s="1307"/>
      <c r="M16" s="220"/>
    </row>
    <row r="17" spans="1:13" x14ac:dyDescent="0.2">
      <c r="A17" s="1253" t="s">
        <v>147</v>
      </c>
      <c r="B17" s="1254"/>
      <c r="C17" s="1254"/>
      <c r="D17" s="1254"/>
      <c r="E17" s="1254"/>
      <c r="F17" s="1254"/>
      <c r="G17" s="1254"/>
      <c r="H17" s="1254"/>
      <c r="I17" s="1254"/>
      <c r="J17" s="1254"/>
      <c r="K17" s="1308">
        <f>SUM(K16:L16)</f>
        <v>0</v>
      </c>
      <c r="L17" s="1309"/>
      <c r="M17" s="227"/>
    </row>
    <row r="18" spans="1:13" x14ac:dyDescent="0.2">
      <c r="A18" s="1225" t="s">
        <v>148</v>
      </c>
      <c r="B18" s="1227" t="s">
        <v>149</v>
      </c>
      <c r="C18" s="199"/>
      <c r="D18" s="1227"/>
      <c r="E18" s="1227" t="s">
        <v>121</v>
      </c>
      <c r="F18" s="1230" t="s">
        <v>143</v>
      </c>
      <c r="G18" s="1249" t="s">
        <v>123</v>
      </c>
      <c r="H18" s="1229"/>
      <c r="I18" s="1250"/>
      <c r="J18" s="1249" t="s">
        <v>124</v>
      </c>
      <c r="K18" s="1229"/>
      <c r="L18" s="1250"/>
      <c r="M18" s="227"/>
    </row>
    <row r="19" spans="1:13" x14ac:dyDescent="0.2">
      <c r="A19" s="1226"/>
      <c r="B19" s="1228"/>
      <c r="C19" s="181"/>
      <c r="D19" s="1228"/>
      <c r="E19" s="1228"/>
      <c r="F19" s="1231"/>
      <c r="G19" s="180" t="s">
        <v>145</v>
      </c>
      <c r="H19" s="1228" t="s">
        <v>150</v>
      </c>
      <c r="I19" s="1231"/>
      <c r="J19" s="180" t="s">
        <v>145</v>
      </c>
      <c r="K19" s="1228" t="s">
        <v>150</v>
      </c>
      <c r="L19" s="1231"/>
      <c r="M19" s="227"/>
    </row>
    <row r="20" spans="1:13" ht="14.25" customHeight="1" x14ac:dyDescent="0.2">
      <c r="A20" s="229"/>
      <c r="B20" s="1302"/>
      <c r="C20" s="1302"/>
      <c r="D20" s="231"/>
      <c r="E20" s="265"/>
      <c r="F20" s="231"/>
      <c r="G20" s="233"/>
      <c r="H20" s="1303"/>
      <c r="I20" s="1303"/>
      <c r="J20" s="266"/>
      <c r="K20" s="1303"/>
      <c r="L20" s="1304"/>
      <c r="M20" s="227"/>
    </row>
    <row r="21" spans="1:13" x14ac:dyDescent="0.2">
      <c r="A21" s="1253" t="s">
        <v>151</v>
      </c>
      <c r="B21" s="1254"/>
      <c r="C21" s="1254"/>
      <c r="D21" s="1254"/>
      <c r="E21" s="1254"/>
      <c r="F21" s="1254"/>
      <c r="G21" s="1254"/>
      <c r="H21" s="1255">
        <f>H20</f>
        <v>0</v>
      </c>
      <c r="I21" s="1255"/>
      <c r="J21" s="235"/>
      <c r="K21" s="1256">
        <f>K20</f>
        <v>0</v>
      </c>
      <c r="L21" s="1257"/>
      <c r="M21" s="227"/>
    </row>
    <row r="22" spans="1:13" x14ac:dyDescent="0.2">
      <c r="A22" s="1225" t="s">
        <v>153</v>
      </c>
      <c r="B22" s="1227" t="s">
        <v>154</v>
      </c>
      <c r="C22" s="199"/>
      <c r="D22" s="1227" t="s">
        <v>155</v>
      </c>
      <c r="E22" s="1227" t="s">
        <v>121</v>
      </c>
      <c r="F22" s="1230" t="s">
        <v>143</v>
      </c>
      <c r="G22" s="1249" t="s">
        <v>123</v>
      </c>
      <c r="H22" s="1229"/>
      <c r="I22" s="1250"/>
      <c r="J22" s="1249" t="s">
        <v>124</v>
      </c>
      <c r="K22" s="1229"/>
      <c r="L22" s="1250"/>
      <c r="M22" s="227"/>
    </row>
    <row r="23" spans="1:13" x14ac:dyDescent="0.2">
      <c r="A23" s="1226"/>
      <c r="B23" s="1228"/>
      <c r="C23" s="181"/>
      <c r="D23" s="1228"/>
      <c r="E23" s="1228"/>
      <c r="F23" s="1231"/>
      <c r="G23" s="180" t="s">
        <v>145</v>
      </c>
      <c r="H23" s="1228" t="s">
        <v>150</v>
      </c>
      <c r="I23" s="1231"/>
      <c r="J23" s="180" t="s">
        <v>145</v>
      </c>
      <c r="K23" s="1228" t="s">
        <v>150</v>
      </c>
      <c r="L23" s="1231"/>
      <c r="M23" s="227"/>
    </row>
    <row r="24" spans="1:13" ht="11.25" customHeight="1" x14ac:dyDescent="0.2">
      <c r="A24" s="229"/>
      <c r="B24" s="1302"/>
      <c r="C24" s="1302"/>
      <c r="D24" s="231"/>
      <c r="E24" s="231"/>
      <c r="F24" s="231"/>
      <c r="G24" s="233"/>
      <c r="H24" s="1303"/>
      <c r="I24" s="1304"/>
      <c r="J24" s="233"/>
      <c r="K24" s="1303"/>
      <c r="L24" s="1304"/>
      <c r="M24" s="227"/>
    </row>
    <row r="25" spans="1:13" ht="11.25" customHeight="1" x14ac:dyDescent="0.2">
      <c r="A25" s="1253" t="s">
        <v>156</v>
      </c>
      <c r="B25" s="1254"/>
      <c r="C25" s="1254"/>
      <c r="D25" s="1254"/>
      <c r="E25" s="1254"/>
      <c r="F25" s="1254"/>
      <c r="G25" s="1254"/>
      <c r="H25" s="1255">
        <f>SUM(H24:I24)</f>
        <v>0</v>
      </c>
      <c r="I25" s="1305"/>
      <c r="J25" s="267"/>
      <c r="K25" s="1255">
        <f>SUM(K24:L24)</f>
        <v>0</v>
      </c>
      <c r="L25" s="1305"/>
      <c r="M25" s="227"/>
    </row>
    <row r="26" spans="1:13" x14ac:dyDescent="0.2">
      <c r="A26" s="1225" t="s">
        <v>157</v>
      </c>
      <c r="B26" s="1227" t="s">
        <v>158</v>
      </c>
      <c r="C26" s="199"/>
      <c r="D26" s="222"/>
      <c r="E26" s="1227" t="s">
        <v>121</v>
      </c>
      <c r="F26" s="1227" t="s">
        <v>143</v>
      </c>
      <c r="G26" s="1229" t="s">
        <v>159</v>
      </c>
      <c r="H26" s="1229"/>
      <c r="I26" s="1229"/>
      <c r="J26" s="1227" t="s">
        <v>145</v>
      </c>
      <c r="K26" s="1227"/>
      <c r="L26" s="1230"/>
      <c r="M26" s="227"/>
    </row>
    <row r="27" spans="1:13" x14ac:dyDescent="0.2">
      <c r="A27" s="1226"/>
      <c r="B27" s="1228"/>
      <c r="C27" s="181"/>
      <c r="D27" s="200"/>
      <c r="E27" s="1228"/>
      <c r="F27" s="1228"/>
      <c r="G27" s="178" t="s">
        <v>160</v>
      </c>
      <c r="H27" s="178" t="s">
        <v>161</v>
      </c>
      <c r="I27" s="178" t="s">
        <v>162</v>
      </c>
      <c r="J27" s="1228"/>
      <c r="K27" s="1228"/>
      <c r="L27" s="1231"/>
      <c r="M27" s="227"/>
    </row>
    <row r="28" spans="1:13" ht="14.25" customHeight="1" x14ac:dyDescent="0.2">
      <c r="A28" s="229"/>
      <c r="B28" s="1302"/>
      <c r="C28" s="1302"/>
      <c r="D28" s="218"/>
      <c r="E28" s="231"/>
      <c r="F28" s="231"/>
      <c r="G28" s="231"/>
      <c r="H28" s="231"/>
      <c r="I28" s="231"/>
      <c r="J28" s="268"/>
      <c r="K28" s="181"/>
      <c r="L28" s="269"/>
      <c r="M28" s="227"/>
    </row>
    <row r="29" spans="1:13" x14ac:dyDescent="0.2">
      <c r="A29" s="1232" t="s">
        <v>163</v>
      </c>
      <c r="B29" s="1233"/>
      <c r="C29" s="1233"/>
      <c r="D29" s="1233"/>
      <c r="E29" s="1233"/>
      <c r="F29" s="1234"/>
      <c r="G29" s="1238" t="s">
        <v>123</v>
      </c>
      <c r="H29" s="1239"/>
      <c r="I29" s="1240"/>
      <c r="J29" s="1238" t="s">
        <v>124</v>
      </c>
      <c r="K29" s="1239"/>
      <c r="L29" s="1240"/>
      <c r="M29" s="227"/>
    </row>
    <row r="30" spans="1:13" ht="15" customHeight="1" x14ac:dyDescent="0.2">
      <c r="A30" s="1235"/>
      <c r="B30" s="1236"/>
      <c r="C30" s="1236"/>
      <c r="D30" s="1236"/>
      <c r="E30" s="1236"/>
      <c r="F30" s="1237"/>
      <c r="G30" s="1241">
        <f>TRUNC(H25+K17+H21+G14,2)</f>
        <v>1.84</v>
      </c>
      <c r="H30" s="1242"/>
      <c r="I30" s="1243"/>
      <c r="J30" s="1245">
        <f>TRUNC(K25+K21+K17+J14,2)</f>
        <v>1.82</v>
      </c>
      <c r="K30" s="1245"/>
      <c r="L30" s="1246"/>
    </row>
    <row r="31" spans="1:13" x14ac:dyDescent="0.2">
      <c r="A31" s="1301" t="s">
        <v>166</v>
      </c>
      <c r="B31" s="1301"/>
      <c r="C31" s="1301"/>
      <c r="D31" s="1301"/>
      <c r="E31" s="1301"/>
      <c r="F31" s="1301"/>
      <c r="G31" s="1301"/>
      <c r="H31" s="1301"/>
      <c r="I31" s="1301"/>
      <c r="J31" s="1301"/>
      <c r="K31" s="1301"/>
      <c r="L31" s="1301"/>
    </row>
    <row r="32" spans="1:13" x14ac:dyDescent="0.2">
      <c r="A32" s="1220"/>
      <c r="B32" s="1220"/>
      <c r="C32" s="1220"/>
      <c r="D32" s="1220"/>
      <c r="E32" s="1220"/>
      <c r="F32" s="1220"/>
      <c r="G32" s="1220"/>
      <c r="H32" s="1220"/>
      <c r="I32" s="1220"/>
      <c r="J32" s="1220"/>
      <c r="K32" s="1220"/>
      <c r="L32" s="1220"/>
    </row>
    <row r="34" spans="8:8" x14ac:dyDescent="0.2">
      <c r="H34" s="158">
        <v>24.56</v>
      </c>
    </row>
  </sheetData>
  <mergeCells count="80">
    <mergeCell ref="A1:L1"/>
    <mergeCell ref="B3:I3"/>
    <mergeCell ref="A4:A6"/>
    <mergeCell ref="B4:B6"/>
    <mergeCell ref="D4:D6"/>
    <mergeCell ref="E4:F5"/>
    <mergeCell ref="G4:I4"/>
    <mergeCell ref="J4:L4"/>
    <mergeCell ref="G5:H5"/>
    <mergeCell ref="J5:K5"/>
    <mergeCell ref="B7:C7"/>
    <mergeCell ref="A8:G8"/>
    <mergeCell ref="A9:A10"/>
    <mergeCell ref="B9:B10"/>
    <mergeCell ref="D9:D10"/>
    <mergeCell ref="E9:E10"/>
    <mergeCell ref="G9:I9"/>
    <mergeCell ref="J9:L9"/>
    <mergeCell ref="H10:I10"/>
    <mergeCell ref="K10:L10"/>
    <mergeCell ref="H11:I11"/>
    <mergeCell ref="K11:L11"/>
    <mergeCell ref="Q12:R12"/>
    <mergeCell ref="A13:F14"/>
    <mergeCell ref="G13:I13"/>
    <mergeCell ref="J13:L13"/>
    <mergeCell ref="G14:I14"/>
    <mergeCell ref="J14:L14"/>
    <mergeCell ref="A12:G12"/>
    <mergeCell ref="H12:I12"/>
    <mergeCell ref="K12:L12"/>
    <mergeCell ref="A18:A19"/>
    <mergeCell ref="B18:B19"/>
    <mergeCell ref="D18:D19"/>
    <mergeCell ref="E18:E19"/>
    <mergeCell ref="F18:F19"/>
    <mergeCell ref="K15:L15"/>
    <mergeCell ref="G16:I16"/>
    <mergeCell ref="K16:L16"/>
    <mergeCell ref="A17:J17"/>
    <mergeCell ref="K17:L17"/>
    <mergeCell ref="G18:I18"/>
    <mergeCell ref="J18:L18"/>
    <mergeCell ref="H19:I19"/>
    <mergeCell ref="K19:L19"/>
    <mergeCell ref="B20:C20"/>
    <mergeCell ref="H20:I20"/>
    <mergeCell ref="K20:L20"/>
    <mergeCell ref="A21:G21"/>
    <mergeCell ref="H21:I21"/>
    <mergeCell ref="K21:L21"/>
    <mergeCell ref="A22:A23"/>
    <mergeCell ref="B22:B23"/>
    <mergeCell ref="D22:D23"/>
    <mergeCell ref="E22:E23"/>
    <mergeCell ref="F22:F23"/>
    <mergeCell ref="G22:I22"/>
    <mergeCell ref="J22:L22"/>
    <mergeCell ref="J26:L27"/>
    <mergeCell ref="H23:I23"/>
    <mergeCell ref="K23:L23"/>
    <mergeCell ref="B24:C24"/>
    <mergeCell ref="H24:I24"/>
    <mergeCell ref="K24:L24"/>
    <mergeCell ref="A25:G25"/>
    <mergeCell ref="H25:I25"/>
    <mergeCell ref="K25:L25"/>
    <mergeCell ref="A26:A27"/>
    <mergeCell ref="B26:B27"/>
    <mergeCell ref="E26:E27"/>
    <mergeCell ref="F26:F27"/>
    <mergeCell ref="G26:I26"/>
    <mergeCell ref="A31:L31"/>
    <mergeCell ref="A32:L32"/>
    <mergeCell ref="B28:C28"/>
    <mergeCell ref="A29:F30"/>
    <mergeCell ref="G29:I29"/>
    <mergeCell ref="J29:L29"/>
    <mergeCell ref="G30:I30"/>
    <mergeCell ref="J30:L30"/>
  </mergeCells>
  <printOptions horizontalCentered="1"/>
  <pageMargins left="0.39370078740157483" right="0.39370078740157483" top="1.6929133858267718" bottom="0.78740157480314965" header="0" footer="0"/>
  <pageSetup paperSize="9" scale="70" firstPageNumber="41" fitToHeight="100" orientation="landscape" useFirstPageNumber="1" r:id="rId1"/>
  <headerFooter scaleWithDoc="0">
    <oddHeader>&amp;L&amp;G</oddHeader>
    <oddFooter>&amp;C&amp;"-,Negrito"&amp;12DIONI CAETANEO DE OLIVEIRA
&amp;"-,Regular"ENGENHEIRO CIVIL - CREA /MT 40957
DEPARTAMENTO DE ENGENHARIA</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45</vt:i4>
      </vt:variant>
      <vt:variant>
        <vt:lpstr>Intervalos Nomeados</vt:lpstr>
      </vt:variant>
      <vt:variant>
        <vt:i4>62</vt:i4>
      </vt:variant>
    </vt:vector>
  </HeadingPairs>
  <TitlesOfParts>
    <vt:vector size="107" baseType="lpstr">
      <vt:lpstr>CPAV001-ADM</vt:lpstr>
      <vt:lpstr>ORÇ. ÓLEO DIESEL</vt:lpstr>
      <vt:lpstr>103689-PLACA DE OBRA </vt:lpstr>
      <vt:lpstr>103694-POSTE MADEIRA</vt:lpstr>
      <vt:lpstr>CPAV004-IMPRIMAÇÃO</vt:lpstr>
      <vt:lpstr>CPAV005-TSD-104389</vt:lpstr>
      <vt:lpstr>CPAV006-PISO TATIL</vt:lpstr>
      <vt:lpstr>CPAV010 4016096</vt:lpstr>
      <vt:lpstr>5914354</vt:lpstr>
      <vt:lpstr>4011219</vt:lpstr>
      <vt:lpstr>4016096</vt:lpstr>
      <vt:lpstr>2003850</vt:lpstr>
      <vt:lpstr>QCI</vt:lpstr>
      <vt:lpstr>ORÇAMENTO RESUMO NAO DESONERADO</vt:lpstr>
      <vt:lpstr>RESUMO - GERAL</vt:lpstr>
      <vt:lpstr>RESUMO MATERIAIS FINAL</vt:lpstr>
      <vt:lpstr>ORÇAMENTO - GERAL</vt:lpstr>
      <vt:lpstr>ORÇ. MATERIAL</vt:lpstr>
      <vt:lpstr>TRANSP. DRENAGEM</vt:lpstr>
      <vt:lpstr>BDI-SERVIÇOS</vt:lpstr>
      <vt:lpstr>CRONOGRAMA REPASSE  - MATERIAIS</vt:lpstr>
      <vt:lpstr>EQUIPAMENTOS</vt:lpstr>
      <vt:lpstr>CRONOGRAMA GERAL  - MATERIAIS</vt:lpstr>
      <vt:lpstr>COTAÇÃOBRITA</vt:lpstr>
      <vt:lpstr>ANP</vt:lpstr>
      <vt:lpstr>RESUMO -ORIENTATIVO</vt:lpstr>
      <vt:lpstr>ORÇAMENTO - ORIENTATIVO</vt:lpstr>
      <vt:lpstr>CRONOGRAMA - ORIENTATIVO</vt:lpstr>
      <vt:lpstr>SIN. VERTICAL</vt:lpstr>
      <vt:lpstr>CRONOGRAMA - GERAL</vt:lpstr>
      <vt:lpstr>CPAV009- MOB_DESMOB</vt:lpstr>
      <vt:lpstr>SIN. HORIZONTAL </vt:lpstr>
      <vt:lpstr>RUAS</vt:lpstr>
      <vt:lpstr>TERRAPLENAGEM</vt:lpstr>
      <vt:lpstr>DMT</vt:lpstr>
      <vt:lpstr>TRANSP. MAT.PAV</vt:lpstr>
      <vt:lpstr>PAVIMENTO</vt:lpstr>
      <vt:lpstr>SUBLEITO-BASE-SUB.</vt:lpstr>
      <vt:lpstr>CALÇADA</vt:lpstr>
      <vt:lpstr>PISO TATIL SÓ RAMPA</vt:lpstr>
      <vt:lpstr>TRANSP.PASSEIO </vt:lpstr>
      <vt:lpstr>MEIO-FIO E SARJETA</vt:lpstr>
      <vt:lpstr>DREN. SARJETA</vt:lpstr>
      <vt:lpstr>DREN. REDE</vt:lpstr>
      <vt:lpstr>DREN. MEM. CAL.</vt:lpstr>
      <vt:lpstr>'103689-PLACA DE OBRA '!Area_de_impressao</vt:lpstr>
      <vt:lpstr>'103694-POSTE MADEIRA'!Area_de_impressao</vt:lpstr>
      <vt:lpstr>'2003850'!Area_de_impressao</vt:lpstr>
      <vt:lpstr>'4011219'!Area_de_impressao</vt:lpstr>
      <vt:lpstr>'4016096'!Area_de_impressao</vt:lpstr>
      <vt:lpstr>'5914354'!Area_de_impressao</vt:lpstr>
      <vt:lpstr>ANP!Area_de_impressao</vt:lpstr>
      <vt:lpstr>'BDI-SERVIÇOS'!Area_de_impressao</vt:lpstr>
      <vt:lpstr>CALÇADA!Area_de_impressao</vt:lpstr>
      <vt:lpstr>COTAÇÃOBRITA!Area_de_impressao</vt:lpstr>
      <vt:lpstr>'CPAV001-ADM'!Area_de_impressao</vt:lpstr>
      <vt:lpstr>'CPAV004-IMPRIMAÇÃO'!Area_de_impressao</vt:lpstr>
      <vt:lpstr>'CPAV005-TSD-104389'!Area_de_impressao</vt:lpstr>
      <vt:lpstr>'CPAV006-PISO TATIL'!Area_de_impressao</vt:lpstr>
      <vt:lpstr>'CPAV009- MOB_DESMOB'!Area_de_impressao</vt:lpstr>
      <vt:lpstr>'CPAV010 4016096'!Area_de_impressao</vt:lpstr>
      <vt:lpstr>'CRONOGRAMA - GERAL'!Area_de_impressao</vt:lpstr>
      <vt:lpstr>'CRONOGRAMA - ORIENTATIVO'!Area_de_impressao</vt:lpstr>
      <vt:lpstr>'CRONOGRAMA GERAL  - MATERIAIS'!Area_de_impressao</vt:lpstr>
      <vt:lpstr>'CRONOGRAMA REPASSE  - MATERIAIS'!Area_de_impressao</vt:lpstr>
      <vt:lpstr>DMT!Area_de_impressao</vt:lpstr>
      <vt:lpstr>'DREN. MEM. CAL.'!Area_de_impressao</vt:lpstr>
      <vt:lpstr>'DREN. REDE'!Area_de_impressao</vt:lpstr>
      <vt:lpstr>'DREN. SARJETA'!Area_de_impressao</vt:lpstr>
      <vt:lpstr>'MEIO-FIO E SARJETA'!Area_de_impressao</vt:lpstr>
      <vt:lpstr>'ORÇ. MATERIAL'!Area_de_impressao</vt:lpstr>
      <vt:lpstr>'ORÇ. ÓLEO DIESEL'!Area_de_impressao</vt:lpstr>
      <vt:lpstr>'ORÇAMENTO - GERAL'!Area_de_impressao</vt:lpstr>
      <vt:lpstr>'ORÇAMENTO - ORIENTATIVO'!Area_de_impressao</vt:lpstr>
      <vt:lpstr>'ORÇAMENTO RESUMO NAO DESONERADO'!Area_de_impressao</vt:lpstr>
      <vt:lpstr>PAVIMENTO!Area_de_impressao</vt:lpstr>
      <vt:lpstr>QCI!Area_de_impressao</vt:lpstr>
      <vt:lpstr>'RESUMO - GERAL'!Area_de_impressao</vt:lpstr>
      <vt:lpstr>'RESUMO MATERIAIS FINAL'!Area_de_impressao</vt:lpstr>
      <vt:lpstr>'RESUMO -ORIENTATIVO'!Area_de_impressao</vt:lpstr>
      <vt:lpstr>RUAS!Area_de_impressao</vt:lpstr>
      <vt:lpstr>'SIN. HORIZONTAL '!Area_de_impressao</vt:lpstr>
      <vt:lpstr>'SUBLEITO-BASE-SUB.'!Area_de_impressao</vt:lpstr>
      <vt:lpstr>TERRAPLENAGEM!Area_de_impressao</vt:lpstr>
      <vt:lpstr>'TRANSP. DRENAGEM'!Area_de_impressao</vt:lpstr>
      <vt:lpstr>'TRANSP. MAT.PAV'!Area_de_impressao</vt:lpstr>
      <vt:lpstr>'TRANSP.PASSEIO '!Area_de_impressao</vt:lpstr>
      <vt:lpstr>CALÇADA!Titulos_de_impressao</vt:lpstr>
      <vt:lpstr>'DREN. MEM. CAL.'!Titulos_de_impressao</vt:lpstr>
      <vt:lpstr>'DREN. REDE'!Titulos_de_impressao</vt:lpstr>
      <vt:lpstr>'DREN. SARJETA'!Titulos_de_impressao</vt:lpstr>
      <vt:lpstr>'MEIO-FIO E SARJETA'!Titulos_de_impressao</vt:lpstr>
      <vt:lpstr>'ORÇ. MATERIAL'!Titulos_de_impressao</vt:lpstr>
      <vt:lpstr>'ORÇ. ÓLEO DIESEL'!Titulos_de_impressao</vt:lpstr>
      <vt:lpstr>'ORÇAMENTO - GERAL'!Titulos_de_impressao</vt:lpstr>
      <vt:lpstr>'ORÇAMENTO - ORIENTATIVO'!Titulos_de_impressao</vt:lpstr>
      <vt:lpstr>'ORÇAMENTO RESUMO NAO DESONERADO'!Titulos_de_impressao</vt:lpstr>
      <vt:lpstr>PAVIMENTO!Titulos_de_impressao</vt:lpstr>
      <vt:lpstr>'RESUMO MATERIAIS FINAL'!Titulos_de_impressao</vt:lpstr>
      <vt:lpstr>RUAS!Titulos_de_impressao</vt:lpstr>
      <vt:lpstr>'SIN. HORIZONTAL '!Titulos_de_impressao</vt:lpstr>
      <vt:lpstr>'SIN. VERTICAL'!Titulos_de_impressao</vt:lpstr>
      <vt:lpstr>'SUBLEITO-BASE-SUB.'!Titulos_de_impressao</vt:lpstr>
      <vt:lpstr>TERRAPLENAGEM!Titulos_de_impressao</vt:lpstr>
      <vt:lpstr>'TRANSP. DRENAGEM'!Titulos_de_impressao</vt:lpstr>
      <vt:lpstr>'TRANSP. MAT.PAV'!Titulos_de_impressao</vt:lpstr>
      <vt:lpstr>'TRANSP.PASSEIO '!Titulos_de_impressao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Exito13</dc:creator>
  <cp:lastModifiedBy>CARLA ALVES</cp:lastModifiedBy>
  <cp:lastPrinted>2024-12-06T14:30:38Z</cp:lastPrinted>
  <dcterms:created xsi:type="dcterms:W3CDTF">2024-04-22T14:32:14Z</dcterms:created>
  <dcterms:modified xsi:type="dcterms:W3CDTF">2024-12-06T14:38:03Z</dcterms:modified>
</cp:coreProperties>
</file>